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7.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comments8.xml" ContentType="application/vnd.openxmlformats-officedocument.spreadsheetml.comments+xml"/>
  <Override PartName="/xl/drawings/drawing44.xml" ContentType="application/vnd.openxmlformats-officedocument.drawing+xml"/>
  <Override PartName="/xl/drawings/drawing45.xml" ContentType="application/vnd.openxmlformats-officedocument.drawing+xml"/>
  <Override PartName="/xl/comments9.xml" ContentType="application/vnd.openxmlformats-officedocument.spreadsheetml.comments+xml"/>
  <Override PartName="/xl/drawings/drawing46.xml" ContentType="application/vnd.openxmlformats-officedocument.drawing+xml"/>
  <Override PartName="/xl/drawings/drawing47.xml" ContentType="application/vnd.openxmlformats-officedocument.drawing+xml"/>
  <Override PartName="/xl/comments10.xml" ContentType="application/vnd.openxmlformats-officedocument.spreadsheetml.comments+xml"/>
  <Override PartName="/xl/drawings/drawing48.xml" ContentType="application/vnd.openxmlformats-officedocument.drawing+xml"/>
  <Override PartName="/xl/drawings/drawing49.xml" ContentType="application/vnd.openxmlformats-officedocument.drawing+xml"/>
  <Override PartName="/xl/comments11.xml" ContentType="application/vnd.openxmlformats-officedocument.spreadsheetml.comments+xml"/>
  <Override PartName="/xl/drawings/drawing50.xml" ContentType="application/vnd.openxmlformats-officedocument.drawing+xml"/>
  <Override PartName="/xl/drawings/drawing51.xml" ContentType="application/vnd.openxmlformats-officedocument.drawing+xml"/>
  <Override PartName="/xl/comments12.xml" ContentType="application/vnd.openxmlformats-officedocument.spreadsheetml.comments+xml"/>
  <Override PartName="/xl/drawings/drawing52.xml" ContentType="application/vnd.openxmlformats-officedocument.drawing+xml"/>
  <Override PartName="/xl/comments13.xml" ContentType="application/vnd.openxmlformats-officedocument.spreadsheetml.comments+xml"/>
  <Override PartName="/xl/drawings/drawing53.xml" ContentType="application/vnd.openxmlformats-officedocument.drawing+xml"/>
  <Override PartName="/xl/drawings/drawing54.xml" ContentType="application/vnd.openxmlformats-officedocument.drawing+xml"/>
  <Override PartName="/xl/comments14.xml" ContentType="application/vnd.openxmlformats-officedocument.spreadsheetml.comments+xml"/>
  <Override PartName="/xl/drawings/drawing55.xml" ContentType="application/vnd.openxmlformats-officedocument.drawing+xml"/>
  <Override PartName="/xl/comments15.xml" ContentType="application/vnd.openxmlformats-officedocument.spreadsheetml.comments+xml"/>
  <Override PartName="/xl/drawings/drawing56.xml" ContentType="application/vnd.openxmlformats-officedocument.drawing+xml"/>
  <Override PartName="/xl/comments16.xml" ContentType="application/vnd.openxmlformats-officedocument.spreadsheetml.comments+xml"/>
  <Override PartName="/xl/drawings/drawing57.xml" ContentType="application/vnd.openxmlformats-officedocument.drawing+xml"/>
  <Override PartName="/xl/comments17.xml" ContentType="application/vnd.openxmlformats-officedocument.spreadsheetml.comments+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comments18.xml" ContentType="application/vnd.openxmlformats-officedocument.spreadsheetml.comments+xml"/>
  <Override PartName="/xl/drawings/drawing68.xml" ContentType="application/vnd.openxmlformats-officedocument.drawing+xml"/>
  <Override PartName="/xl/comments19.xml" ContentType="application/vnd.openxmlformats-officedocument.spreadsheetml.comments+xml"/>
  <Override PartName="/xl/drawings/drawing69.xml" ContentType="application/vnd.openxmlformats-officedocument.drawing+xml"/>
  <Override PartName="/xl/comments20.xml" ContentType="application/vnd.openxmlformats-officedocument.spreadsheetml.comments+xml"/>
  <Override PartName="/xl/drawings/drawing70.xml" ContentType="application/vnd.openxmlformats-officedocument.drawing+xml"/>
  <Override PartName="/xl/comments21.xml" ContentType="application/vnd.openxmlformats-officedocument.spreadsheetml.comments+xml"/>
  <Override PartName="/xl/drawings/drawing71.xml" ContentType="application/vnd.openxmlformats-officedocument.drawing+xml"/>
  <Override PartName="/xl/comments22.xml" ContentType="application/vnd.openxmlformats-officedocument.spreadsheetml.comments+xml"/>
  <Override PartName="/xl/drawings/drawing72.xml" ContentType="application/vnd.openxmlformats-officedocument.drawing+xml"/>
  <Override PartName="/xl/comments23.xml" ContentType="application/vnd.openxmlformats-officedocument.spreadsheetml.comments+xml"/>
  <Override PartName="/xl/drawings/drawing73.xml" ContentType="application/vnd.openxmlformats-officedocument.drawing+xml"/>
  <Override PartName="/xl/comments24.xml" ContentType="application/vnd.openxmlformats-officedocument.spreadsheetml.comments+xml"/>
  <Override PartName="/xl/drawings/drawing74.xml" ContentType="application/vnd.openxmlformats-officedocument.drawing+xml"/>
  <Override PartName="/xl/comments25.xml" ContentType="application/vnd.openxmlformats-officedocument.spreadsheetml.comments+xml"/>
  <Override PartName="/xl/drawings/drawing75.xml" ContentType="application/vnd.openxmlformats-officedocument.drawing+xml"/>
  <Override PartName="/xl/comments26.xml" ContentType="application/vnd.openxmlformats-officedocument.spreadsheetml.comments+xml"/>
  <Override PartName="/xl/drawings/drawing76.xml" ContentType="application/vnd.openxmlformats-officedocument.drawing+xml"/>
  <Override PartName="/xl/comments27.xml" ContentType="application/vnd.openxmlformats-officedocument.spreadsheetml.comments+xml"/>
  <Override PartName="/xl/drawings/drawing77.xml" ContentType="application/vnd.openxmlformats-officedocument.drawing+xml"/>
  <Override PartName="/xl/comments28.xml" ContentType="application/vnd.openxmlformats-officedocument.spreadsheetml.comments+xml"/>
  <Override PartName="/xl/drawings/drawing78.xml" ContentType="application/vnd.openxmlformats-officedocument.drawing+xml"/>
  <Override PartName="/xl/comments29.xml" ContentType="application/vnd.openxmlformats-officedocument.spreadsheetml.comments+xml"/>
  <Override PartName="/xl/drawings/drawing79.xml" ContentType="application/vnd.openxmlformats-officedocument.drawing+xml"/>
  <Override PartName="/xl/comments30.xml" ContentType="application/vnd.openxmlformats-officedocument.spreadsheetml.comments+xml"/>
  <Override PartName="/xl/drawings/drawing80.xml" ContentType="application/vnd.openxmlformats-officedocument.drawing+xml"/>
  <Override PartName="/xl/comments31.xml" ContentType="application/vnd.openxmlformats-officedocument.spreadsheetml.comments+xml"/>
  <Override PartName="/xl/drawings/drawing81.xml" ContentType="application/vnd.openxmlformats-officedocument.drawing+xml"/>
  <Override PartName="/xl/comments32.xml" ContentType="application/vnd.openxmlformats-officedocument.spreadsheetml.comments+xml"/>
  <Override PartName="/xl/drawings/drawing82.xml" ContentType="application/vnd.openxmlformats-officedocument.drawing+xml"/>
  <Override PartName="/xl/comments33.xml" ContentType="application/vnd.openxmlformats-officedocument.spreadsheetml.comments+xml"/>
  <Override PartName="/xl/drawings/drawing83.xml" ContentType="application/vnd.openxmlformats-officedocument.drawing+xml"/>
  <Override PartName="/xl/comments34.xml" ContentType="application/vnd.openxmlformats-officedocument.spreadsheetml.comments+xml"/>
  <Override PartName="/xl/drawings/drawing84.xml" ContentType="application/vnd.openxmlformats-officedocument.drawing+xml"/>
  <Override PartName="/xl/comments35.xml" ContentType="application/vnd.openxmlformats-officedocument.spreadsheetml.comments+xml"/>
  <Override PartName="/xl/drawings/drawing85.xml" ContentType="application/vnd.openxmlformats-officedocument.drawing+xml"/>
  <Override PartName="/xl/comments36.xml" ContentType="application/vnd.openxmlformats-officedocument.spreadsheetml.comments+xml"/>
  <Override PartName="/xl/drawings/drawing86.xml" ContentType="application/vnd.openxmlformats-officedocument.drawing+xml"/>
  <Override PartName="/xl/comments37.xml" ContentType="application/vnd.openxmlformats-officedocument.spreadsheetml.comments+xml"/>
  <Override PartName="/xl/drawings/drawing87.xml" ContentType="application/vnd.openxmlformats-officedocument.drawing+xml"/>
  <Override PartName="/xl/comments38.xml" ContentType="application/vnd.openxmlformats-officedocument.spreadsheetml.comments+xml"/>
  <Override PartName="/xl/drawings/drawing88.xml" ContentType="application/vnd.openxmlformats-officedocument.drawing+xml"/>
  <Override PartName="/xl/comments39.xml" ContentType="application/vnd.openxmlformats-officedocument.spreadsheetml.comments+xml"/>
  <Override PartName="/xl/drawings/drawing89.xml" ContentType="application/vnd.openxmlformats-officedocument.drawing+xml"/>
  <Override PartName="/xl/comments40.xml" ContentType="application/vnd.openxmlformats-officedocument.spreadsheetml.comments+xml"/>
  <Override PartName="/xl/drawings/drawing90.xml" ContentType="application/vnd.openxmlformats-officedocument.drawing+xml"/>
  <Override PartName="/xl/comments41.xml" ContentType="application/vnd.openxmlformats-officedocument.spreadsheetml.comments+xml"/>
  <Override PartName="/xl/drawings/drawing91.xml" ContentType="application/vnd.openxmlformats-officedocument.drawing+xml"/>
  <Override PartName="/xl/comments42.xml" ContentType="application/vnd.openxmlformats-officedocument.spreadsheetml.comments+xml"/>
  <Override PartName="/xl/drawings/drawing92.xml" ContentType="application/vnd.openxmlformats-officedocument.drawing+xml"/>
  <Override PartName="/xl/comments43.xml" ContentType="application/vnd.openxmlformats-officedocument.spreadsheetml.comments+xml"/>
  <Override PartName="/xl/drawings/drawing93.xml" ContentType="application/vnd.openxmlformats-officedocument.drawing+xml"/>
  <Override PartName="/xl/comments44.xml" ContentType="application/vnd.openxmlformats-officedocument.spreadsheetml.comments+xml"/>
  <Override PartName="/xl/drawings/drawing94.xml" ContentType="application/vnd.openxmlformats-officedocument.drawing+xml"/>
  <Override PartName="/xl/comments45.xml" ContentType="application/vnd.openxmlformats-officedocument.spreadsheetml.comments+xml"/>
  <Override PartName="/xl/drawings/drawing95.xml" ContentType="application/vnd.openxmlformats-officedocument.drawing+xml"/>
  <Override PartName="/xl/comments46.xml" ContentType="application/vnd.openxmlformats-officedocument.spreadsheetml.comments+xml"/>
  <Override PartName="/xl/drawings/drawing96.xml" ContentType="application/vnd.openxmlformats-officedocument.drawing+xml"/>
  <Override PartName="/xl/comments47.xml" ContentType="application/vnd.openxmlformats-officedocument.spreadsheetml.comments+xml"/>
  <Override PartName="/xl/drawings/drawing97.xml" ContentType="application/vnd.openxmlformats-officedocument.drawing+xml"/>
  <Override PartName="/xl/comments48.xml" ContentType="application/vnd.openxmlformats-officedocument.spreadsheetml.comments+xml"/>
  <Override PartName="/xl/drawings/drawing98.xml" ContentType="application/vnd.openxmlformats-officedocument.drawing+xml"/>
  <Override PartName="/xl/comments49.xml" ContentType="application/vnd.openxmlformats-officedocument.spreadsheetml.comments+xml"/>
  <Override PartName="/xl/drawings/drawing99.xml" ContentType="application/vnd.openxmlformats-officedocument.drawing+xml"/>
  <Override PartName="/xl/comments50.xml" ContentType="application/vnd.openxmlformats-officedocument.spreadsheetml.comments+xml"/>
  <Override PartName="/xl/drawings/drawing100.xml" ContentType="application/vnd.openxmlformats-officedocument.drawing+xml"/>
  <Override PartName="/xl/comments51.xml" ContentType="application/vnd.openxmlformats-officedocument.spreadsheetml.comments+xml"/>
  <Override PartName="/xl/drawings/drawing101.xml" ContentType="application/vnd.openxmlformats-officedocument.drawing+xml"/>
  <Override PartName="/xl/comments52.xml" ContentType="application/vnd.openxmlformats-officedocument.spreadsheetml.comments+xml"/>
  <Override PartName="/xl/drawings/drawing102.xml" ContentType="application/vnd.openxmlformats-officedocument.drawing+xml"/>
  <Override PartName="/xl/comments53.xml" ContentType="application/vnd.openxmlformats-officedocument.spreadsheetml.comments+xml"/>
  <Override PartName="/xl/drawings/drawing103.xml" ContentType="application/vnd.openxmlformats-officedocument.drawing+xml"/>
  <Override PartName="/xl/comments54.xml" ContentType="application/vnd.openxmlformats-officedocument.spreadsheetml.comments+xml"/>
  <Override PartName="/xl/drawings/drawing104.xml" ContentType="application/vnd.openxmlformats-officedocument.drawing+xml"/>
  <Override PartName="/xl/comments55.xml" ContentType="application/vnd.openxmlformats-officedocument.spreadsheetml.comments+xml"/>
  <Override PartName="/xl/drawings/drawing105.xml" ContentType="application/vnd.openxmlformats-officedocument.drawing+xml"/>
  <Override PartName="/xl/comments56.xml" ContentType="application/vnd.openxmlformats-officedocument.spreadsheetml.comments+xml"/>
  <Override PartName="/xl/drawings/drawing106.xml" ContentType="application/vnd.openxmlformats-officedocument.drawing+xml"/>
  <Override PartName="/xl/comments57.xml" ContentType="application/vnd.openxmlformats-officedocument.spreadsheetml.comments+xml"/>
  <Override PartName="/xl/drawings/drawing107.xml" ContentType="application/vnd.openxmlformats-officedocument.drawing+xml"/>
  <Override PartName="/xl/comments58.xml" ContentType="application/vnd.openxmlformats-officedocument.spreadsheetml.comments+xml"/>
  <Override PartName="/xl/drawings/drawing108.xml" ContentType="application/vnd.openxmlformats-officedocument.drawing+xml"/>
  <Override PartName="/xl/comments59.xml" ContentType="application/vnd.openxmlformats-officedocument.spreadsheetml.comments+xml"/>
  <Override PartName="/xl/drawings/drawing109.xml" ContentType="application/vnd.openxmlformats-officedocument.drawing+xml"/>
  <Override PartName="/xl/comments60.xml" ContentType="application/vnd.openxmlformats-officedocument.spreadsheetml.comments+xml"/>
  <Override PartName="/xl/drawings/drawing110.xml" ContentType="application/vnd.openxmlformats-officedocument.drawing+xml"/>
  <Override PartName="/xl/comments61.xml" ContentType="application/vnd.openxmlformats-officedocument.spreadsheetml.comments+xml"/>
  <Override PartName="/xl/drawings/drawing111.xml" ContentType="application/vnd.openxmlformats-officedocument.drawing+xml"/>
  <Override PartName="/xl/comments62.xml" ContentType="application/vnd.openxmlformats-officedocument.spreadsheetml.comments+xml"/>
  <Override PartName="/xl/drawings/drawing112.xml" ContentType="application/vnd.openxmlformats-officedocument.drawing+xml"/>
  <Override PartName="/xl/comments63.xml" ContentType="application/vnd.openxmlformats-officedocument.spreadsheetml.comments+xml"/>
  <Override PartName="/xl/drawings/drawing113.xml" ContentType="application/vnd.openxmlformats-officedocument.drawing+xml"/>
  <Override PartName="/xl/comments64.xml" ContentType="application/vnd.openxmlformats-officedocument.spreadsheetml.comments+xml"/>
  <Override PartName="/xl/drawings/drawing114.xml" ContentType="application/vnd.openxmlformats-officedocument.drawing+xml"/>
  <Override PartName="/xl/comments65.xml" ContentType="application/vnd.openxmlformats-officedocument.spreadsheetml.comments+xml"/>
  <Override PartName="/xl/drawings/drawing115.xml" ContentType="application/vnd.openxmlformats-officedocument.drawing+xml"/>
  <Override PartName="/xl/comments66.xml" ContentType="application/vnd.openxmlformats-officedocument.spreadsheetml.comments+xml"/>
  <Override PartName="/xl/drawings/drawing116.xml" ContentType="application/vnd.openxmlformats-officedocument.drawing+xml"/>
  <Override PartName="/xl/comments67.xml" ContentType="application/vnd.openxmlformats-officedocument.spreadsheetml.comments+xml"/>
  <Override PartName="/xl/drawings/drawing117.xml" ContentType="application/vnd.openxmlformats-officedocument.drawing+xml"/>
  <Override PartName="/xl/comments68.xml" ContentType="application/vnd.openxmlformats-officedocument.spreadsheetml.comments+xml"/>
  <Override PartName="/xl/drawings/drawing118.xml" ContentType="application/vnd.openxmlformats-officedocument.drawing+xml"/>
  <Override PartName="/xl/comments69.xml" ContentType="application/vnd.openxmlformats-officedocument.spreadsheetml.comments+xml"/>
  <Override PartName="/xl/drawings/drawing119.xml" ContentType="application/vnd.openxmlformats-officedocument.drawing+xml"/>
  <Override PartName="/xl/comments70.xml" ContentType="application/vnd.openxmlformats-officedocument.spreadsheetml.comments+xml"/>
  <Override PartName="/xl/drawings/drawing120.xml" ContentType="application/vnd.openxmlformats-officedocument.drawing+xml"/>
  <Override PartName="/xl/comments71.xml" ContentType="application/vnd.openxmlformats-officedocument.spreadsheetml.comments+xml"/>
  <Override PartName="/xl/drawings/drawing121.xml" ContentType="application/vnd.openxmlformats-officedocument.drawing+xml"/>
  <Override PartName="/xl/comments72.xml" ContentType="application/vnd.openxmlformats-officedocument.spreadsheetml.comments+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6720" yWindow="-150" windowWidth="10140" windowHeight="7155" tabRatio="816" firstSheet="7" activeTab="8"/>
  </bookViews>
  <sheets>
    <sheet name="DAFTAR ISI" sheetId="93" r:id="rId1"/>
    <sheet name="Daftar Isi PINJAMAN" sheetId="160" r:id="rId2"/>
    <sheet name="DT" sheetId="1" r:id="rId3"/>
    <sheet name="DATA BANTUAN" sheetId="19" r:id="rId4"/>
    <sheet name="Tutup Buku" sheetId="81" r:id="rId5"/>
    <sheet name="Perubahan modal" sheetId="82" r:id="rId6"/>
    <sheet name="Lap. Realisasi Surplus" sheetId="83" r:id="rId7"/>
    <sheet name="BUKU HUTANG &amp; HIBAH" sheetId="84" r:id="rId8"/>
    <sheet name="CEK" sheetId="164" r:id="rId9"/>
    <sheet name="Kas B PPK" sheetId="46" r:id="rId10"/>
    <sheet name="Kas B PNPM-MPd" sheetId="2" r:id="rId11"/>
    <sheet name="Kas B GSC" sheetId="47" r:id="rId12"/>
    <sheet name="Kas B PNPM-TP GEMPA" sheetId="48" r:id="rId13"/>
    <sheet name="Kas B PASCA KRISIS" sheetId="49" r:id="rId14"/>
    <sheet name="Kas OP-UPK" sheetId="3" r:id="rId15"/>
    <sheet name="Kas UEP" sheetId="65" r:id="rId16"/>
    <sheet name="Kas SPP" sheetId="5" r:id="rId17"/>
    <sheet name="Kas SPP Pihak ke-3" sheetId="85" r:id="rId18"/>
    <sheet name="Kas DOK PNPM MP 2012" sheetId="168" r:id="rId19"/>
    <sheet name="Kas DOK Pernc." sheetId="6" r:id="rId20"/>
    <sheet name="Kas DOK Pelth." sheetId="20" r:id="rId21"/>
    <sheet name="Kas DOK PLUPK" sheetId="80" r:id="rId22"/>
    <sheet name="Kas DOK Pernc.GSC" sheetId="50" r:id="rId23"/>
    <sheet name="Kas DOK Pelth.GSC" sheetId="79" r:id="rId24"/>
    <sheet name="Kas DOK GEMPA" sheetId="52" r:id="rId25"/>
    <sheet name="Kas DOK RPJMDES" sheetId="51" r:id="rId26"/>
    <sheet name="Bank B PPK" sheetId="8" r:id="rId27"/>
    <sheet name="Bank B PNPM-MPd" sheetId="60" r:id="rId28"/>
    <sheet name="Bank B GSC" sheetId="54" r:id="rId29"/>
    <sheet name="Bank B PNPM-TP GEMPA" sheetId="61" r:id="rId30"/>
    <sheet name="Bank B PASCA KRISIS" sheetId="55" r:id="rId31"/>
    <sheet name="Bank UEP" sheetId="62" r:id="rId32"/>
    <sheet name="Bank OP-UPK" sheetId="56" r:id="rId33"/>
    <sheet name="Bank SPP" sheetId="57" r:id="rId34"/>
    <sheet name="Bank SPP Pihak ke-3" sheetId="86" r:id="rId35"/>
    <sheet name="Bank DOK PNPM MP 2012" sheetId="169" r:id="rId36"/>
    <sheet name="Bank DOK PERNC" sheetId="58" r:id="rId37"/>
    <sheet name="Bank DOK PELTH" sheetId="59" r:id="rId38"/>
    <sheet name="Bank DOK PLUPK" sheetId="78" r:id="rId39"/>
    <sheet name="Bank DOK PERNC-GSC" sheetId="53" r:id="rId40"/>
    <sheet name="Bank DOK PELTH-GSC" sheetId="77" r:id="rId41"/>
    <sheet name="Bank DOK GEMPA" sheetId="63" r:id="rId42"/>
    <sheet name="Bank DOK RPJMDES" sheetId="64" r:id="rId43"/>
    <sheet name="Aktiva Tetap &amp; Aktv Lain2" sheetId="167" r:id="rId44"/>
    <sheet name="BDD" sheetId="40" r:id="rId45"/>
    <sheet name="Inventaris" sheetId="13" r:id="rId46"/>
    <sheet name="Penyaluran dana" sheetId="18" r:id="rId47"/>
    <sheet name="Neraca Program" sheetId="161" r:id="rId48"/>
    <sheet name="Lap. Opr. Program" sheetId="162" r:id="rId49"/>
    <sheet name="Neraca Program REGULER" sheetId="70" r:id="rId50"/>
    <sheet name="Lap. Opr. Program REGULER" sheetId="69" r:id="rId51"/>
    <sheet name="R-L Microfinance" sheetId="66" r:id="rId52"/>
    <sheet name="Neraca Micro" sheetId="67" r:id="rId53"/>
    <sheet name="Arus Dana" sheetId="68" r:id="rId54"/>
    <sheet name="Rekonsiliasi" sheetId="71" r:id="rId55"/>
    <sheet name="Audit Keuangan" sheetId="43" r:id="rId56"/>
    <sheet name="Penghapusan Pinjaman" sheetId="166" r:id="rId57"/>
    <sheet name="LPP-UEP" sheetId="111" r:id="rId58"/>
    <sheet name="LPP-SPP" sheetId="132" r:id="rId59"/>
    <sheet name="LPP-SPP PIHAK KE-3" sheetId="156" r:id="rId60"/>
    <sheet name="LPP-SPP (BLM+PIHAK KE3)" sheetId="136" r:id="rId61"/>
    <sheet name="KOLEKTIBILITAS-UEP" sheetId="112" r:id="rId62"/>
    <sheet name="KOLEKTIBILITAS-SPP" sheetId="133" r:id="rId63"/>
    <sheet name="KOLEKTIBILITAS-SPP PIHAK KE-3" sheetId="157" r:id="rId64"/>
    <sheet name="KOLEKTIBILITAS-SPP(BLM+PHK KE3)" sheetId="137" r:id="rId65"/>
    <sheet name="84ABC-UEP" sheetId="113" r:id="rId66"/>
    <sheet name="84ABC-SPP" sheetId="134" r:id="rId67"/>
    <sheet name="84ABC-SPP PIHAK KE-3" sheetId="158" r:id="rId68"/>
    <sheet name="84ABC-SPP+UEP" sheetId="135" r:id="rId69"/>
    <sheet name="DOK PERC" sheetId="72" r:id="rId70"/>
    <sheet name="DOK PELT" sheetId="73" r:id="rId71"/>
    <sheet name="DOK MICRO" sheetId="94" r:id="rId72"/>
    <sheet name="DOK PERNC. GSC" sheetId="74" r:id="rId73"/>
    <sheet name="DOK PELT. GSC" sheetId="92" r:id="rId74"/>
    <sheet name="DOK GEMPA" sheetId="75" r:id="rId75"/>
    <sheet name="DOK RPJMDES" sheetId="76" r:id="rId76"/>
    <sheet name="UEP-1" sheetId="95" r:id="rId77"/>
    <sheet name="UEP-2" sheetId="96" r:id="rId78"/>
    <sheet name="UEP-3" sheetId="97" r:id="rId79"/>
    <sheet name="UEP-4" sheetId="98" r:id="rId80"/>
    <sheet name="UEP-5" sheetId="99" r:id="rId81"/>
    <sheet name="UEP-6" sheetId="100" r:id="rId82"/>
    <sheet name="UEP-7" sheetId="101" r:id="rId83"/>
    <sheet name="UEP-8" sheetId="102" r:id="rId84"/>
    <sheet name="UEP-9" sheetId="103" r:id="rId85"/>
    <sheet name="UEP-10" sheetId="104" r:id="rId86"/>
    <sheet name="UEP-11" sheetId="105" r:id="rId87"/>
    <sheet name="UEP-12" sheetId="106" r:id="rId88"/>
    <sheet name="UEP-13" sheetId="107" r:id="rId89"/>
    <sheet name="UEP-14" sheetId="108" r:id="rId90"/>
    <sheet name="UEP-15" sheetId="109" r:id="rId91"/>
    <sheet name="UEP-16" sheetId="110" r:id="rId92"/>
    <sheet name="SPP-1" sheetId="116" r:id="rId93"/>
    <sheet name="SPP-2" sheetId="117" r:id="rId94"/>
    <sheet name="SPP-3" sheetId="118" r:id="rId95"/>
    <sheet name="SPP-4" sheetId="119" r:id="rId96"/>
    <sheet name="SPP-5" sheetId="120" r:id="rId97"/>
    <sheet name="SPP-6" sheetId="121" r:id="rId98"/>
    <sheet name="SPP-7" sheetId="122" r:id="rId99"/>
    <sheet name="SPP-8" sheetId="123" r:id="rId100"/>
    <sheet name="SPP-9" sheetId="124" r:id="rId101"/>
    <sheet name="SPP-10" sheetId="125" r:id="rId102"/>
    <sheet name="SPP-11" sheetId="126" r:id="rId103"/>
    <sheet name="SPP-12" sheetId="127" r:id="rId104"/>
    <sheet name="SPP-13" sheetId="128" r:id="rId105"/>
    <sheet name="SPP-14" sheetId="129" r:id="rId106"/>
    <sheet name="SPP-15" sheetId="130" r:id="rId107"/>
    <sheet name="SPP-16" sheetId="131" r:id="rId108"/>
    <sheet name="SPP K3-1" sheetId="140" r:id="rId109"/>
    <sheet name="SPP K3-2" sheetId="141" r:id="rId110"/>
    <sheet name="SPP K3-3" sheetId="142" r:id="rId111"/>
    <sheet name="SPP K3-4" sheetId="143" r:id="rId112"/>
    <sheet name="SPP K3-5" sheetId="144" r:id="rId113"/>
    <sheet name="SPP K3-6" sheetId="145" r:id="rId114"/>
    <sheet name="SPP K3-7" sheetId="146" r:id="rId115"/>
    <sheet name="SPP K3-8" sheetId="147" r:id="rId116"/>
    <sheet name="SPP K3-9" sheetId="148" r:id="rId117"/>
    <sheet name="SPP K3-10" sheetId="149" r:id="rId118"/>
    <sheet name="SPP K3-11" sheetId="150" r:id="rId119"/>
    <sheet name="SPP K3-12" sheetId="151" r:id="rId120"/>
    <sheet name="SPP K3-13" sheetId="152" r:id="rId121"/>
    <sheet name="SPP K3-14" sheetId="153" r:id="rId122"/>
    <sheet name="SPP K3-15" sheetId="154" r:id="rId123"/>
    <sheet name="SPP K3-16" sheetId="155" r:id="rId124"/>
    <sheet name="db LPP-UEP" sheetId="114" r:id="rId125"/>
    <sheet name="db LPP-SPP" sheetId="138" r:id="rId126"/>
    <sheet name="db KOLEKTOBILITAS-UEP" sheetId="115" r:id="rId127"/>
    <sheet name="db KOLEKTOBILITAS-SPP" sheetId="139" r:id="rId128"/>
    <sheet name="db Nrc Program" sheetId="87" r:id="rId129"/>
    <sheet name="DB Ops Program" sheetId="88" r:id="rId130"/>
    <sheet name="db Nrc Micro" sheetId="89" r:id="rId131"/>
    <sheet name="DB RL Micro" sheetId="90" r:id="rId132"/>
    <sheet name="db Arus Dana" sheetId="91" r:id="rId133"/>
    <sheet name="db Rekonsiliasi" sheetId="165" r:id="rId134"/>
  </sheets>
  <externalReferences>
    <externalReference r:id="rId135"/>
    <externalReference r:id="rId136"/>
    <externalReference r:id="rId137"/>
  </externalReferences>
  <definedNames>
    <definedName name="_xlnm.Print_Area" localSheetId="66">'84ABC-SPP'!$A$1:$O$36</definedName>
    <definedName name="_xlnm.Print_Area" localSheetId="67">'84ABC-SPP PIHAK KE-3'!$A$1:$AR$28</definedName>
    <definedName name="_xlnm.Print_Area" localSheetId="68">'84ABC-SPP+UEP'!$A$1:$AX$28</definedName>
    <definedName name="_xlnm.Print_Area" localSheetId="65">'84ABC-UEP'!$A$1:$AX$28</definedName>
    <definedName name="_xlnm.Print_Area" localSheetId="43">'Aktiva Tetap &amp; Aktv Lain2'!$B$1:$H$40</definedName>
    <definedName name="_xlnm.Print_Area" localSheetId="53">'Arus Dana'!$A$1:$I$172</definedName>
    <definedName name="_xlnm.Print_Area" localSheetId="55">'Audit Keuangan'!$A$1:$E$412</definedName>
    <definedName name="_xlnm.Print_Area" localSheetId="28">'Bank B GSC'!$A$1:$L$41</definedName>
    <definedName name="_xlnm.Print_Area" localSheetId="30">'Bank B PASCA KRISIS'!$A$1:$K$41</definedName>
    <definedName name="_xlnm.Print_Area" localSheetId="27">'Bank B PNPM-MPd'!$A$1:$L$47</definedName>
    <definedName name="_xlnm.Print_Area" localSheetId="29">'Bank B PNPM-TP GEMPA'!$A$1:$K$41</definedName>
    <definedName name="_xlnm.Print_Area" localSheetId="26">'Bank B PPK'!$A$1:$L$41</definedName>
    <definedName name="_xlnm.Print_Area" localSheetId="41">'Bank DOK GEMPA'!$A$1:$K$41</definedName>
    <definedName name="_xlnm.Print_Area" localSheetId="37">'Bank DOK PELTH'!$A$1:$L$41</definedName>
    <definedName name="_xlnm.Print_Area" localSheetId="40">'Bank DOK PELTH-GSC'!$A$1:$L$41</definedName>
    <definedName name="_xlnm.Print_Area" localSheetId="36">'Bank DOK PERNC'!$A$1:$L$41</definedName>
    <definedName name="_xlnm.Print_Area" localSheetId="39">'Bank DOK PERNC-GSC'!$A$1:$L$41</definedName>
    <definedName name="_xlnm.Print_Area" localSheetId="38">'Bank DOK PLUPK'!$A$1:$K$41</definedName>
    <definedName name="_xlnm.Print_Area" localSheetId="42">'Bank DOK RPJMDES'!$A$1:$K$41</definedName>
    <definedName name="_xlnm.Print_Area" localSheetId="32">'Bank OP-UPK'!$A$1:$K$42</definedName>
    <definedName name="_xlnm.Print_Area" localSheetId="33">'Bank SPP'!$A$1:$K$63</definedName>
    <definedName name="_xlnm.Print_Area" localSheetId="34">'Bank SPP Pihak ke-3'!$A$1:$K$41</definedName>
    <definedName name="_xlnm.Print_Area" localSheetId="31">'Bank UEP'!$A$1:$K$41</definedName>
    <definedName name="_xlnm.Print_Area" localSheetId="44">BDD!$B$1:$O$38</definedName>
    <definedName name="_xlnm.Print_Area" localSheetId="8">CEK!$A$76:$F$85</definedName>
    <definedName name="_xlnm.Print_Area" localSheetId="3">'DATA BANTUAN'!$B$1:$R$41</definedName>
    <definedName name="_xlnm.Print_Area" localSheetId="74">'DOK GEMPA'!$A$1:$D$57</definedName>
    <definedName name="_xlnm.Print_Area" localSheetId="71">'DOK MICRO'!$A$1:$D$57</definedName>
    <definedName name="_xlnm.Print_Area" localSheetId="70">'DOK PELT'!$A$1:$H$60</definedName>
    <definedName name="_xlnm.Print_Area" localSheetId="73">'DOK PELT. GSC'!$A$1:$H$60</definedName>
    <definedName name="_xlnm.Print_Area" localSheetId="69">'DOK PERC'!$A$1:$H$60</definedName>
    <definedName name="_xlnm.Print_Area" localSheetId="72">'DOK PERNC. GSC'!$A$1:$H$60</definedName>
    <definedName name="_xlnm.Print_Area" localSheetId="75">'DOK RPJMDES'!$A$1:$D$57</definedName>
    <definedName name="_xlnm.Print_Area" localSheetId="2">DT!$G$1:$I$18</definedName>
    <definedName name="_xlnm.Print_Area" localSheetId="45">Inventaris!$B$1:$V$81</definedName>
    <definedName name="_xlnm.Print_Area" localSheetId="10">'Kas B PNPM-MPd'!$A$1:$Q$38</definedName>
    <definedName name="_xlnm.Print_Area" localSheetId="12">'Kas B PNPM-TP GEMPA'!$A$1:$R$57</definedName>
    <definedName name="_xlnm.Print_Area" localSheetId="24">'Kas DOK GEMPA'!$A$1:$W$55</definedName>
    <definedName name="_xlnm.Print_Area" localSheetId="20">'Kas DOK Pelth.'!$A$1:$W$59</definedName>
    <definedName name="_xlnm.Print_Area" localSheetId="23">'Kas DOK Pelth.GSC'!$A$1:$W$55</definedName>
    <definedName name="_xlnm.Print_Area" localSheetId="22">'Kas DOK Pernc.GSC'!$A$1:$W$55</definedName>
    <definedName name="_xlnm.Print_Area" localSheetId="21">'Kas DOK PLUPK'!$A$1:$S$55</definedName>
    <definedName name="_xlnm.Print_Area" localSheetId="18">'Kas DOK PNPM MP 2012'!$A$1:$O$53</definedName>
    <definedName name="_xlnm.Print_Area" localSheetId="25">'Kas DOK RPJMDES'!$A$1:$W$55</definedName>
    <definedName name="_xlnm.Print_Area" localSheetId="14">'Kas OP-UPK'!$A$1:$AC$97</definedName>
    <definedName name="_xlnm.Print_Area" localSheetId="16">'Kas SPP'!$A$1:$N$375</definedName>
    <definedName name="_xlnm.Print_Area" localSheetId="62">'KOLEKTIBILITAS-SPP'!$A$1:$H$42</definedName>
    <definedName name="_xlnm.Print_Area" localSheetId="63">'KOLEKTIBILITAS-SPP PIHAK KE-3'!$A$1:$H$42</definedName>
    <definedName name="_xlnm.Print_Area" localSheetId="64">'KOLEKTIBILITAS-SPP(BLM+PHK KE3)'!$A$1:$H$40</definedName>
    <definedName name="_xlnm.Print_Area" localSheetId="61">'KOLEKTIBILITAS-UEP'!$A$1:$H$42</definedName>
    <definedName name="_xlnm.Print_Area" localSheetId="48">'Lap. Opr. Program'!$A$1:$J$72</definedName>
    <definedName name="_xlnm.Print_Area" localSheetId="50">'Lap. Opr. Program REGULER'!$A$1:$J$63</definedName>
    <definedName name="_xlnm.Print_Area" localSheetId="58">'LPP-SPP'!$A$1:$W$120</definedName>
    <definedName name="_xlnm.Print_Area" localSheetId="60">'LPP-SPP (BLM+PIHAK KE3)'!$A$1:$X$40</definedName>
    <definedName name="_xlnm.Print_Area" localSheetId="59">'LPP-SPP PIHAK KE-3'!$A$1:$W$120</definedName>
    <definedName name="_xlnm.Print_Area" localSheetId="57">'LPP-UEP'!$A$1:$W$120</definedName>
    <definedName name="_xlnm.Print_Area" localSheetId="52">'Neraca Micro'!$A$1:$I$49</definedName>
    <definedName name="_xlnm.Print_Area" localSheetId="47">'Neraca Program'!$A$1:$G$113</definedName>
    <definedName name="_xlnm.Print_Area" localSheetId="49">'Neraca Program REGULER'!$A$1:$G$71</definedName>
    <definedName name="_xlnm.Print_Area" localSheetId="56">'Penghapusan Pinjaman'!$A$1:$L$39</definedName>
    <definedName name="_xlnm.Print_Area" localSheetId="46">'Penyaluran dana'!$A$36:$EP$71</definedName>
    <definedName name="_xlnm.Print_Area" localSheetId="5">'Perubahan modal'!$A$1:$E$58</definedName>
    <definedName name="_xlnm.Print_Area" localSheetId="54">Rekonsiliasi!$A$1:$L$29</definedName>
    <definedName name="_xlnm.Print_Area" localSheetId="51">'R-L Microfinance'!$A$1:$I$60</definedName>
    <definedName name="_xlnm.Print_Area" localSheetId="108">'SPP K3-1'!$A$1:$AA$107</definedName>
    <definedName name="_xlnm.Print_Area" localSheetId="117">'SPP K3-10'!$A$1:$U$107</definedName>
    <definedName name="_xlnm.Print_Area" localSheetId="118">'SPP K3-11'!$A$1:$U$107</definedName>
    <definedName name="_xlnm.Print_Area" localSheetId="119">'SPP K3-12'!$A$1:$U$107</definedName>
    <definedName name="_xlnm.Print_Area" localSheetId="120">'SPP K3-13'!$A$1:$U$107</definedName>
    <definedName name="_xlnm.Print_Area" localSheetId="121">'SPP K3-14'!$A$1:$U$107</definedName>
    <definedName name="_xlnm.Print_Area" localSheetId="122">'SPP K3-15'!$A$1:$U$107</definedName>
    <definedName name="_xlnm.Print_Area" localSheetId="123">'SPP K3-16'!$A$1:$U$107</definedName>
    <definedName name="_xlnm.Print_Area" localSheetId="109">'SPP K3-2'!$A$1:$Y$107</definedName>
    <definedName name="_xlnm.Print_Area" localSheetId="110">'SPP K3-3'!$A$1:$Y$107</definedName>
    <definedName name="_xlnm.Print_Area" localSheetId="111">'SPP K3-4'!$A$1:$Y$107</definedName>
    <definedName name="_xlnm.Print_Area" localSheetId="112">'SPP K3-5'!$A$1:$U$107</definedName>
    <definedName name="_xlnm.Print_Area" localSheetId="113">'SPP K3-6'!$A$1:$U$107</definedName>
    <definedName name="_xlnm.Print_Area" localSheetId="114">'SPP K3-7'!$A$1:$U$107</definedName>
    <definedName name="_xlnm.Print_Area" localSheetId="115">'SPP K3-8'!$A$1:$U$107</definedName>
    <definedName name="_xlnm.Print_Area" localSheetId="116">'SPP K3-9'!$A$1:$U$107</definedName>
    <definedName name="_xlnm.Print_Area" localSheetId="92">'SPP-1'!$A$1:$AA$241</definedName>
    <definedName name="_xlnm.Print_Area" localSheetId="101">'SPP-10'!$A$1:$AA$197</definedName>
    <definedName name="_xlnm.Print_Area" localSheetId="102">'SPP-11'!$A$1:$U$107</definedName>
    <definedName name="_xlnm.Print_Area" localSheetId="103">'SPP-12'!$A$1:$U$107</definedName>
    <definedName name="_xlnm.Print_Area" localSheetId="104">'SPP-13'!$A$1:$U$107</definedName>
    <definedName name="_xlnm.Print_Area" localSheetId="105">'SPP-14'!$A$1:$U$107</definedName>
    <definedName name="_xlnm.Print_Area" localSheetId="106">'SPP-15'!$A$1:$U$107</definedName>
    <definedName name="_xlnm.Print_Area" localSheetId="107">'SPP-16'!$A$1:$U$107</definedName>
    <definedName name="_xlnm.Print_Area" localSheetId="93">'SPP-2'!$A$1:$AA$327</definedName>
    <definedName name="_xlnm.Print_Area" localSheetId="94">'SPP-3'!$A$1:$AA$220</definedName>
    <definedName name="_xlnm.Print_Area" localSheetId="95">'SPP-4'!$A$1:$AA$162</definedName>
    <definedName name="_xlnm.Print_Area" localSheetId="96">'SPP-5'!$A$1:$AA$186</definedName>
    <definedName name="_xlnm.Print_Area" localSheetId="97">'SPP-6'!$A$1:$AA$225</definedName>
    <definedName name="_xlnm.Print_Area" localSheetId="98">'SPP-7'!$A$1:$AA$166</definedName>
    <definedName name="_xlnm.Print_Area" localSheetId="99">'SPP-8'!$A$1:$AA$172</definedName>
    <definedName name="_xlnm.Print_Area" localSheetId="100">'SPP-9'!$A$1:$AA$258</definedName>
    <definedName name="_xlnm.Print_Area" localSheetId="4">'Tutup Buku'!$A$1:$H$78</definedName>
    <definedName name="_xlnm.Print_Area" localSheetId="76">'UEP-1'!$A$1:$AA$107</definedName>
    <definedName name="_xlnm.Print_Area" localSheetId="85">'UEP-10'!$A$1:$U$107</definedName>
    <definedName name="_xlnm.Print_Area" localSheetId="86">'UEP-11'!$A$1:$U$107</definedName>
    <definedName name="_xlnm.Print_Area" localSheetId="87">'UEP-12'!$A$1:$U$107</definedName>
    <definedName name="_xlnm.Print_Area" localSheetId="88">'UEP-13'!$A$1:$U$107</definedName>
    <definedName name="_xlnm.Print_Area" localSheetId="89">'UEP-14'!$A$1:$U$107</definedName>
    <definedName name="_xlnm.Print_Area" localSheetId="90">'UEP-15'!$A$1:$U$107</definedName>
    <definedName name="_xlnm.Print_Area" localSheetId="91">'UEP-16'!$A$1:$U$107</definedName>
    <definedName name="_xlnm.Print_Area" localSheetId="77">'UEP-2'!$A$1:$Y$107</definedName>
    <definedName name="_xlnm.Print_Area" localSheetId="78">'UEP-3'!$A$1:$Y$107</definedName>
    <definedName name="_xlnm.Print_Area" localSheetId="79">'UEP-4'!$A$1:$Y$107</definedName>
    <definedName name="_xlnm.Print_Area" localSheetId="80">'UEP-5'!$A$1:$U$107</definedName>
    <definedName name="_xlnm.Print_Area" localSheetId="81">'UEP-6'!$A$1:$U$107</definedName>
    <definedName name="_xlnm.Print_Area" localSheetId="82">'UEP-7'!$A$1:$U$107</definedName>
    <definedName name="_xlnm.Print_Area" localSheetId="83">'UEP-8'!$A$1:$U$107</definedName>
    <definedName name="_xlnm.Print_Area" localSheetId="84">'UEP-9'!$A$1:$U$107</definedName>
    <definedName name="_xlnm.Print_Titles" localSheetId="66">'84ABC-SPP'!$8:$11</definedName>
    <definedName name="_xlnm.Print_Titles" localSheetId="67">'84ABC-SPP PIHAK KE-3'!$8:$11</definedName>
    <definedName name="_xlnm.Print_Titles" localSheetId="68">'84ABC-SPP+UEP'!$8:$11</definedName>
    <definedName name="_xlnm.Print_Titles" localSheetId="65">'84ABC-UEP'!$8:$11</definedName>
    <definedName name="_xlnm.Print_Titles" localSheetId="14">'Kas OP-UPK'!$8:$12</definedName>
    <definedName name="_xlnm.Print_Titles" localSheetId="16">'Kas SPP'!$9:$13</definedName>
    <definedName name="Z_12DC5EBF_2078_4720_A25B_EB434B28FA8F_.wvu.PrintArea" localSheetId="66" hidden="1">'84ABC-SPP'!$A$1:$AR$28</definedName>
    <definedName name="Z_12DC5EBF_2078_4720_A25B_EB434B28FA8F_.wvu.PrintArea" localSheetId="67" hidden="1">'84ABC-SPP PIHAK KE-3'!$A$1:$AR$28</definedName>
    <definedName name="Z_12DC5EBF_2078_4720_A25B_EB434B28FA8F_.wvu.PrintArea" localSheetId="65" hidden="1">'84ABC-UEP'!$A$1:$AR$28</definedName>
    <definedName name="Z_12DC5EBF_2078_4720_A25B_EB434B28FA8F_.wvu.PrintArea" localSheetId="62" hidden="1">'KOLEKTIBILITAS-SPP'!$A$1:$H$42</definedName>
    <definedName name="Z_12DC5EBF_2078_4720_A25B_EB434B28FA8F_.wvu.PrintArea" localSheetId="63" hidden="1">'KOLEKTIBILITAS-SPP PIHAK KE-3'!$A$1:$H$42</definedName>
    <definedName name="Z_12DC5EBF_2078_4720_A25B_EB434B28FA8F_.wvu.PrintArea" localSheetId="64" hidden="1">'KOLEKTIBILITAS-SPP(BLM+PHK KE3)'!$A$1:$H$40</definedName>
    <definedName name="Z_12DC5EBF_2078_4720_A25B_EB434B28FA8F_.wvu.PrintArea" localSheetId="61" hidden="1">'KOLEKTIBILITAS-UEP'!$A$1:$H$42</definedName>
    <definedName name="Z_12DC5EBF_2078_4720_A25B_EB434B28FA8F_.wvu.PrintArea" localSheetId="58" hidden="1">'LPP-SPP'!$A$1:$W$120</definedName>
    <definedName name="Z_12DC5EBF_2078_4720_A25B_EB434B28FA8F_.wvu.PrintArea" localSheetId="60" hidden="1">'LPP-SPP (BLM+PIHAK KE3)'!#REF!</definedName>
    <definedName name="Z_12DC5EBF_2078_4720_A25B_EB434B28FA8F_.wvu.PrintArea" localSheetId="59" hidden="1">'LPP-SPP PIHAK KE-3'!$A$1:$W$120</definedName>
    <definedName name="Z_12DC5EBF_2078_4720_A25B_EB434B28FA8F_.wvu.PrintArea" localSheetId="57" hidden="1">'LPP-UEP'!$A$1:$W$120</definedName>
    <definedName name="Z_12DC5EBF_2078_4720_A25B_EB434B28FA8F_.wvu.PrintArea" localSheetId="108" hidden="1">'SPP K3-1'!$A$1:$AA$107</definedName>
    <definedName name="Z_12DC5EBF_2078_4720_A25B_EB434B28FA8F_.wvu.PrintArea" localSheetId="117" hidden="1">'SPP K3-10'!$A$1:$U$107</definedName>
    <definedName name="Z_12DC5EBF_2078_4720_A25B_EB434B28FA8F_.wvu.PrintArea" localSheetId="118" hidden="1">'SPP K3-11'!$A$1:$U$107</definedName>
    <definedName name="Z_12DC5EBF_2078_4720_A25B_EB434B28FA8F_.wvu.PrintArea" localSheetId="119" hidden="1">'SPP K3-12'!$A$1:$U$107</definedName>
    <definedName name="Z_12DC5EBF_2078_4720_A25B_EB434B28FA8F_.wvu.PrintArea" localSheetId="120" hidden="1">'SPP K3-13'!$A$1:$U$107</definedName>
    <definedName name="Z_12DC5EBF_2078_4720_A25B_EB434B28FA8F_.wvu.PrintArea" localSheetId="121" hidden="1">'SPP K3-14'!$A$1:$U$107</definedName>
    <definedName name="Z_12DC5EBF_2078_4720_A25B_EB434B28FA8F_.wvu.PrintArea" localSheetId="122" hidden="1">'SPP K3-15'!$A$1:$U$107</definedName>
    <definedName name="Z_12DC5EBF_2078_4720_A25B_EB434B28FA8F_.wvu.PrintArea" localSheetId="123" hidden="1">'SPP K3-16'!$A$1:$U$107</definedName>
    <definedName name="Z_12DC5EBF_2078_4720_A25B_EB434B28FA8F_.wvu.PrintArea" localSheetId="109" hidden="1">'SPP K3-2'!$A$1:$Y$107</definedName>
    <definedName name="Z_12DC5EBF_2078_4720_A25B_EB434B28FA8F_.wvu.PrintArea" localSheetId="110" hidden="1">'SPP K3-3'!$A$1:$Y$107</definedName>
    <definedName name="Z_12DC5EBF_2078_4720_A25B_EB434B28FA8F_.wvu.PrintArea" localSheetId="111" hidden="1">'SPP K3-4'!$A$1:$Y$107</definedName>
    <definedName name="Z_12DC5EBF_2078_4720_A25B_EB434B28FA8F_.wvu.PrintArea" localSheetId="112" hidden="1">'SPP K3-5'!$A$1:$U$107</definedName>
    <definedName name="Z_12DC5EBF_2078_4720_A25B_EB434B28FA8F_.wvu.PrintArea" localSheetId="113" hidden="1">'SPP K3-6'!$A$1:$U$107</definedName>
    <definedName name="Z_12DC5EBF_2078_4720_A25B_EB434B28FA8F_.wvu.PrintArea" localSheetId="114" hidden="1">'SPP K3-7'!$A$1:$U$107</definedName>
    <definedName name="Z_12DC5EBF_2078_4720_A25B_EB434B28FA8F_.wvu.PrintArea" localSheetId="115" hidden="1">'SPP K3-8'!$A$1:$U$107</definedName>
    <definedName name="Z_12DC5EBF_2078_4720_A25B_EB434B28FA8F_.wvu.PrintArea" localSheetId="116" hidden="1">'SPP K3-9'!$A$1:$U$107</definedName>
    <definedName name="Z_12DC5EBF_2078_4720_A25B_EB434B28FA8F_.wvu.PrintArea" localSheetId="92" hidden="1">'SPP-1'!$A$1:$AA$241</definedName>
    <definedName name="Z_12DC5EBF_2078_4720_A25B_EB434B28FA8F_.wvu.PrintArea" localSheetId="101" hidden="1">'SPP-10'!$A$1:$U$197</definedName>
    <definedName name="Z_12DC5EBF_2078_4720_A25B_EB434B28FA8F_.wvu.PrintArea" localSheetId="102" hidden="1">'SPP-11'!$A$1:$U$107</definedName>
    <definedName name="Z_12DC5EBF_2078_4720_A25B_EB434B28FA8F_.wvu.PrintArea" localSheetId="103" hidden="1">'SPP-12'!$A$1:$U$107</definedName>
    <definedName name="Z_12DC5EBF_2078_4720_A25B_EB434B28FA8F_.wvu.PrintArea" localSheetId="104" hidden="1">'SPP-13'!$A$1:$U$107</definedName>
    <definedName name="Z_12DC5EBF_2078_4720_A25B_EB434B28FA8F_.wvu.PrintArea" localSheetId="105" hidden="1">'SPP-14'!$A$1:$U$107</definedName>
    <definedName name="Z_12DC5EBF_2078_4720_A25B_EB434B28FA8F_.wvu.PrintArea" localSheetId="106" hidden="1">'SPP-15'!$A$1:$U$107</definedName>
    <definedName name="Z_12DC5EBF_2078_4720_A25B_EB434B28FA8F_.wvu.PrintArea" localSheetId="107" hidden="1">'SPP-16'!$A$1:$U$107</definedName>
    <definedName name="Z_12DC5EBF_2078_4720_A25B_EB434B28FA8F_.wvu.PrintArea" localSheetId="93" hidden="1">'SPP-2'!$A$1:$Y$327</definedName>
    <definedName name="Z_12DC5EBF_2078_4720_A25B_EB434B28FA8F_.wvu.PrintArea" localSheetId="94" hidden="1">'SPP-3'!$A$1:$Y$220</definedName>
    <definedName name="Z_12DC5EBF_2078_4720_A25B_EB434B28FA8F_.wvu.PrintArea" localSheetId="95" hidden="1">'SPP-4'!$A$1:$Y$162</definedName>
    <definedName name="Z_12DC5EBF_2078_4720_A25B_EB434B28FA8F_.wvu.PrintArea" localSheetId="96" hidden="1">'SPP-5'!$A$1:$U$186</definedName>
    <definedName name="Z_12DC5EBF_2078_4720_A25B_EB434B28FA8F_.wvu.PrintArea" localSheetId="97" hidden="1">'SPP-6'!$A$1:$U$225</definedName>
    <definedName name="Z_12DC5EBF_2078_4720_A25B_EB434B28FA8F_.wvu.PrintArea" localSheetId="98" hidden="1">'SPP-7'!$A$1:$U$166</definedName>
    <definedName name="Z_12DC5EBF_2078_4720_A25B_EB434B28FA8F_.wvu.PrintArea" localSheetId="99" hidden="1">'SPP-8'!$A$1:$U$172</definedName>
    <definedName name="Z_12DC5EBF_2078_4720_A25B_EB434B28FA8F_.wvu.PrintArea" localSheetId="100" hidden="1">'SPP-9'!$A$1:$U$258</definedName>
    <definedName name="Z_12DC5EBF_2078_4720_A25B_EB434B28FA8F_.wvu.PrintArea" localSheetId="76" hidden="1">'UEP-1'!$A$1:$AA$107</definedName>
    <definedName name="Z_12DC5EBF_2078_4720_A25B_EB434B28FA8F_.wvu.PrintArea" localSheetId="85" hidden="1">'UEP-10'!$A$1:$U$107</definedName>
    <definedName name="Z_12DC5EBF_2078_4720_A25B_EB434B28FA8F_.wvu.PrintArea" localSheetId="86" hidden="1">'UEP-11'!$A$1:$U$107</definedName>
    <definedName name="Z_12DC5EBF_2078_4720_A25B_EB434B28FA8F_.wvu.PrintArea" localSheetId="87" hidden="1">'UEP-12'!$A$1:$U$107</definedName>
    <definedName name="Z_12DC5EBF_2078_4720_A25B_EB434B28FA8F_.wvu.PrintArea" localSheetId="88" hidden="1">'UEP-13'!$A$1:$U$107</definedName>
    <definedName name="Z_12DC5EBF_2078_4720_A25B_EB434B28FA8F_.wvu.PrintArea" localSheetId="89" hidden="1">'UEP-14'!$A$1:$U$107</definedName>
    <definedName name="Z_12DC5EBF_2078_4720_A25B_EB434B28FA8F_.wvu.PrintArea" localSheetId="90" hidden="1">'UEP-15'!$A$1:$U$107</definedName>
    <definedName name="Z_12DC5EBF_2078_4720_A25B_EB434B28FA8F_.wvu.PrintArea" localSheetId="91" hidden="1">'UEP-16'!$A$1:$U$107</definedName>
    <definedName name="Z_12DC5EBF_2078_4720_A25B_EB434B28FA8F_.wvu.PrintArea" localSheetId="77" hidden="1">'UEP-2'!$A$1:$Y$107</definedName>
    <definedName name="Z_12DC5EBF_2078_4720_A25B_EB434B28FA8F_.wvu.PrintArea" localSheetId="78" hidden="1">'UEP-3'!$A$1:$Y$107</definedName>
    <definedName name="Z_12DC5EBF_2078_4720_A25B_EB434B28FA8F_.wvu.PrintArea" localSheetId="79" hidden="1">'UEP-4'!$A$1:$Y$107</definedName>
    <definedName name="Z_12DC5EBF_2078_4720_A25B_EB434B28FA8F_.wvu.PrintArea" localSheetId="80" hidden="1">'UEP-5'!$A$1:$U$107</definedName>
    <definedName name="Z_12DC5EBF_2078_4720_A25B_EB434B28FA8F_.wvu.PrintArea" localSheetId="81" hidden="1">'UEP-6'!$A$1:$U$107</definedName>
    <definedName name="Z_12DC5EBF_2078_4720_A25B_EB434B28FA8F_.wvu.PrintArea" localSheetId="82" hidden="1">'UEP-7'!$A$1:$U$107</definedName>
    <definedName name="Z_12DC5EBF_2078_4720_A25B_EB434B28FA8F_.wvu.PrintArea" localSheetId="83" hidden="1">'UEP-8'!$A$1:$U$107</definedName>
    <definedName name="Z_12DC5EBF_2078_4720_A25B_EB434B28FA8F_.wvu.PrintArea" localSheetId="84" hidden="1">'UEP-9'!$A$1:$U$107</definedName>
    <definedName name="Z_12DC5EBF_2078_4720_A25B_EB434B28FA8F_.wvu.PrintTitles" localSheetId="66" hidden="1">'84ABC-SPP'!$8:$11</definedName>
    <definedName name="Z_12DC5EBF_2078_4720_A25B_EB434B28FA8F_.wvu.PrintTitles" localSheetId="67" hidden="1">'84ABC-SPP PIHAK KE-3'!$8:$11</definedName>
    <definedName name="Z_12DC5EBF_2078_4720_A25B_EB434B28FA8F_.wvu.PrintTitles" localSheetId="68" hidden="1">'84ABC-SPP+UEP'!$8:$11</definedName>
    <definedName name="Z_12DC5EBF_2078_4720_A25B_EB434B28FA8F_.wvu.PrintTitles" localSheetId="65" hidden="1">'84ABC-UEP'!$8:$11</definedName>
    <definedName name="Z_4567A2CF_35AA_4E08_B7D1_F029A2641346_.wvu.PrintArea" localSheetId="43" hidden="1">'Aktiva Tetap &amp; Aktv Lain2'!$B$1:$H$40</definedName>
    <definedName name="Z_4567A2CF_35AA_4E08_B7D1_F029A2641346_.wvu.PrintArea" localSheetId="44" hidden="1">BDD!$B$1:$O$38</definedName>
    <definedName name="Z_4567A2CF_35AA_4E08_B7D1_F029A2641346_.wvu.PrintArea" localSheetId="2" hidden="1">DT!$A$1:$D$52</definedName>
    <definedName name="Z_4567A2CF_35AA_4E08_B7D1_F029A2641346_.wvu.PrintArea" localSheetId="45" hidden="1">Inventaris!$B$1:$U$60</definedName>
    <definedName name="Z_4567A2CF_35AA_4E08_B7D1_F029A2641346_.wvu.PrintArea" localSheetId="52" hidden="1">'Neraca Micro'!$B$2:$H$48</definedName>
    <definedName name="Z_4567A2CF_35AA_4E08_B7D1_F029A2641346_.wvu.PrintArea" localSheetId="46" hidden="1">'Penyaluran dana'!$A$1:$U$36</definedName>
  </definedNames>
  <calcPr calcId="144525"/>
  <customWorkbookViews>
    <customWorkbookView name="System - Personal View" guid="{4567A2CF-35AA-4E08-B7D1-F029A2641346}" mergeInterval="0" personalView="1" maximized="1" xWindow="1" yWindow="1" windowWidth="1024" windowHeight="547" tabRatio="957" activeSheetId="1" showComments="commIndAndComment"/>
  </customWorkbookViews>
</workbook>
</file>

<file path=xl/calcChain.xml><?xml version="1.0" encoding="utf-8"?>
<calcChain xmlns="http://schemas.openxmlformats.org/spreadsheetml/2006/main">
  <c r="F45" i="57" l="1"/>
  <c r="R203" i="121"/>
  <c r="K175" i="120"/>
  <c r="L175" i="120"/>
  <c r="K174" i="120"/>
  <c r="L174" i="120"/>
  <c r="K173" i="120"/>
  <c r="L173" i="120"/>
  <c r="L187" i="125"/>
  <c r="F313" i="117"/>
  <c r="N220" i="124"/>
  <c r="R220" i="124"/>
  <c r="R229" i="124"/>
  <c r="M75" i="3"/>
  <c r="AC30" i="3"/>
  <c r="AC31" i="3" s="1"/>
  <c r="AC32" i="3" s="1"/>
  <c r="AC33" i="3" s="1"/>
  <c r="AC34" i="3" s="1"/>
  <c r="AC35" i="3" s="1"/>
  <c r="N164" i="125" l="1"/>
  <c r="N138" i="123"/>
  <c r="N137" i="123"/>
  <c r="F158" i="123"/>
  <c r="F159" i="123"/>
  <c r="F160" i="123"/>
  <c r="F161" i="123"/>
  <c r="F162" i="123"/>
  <c r="F163" i="123"/>
  <c r="F164" i="123"/>
  <c r="N142" i="122"/>
  <c r="N157" i="120" l="1"/>
  <c r="U313" i="117"/>
  <c r="V313" i="117"/>
  <c r="W313" i="117"/>
  <c r="X313" i="117"/>
  <c r="AC313" i="117"/>
  <c r="AD313" i="117"/>
  <c r="AE313" i="117"/>
  <c r="AF313" i="117"/>
  <c r="U314" i="117"/>
  <c r="V314" i="117"/>
  <c r="W314" i="117"/>
  <c r="X314" i="117"/>
  <c r="Y314" i="117"/>
  <c r="Z314" i="117"/>
  <c r="AA314" i="117"/>
  <c r="AC314" i="117"/>
  <c r="AD314" i="117"/>
  <c r="AE314" i="117"/>
  <c r="AF314" i="117"/>
  <c r="U315" i="117"/>
  <c r="V315" i="117"/>
  <c r="W315" i="117"/>
  <c r="X315" i="117"/>
  <c r="Y315" i="117"/>
  <c r="Z315" i="117"/>
  <c r="AA315" i="117"/>
  <c r="AC315" i="117"/>
  <c r="AD315" i="117"/>
  <c r="AE315" i="117"/>
  <c r="AF315" i="117"/>
  <c r="U316" i="117"/>
  <c r="V316" i="117"/>
  <c r="W316" i="117"/>
  <c r="X316" i="117"/>
  <c r="Y316" i="117"/>
  <c r="Z316" i="117"/>
  <c r="AA316" i="117"/>
  <c r="AC316" i="117"/>
  <c r="AD316" i="117"/>
  <c r="AE316" i="117"/>
  <c r="AF316" i="117"/>
  <c r="U317" i="117"/>
  <c r="V317" i="117"/>
  <c r="W317" i="117"/>
  <c r="X317" i="117"/>
  <c r="Y317" i="117"/>
  <c r="Z317" i="117"/>
  <c r="AA317" i="117"/>
  <c r="AC317" i="117"/>
  <c r="AD317" i="117"/>
  <c r="AE317" i="117"/>
  <c r="AF317" i="117"/>
  <c r="U318" i="117"/>
  <c r="V318" i="117"/>
  <c r="W318" i="117"/>
  <c r="X318" i="117"/>
  <c r="Y318" i="117"/>
  <c r="Z318" i="117"/>
  <c r="AA318" i="117"/>
  <c r="AC318" i="117"/>
  <c r="AD318" i="117"/>
  <c r="AE318" i="117"/>
  <c r="AF318" i="117"/>
  <c r="U319" i="117"/>
  <c r="V319" i="117"/>
  <c r="W319" i="117"/>
  <c r="X319" i="117"/>
  <c r="Y319" i="117"/>
  <c r="Z319" i="117"/>
  <c r="AA319" i="117"/>
  <c r="AC319" i="117"/>
  <c r="AD319" i="117"/>
  <c r="AE319" i="117"/>
  <c r="AF319" i="117"/>
  <c r="K313" i="117"/>
  <c r="L313" i="117"/>
  <c r="M313" i="117"/>
  <c r="Z313" i="117" s="1"/>
  <c r="N313" i="117"/>
  <c r="AA313" i="117" s="1"/>
  <c r="K314" i="117"/>
  <c r="L314" i="117"/>
  <c r="M314" i="117"/>
  <c r="N314" i="117"/>
  <c r="K315" i="117"/>
  <c r="L315" i="117"/>
  <c r="M315" i="117"/>
  <c r="N315" i="117"/>
  <c r="K316" i="117"/>
  <c r="L316" i="117"/>
  <c r="M316" i="117"/>
  <c r="N316" i="117"/>
  <c r="K317" i="117"/>
  <c r="L317" i="117"/>
  <c r="M317" i="117"/>
  <c r="N317" i="117"/>
  <c r="K318" i="117"/>
  <c r="L318" i="117"/>
  <c r="M318" i="117"/>
  <c r="N318" i="117"/>
  <c r="N196" i="116"/>
  <c r="N195" i="116"/>
  <c r="N194" i="116"/>
  <c r="V157" i="116"/>
  <c r="U157" i="116"/>
  <c r="Z157" i="116"/>
  <c r="Z186" i="116"/>
  <c r="X186" i="116"/>
  <c r="Y313" i="117" l="1"/>
  <c r="D253" i="124"/>
  <c r="D254" i="124"/>
  <c r="K172" i="120" l="1"/>
  <c r="S192" i="125" l="1"/>
  <c r="R192" i="125"/>
  <c r="K177" i="125"/>
  <c r="K178" i="125"/>
  <c r="K179" i="125"/>
  <c r="K180" i="125"/>
  <c r="K181" i="125"/>
  <c r="K182" i="125"/>
  <c r="K183" i="125"/>
  <c r="K184" i="125"/>
  <c r="K185" i="125"/>
  <c r="K186" i="125"/>
  <c r="M179" i="125"/>
  <c r="K247" i="124"/>
  <c r="K246" i="124"/>
  <c r="K245" i="124"/>
  <c r="K155" i="122"/>
  <c r="K154" i="122"/>
  <c r="K171" i="120" l="1"/>
  <c r="K170" i="120"/>
  <c r="U171" i="120"/>
  <c r="X171" i="120" s="1"/>
  <c r="V171" i="120"/>
  <c r="W171" i="120"/>
  <c r="U172" i="120"/>
  <c r="X172" i="120" s="1"/>
  <c r="V172" i="120"/>
  <c r="W172" i="120"/>
  <c r="U173" i="120"/>
  <c r="X173" i="120" s="1"/>
  <c r="V173" i="120"/>
  <c r="W173" i="120"/>
  <c r="U174" i="120"/>
  <c r="X174" i="120" s="1"/>
  <c r="V174" i="120"/>
  <c r="W174" i="120"/>
  <c r="U175" i="120"/>
  <c r="X175" i="120" s="1"/>
  <c r="V175" i="120"/>
  <c r="W175" i="120"/>
  <c r="U176" i="120"/>
  <c r="X176" i="120" s="1"/>
  <c r="V176" i="120"/>
  <c r="W176" i="120"/>
  <c r="U177" i="120"/>
  <c r="X177" i="120" s="1"/>
  <c r="V177" i="120"/>
  <c r="W177" i="120"/>
  <c r="M171" i="120"/>
  <c r="M172" i="120"/>
  <c r="M173" i="120"/>
  <c r="M174" i="120"/>
  <c r="Y174" i="120" s="1"/>
  <c r="M175" i="120"/>
  <c r="Y175" i="120" s="1"/>
  <c r="M176" i="120"/>
  <c r="Z176" i="120" s="1"/>
  <c r="M177" i="120"/>
  <c r="F171" i="120"/>
  <c r="L171" i="120" s="1"/>
  <c r="F172" i="120"/>
  <c r="F173" i="120"/>
  <c r="N173" i="120" s="1"/>
  <c r="AA173" i="120" s="1"/>
  <c r="F174" i="120"/>
  <c r="N174" i="120" s="1"/>
  <c r="F175" i="120"/>
  <c r="N175" i="120" s="1"/>
  <c r="AA175" i="120" s="1"/>
  <c r="F176" i="120"/>
  <c r="N176" i="120" s="1"/>
  <c r="F177" i="120"/>
  <c r="N177" i="120" s="1"/>
  <c r="AA177" i="120" s="1"/>
  <c r="F178" i="120"/>
  <c r="F223" i="116"/>
  <c r="F224" i="116"/>
  <c r="Y172" i="120" l="1"/>
  <c r="Y171" i="120"/>
  <c r="Y176" i="120"/>
  <c r="Z174" i="120"/>
  <c r="Y177" i="120"/>
  <c r="Y173" i="120"/>
  <c r="L172" i="120"/>
  <c r="N172" i="120" s="1"/>
  <c r="AA172" i="120" s="1"/>
  <c r="AA174" i="120"/>
  <c r="AA176" i="120"/>
  <c r="Z172" i="120"/>
  <c r="N171" i="120"/>
  <c r="AA171" i="120" s="1"/>
  <c r="Z171" i="120"/>
  <c r="Z177" i="120"/>
  <c r="Z175" i="120"/>
  <c r="Z173" i="120"/>
  <c r="K152" i="122" l="1"/>
  <c r="K153" i="122"/>
  <c r="K238" i="124"/>
  <c r="K239" i="124"/>
  <c r="K240" i="124"/>
  <c r="K241" i="124"/>
  <c r="K242" i="124"/>
  <c r="K243" i="124"/>
  <c r="K244" i="124"/>
  <c r="F147" i="123" l="1"/>
  <c r="F148" i="123"/>
  <c r="F149" i="123"/>
  <c r="F150" i="123"/>
  <c r="F151" i="123"/>
  <c r="F152" i="123"/>
  <c r="F153" i="123"/>
  <c r="F154" i="123"/>
  <c r="F155" i="123"/>
  <c r="F156" i="123"/>
  <c r="F157" i="123"/>
  <c r="AC148" i="119"/>
  <c r="AD148" i="119"/>
  <c r="AE148" i="119"/>
  <c r="AF148" i="119"/>
  <c r="AC149" i="119"/>
  <c r="AD149" i="119"/>
  <c r="AE149" i="119"/>
  <c r="AF149" i="119"/>
  <c r="AC150" i="119"/>
  <c r="AD150" i="119"/>
  <c r="AE150" i="119"/>
  <c r="AF150" i="119"/>
  <c r="AC151" i="119"/>
  <c r="AD151" i="119"/>
  <c r="AE151" i="119"/>
  <c r="AF151" i="119"/>
  <c r="AC152" i="119"/>
  <c r="AD152" i="119"/>
  <c r="AE152" i="119"/>
  <c r="AF152" i="119"/>
  <c r="AC153" i="119"/>
  <c r="AD153" i="119"/>
  <c r="AE153" i="119"/>
  <c r="AF153" i="119"/>
  <c r="U148" i="119"/>
  <c r="X148" i="119" s="1"/>
  <c r="V148" i="119"/>
  <c r="U149" i="119"/>
  <c r="X149" i="119" s="1"/>
  <c r="V149" i="119"/>
  <c r="U150" i="119"/>
  <c r="X150" i="119" s="1"/>
  <c r="V150" i="119"/>
  <c r="U151" i="119"/>
  <c r="V151" i="119"/>
  <c r="U152" i="119"/>
  <c r="X152" i="119" s="1"/>
  <c r="V152" i="119"/>
  <c r="F148" i="119"/>
  <c r="L148" i="119" s="1"/>
  <c r="N148" i="119" s="1"/>
  <c r="F149" i="119"/>
  <c r="L149" i="119" s="1"/>
  <c r="N149" i="119" s="1"/>
  <c r="AA149" i="119" s="1"/>
  <c r="F150" i="119"/>
  <c r="L150" i="119" s="1"/>
  <c r="N150" i="119" s="1"/>
  <c r="F151" i="119"/>
  <c r="L151" i="119" s="1"/>
  <c r="F152" i="119"/>
  <c r="L152" i="119" s="1"/>
  <c r="K155" i="119"/>
  <c r="K146" i="119"/>
  <c r="K147" i="119"/>
  <c r="K148" i="119"/>
  <c r="M148" i="119" s="1"/>
  <c r="K149" i="119"/>
  <c r="M149" i="119" s="1"/>
  <c r="K150" i="119"/>
  <c r="M150" i="119" s="1"/>
  <c r="Z150" i="119" s="1"/>
  <c r="K151" i="119"/>
  <c r="K152" i="119"/>
  <c r="K153" i="119"/>
  <c r="K154" i="119"/>
  <c r="M151" i="119"/>
  <c r="N151" i="119"/>
  <c r="M152" i="119"/>
  <c r="AC206" i="118"/>
  <c r="AD206" i="118"/>
  <c r="AE206" i="118"/>
  <c r="AF206" i="118"/>
  <c r="AC207" i="118"/>
  <c r="AD207" i="118"/>
  <c r="AE207" i="118"/>
  <c r="AF207" i="118"/>
  <c r="AC208" i="118"/>
  <c r="AD208" i="118"/>
  <c r="AE208" i="118"/>
  <c r="AF208" i="118"/>
  <c r="AC209" i="118"/>
  <c r="AD209" i="118"/>
  <c r="AE209" i="118"/>
  <c r="AF209" i="118"/>
  <c r="AC210" i="118"/>
  <c r="AD210" i="118"/>
  <c r="AE210" i="118"/>
  <c r="AF210" i="118"/>
  <c r="AC211" i="118"/>
  <c r="AD211" i="118"/>
  <c r="AE211" i="118"/>
  <c r="AF211" i="118"/>
  <c r="U206" i="118"/>
  <c r="X206" i="118" s="1"/>
  <c r="V206" i="118"/>
  <c r="U207" i="118"/>
  <c r="V207" i="118"/>
  <c r="U208" i="118"/>
  <c r="X208" i="118" s="1"/>
  <c r="V208" i="118"/>
  <c r="U209" i="118"/>
  <c r="X209" i="118" s="1"/>
  <c r="V209" i="118"/>
  <c r="U210" i="118"/>
  <c r="X210" i="118" s="1"/>
  <c r="V210" i="118"/>
  <c r="U211" i="118"/>
  <c r="V211" i="118"/>
  <c r="K202" i="118"/>
  <c r="K203" i="118"/>
  <c r="K204" i="118"/>
  <c r="K205" i="118"/>
  <c r="K206" i="118"/>
  <c r="K207" i="118"/>
  <c r="K208" i="118"/>
  <c r="K209" i="118"/>
  <c r="K210" i="118"/>
  <c r="K211" i="118"/>
  <c r="K212" i="118"/>
  <c r="M206" i="118"/>
  <c r="M207" i="118"/>
  <c r="M208" i="118"/>
  <c r="M209" i="118"/>
  <c r="M210" i="118"/>
  <c r="M211" i="118"/>
  <c r="F206" i="118"/>
  <c r="L206" i="118" s="1"/>
  <c r="F207" i="118"/>
  <c r="L207" i="118" s="1"/>
  <c r="F208" i="118"/>
  <c r="L208" i="118" s="1"/>
  <c r="F209" i="118"/>
  <c r="N209" i="118" s="1"/>
  <c r="AA209" i="118" s="1"/>
  <c r="F210" i="118"/>
  <c r="L210" i="118" s="1"/>
  <c r="F211" i="118"/>
  <c r="N211" i="118" s="1"/>
  <c r="AC306" i="117"/>
  <c r="AD306" i="117"/>
  <c r="AE306" i="117"/>
  <c r="AF306" i="117"/>
  <c r="AC307" i="117"/>
  <c r="AD307" i="117"/>
  <c r="AE307" i="117"/>
  <c r="AF307" i="117"/>
  <c r="AC308" i="117"/>
  <c r="AD308" i="117"/>
  <c r="AE308" i="117"/>
  <c r="AF308" i="117"/>
  <c r="AC309" i="117"/>
  <c r="AD309" i="117"/>
  <c r="AE309" i="117"/>
  <c r="AF309" i="117"/>
  <c r="AC310" i="117"/>
  <c r="AD310" i="117"/>
  <c r="AE310" i="117"/>
  <c r="AF310" i="117"/>
  <c r="AC311" i="117"/>
  <c r="AD311" i="117"/>
  <c r="AE311" i="117"/>
  <c r="AF311" i="117"/>
  <c r="AC312" i="117"/>
  <c r="AD312" i="117"/>
  <c r="AE312" i="117"/>
  <c r="AF312" i="117"/>
  <c r="U306" i="117"/>
  <c r="X306" i="117" s="1"/>
  <c r="V306" i="117"/>
  <c r="W306" i="117"/>
  <c r="U307" i="117"/>
  <c r="X307" i="117" s="1"/>
  <c r="V307" i="117"/>
  <c r="W307" i="117"/>
  <c r="U308" i="117"/>
  <c r="X308" i="117" s="1"/>
  <c r="V308" i="117"/>
  <c r="W308" i="117"/>
  <c r="U309" i="117"/>
  <c r="X309" i="117" s="1"/>
  <c r="V309" i="117"/>
  <c r="W309" i="117"/>
  <c r="U310" i="117"/>
  <c r="X310" i="117" s="1"/>
  <c r="V310" i="117"/>
  <c r="W310" i="117"/>
  <c r="U311" i="117"/>
  <c r="X311" i="117" s="1"/>
  <c r="V311" i="117"/>
  <c r="W311" i="117"/>
  <c r="U312" i="117"/>
  <c r="X312" i="117" s="1"/>
  <c r="V312" i="117"/>
  <c r="W312" i="117"/>
  <c r="K306" i="117"/>
  <c r="M306" i="117" s="1"/>
  <c r="K307" i="117"/>
  <c r="M307" i="117" s="1"/>
  <c r="K308" i="117"/>
  <c r="M308" i="117" s="1"/>
  <c r="Y308" i="117" s="1"/>
  <c r="K309" i="117"/>
  <c r="M309" i="117" s="1"/>
  <c r="K310" i="117"/>
  <c r="M310" i="117" s="1"/>
  <c r="K311" i="117"/>
  <c r="M311" i="117" s="1"/>
  <c r="K312" i="117"/>
  <c r="M312" i="117" s="1"/>
  <c r="F306" i="117"/>
  <c r="L306" i="117" s="1"/>
  <c r="F307" i="117"/>
  <c r="L307" i="117" s="1"/>
  <c r="F308" i="117"/>
  <c r="L308" i="117" s="1"/>
  <c r="F309" i="117"/>
  <c r="F310" i="117"/>
  <c r="L310" i="117" s="1"/>
  <c r="F311" i="117"/>
  <c r="F312" i="117"/>
  <c r="L312" i="117" s="1"/>
  <c r="AC218" i="116"/>
  <c r="AD218" i="116"/>
  <c r="AE218" i="116"/>
  <c r="AF218" i="116"/>
  <c r="AC219" i="116"/>
  <c r="AD219" i="116"/>
  <c r="AE219" i="116"/>
  <c r="AF219" i="116"/>
  <c r="AC220" i="116"/>
  <c r="AD220" i="116"/>
  <c r="AE220" i="116"/>
  <c r="AF220" i="116"/>
  <c r="AC221" i="116"/>
  <c r="AD221" i="116"/>
  <c r="AE221" i="116"/>
  <c r="AF221" i="116"/>
  <c r="AC222" i="116"/>
  <c r="AD222" i="116"/>
  <c r="AE222" i="116"/>
  <c r="AF222" i="116"/>
  <c r="AC223" i="116"/>
  <c r="AD223" i="116"/>
  <c r="AE223" i="116"/>
  <c r="AF223" i="116"/>
  <c r="AC224" i="116"/>
  <c r="AD224" i="116"/>
  <c r="AE224" i="116"/>
  <c r="AF224" i="116"/>
  <c r="AC225" i="116"/>
  <c r="AD225" i="116"/>
  <c r="AE225" i="116"/>
  <c r="AF225" i="116"/>
  <c r="AC226" i="116"/>
  <c r="AD226" i="116"/>
  <c r="AE226" i="116"/>
  <c r="AF226" i="116"/>
  <c r="AC227" i="116"/>
  <c r="AD227" i="116"/>
  <c r="AE227" i="116"/>
  <c r="AF227" i="116"/>
  <c r="AC228" i="116"/>
  <c r="AD228" i="116"/>
  <c r="AE228" i="116"/>
  <c r="AF228" i="116"/>
  <c r="AC229" i="116"/>
  <c r="AD229" i="116"/>
  <c r="AE229" i="116"/>
  <c r="AF229" i="116"/>
  <c r="AC230" i="116"/>
  <c r="AD230" i="116"/>
  <c r="AE230" i="116"/>
  <c r="AF230" i="116"/>
  <c r="AC231" i="116"/>
  <c r="AD231" i="116"/>
  <c r="AE231" i="116"/>
  <c r="AF231" i="116"/>
  <c r="AC232" i="116"/>
  <c r="AD232" i="116"/>
  <c r="AE232" i="116"/>
  <c r="AF232" i="116"/>
  <c r="AC233" i="116"/>
  <c r="AD233" i="116"/>
  <c r="AE233" i="116"/>
  <c r="AF233" i="116"/>
  <c r="U218" i="116"/>
  <c r="X218" i="116" s="1"/>
  <c r="V218" i="116"/>
  <c r="U219" i="116"/>
  <c r="X219" i="116" s="1"/>
  <c r="V219" i="116"/>
  <c r="U220" i="116"/>
  <c r="X220" i="116" s="1"/>
  <c r="V220" i="116"/>
  <c r="U221" i="116"/>
  <c r="X221" i="116" s="1"/>
  <c r="V221" i="116"/>
  <c r="U222" i="116"/>
  <c r="X222" i="116" s="1"/>
  <c r="V222" i="116"/>
  <c r="U223" i="116"/>
  <c r="X223" i="116" s="1"/>
  <c r="V223" i="116"/>
  <c r="U224" i="116"/>
  <c r="V224" i="116"/>
  <c r="U225" i="116"/>
  <c r="V225" i="116"/>
  <c r="U226" i="116"/>
  <c r="V226" i="116"/>
  <c r="U227" i="116"/>
  <c r="V227" i="116"/>
  <c r="U228" i="116"/>
  <c r="V228" i="116"/>
  <c r="U229" i="116"/>
  <c r="X229" i="116" s="1"/>
  <c r="V229" i="116"/>
  <c r="U230" i="116"/>
  <c r="V230" i="116"/>
  <c r="U231" i="116"/>
  <c r="V231" i="116"/>
  <c r="U232" i="116"/>
  <c r="V232" i="116"/>
  <c r="U233" i="116"/>
  <c r="V233" i="116"/>
  <c r="K234" i="116"/>
  <c r="K218" i="116"/>
  <c r="K219" i="116"/>
  <c r="M219" i="116" s="1"/>
  <c r="Y219" i="116" s="1"/>
  <c r="K220" i="116"/>
  <c r="M220" i="116" s="1"/>
  <c r="K221" i="116"/>
  <c r="K222" i="116"/>
  <c r="M222" i="116" s="1"/>
  <c r="K223" i="116"/>
  <c r="M223" i="116" s="1"/>
  <c r="K224" i="116"/>
  <c r="K225" i="116"/>
  <c r="K226" i="116"/>
  <c r="K227" i="116"/>
  <c r="K228" i="116"/>
  <c r="K229" i="116"/>
  <c r="K230" i="116"/>
  <c r="K231" i="116"/>
  <c r="K232" i="116"/>
  <c r="K233" i="116"/>
  <c r="M218" i="116"/>
  <c r="M221" i="116"/>
  <c r="Y221" i="116" s="1"/>
  <c r="M224" i="116"/>
  <c r="M225" i="116"/>
  <c r="M226" i="116"/>
  <c r="M227" i="116"/>
  <c r="M228" i="116"/>
  <c r="M229" i="116"/>
  <c r="M230" i="116"/>
  <c r="M231" i="116"/>
  <c r="M232" i="116"/>
  <c r="M233" i="116"/>
  <c r="F218" i="116"/>
  <c r="L218" i="116" s="1"/>
  <c r="F219" i="116"/>
  <c r="F220" i="116"/>
  <c r="L220" i="116" s="1"/>
  <c r="F221" i="116"/>
  <c r="F222" i="116"/>
  <c r="L222" i="116" s="1"/>
  <c r="L224" i="116"/>
  <c r="F225" i="116"/>
  <c r="F226" i="116"/>
  <c r="L226" i="116" s="1"/>
  <c r="F227" i="116"/>
  <c r="N227" i="116" s="1"/>
  <c r="AA227" i="116" s="1"/>
  <c r="F228" i="116"/>
  <c r="L228" i="116" s="1"/>
  <c r="F229" i="116"/>
  <c r="N229" i="116" s="1"/>
  <c r="AA229" i="116" s="1"/>
  <c r="F230" i="116"/>
  <c r="L230" i="116" s="1"/>
  <c r="F231" i="116"/>
  <c r="N231" i="116" s="1"/>
  <c r="AA231" i="116" s="1"/>
  <c r="F232" i="116"/>
  <c r="L232" i="116" s="1"/>
  <c r="F233" i="116"/>
  <c r="N233" i="116" s="1"/>
  <c r="AA233" i="116" s="1"/>
  <c r="AA150" i="119" l="1"/>
  <c r="AA151" i="119"/>
  <c r="Z210" i="118"/>
  <c r="Z206" i="118"/>
  <c r="Y230" i="116"/>
  <c r="Y226" i="116"/>
  <c r="Y227" i="116"/>
  <c r="L309" i="117"/>
  <c r="N309" i="117" s="1"/>
  <c r="AA309" i="117" s="1"/>
  <c r="Y309" i="117"/>
  <c r="AA211" i="118"/>
  <c r="Z209" i="118"/>
  <c r="Y211" i="118"/>
  <c r="X211" i="118"/>
  <c r="N152" i="119"/>
  <c r="AA152" i="119" s="1"/>
  <c r="Z229" i="116"/>
  <c r="Z208" i="118"/>
  <c r="Y210" i="118"/>
  <c r="Y207" i="118"/>
  <c r="X207" i="118"/>
  <c r="Z148" i="119"/>
  <c r="Y231" i="116"/>
  <c r="Z233" i="116"/>
  <c r="Z225" i="116"/>
  <c r="Z232" i="116"/>
  <c r="Z228" i="116"/>
  <c r="Z224" i="116"/>
  <c r="Y306" i="117"/>
  <c r="AA148" i="119"/>
  <c r="Y149" i="119"/>
  <c r="N306" i="117"/>
  <c r="AA306" i="117" s="1"/>
  <c r="Z222" i="116"/>
  <c r="Z218" i="116"/>
  <c r="X231" i="116"/>
  <c r="Y311" i="117"/>
  <c r="N308" i="117"/>
  <c r="AA308" i="117" s="1"/>
  <c r="Y310" i="117"/>
  <c r="Z309" i="117"/>
  <c r="Z211" i="118"/>
  <c r="N208" i="118"/>
  <c r="AA208" i="118" s="1"/>
  <c r="L209" i="118"/>
  <c r="Y206" i="118"/>
  <c r="Y152" i="119"/>
  <c r="Y225" i="116"/>
  <c r="Z231" i="116"/>
  <c r="Y223" i="116"/>
  <c r="Y232" i="116"/>
  <c r="Y228" i="116"/>
  <c r="Y224" i="116"/>
  <c r="X227" i="116"/>
  <c r="N310" i="117"/>
  <c r="AA310" i="117" s="1"/>
  <c r="N210" i="118"/>
  <c r="AA210" i="118" s="1"/>
  <c r="Y209" i="118"/>
  <c r="Z151" i="119"/>
  <c r="Y233" i="116"/>
  <c r="Y229" i="116"/>
  <c r="N206" i="118"/>
  <c r="AA206" i="118" s="1"/>
  <c r="Z227" i="116"/>
  <c r="Z230" i="116"/>
  <c r="Z226" i="116"/>
  <c r="Z220" i="116"/>
  <c r="X233" i="116"/>
  <c r="X225" i="116"/>
  <c r="N312" i="117"/>
  <c r="AA312" i="117" s="1"/>
  <c r="Z307" i="117"/>
  <c r="Z207" i="118"/>
  <c r="Y208" i="118"/>
  <c r="X232" i="116"/>
  <c r="X230" i="116"/>
  <c r="X228" i="116"/>
  <c r="X226" i="116"/>
  <c r="X224" i="116"/>
  <c r="L311" i="117"/>
  <c r="N311" i="117" s="1"/>
  <c r="AA311" i="117" s="1"/>
  <c r="Y307" i="117"/>
  <c r="N232" i="116"/>
  <c r="AA232" i="116" s="1"/>
  <c r="N230" i="116"/>
  <c r="AA230" i="116" s="1"/>
  <c r="N228" i="116"/>
  <c r="AA228" i="116" s="1"/>
  <c r="N226" i="116"/>
  <c r="AA226" i="116" s="1"/>
  <c r="N224" i="116"/>
  <c r="AA224" i="116" s="1"/>
  <c r="L233" i="116"/>
  <c r="L231" i="116"/>
  <c r="L229" i="116"/>
  <c r="L227" i="116"/>
  <c r="L225" i="116"/>
  <c r="N225" i="116" s="1"/>
  <c r="AA225" i="116" s="1"/>
  <c r="Y312" i="117"/>
  <c r="Z311" i="117"/>
  <c r="Y151" i="119"/>
  <c r="L211" i="118"/>
  <c r="N307" i="117"/>
  <c r="AA307" i="117" s="1"/>
  <c r="Z306" i="117"/>
  <c r="N207" i="118"/>
  <c r="AA207" i="118" s="1"/>
  <c r="Z152" i="119"/>
  <c r="X151" i="119"/>
  <c r="Y150" i="119"/>
  <c r="Z149" i="119"/>
  <c r="Y148" i="119"/>
  <c r="Z312" i="117"/>
  <c r="Z310" i="117"/>
  <c r="Z308" i="117"/>
  <c r="L223" i="116"/>
  <c r="N223" i="116" s="1"/>
  <c r="AA223" i="116" s="1"/>
  <c r="Z223" i="116"/>
  <c r="N222" i="116"/>
  <c r="AA222" i="116" s="1"/>
  <c r="Y222" i="116"/>
  <c r="L221" i="116"/>
  <c r="N221" i="116" s="1"/>
  <c r="AA221" i="116" s="1"/>
  <c r="Z221" i="116"/>
  <c r="N220" i="116"/>
  <c r="AA220" i="116" s="1"/>
  <c r="Y220" i="116"/>
  <c r="L219" i="116"/>
  <c r="N219" i="116" s="1"/>
  <c r="AA219" i="116" s="1"/>
  <c r="Z219" i="116"/>
  <c r="N218" i="116"/>
  <c r="AA218" i="116" s="1"/>
  <c r="Y218" i="116"/>
  <c r="K19" i="19" l="1"/>
  <c r="AC180" i="125" l="1"/>
  <c r="AD180" i="125"/>
  <c r="AE180" i="125"/>
  <c r="AF180" i="125"/>
  <c r="AC181" i="125"/>
  <c r="AD181" i="125"/>
  <c r="AE181" i="125"/>
  <c r="AF181" i="125"/>
  <c r="AC182" i="125"/>
  <c r="AD182" i="125"/>
  <c r="AE182" i="125"/>
  <c r="AF182" i="125"/>
  <c r="AC183" i="125"/>
  <c r="AD183" i="125"/>
  <c r="AE183" i="125"/>
  <c r="AF183" i="125"/>
  <c r="AC184" i="125"/>
  <c r="AD184" i="125"/>
  <c r="AE184" i="125"/>
  <c r="AF184" i="125"/>
  <c r="AC185" i="125"/>
  <c r="AD185" i="125"/>
  <c r="AE185" i="125"/>
  <c r="AF185" i="125"/>
  <c r="AC186" i="125"/>
  <c r="AD186" i="125"/>
  <c r="AE186" i="125"/>
  <c r="AF186" i="125"/>
  <c r="AC187" i="125"/>
  <c r="AD187" i="125"/>
  <c r="AE187" i="125"/>
  <c r="AF187" i="125"/>
  <c r="AC188" i="125"/>
  <c r="AD188" i="125"/>
  <c r="AE188" i="125"/>
  <c r="AF188" i="125"/>
  <c r="U180" i="125"/>
  <c r="X180" i="125" s="1"/>
  <c r="V180" i="125"/>
  <c r="W180" i="125"/>
  <c r="U181" i="125"/>
  <c r="X181" i="125" s="1"/>
  <c r="V181" i="125"/>
  <c r="W181" i="125"/>
  <c r="U182" i="125"/>
  <c r="X182" i="125" s="1"/>
  <c r="V182" i="125"/>
  <c r="W182" i="125"/>
  <c r="U183" i="125"/>
  <c r="X183" i="125" s="1"/>
  <c r="V183" i="125"/>
  <c r="W183" i="125"/>
  <c r="U184" i="125"/>
  <c r="X184" i="125" s="1"/>
  <c r="V184" i="125"/>
  <c r="W184" i="125"/>
  <c r="U185" i="125"/>
  <c r="X185" i="125" s="1"/>
  <c r="V185" i="125"/>
  <c r="W185" i="125"/>
  <c r="U186" i="125"/>
  <c r="X186" i="125" s="1"/>
  <c r="V186" i="125"/>
  <c r="W186" i="125"/>
  <c r="U187" i="125"/>
  <c r="X187" i="125" s="1"/>
  <c r="V187" i="125"/>
  <c r="W187" i="125"/>
  <c r="U188" i="125"/>
  <c r="X188" i="125" s="1"/>
  <c r="V188" i="125"/>
  <c r="W188" i="125"/>
  <c r="M180" i="125"/>
  <c r="M181" i="125"/>
  <c r="M182" i="125"/>
  <c r="M183" i="125"/>
  <c r="M184" i="125"/>
  <c r="M185" i="125"/>
  <c r="M186" i="125"/>
  <c r="M187" i="125"/>
  <c r="F180" i="125"/>
  <c r="F181" i="125"/>
  <c r="F182" i="125"/>
  <c r="F183" i="125"/>
  <c r="F184" i="125"/>
  <c r="F185" i="125"/>
  <c r="F186" i="125"/>
  <c r="F187" i="125"/>
  <c r="N187" i="125" s="1"/>
  <c r="AA187" i="125" s="1"/>
  <c r="AC238" i="124"/>
  <c r="AD238" i="124"/>
  <c r="AC239" i="124"/>
  <c r="AD239" i="124"/>
  <c r="AC240" i="124"/>
  <c r="AD240" i="124"/>
  <c r="AC241" i="124"/>
  <c r="AD241" i="124"/>
  <c r="AC242" i="124"/>
  <c r="AD242" i="124"/>
  <c r="AC243" i="124"/>
  <c r="AD243" i="124"/>
  <c r="AC244" i="124"/>
  <c r="AD244" i="124"/>
  <c r="AC245" i="124"/>
  <c r="AD245" i="124"/>
  <c r="AC246" i="124"/>
  <c r="AD246" i="124"/>
  <c r="AC247" i="124"/>
  <c r="AD247" i="124"/>
  <c r="AC248" i="124"/>
  <c r="AD248" i="124"/>
  <c r="AC249" i="124"/>
  <c r="AD249" i="124"/>
  <c r="AC250" i="124"/>
  <c r="AD250" i="124"/>
  <c r="U238" i="124"/>
  <c r="X238" i="124" s="1"/>
  <c r="V238" i="124"/>
  <c r="U239" i="124"/>
  <c r="X239" i="124" s="1"/>
  <c r="V239" i="124"/>
  <c r="U240" i="124"/>
  <c r="X240" i="124" s="1"/>
  <c r="V240" i="124"/>
  <c r="U241" i="124"/>
  <c r="X241" i="124" s="1"/>
  <c r="V241" i="124"/>
  <c r="U242" i="124"/>
  <c r="X242" i="124" s="1"/>
  <c r="V242" i="124"/>
  <c r="U243" i="124"/>
  <c r="V243" i="124"/>
  <c r="U244" i="124"/>
  <c r="X244" i="124" s="1"/>
  <c r="V244" i="124"/>
  <c r="U245" i="124"/>
  <c r="V245" i="124"/>
  <c r="U246" i="124"/>
  <c r="X246" i="124" s="1"/>
  <c r="V246" i="124"/>
  <c r="U247" i="124"/>
  <c r="V247" i="124"/>
  <c r="U248" i="124"/>
  <c r="X248" i="124" s="1"/>
  <c r="V248" i="124"/>
  <c r="U249" i="124"/>
  <c r="V249" i="124"/>
  <c r="F235" i="124"/>
  <c r="F236" i="124"/>
  <c r="F237" i="124"/>
  <c r="F238" i="124"/>
  <c r="F239" i="124"/>
  <c r="L239" i="124" s="1"/>
  <c r="N239" i="124" s="1"/>
  <c r="F240" i="124"/>
  <c r="L240" i="124" s="1"/>
  <c r="N240" i="124" s="1"/>
  <c r="F241" i="124"/>
  <c r="L241" i="124" s="1"/>
  <c r="N241" i="124" s="1"/>
  <c r="F242" i="124"/>
  <c r="L242" i="124" s="1"/>
  <c r="F243" i="124"/>
  <c r="F244" i="124"/>
  <c r="F245" i="124"/>
  <c r="F246" i="124"/>
  <c r="L246" i="124" s="1"/>
  <c r="F247" i="124"/>
  <c r="F248" i="124"/>
  <c r="N248" i="124" s="1"/>
  <c r="AA248" i="124" s="1"/>
  <c r="F249" i="124"/>
  <c r="N249" i="124" s="1"/>
  <c r="AA249" i="124" s="1"/>
  <c r="M238" i="124"/>
  <c r="M239" i="124"/>
  <c r="M240" i="124"/>
  <c r="M241" i="124"/>
  <c r="M242" i="124"/>
  <c r="N242" i="124"/>
  <c r="M243" i="124"/>
  <c r="M244" i="124"/>
  <c r="M245" i="124"/>
  <c r="M246" i="124"/>
  <c r="Z246" i="124" s="1"/>
  <c r="N246" i="124"/>
  <c r="M247" i="124"/>
  <c r="M248" i="124"/>
  <c r="M249" i="124"/>
  <c r="AC155" i="123"/>
  <c r="AD155" i="123"/>
  <c r="AE155" i="123"/>
  <c r="AF155" i="123"/>
  <c r="AC156" i="123"/>
  <c r="AD156" i="123"/>
  <c r="AE156" i="123"/>
  <c r="AF156" i="123"/>
  <c r="AC157" i="123"/>
  <c r="AD157" i="123"/>
  <c r="AE157" i="123"/>
  <c r="AF157" i="123"/>
  <c r="AC158" i="123"/>
  <c r="AD158" i="123"/>
  <c r="AE158" i="123"/>
  <c r="AF158" i="123"/>
  <c r="AC159" i="123"/>
  <c r="AD159" i="123"/>
  <c r="AE159" i="123"/>
  <c r="AF159" i="123"/>
  <c r="AC160" i="123"/>
  <c r="AD160" i="123"/>
  <c r="AE160" i="123"/>
  <c r="AF160" i="123"/>
  <c r="AC161" i="123"/>
  <c r="AD161" i="123"/>
  <c r="AE161" i="123"/>
  <c r="AF161" i="123"/>
  <c r="AC162" i="123"/>
  <c r="AD162" i="123"/>
  <c r="AE162" i="123"/>
  <c r="AF162" i="123"/>
  <c r="AC163" i="123"/>
  <c r="AD163" i="123"/>
  <c r="AE163" i="123"/>
  <c r="AF163" i="123"/>
  <c r="AC164" i="123"/>
  <c r="AD164" i="123"/>
  <c r="AE164" i="123"/>
  <c r="AF164" i="123"/>
  <c r="U155" i="123"/>
  <c r="X155" i="123" s="1"/>
  <c r="V155" i="123"/>
  <c r="U156" i="123"/>
  <c r="X156" i="123" s="1"/>
  <c r="V156" i="123"/>
  <c r="U157" i="123"/>
  <c r="X157" i="123" s="1"/>
  <c r="V157" i="123"/>
  <c r="U158" i="123"/>
  <c r="V158" i="123"/>
  <c r="U159" i="123"/>
  <c r="X159" i="123" s="1"/>
  <c r="V159" i="123"/>
  <c r="U160" i="123"/>
  <c r="X160" i="123" s="1"/>
  <c r="V160" i="123"/>
  <c r="U161" i="123"/>
  <c r="X161" i="123" s="1"/>
  <c r="V161" i="123"/>
  <c r="U162" i="123"/>
  <c r="V162" i="123"/>
  <c r="U163" i="123"/>
  <c r="X163" i="123" s="1"/>
  <c r="V163" i="123"/>
  <c r="U164" i="123"/>
  <c r="X164" i="123" s="1"/>
  <c r="V164" i="123"/>
  <c r="M163" i="123"/>
  <c r="Z163" i="123" s="1"/>
  <c r="N163" i="123"/>
  <c r="K155" i="123"/>
  <c r="M155" i="123" s="1"/>
  <c r="L155" i="123"/>
  <c r="N155" i="123" s="1"/>
  <c r="K156" i="123"/>
  <c r="M156" i="123" s="1"/>
  <c r="Z156" i="123" s="1"/>
  <c r="L156" i="123"/>
  <c r="N156" i="123" s="1"/>
  <c r="K157" i="123"/>
  <c r="M157" i="123" s="1"/>
  <c r="Z157" i="123" s="1"/>
  <c r="L157" i="123"/>
  <c r="N157" i="123" s="1"/>
  <c r="K158" i="123"/>
  <c r="M158" i="123" s="1"/>
  <c r="L158" i="123"/>
  <c r="N158" i="123" s="1"/>
  <c r="K159" i="123"/>
  <c r="M159" i="123" s="1"/>
  <c r="Z159" i="123" s="1"/>
  <c r="L159" i="123"/>
  <c r="N159" i="123" s="1"/>
  <c r="K160" i="123"/>
  <c r="M160" i="123" s="1"/>
  <c r="Z160" i="123" s="1"/>
  <c r="L160" i="123"/>
  <c r="N160" i="123" s="1"/>
  <c r="K161" i="123"/>
  <c r="M161" i="123" s="1"/>
  <c r="Z161" i="123" s="1"/>
  <c r="L161" i="123"/>
  <c r="N161" i="123" s="1"/>
  <c r="K162" i="123"/>
  <c r="M162" i="123" s="1"/>
  <c r="Z162" i="123" s="1"/>
  <c r="L162" i="123"/>
  <c r="N162" i="123" s="1"/>
  <c r="K163" i="123"/>
  <c r="L163" i="123"/>
  <c r="K164" i="123"/>
  <c r="L164" i="123"/>
  <c r="K151" i="122"/>
  <c r="Z180" i="125" l="1"/>
  <c r="AA156" i="123"/>
  <c r="AA155" i="123"/>
  <c r="Z182" i="125"/>
  <c r="Z158" i="123"/>
  <c r="Z248" i="124"/>
  <c r="Z242" i="124"/>
  <c r="Z240" i="124"/>
  <c r="Z183" i="125"/>
  <c r="Z245" i="124"/>
  <c r="L247" i="124"/>
  <c r="N247" i="124" s="1"/>
  <c r="AA247" i="124" s="1"/>
  <c r="L186" i="125"/>
  <c r="N186" i="125" s="1"/>
  <c r="AA186" i="125" s="1"/>
  <c r="L245" i="124"/>
  <c r="N245" i="124" s="1"/>
  <c r="AA245" i="124" s="1"/>
  <c r="Z184" i="125"/>
  <c r="Z185" i="125"/>
  <c r="Z244" i="124"/>
  <c r="AA157" i="123"/>
  <c r="AA163" i="123"/>
  <c r="AA161" i="123"/>
  <c r="AA159" i="123"/>
  <c r="Y163" i="123"/>
  <c r="AA246" i="124"/>
  <c r="Z181" i="125"/>
  <c r="Y162" i="123"/>
  <c r="AA242" i="124"/>
  <c r="Y249" i="124"/>
  <c r="Y247" i="124"/>
  <c r="Y158" i="123"/>
  <c r="Y161" i="123"/>
  <c r="Z247" i="124"/>
  <c r="L244" i="124"/>
  <c r="N244" i="124" s="1"/>
  <c r="AA244" i="124" s="1"/>
  <c r="L183" i="125"/>
  <c r="N183" i="125" s="1"/>
  <c r="AA183" i="125" s="1"/>
  <c r="Z187" i="125"/>
  <c r="Y186" i="125"/>
  <c r="AA162" i="123"/>
  <c r="AA160" i="123"/>
  <c r="AA158" i="123"/>
  <c r="Y159" i="123"/>
  <c r="Z249" i="124"/>
  <c r="Z243" i="124"/>
  <c r="L243" i="124"/>
  <c r="N243" i="124" s="1"/>
  <c r="AA243" i="124" s="1"/>
  <c r="L182" i="125"/>
  <c r="N182" i="125" s="1"/>
  <c r="AA182" i="125" s="1"/>
  <c r="Y245" i="124"/>
  <c r="L184" i="125"/>
  <c r="N184" i="125" s="1"/>
  <c r="AA184" i="125" s="1"/>
  <c r="L180" i="125"/>
  <c r="N180" i="125" s="1"/>
  <c r="AA180" i="125" s="1"/>
  <c r="L238" i="124"/>
  <c r="N238" i="124" s="1"/>
  <c r="AA238" i="124" s="1"/>
  <c r="L185" i="125"/>
  <c r="N185" i="125" s="1"/>
  <c r="AA185" i="125" s="1"/>
  <c r="N181" i="125"/>
  <c r="AA181" i="125" s="1"/>
  <c r="L181" i="125"/>
  <c r="Z186" i="125"/>
  <c r="Y185" i="125"/>
  <c r="Y183" i="125"/>
  <c r="Y243" i="124"/>
  <c r="Z238" i="124"/>
  <c r="Y157" i="123"/>
  <c r="Z155" i="123"/>
  <c r="AA240" i="124"/>
  <c r="Y155" i="123"/>
  <c r="X249" i="124"/>
  <c r="X247" i="124"/>
  <c r="X245" i="124"/>
  <c r="X243" i="124"/>
  <c r="Y160" i="123"/>
  <c r="Y156" i="123"/>
  <c r="X162" i="123"/>
  <c r="X158" i="123"/>
  <c r="AA241" i="124"/>
  <c r="AA239" i="124"/>
  <c r="Y248" i="124"/>
  <c r="Y246" i="124"/>
  <c r="Y244" i="124"/>
  <c r="Y187" i="125"/>
  <c r="Z241" i="124"/>
  <c r="Z239" i="124"/>
  <c r="Y184" i="125"/>
  <c r="Y182" i="125"/>
  <c r="Y181" i="125"/>
  <c r="Y180" i="125"/>
  <c r="Y242" i="124"/>
  <c r="Y241" i="124"/>
  <c r="Y240" i="124"/>
  <c r="Y239" i="124"/>
  <c r="Y238" i="124"/>
  <c r="K214" i="121"/>
  <c r="M214" i="121" s="1"/>
  <c r="K215" i="121"/>
  <c r="M215" i="121" s="1"/>
  <c r="K216" i="121"/>
  <c r="K217" i="121"/>
  <c r="K213" i="121"/>
  <c r="M213" i="121" s="1"/>
  <c r="K212" i="121"/>
  <c r="K211" i="121"/>
  <c r="M211" i="121" s="1"/>
  <c r="K210" i="121"/>
  <c r="M210" i="121" s="1"/>
  <c r="K209" i="121"/>
  <c r="M209" i="121" s="1"/>
  <c r="K208" i="121"/>
  <c r="K207" i="121"/>
  <c r="U203" i="121"/>
  <c r="X203" i="121" s="1"/>
  <c r="V203" i="121"/>
  <c r="W203" i="121"/>
  <c r="U204" i="121"/>
  <c r="X204" i="121" s="1"/>
  <c r="V204" i="121"/>
  <c r="W204" i="121"/>
  <c r="U205" i="121"/>
  <c r="X205" i="121" s="1"/>
  <c r="V205" i="121"/>
  <c r="W205" i="121"/>
  <c r="AC203" i="121"/>
  <c r="AD203" i="121"/>
  <c r="AE203" i="121"/>
  <c r="AF203" i="121"/>
  <c r="AC204" i="121"/>
  <c r="AD204" i="121"/>
  <c r="AE204" i="121"/>
  <c r="AF204" i="121"/>
  <c r="AC205" i="121"/>
  <c r="AD205" i="121"/>
  <c r="AE205" i="121"/>
  <c r="AF205" i="121"/>
  <c r="AC206" i="121"/>
  <c r="AD206" i="121"/>
  <c r="AE206" i="121"/>
  <c r="AF206" i="121"/>
  <c r="AC207" i="121"/>
  <c r="AD207" i="121"/>
  <c r="AE207" i="121"/>
  <c r="AF207" i="121"/>
  <c r="AC208" i="121"/>
  <c r="AD208" i="121"/>
  <c r="AE208" i="121"/>
  <c r="AF208" i="121"/>
  <c r="AC209" i="121"/>
  <c r="AD209" i="121"/>
  <c r="AE209" i="121"/>
  <c r="AF209" i="121"/>
  <c r="AC210" i="121"/>
  <c r="AD210" i="121"/>
  <c r="AE210" i="121"/>
  <c r="AF210" i="121"/>
  <c r="AC211" i="121"/>
  <c r="AD211" i="121"/>
  <c r="AE211" i="121"/>
  <c r="AF211" i="121"/>
  <c r="AC212" i="121"/>
  <c r="AD212" i="121"/>
  <c r="AE212" i="121"/>
  <c r="AF212" i="121"/>
  <c r="AC213" i="121"/>
  <c r="AD213" i="121"/>
  <c r="AE213" i="121"/>
  <c r="AF213" i="121"/>
  <c r="AC214" i="121"/>
  <c r="AD214" i="121"/>
  <c r="AE214" i="121"/>
  <c r="AF214" i="121"/>
  <c r="AC215" i="121"/>
  <c r="AD215" i="121"/>
  <c r="AE215" i="121"/>
  <c r="AF215" i="121"/>
  <c r="U208" i="121"/>
  <c r="X208" i="121" s="1"/>
  <c r="V208" i="121"/>
  <c r="W208" i="121"/>
  <c r="U209" i="121"/>
  <c r="X209" i="121" s="1"/>
  <c r="V209" i="121"/>
  <c r="W209" i="121"/>
  <c r="U210" i="121"/>
  <c r="X210" i="121" s="1"/>
  <c r="V210" i="121"/>
  <c r="W210" i="121"/>
  <c r="U211" i="121"/>
  <c r="X211" i="121" s="1"/>
  <c r="V211" i="121"/>
  <c r="W211" i="121"/>
  <c r="U212" i="121"/>
  <c r="X212" i="121" s="1"/>
  <c r="V212" i="121"/>
  <c r="W212" i="121"/>
  <c r="U213" i="121"/>
  <c r="X213" i="121" s="1"/>
  <c r="V213" i="121"/>
  <c r="W213" i="121"/>
  <c r="U214" i="121"/>
  <c r="X214" i="121" s="1"/>
  <c r="V214" i="121"/>
  <c r="W214" i="121"/>
  <c r="U215" i="121"/>
  <c r="X215" i="121" s="1"/>
  <c r="V215" i="121"/>
  <c r="W215" i="121"/>
  <c r="M208" i="121"/>
  <c r="M212" i="121"/>
  <c r="F208" i="121"/>
  <c r="L208" i="121" s="1"/>
  <c r="N208" i="121" s="1"/>
  <c r="F209" i="121"/>
  <c r="L209" i="121" s="1"/>
  <c r="N209" i="121" s="1"/>
  <c r="F210" i="121"/>
  <c r="L210" i="121" s="1"/>
  <c r="N210" i="121" s="1"/>
  <c r="F211" i="121"/>
  <c r="L211" i="121" s="1"/>
  <c r="N211" i="121" s="1"/>
  <c r="F212" i="121"/>
  <c r="L212" i="121" s="1"/>
  <c r="N212" i="121" s="1"/>
  <c r="F213" i="121"/>
  <c r="L213" i="121" s="1"/>
  <c r="N213" i="121" s="1"/>
  <c r="F214" i="121"/>
  <c r="L214" i="121" s="1"/>
  <c r="F215" i="121"/>
  <c r="K169" i="120"/>
  <c r="K145" i="119"/>
  <c r="AC194" i="118"/>
  <c r="AD194" i="118"/>
  <c r="AE194" i="118"/>
  <c r="AF194" i="118"/>
  <c r="AC195" i="118"/>
  <c r="AD195" i="118"/>
  <c r="AE195" i="118"/>
  <c r="AF195" i="118"/>
  <c r="AC196" i="118"/>
  <c r="AD196" i="118"/>
  <c r="AE196" i="118"/>
  <c r="AF196" i="118"/>
  <c r="AC197" i="118"/>
  <c r="AD197" i="118"/>
  <c r="AE197" i="118"/>
  <c r="AF197" i="118"/>
  <c r="AC198" i="118"/>
  <c r="AD198" i="118"/>
  <c r="AE198" i="118"/>
  <c r="AF198" i="118"/>
  <c r="AC199" i="118"/>
  <c r="AD199" i="118"/>
  <c r="AE199" i="118"/>
  <c r="AF199" i="118"/>
  <c r="AC200" i="118"/>
  <c r="AD200" i="118"/>
  <c r="AE200" i="118"/>
  <c r="AF200" i="118"/>
  <c r="AC201" i="118"/>
  <c r="AD201" i="118"/>
  <c r="AE201" i="118"/>
  <c r="AF201" i="118"/>
  <c r="AC202" i="118"/>
  <c r="AD202" i="118"/>
  <c r="AE202" i="118"/>
  <c r="AF202" i="118"/>
  <c r="AC203" i="118"/>
  <c r="AD203" i="118"/>
  <c r="AE203" i="118"/>
  <c r="AF203" i="118"/>
  <c r="AC204" i="118"/>
  <c r="AD204" i="118"/>
  <c r="AE204" i="118"/>
  <c r="AF204" i="118"/>
  <c r="AC205" i="118"/>
  <c r="AD205" i="118"/>
  <c r="AE205" i="118"/>
  <c r="AF205" i="118"/>
  <c r="U202" i="118"/>
  <c r="X202" i="118" s="1"/>
  <c r="V202" i="118"/>
  <c r="U203" i="118"/>
  <c r="X203" i="118" s="1"/>
  <c r="V203" i="118"/>
  <c r="U204" i="118"/>
  <c r="X204" i="118" s="1"/>
  <c r="V204" i="118"/>
  <c r="U205" i="118"/>
  <c r="X205" i="118" s="1"/>
  <c r="V205" i="118"/>
  <c r="M202" i="118"/>
  <c r="M203" i="118"/>
  <c r="M204" i="118"/>
  <c r="M205" i="118"/>
  <c r="Z205" i="118" s="1"/>
  <c r="F202" i="118"/>
  <c r="F203" i="118"/>
  <c r="F204" i="118"/>
  <c r="F205" i="118"/>
  <c r="F212" i="118"/>
  <c r="L212" i="118" s="1"/>
  <c r="K201" i="118"/>
  <c r="K200" i="118"/>
  <c r="K199" i="118"/>
  <c r="K198" i="118"/>
  <c r="K197" i="118"/>
  <c r="K196" i="118"/>
  <c r="F302" i="117"/>
  <c r="L302" i="117" s="1"/>
  <c r="N302" i="117" s="1"/>
  <c r="F301" i="117"/>
  <c r="L301" i="117" s="1"/>
  <c r="N301" i="117" s="1"/>
  <c r="F300" i="117"/>
  <c r="AC300" i="117"/>
  <c r="AD300" i="117"/>
  <c r="AE300" i="117"/>
  <c r="AF300" i="117"/>
  <c r="AC301" i="117"/>
  <c r="AD301" i="117"/>
  <c r="AE301" i="117"/>
  <c r="AF301" i="117"/>
  <c r="AC302" i="117"/>
  <c r="AD302" i="117"/>
  <c r="AE302" i="117"/>
  <c r="AF302" i="117"/>
  <c r="U300" i="117"/>
  <c r="X300" i="117" s="1"/>
  <c r="V300" i="117"/>
  <c r="W300" i="117"/>
  <c r="U301" i="117"/>
  <c r="X301" i="117" s="1"/>
  <c r="V301" i="117"/>
  <c r="W301" i="117"/>
  <c r="U302" i="117"/>
  <c r="X302" i="117" s="1"/>
  <c r="V302" i="117"/>
  <c r="W302" i="117"/>
  <c r="U303" i="117"/>
  <c r="X303" i="117" s="1"/>
  <c r="V303" i="117"/>
  <c r="W303" i="117"/>
  <c r="K298" i="117"/>
  <c r="K299" i="117"/>
  <c r="K300" i="117"/>
  <c r="M300" i="117" s="1"/>
  <c r="L300" i="117"/>
  <c r="N300" i="117" s="1"/>
  <c r="K301" i="117"/>
  <c r="M301" i="117" s="1"/>
  <c r="K302" i="117"/>
  <c r="M302" i="117" s="1"/>
  <c r="K303" i="117"/>
  <c r="K304" i="117"/>
  <c r="K305" i="117"/>
  <c r="K319" i="117"/>
  <c r="Z215" i="121" l="1"/>
  <c r="Y302" i="117"/>
  <c r="Z204" i="118"/>
  <c r="AA210" i="121"/>
  <c r="L203" i="118"/>
  <c r="N203" i="118" s="1"/>
  <c r="AA203" i="118" s="1"/>
  <c r="Z209" i="121"/>
  <c r="N204" i="118"/>
  <c r="AA204" i="118" s="1"/>
  <c r="L204" i="118"/>
  <c r="L202" i="118"/>
  <c r="N202" i="118" s="1"/>
  <c r="AA202" i="118" s="1"/>
  <c r="Z202" i="118"/>
  <c r="L215" i="121"/>
  <c r="N215" i="121" s="1"/>
  <c r="AA215" i="121" s="1"/>
  <c r="N205" i="118"/>
  <c r="AA205" i="118" s="1"/>
  <c r="L205" i="118"/>
  <c r="AA212" i="121"/>
  <c r="Y212" i="121"/>
  <c r="AA209" i="121"/>
  <c r="AA208" i="121"/>
  <c r="Z208" i="121"/>
  <c r="AA211" i="121"/>
  <c r="Y211" i="121"/>
  <c r="Y210" i="121"/>
  <c r="N214" i="121"/>
  <c r="AA214" i="121" s="1"/>
  <c r="Y203" i="118"/>
  <c r="Z203" i="118"/>
  <c r="Y205" i="118"/>
  <c r="AA302" i="117"/>
  <c r="Y301" i="117"/>
  <c r="AA300" i="117"/>
  <c r="Z300" i="117"/>
  <c r="Y204" i="118"/>
  <c r="Y202" i="118"/>
  <c r="Y214" i="121"/>
  <c r="Z213" i="121"/>
  <c r="Y215" i="121"/>
  <c r="Y213" i="121"/>
  <c r="AA213" i="121"/>
  <c r="Z211" i="121"/>
  <c r="Z210" i="121"/>
  <c r="Y209" i="121"/>
  <c r="Y208" i="121"/>
  <c r="Z214" i="121"/>
  <c r="Z212" i="121"/>
  <c r="Z302" i="117"/>
  <c r="Z301" i="117"/>
  <c r="AA301" i="117"/>
  <c r="Y300" i="117"/>
  <c r="K235" i="124"/>
  <c r="L235" i="124"/>
  <c r="K236" i="124"/>
  <c r="L236" i="124"/>
  <c r="K237" i="124"/>
  <c r="L237" i="124"/>
  <c r="K149" i="123"/>
  <c r="L149" i="123"/>
  <c r="K150" i="123"/>
  <c r="L150" i="123"/>
  <c r="K151" i="123"/>
  <c r="L151" i="123"/>
  <c r="K152" i="123"/>
  <c r="L152" i="123"/>
  <c r="K153" i="123"/>
  <c r="L153" i="123"/>
  <c r="K154" i="123"/>
  <c r="L154" i="123"/>
  <c r="K148" i="122"/>
  <c r="K149" i="122"/>
  <c r="K150" i="122"/>
  <c r="L150" i="122"/>
  <c r="K203" i="121"/>
  <c r="M203" i="121" s="1"/>
  <c r="Z203" i="121" s="1"/>
  <c r="L203" i="121"/>
  <c r="N203" i="121" s="1"/>
  <c r="AA203" i="121" s="1"/>
  <c r="K204" i="121"/>
  <c r="M204" i="121" s="1"/>
  <c r="Z204" i="121" s="1"/>
  <c r="L204" i="121"/>
  <c r="N204" i="121" s="1"/>
  <c r="AA204" i="121" s="1"/>
  <c r="K205" i="121"/>
  <c r="M205" i="121" s="1"/>
  <c r="Z205" i="121" s="1"/>
  <c r="L205" i="121"/>
  <c r="N205" i="121" s="1"/>
  <c r="AA205" i="121" s="1"/>
  <c r="K206" i="121"/>
  <c r="L206" i="121"/>
  <c r="U210" i="116"/>
  <c r="V210" i="116"/>
  <c r="U211" i="116"/>
  <c r="V211" i="116"/>
  <c r="U212" i="116"/>
  <c r="V212" i="116"/>
  <c r="U213" i="116"/>
  <c r="V213" i="116"/>
  <c r="U214" i="116"/>
  <c r="V214" i="116"/>
  <c r="U215" i="116"/>
  <c r="V215" i="116"/>
  <c r="U216" i="116"/>
  <c r="V216" i="116"/>
  <c r="D88" i="3"/>
  <c r="D89" i="3" s="1"/>
  <c r="D90" i="3" s="1"/>
  <c r="E88" i="3"/>
  <c r="E89" i="3" s="1"/>
  <c r="E90" i="3" s="1"/>
  <c r="F88" i="3"/>
  <c r="F89" i="3" s="1"/>
  <c r="F90" i="3" s="1"/>
  <c r="G88" i="3"/>
  <c r="G89" i="3" s="1"/>
  <c r="G90" i="3" s="1"/>
  <c r="H88" i="3"/>
  <c r="H89" i="3" s="1"/>
  <c r="H90" i="3" s="1"/>
  <c r="I88" i="3"/>
  <c r="I89" i="3" s="1"/>
  <c r="I90" i="3" s="1"/>
  <c r="J88" i="3"/>
  <c r="J89" i="3" s="1"/>
  <c r="J90" i="3" s="1"/>
  <c r="K88" i="3"/>
  <c r="K89" i="3" s="1"/>
  <c r="K90" i="3" s="1"/>
  <c r="L88" i="3"/>
  <c r="L89" i="3" s="1"/>
  <c r="L90" i="3" s="1"/>
  <c r="M88" i="3"/>
  <c r="N88" i="3"/>
  <c r="N89" i="3" s="1"/>
  <c r="N90" i="3" s="1"/>
  <c r="O88" i="3"/>
  <c r="O89" i="3" s="1"/>
  <c r="O90" i="3" s="1"/>
  <c r="P88" i="3"/>
  <c r="P89" i="3" s="1"/>
  <c r="P90" i="3" s="1"/>
  <c r="Q88" i="3"/>
  <c r="Q89" i="3" s="1"/>
  <c r="Q90" i="3" s="1"/>
  <c r="R88" i="3"/>
  <c r="R89" i="3" s="1"/>
  <c r="R90" i="3" s="1"/>
  <c r="S88" i="3"/>
  <c r="T88" i="3"/>
  <c r="T89" i="3" s="1"/>
  <c r="T90" i="3" s="1"/>
  <c r="U88" i="3"/>
  <c r="U89" i="3" s="1"/>
  <c r="U90" i="3" s="1"/>
  <c r="V88" i="3"/>
  <c r="V89" i="3" s="1"/>
  <c r="V90" i="3" s="1"/>
  <c r="W88" i="3"/>
  <c r="W89" i="3" s="1"/>
  <c r="W90" i="3" s="1"/>
  <c r="X88" i="3"/>
  <c r="X89" i="3" s="1"/>
  <c r="X90" i="3" s="1"/>
  <c r="Y88" i="3"/>
  <c r="Y89" i="3" s="1"/>
  <c r="Y90" i="3" s="1"/>
  <c r="Z88" i="3"/>
  <c r="Z89" i="3" s="1"/>
  <c r="Z90" i="3" s="1"/>
  <c r="AA88" i="3"/>
  <c r="AA89" i="3" s="1"/>
  <c r="AA90" i="3" s="1"/>
  <c r="AB88" i="3"/>
  <c r="AB89" i="3" s="1"/>
  <c r="AB90" i="3" s="1"/>
  <c r="B97" i="3"/>
  <c r="K294" i="117"/>
  <c r="K295" i="117"/>
  <c r="K296" i="117"/>
  <c r="K297" i="117"/>
  <c r="K293" i="117"/>
  <c r="K212" i="116"/>
  <c r="K213" i="116"/>
  <c r="K214" i="116"/>
  <c r="K215" i="116"/>
  <c r="K216" i="116"/>
  <c r="K217" i="116"/>
  <c r="K211" i="116"/>
  <c r="K210" i="116"/>
  <c r="K209" i="116"/>
  <c r="K208" i="116"/>
  <c r="S89" i="3" l="1"/>
  <c r="AC88" i="3"/>
  <c r="M89" i="3"/>
  <c r="M90" i="3" s="1"/>
  <c r="Y205" i="121"/>
  <c r="Y204" i="121"/>
  <c r="Y203" i="121"/>
  <c r="E91" i="3"/>
  <c r="U127" i="117"/>
  <c r="S90" i="3" l="1"/>
  <c r="AC90" i="3" s="1"/>
  <c r="AC89" i="3"/>
  <c r="K176" i="125"/>
  <c r="O202" i="124"/>
  <c r="O203" i="124"/>
  <c r="K234" i="124"/>
  <c r="K233" i="124"/>
  <c r="K232" i="124"/>
  <c r="K231" i="124"/>
  <c r="K230" i="124"/>
  <c r="K229" i="124"/>
  <c r="K228" i="124"/>
  <c r="K148" i="123"/>
  <c r="K147" i="123"/>
  <c r="K146" i="123"/>
  <c r="K145" i="123"/>
  <c r="K144" i="123"/>
  <c r="K147" i="122"/>
  <c r="K146" i="122"/>
  <c r="K145" i="122"/>
  <c r="K144" i="122"/>
  <c r="K143" i="122"/>
  <c r="K193" i="121"/>
  <c r="K192" i="121"/>
  <c r="K191" i="121"/>
  <c r="K190" i="121"/>
  <c r="K189" i="121"/>
  <c r="K202" i="121"/>
  <c r="K201" i="121"/>
  <c r="K200" i="121"/>
  <c r="K199" i="121"/>
  <c r="K198" i="121"/>
  <c r="K197" i="121"/>
  <c r="K196" i="121"/>
  <c r="K195" i="121"/>
  <c r="K194" i="121"/>
  <c r="P138" i="120"/>
  <c r="O138" i="120"/>
  <c r="P148" i="120"/>
  <c r="P149" i="120"/>
  <c r="O149" i="120"/>
  <c r="O148" i="120"/>
  <c r="K144" i="119"/>
  <c r="K143" i="119"/>
  <c r="K142" i="119"/>
  <c r="K141" i="119"/>
  <c r="K140" i="119"/>
  <c r="K188" i="118"/>
  <c r="K187" i="118"/>
  <c r="K186" i="118"/>
  <c r="K185" i="118"/>
  <c r="K184" i="118"/>
  <c r="K183" i="118"/>
  <c r="K182" i="118"/>
  <c r="K181" i="118"/>
  <c r="K180" i="118"/>
  <c r="K195" i="118"/>
  <c r="K194" i="118"/>
  <c r="K193" i="118"/>
  <c r="K192" i="118"/>
  <c r="K191" i="118"/>
  <c r="K190" i="118"/>
  <c r="K189" i="118"/>
  <c r="K168" i="120" l="1"/>
  <c r="K292" i="117" l="1"/>
  <c r="F210" i="116"/>
  <c r="L210" i="116" s="1"/>
  <c r="F211" i="116"/>
  <c r="L211" i="116" s="1"/>
  <c r="F212" i="116"/>
  <c r="L212" i="116" s="1"/>
  <c r="F213" i="116"/>
  <c r="L213" i="116" s="1"/>
  <c r="F214" i="116"/>
  <c r="L214" i="116" s="1"/>
  <c r="F215" i="116"/>
  <c r="L215" i="116" s="1"/>
  <c r="F195" i="118"/>
  <c r="L195" i="118" s="1"/>
  <c r="V209" i="116"/>
  <c r="U209" i="116"/>
  <c r="U208" i="116"/>
  <c r="X209" i="116" l="1"/>
  <c r="X210" i="116"/>
  <c r="X211" i="116"/>
  <c r="X212" i="116"/>
  <c r="X213" i="116"/>
  <c r="X214" i="116"/>
  <c r="X215" i="116"/>
  <c r="AC232" i="124" l="1"/>
  <c r="AD232" i="124"/>
  <c r="AC233" i="124"/>
  <c r="AD233" i="124"/>
  <c r="AC234" i="124"/>
  <c r="AD234" i="124"/>
  <c r="AC235" i="124"/>
  <c r="AD235" i="124"/>
  <c r="AC236" i="124"/>
  <c r="AD236" i="124"/>
  <c r="U232" i="124"/>
  <c r="X232" i="124" s="1"/>
  <c r="V232" i="124"/>
  <c r="W232" i="124"/>
  <c r="U233" i="124"/>
  <c r="X233" i="124" s="1"/>
  <c r="V233" i="124"/>
  <c r="W233" i="124"/>
  <c r="U234" i="124"/>
  <c r="X234" i="124" s="1"/>
  <c r="V234" i="124"/>
  <c r="W234" i="124"/>
  <c r="U235" i="124"/>
  <c r="X235" i="124" s="1"/>
  <c r="V235" i="124"/>
  <c r="W235" i="124"/>
  <c r="U236" i="124"/>
  <c r="X236" i="124" s="1"/>
  <c r="V236" i="124"/>
  <c r="W236" i="124"/>
  <c r="U237" i="124"/>
  <c r="X237" i="124" s="1"/>
  <c r="V237" i="124"/>
  <c r="W237" i="124"/>
  <c r="F232" i="124"/>
  <c r="L232" i="124" s="1"/>
  <c r="N232" i="124" s="1"/>
  <c r="F233" i="124"/>
  <c r="F234" i="124"/>
  <c r="L234" i="124" s="1"/>
  <c r="N234" i="124" s="1"/>
  <c r="N235" i="124"/>
  <c r="M232" i="124"/>
  <c r="M233" i="124"/>
  <c r="M234" i="124"/>
  <c r="M235" i="124"/>
  <c r="M236" i="124"/>
  <c r="N236" i="124"/>
  <c r="AC198" i="121"/>
  <c r="AD198" i="121"/>
  <c r="AE198" i="121"/>
  <c r="AF198" i="121"/>
  <c r="AC199" i="121"/>
  <c r="AD199" i="121"/>
  <c r="AE199" i="121"/>
  <c r="AF199" i="121"/>
  <c r="AC200" i="121"/>
  <c r="AD200" i="121"/>
  <c r="AE200" i="121"/>
  <c r="AF200" i="121"/>
  <c r="AC201" i="121"/>
  <c r="AD201" i="121"/>
  <c r="AE201" i="121"/>
  <c r="AF201" i="121"/>
  <c r="AC202" i="121"/>
  <c r="AD202" i="121"/>
  <c r="AE202" i="121"/>
  <c r="AF202" i="121"/>
  <c r="U198" i="121"/>
  <c r="X198" i="121" s="1"/>
  <c r="V198" i="121"/>
  <c r="W198" i="121"/>
  <c r="U199" i="121"/>
  <c r="X199" i="121" s="1"/>
  <c r="V199" i="121"/>
  <c r="W199" i="121"/>
  <c r="U200" i="121"/>
  <c r="X200" i="121" s="1"/>
  <c r="V200" i="121"/>
  <c r="W200" i="121"/>
  <c r="U201" i="121"/>
  <c r="X201" i="121" s="1"/>
  <c r="V201" i="121"/>
  <c r="W201" i="121"/>
  <c r="U202" i="121"/>
  <c r="X202" i="121" s="1"/>
  <c r="V202" i="121"/>
  <c r="W202" i="121"/>
  <c r="U206" i="121"/>
  <c r="X206" i="121" s="1"/>
  <c r="V206" i="121"/>
  <c r="W206" i="121"/>
  <c r="U207" i="121"/>
  <c r="X207" i="121" s="1"/>
  <c r="V207" i="121"/>
  <c r="W207" i="121"/>
  <c r="M198" i="121"/>
  <c r="M199" i="121"/>
  <c r="M200" i="121"/>
  <c r="M201" i="121"/>
  <c r="M202" i="121"/>
  <c r="M206" i="121"/>
  <c r="M207" i="121"/>
  <c r="F198" i="121"/>
  <c r="F199" i="121"/>
  <c r="F200" i="121"/>
  <c r="F201" i="121"/>
  <c r="F202" i="121"/>
  <c r="L202" i="121" s="1"/>
  <c r="N202" i="121" s="1"/>
  <c r="N206" i="121"/>
  <c r="F207" i="121"/>
  <c r="K167" i="120"/>
  <c r="K166" i="120"/>
  <c r="M194" i="118"/>
  <c r="M195" i="118"/>
  <c r="M196" i="118"/>
  <c r="M197" i="118"/>
  <c r="M198" i="118"/>
  <c r="M199" i="118"/>
  <c r="M200" i="118"/>
  <c r="U194" i="118"/>
  <c r="X194" i="118" s="1"/>
  <c r="V194" i="118"/>
  <c r="U195" i="118"/>
  <c r="X195" i="118" s="1"/>
  <c r="V195" i="118"/>
  <c r="U196" i="118"/>
  <c r="X196" i="118" s="1"/>
  <c r="V196" i="118"/>
  <c r="U197" i="118"/>
  <c r="X197" i="118" s="1"/>
  <c r="V197" i="118"/>
  <c r="U198" i="118"/>
  <c r="X198" i="118" s="1"/>
  <c r="V198" i="118"/>
  <c r="U199" i="118"/>
  <c r="X199" i="118" s="1"/>
  <c r="V199" i="118"/>
  <c r="U200" i="118"/>
  <c r="X200" i="118" s="1"/>
  <c r="V200" i="118"/>
  <c r="U201" i="118"/>
  <c r="V201" i="118"/>
  <c r="F194" i="118"/>
  <c r="L194" i="118" s="1"/>
  <c r="N194" i="118" s="1"/>
  <c r="N195" i="118"/>
  <c r="F196" i="118"/>
  <c r="F197" i="118"/>
  <c r="F198" i="118"/>
  <c r="F199" i="118"/>
  <c r="F200" i="118"/>
  <c r="F193" i="118"/>
  <c r="Z206" i="121" l="1"/>
  <c r="Y236" i="124"/>
  <c r="AA232" i="124"/>
  <c r="Y232" i="124"/>
  <c r="AA206" i="121"/>
  <c r="L207" i="121"/>
  <c r="N207" i="121" s="1"/>
  <c r="AA207" i="121" s="1"/>
  <c r="Y206" i="121"/>
  <c r="AA236" i="124"/>
  <c r="Y235" i="124"/>
  <c r="Y234" i="124"/>
  <c r="Y207" i="121"/>
  <c r="Z207" i="121"/>
  <c r="AA202" i="121"/>
  <c r="Y202" i="121"/>
  <c r="Z198" i="121"/>
  <c r="L200" i="118"/>
  <c r="N200" i="118" s="1"/>
  <c r="AA200" i="118" s="1"/>
  <c r="L198" i="118"/>
  <c r="N198" i="118" s="1"/>
  <c r="AA198" i="118" s="1"/>
  <c r="L196" i="118"/>
  <c r="N196" i="118" s="1"/>
  <c r="AA196" i="118" s="1"/>
  <c r="L199" i="118"/>
  <c r="N199" i="118" s="1"/>
  <c r="AA199" i="118" s="1"/>
  <c r="L197" i="118"/>
  <c r="N197" i="118" s="1"/>
  <c r="AA197" i="118" s="1"/>
  <c r="L233" i="124"/>
  <c r="N233" i="124" s="1"/>
  <c r="AA233" i="124" s="1"/>
  <c r="Z199" i="121"/>
  <c r="Y233" i="124"/>
  <c r="Y201" i="121"/>
  <c r="L201" i="121"/>
  <c r="N201" i="121" s="1"/>
  <c r="AA201" i="121" s="1"/>
  <c r="L199" i="121"/>
  <c r="N199" i="121" s="1"/>
  <c r="AA199" i="121" s="1"/>
  <c r="AA194" i="118"/>
  <c r="Y198" i="118"/>
  <c r="Z235" i="124"/>
  <c r="AA235" i="124"/>
  <c r="L200" i="121"/>
  <c r="N200" i="121" s="1"/>
  <c r="AA200" i="121" s="1"/>
  <c r="L198" i="121"/>
  <c r="N198" i="121" s="1"/>
  <c r="AA198" i="121" s="1"/>
  <c r="Y200" i="118"/>
  <c r="Y196" i="118"/>
  <c r="Z200" i="118"/>
  <c r="Y199" i="118"/>
  <c r="Z198" i="118"/>
  <c r="Y197" i="118"/>
  <c r="Z196" i="118"/>
  <c r="AA234" i="124"/>
  <c r="Y200" i="121"/>
  <c r="AA195" i="118"/>
  <c r="Y194" i="118"/>
  <c r="Y195" i="118"/>
  <c r="Z194" i="118"/>
  <c r="Z233" i="124"/>
  <c r="Z236" i="124"/>
  <c r="Z234" i="124"/>
  <c r="Z232" i="124"/>
  <c r="Z201" i="121"/>
  <c r="Y199" i="121"/>
  <c r="Y198" i="121"/>
  <c r="Z202" i="121"/>
  <c r="Z200" i="121"/>
  <c r="Z199" i="118"/>
  <c r="Z197" i="118"/>
  <c r="Z195" i="118"/>
  <c r="F209" i="116" l="1"/>
  <c r="F208" i="116"/>
  <c r="L208" i="116" s="1"/>
  <c r="M209" i="116"/>
  <c r="M210" i="116"/>
  <c r="N210" i="116"/>
  <c r="AA210" i="116" s="1"/>
  <c r="M211" i="116"/>
  <c r="N211" i="116"/>
  <c r="AA211" i="116" s="1"/>
  <c r="M212" i="116"/>
  <c r="N212" i="116"/>
  <c r="AA212" i="116" s="1"/>
  <c r="M213" i="116"/>
  <c r="N213" i="116"/>
  <c r="AA213" i="116" s="1"/>
  <c r="M214" i="116"/>
  <c r="N214" i="116"/>
  <c r="AA214" i="116" s="1"/>
  <c r="M215" i="116"/>
  <c r="N215" i="116"/>
  <c r="AA215" i="116" s="1"/>
  <c r="M186" i="118"/>
  <c r="M185" i="118"/>
  <c r="M184" i="118"/>
  <c r="M183" i="118"/>
  <c r="M182" i="118"/>
  <c r="L193" i="118"/>
  <c r="N193" i="118" s="1"/>
  <c r="K165" i="120"/>
  <c r="AF156" i="120"/>
  <c r="AF157" i="120"/>
  <c r="AF158" i="120"/>
  <c r="AF159" i="120"/>
  <c r="AF160" i="120"/>
  <c r="AF161" i="120"/>
  <c r="AF162" i="120"/>
  <c r="AF163" i="120"/>
  <c r="AF164" i="120"/>
  <c r="AF165" i="120"/>
  <c r="AF166" i="120"/>
  <c r="AF167" i="120"/>
  <c r="AF168" i="120"/>
  <c r="AF169" i="120"/>
  <c r="AF170" i="120"/>
  <c r="AF178" i="120"/>
  <c r="AF179" i="120"/>
  <c r="AE156" i="120"/>
  <c r="AE157" i="120"/>
  <c r="AE158" i="120"/>
  <c r="AE159" i="120"/>
  <c r="AE160" i="120"/>
  <c r="AE161" i="120"/>
  <c r="AE162" i="120"/>
  <c r="AE163" i="120"/>
  <c r="AE164" i="120"/>
  <c r="AE165" i="120"/>
  <c r="AE166" i="120"/>
  <c r="AE167" i="120"/>
  <c r="AE168" i="120"/>
  <c r="AE169" i="120"/>
  <c r="AE170" i="120"/>
  <c r="AE178" i="120"/>
  <c r="AD156" i="120"/>
  <c r="AD157" i="120"/>
  <c r="AD158" i="120"/>
  <c r="AD159" i="120"/>
  <c r="AD160" i="120"/>
  <c r="AD161" i="120"/>
  <c r="AD162" i="120"/>
  <c r="AD163" i="120"/>
  <c r="AD164" i="120"/>
  <c r="AD165" i="120"/>
  <c r="AD166" i="120"/>
  <c r="AD167" i="120"/>
  <c r="AD168" i="120"/>
  <c r="AD169" i="120"/>
  <c r="AD170" i="120"/>
  <c r="AD178" i="120"/>
  <c r="AD179" i="120"/>
  <c r="AC156" i="120"/>
  <c r="AC157" i="120"/>
  <c r="AC158" i="120"/>
  <c r="AC159" i="120"/>
  <c r="AC160" i="120"/>
  <c r="AC161" i="120"/>
  <c r="AC162" i="120"/>
  <c r="AC163" i="120"/>
  <c r="AC164" i="120"/>
  <c r="AC165" i="120"/>
  <c r="AC166" i="120"/>
  <c r="AC167" i="120"/>
  <c r="AC168" i="120"/>
  <c r="AC169" i="120"/>
  <c r="AC170" i="120"/>
  <c r="AC178" i="120"/>
  <c r="AC179" i="120"/>
  <c r="W160" i="120"/>
  <c r="W161" i="120"/>
  <c r="W162" i="120"/>
  <c r="W163" i="120"/>
  <c r="W164" i="120"/>
  <c r="W165" i="120"/>
  <c r="W166" i="120"/>
  <c r="W167" i="120"/>
  <c r="W168" i="120"/>
  <c r="W169" i="120"/>
  <c r="W170" i="120"/>
  <c r="W178" i="120"/>
  <c r="W179" i="120"/>
  <c r="V160" i="120"/>
  <c r="V161" i="120"/>
  <c r="V162" i="120"/>
  <c r="V163" i="120"/>
  <c r="V164" i="120"/>
  <c r="V165" i="120"/>
  <c r="V166" i="120"/>
  <c r="V167" i="120"/>
  <c r="V168" i="120"/>
  <c r="V169" i="120"/>
  <c r="V170" i="120"/>
  <c r="V178" i="120"/>
  <c r="V179" i="120"/>
  <c r="U160" i="120"/>
  <c r="U161" i="120"/>
  <c r="U162" i="120"/>
  <c r="U163" i="120"/>
  <c r="U164" i="120"/>
  <c r="U165" i="120"/>
  <c r="X165" i="120" s="1"/>
  <c r="U166" i="120"/>
  <c r="X166" i="120" s="1"/>
  <c r="U167" i="120"/>
  <c r="X167" i="120" s="1"/>
  <c r="U168" i="120"/>
  <c r="X168" i="120" s="1"/>
  <c r="U169" i="120"/>
  <c r="U170" i="120"/>
  <c r="U178" i="120"/>
  <c r="U179" i="120"/>
  <c r="M165" i="120"/>
  <c r="M166" i="120"/>
  <c r="M167" i="120"/>
  <c r="Z167" i="120" s="1"/>
  <c r="M168" i="120"/>
  <c r="M169" i="120"/>
  <c r="Z169" i="120" s="1"/>
  <c r="M170" i="120"/>
  <c r="Z170" i="120" s="1"/>
  <c r="M178" i="120"/>
  <c r="Z178" i="120" s="1"/>
  <c r="F165" i="120"/>
  <c r="F166" i="120"/>
  <c r="F167" i="120"/>
  <c r="F168" i="120"/>
  <c r="F169" i="120"/>
  <c r="F170" i="120"/>
  <c r="N178" i="120"/>
  <c r="AA178" i="120" s="1"/>
  <c r="F179" i="120"/>
  <c r="N179" i="120" s="1"/>
  <c r="AA179" i="120" s="1"/>
  <c r="M187" i="118"/>
  <c r="AF182" i="118"/>
  <c r="AF183" i="118"/>
  <c r="AF184" i="118"/>
  <c r="AF185" i="118"/>
  <c r="AF186" i="118"/>
  <c r="AF187" i="118"/>
  <c r="AF188" i="118"/>
  <c r="AF189" i="118"/>
  <c r="AF190" i="118"/>
  <c r="AF191" i="118"/>
  <c r="AF192" i="118"/>
  <c r="AF193" i="118"/>
  <c r="AF212" i="118"/>
  <c r="AF213" i="118"/>
  <c r="AE182" i="118"/>
  <c r="AE183" i="118"/>
  <c r="AE184" i="118"/>
  <c r="AE185" i="118"/>
  <c r="AE186" i="118"/>
  <c r="AE187" i="118"/>
  <c r="AE188" i="118"/>
  <c r="AE189" i="118"/>
  <c r="AE190" i="118"/>
  <c r="AE191" i="118"/>
  <c r="AE192" i="118"/>
  <c r="AE193" i="118"/>
  <c r="AE212" i="118"/>
  <c r="AE213" i="118"/>
  <c r="AE214" i="118"/>
  <c r="AD182" i="118"/>
  <c r="AD183" i="118"/>
  <c r="AD184" i="118"/>
  <c r="AD185" i="118"/>
  <c r="AD186" i="118"/>
  <c r="AD187" i="118"/>
  <c r="AD188" i="118"/>
  <c r="AD189" i="118"/>
  <c r="AD190" i="118"/>
  <c r="AD191" i="118"/>
  <c r="AD192" i="118"/>
  <c r="AD193" i="118"/>
  <c r="AD212" i="118"/>
  <c r="AD213" i="118"/>
  <c r="AC183" i="118"/>
  <c r="AC184" i="118"/>
  <c r="AC186" i="118"/>
  <c r="AC187" i="118"/>
  <c r="AC188" i="118"/>
  <c r="AC189" i="118"/>
  <c r="AC190" i="118"/>
  <c r="AC191" i="118"/>
  <c r="AC192" i="118"/>
  <c r="AC193" i="118"/>
  <c r="AC212" i="118"/>
  <c r="AC213" i="118"/>
  <c r="X201" i="118"/>
  <c r="V185" i="118"/>
  <c r="V186" i="118"/>
  <c r="V187" i="118"/>
  <c r="V188" i="118"/>
  <c r="V189" i="118"/>
  <c r="V190" i="118"/>
  <c r="V191" i="118"/>
  <c r="V192" i="118"/>
  <c r="V193" i="118"/>
  <c r="V212" i="118"/>
  <c r="V213" i="118"/>
  <c r="U185" i="118"/>
  <c r="X185" i="118" s="1"/>
  <c r="AC185" i="118" s="1"/>
  <c r="U186" i="118"/>
  <c r="U187" i="118"/>
  <c r="X187" i="118" s="1"/>
  <c r="U188" i="118"/>
  <c r="X188" i="118" s="1"/>
  <c r="U189" i="118"/>
  <c r="X189" i="118" s="1"/>
  <c r="U190" i="118"/>
  <c r="X190" i="118" s="1"/>
  <c r="U191" i="118"/>
  <c r="X191" i="118" s="1"/>
  <c r="U192" i="118"/>
  <c r="X192" i="118" s="1"/>
  <c r="U193" i="118"/>
  <c r="X193" i="118" s="1"/>
  <c r="U212" i="118"/>
  <c r="X212" i="118" s="1"/>
  <c r="U213" i="118"/>
  <c r="X213" i="118" s="1"/>
  <c r="M188" i="118"/>
  <c r="Z188" i="118" s="1"/>
  <c r="M189" i="118"/>
  <c r="M190" i="118"/>
  <c r="M191" i="118"/>
  <c r="M192" i="118"/>
  <c r="M193" i="118"/>
  <c r="M201" i="118"/>
  <c r="Z201" i="118" s="1"/>
  <c r="M212" i="118"/>
  <c r="M213" i="118"/>
  <c r="F187" i="118"/>
  <c r="F188" i="118"/>
  <c r="F189" i="118"/>
  <c r="F190" i="118"/>
  <c r="L190" i="118" s="1"/>
  <c r="F191" i="118"/>
  <c r="F192" i="118"/>
  <c r="L192" i="118" s="1"/>
  <c r="F201" i="118"/>
  <c r="N212" i="118"/>
  <c r="F213" i="118"/>
  <c r="N213" i="118" s="1"/>
  <c r="U143" i="122"/>
  <c r="U144" i="122"/>
  <c r="U145" i="122"/>
  <c r="U146" i="122"/>
  <c r="U147" i="122"/>
  <c r="U148" i="122"/>
  <c r="U149" i="122"/>
  <c r="U150" i="122"/>
  <c r="U151" i="122"/>
  <c r="U152" i="122"/>
  <c r="U153" i="122"/>
  <c r="U154" i="122"/>
  <c r="U155" i="122"/>
  <c r="U156" i="122"/>
  <c r="U157" i="122"/>
  <c r="U158" i="122"/>
  <c r="U159" i="122"/>
  <c r="K143" i="123"/>
  <c r="K164" i="120"/>
  <c r="M164" i="120" s="1"/>
  <c r="K163" i="120"/>
  <c r="K139" i="119"/>
  <c r="K162" i="120"/>
  <c r="K175" i="125"/>
  <c r="Y193" i="118" l="1"/>
  <c r="Z189" i="118"/>
  <c r="Z212" i="118"/>
  <c r="L170" i="120"/>
  <c r="N170" i="120" s="1"/>
  <c r="AA170" i="120" s="1"/>
  <c r="Z213" i="118"/>
  <c r="Z168" i="120"/>
  <c r="L169" i="120"/>
  <c r="N169" i="120" s="1"/>
  <c r="AA169" i="120" s="1"/>
  <c r="L201" i="118"/>
  <c r="N201" i="118" s="1"/>
  <c r="AA201" i="118" s="1"/>
  <c r="Y178" i="120"/>
  <c r="Y213" i="118"/>
  <c r="AA213" i="118"/>
  <c r="Z186" i="118"/>
  <c r="Y170" i="120"/>
  <c r="AA212" i="118"/>
  <c r="Y169" i="120"/>
  <c r="L209" i="116"/>
  <c r="N209" i="116" s="1"/>
  <c r="AA209" i="116" s="1"/>
  <c r="Y191" i="118"/>
  <c r="Y212" i="118"/>
  <c r="X178" i="120"/>
  <c r="X169" i="120"/>
  <c r="L165" i="120"/>
  <c r="N165" i="120" s="1"/>
  <c r="AA165" i="120" s="1"/>
  <c r="L189" i="118"/>
  <c r="N189" i="118" s="1"/>
  <c r="AA189" i="118" s="1"/>
  <c r="N192" i="118"/>
  <c r="AA192" i="118" s="1"/>
  <c r="Y201" i="118"/>
  <c r="L187" i="118"/>
  <c r="N187" i="118" s="1"/>
  <c r="AA187" i="118" s="1"/>
  <c r="L188" i="118"/>
  <c r="N188" i="118" s="1"/>
  <c r="AA188" i="118" s="1"/>
  <c r="X179" i="120"/>
  <c r="X170" i="120"/>
  <c r="L191" i="118"/>
  <c r="N191" i="118" s="1"/>
  <c r="AA191" i="118" s="1"/>
  <c r="L168" i="120"/>
  <c r="N168" i="120" s="1"/>
  <c r="AA168" i="120" s="1"/>
  <c r="L167" i="120"/>
  <c r="N167" i="120" s="1"/>
  <c r="AA167" i="120" s="1"/>
  <c r="Y168" i="120"/>
  <c r="Y166" i="120"/>
  <c r="L166" i="120"/>
  <c r="N166" i="120" s="1"/>
  <c r="AA166" i="120" s="1"/>
  <c r="Y215" i="116"/>
  <c r="Z215" i="116"/>
  <c r="Y214" i="116"/>
  <c r="Z214" i="116"/>
  <c r="Y213" i="116"/>
  <c r="Z213" i="116"/>
  <c r="Y212" i="116"/>
  <c r="Z212" i="116"/>
  <c r="Y211" i="116"/>
  <c r="Z211" i="116"/>
  <c r="Y210" i="116"/>
  <c r="Z210" i="116"/>
  <c r="Z209" i="116"/>
  <c r="Y209" i="116"/>
  <c r="Z165" i="120"/>
  <c r="Y167" i="120"/>
  <c r="Z166" i="120"/>
  <c r="Y164" i="120"/>
  <c r="AA193" i="118"/>
  <c r="Z192" i="118"/>
  <c r="Z190" i="118"/>
  <c r="Y187" i="118"/>
  <c r="X163" i="120"/>
  <c r="X161" i="120"/>
  <c r="Z164" i="120"/>
  <c r="X164" i="120"/>
  <c r="X162" i="120"/>
  <c r="X160" i="120"/>
  <c r="Z185" i="118"/>
  <c r="Y185" i="118"/>
  <c r="X186" i="118"/>
  <c r="Y186" i="118"/>
  <c r="Z193" i="118"/>
  <c r="Y192" i="118"/>
  <c r="Z191" i="118"/>
  <c r="N190" i="118"/>
  <c r="AA190" i="118" s="1"/>
  <c r="Y190" i="118"/>
  <c r="Y189" i="118"/>
  <c r="Y165" i="120"/>
  <c r="Y188" i="118"/>
  <c r="Z187" i="118"/>
  <c r="AF165" i="125"/>
  <c r="AF166" i="125"/>
  <c r="AF167" i="125"/>
  <c r="AF168" i="125"/>
  <c r="AF169" i="125"/>
  <c r="AF170" i="125"/>
  <c r="AF171" i="125"/>
  <c r="AF172" i="125"/>
  <c r="AF173" i="125"/>
  <c r="AF174" i="125"/>
  <c r="AF175" i="125"/>
  <c r="AF176" i="125"/>
  <c r="AF177" i="125"/>
  <c r="AF178" i="125"/>
  <c r="AF179" i="125"/>
  <c r="AF189" i="125"/>
  <c r="AF190" i="125"/>
  <c r="AE165" i="125"/>
  <c r="AE166" i="125"/>
  <c r="AE167" i="125"/>
  <c r="AE168" i="125"/>
  <c r="AE169" i="125"/>
  <c r="AE170" i="125"/>
  <c r="AE171" i="125"/>
  <c r="AE172" i="125"/>
  <c r="AE173" i="125"/>
  <c r="AE174" i="125"/>
  <c r="AE175" i="125"/>
  <c r="AE176" i="125"/>
  <c r="AE177" i="125"/>
  <c r="AE178" i="125"/>
  <c r="AE179" i="125"/>
  <c r="AE189" i="125"/>
  <c r="AE190" i="125"/>
  <c r="AD165" i="125"/>
  <c r="AD166" i="125"/>
  <c r="AD167" i="125"/>
  <c r="AD168" i="125"/>
  <c r="AD169" i="125"/>
  <c r="AD170" i="125"/>
  <c r="AD171" i="125"/>
  <c r="AD172" i="125"/>
  <c r="AD173" i="125"/>
  <c r="AD174" i="125"/>
  <c r="AD175" i="125"/>
  <c r="AD176" i="125"/>
  <c r="AD177" i="125"/>
  <c r="AD178" i="125"/>
  <c r="AD179" i="125"/>
  <c r="AD189" i="125"/>
  <c r="AD190" i="125"/>
  <c r="AC165" i="125"/>
  <c r="AC166" i="125"/>
  <c r="AC167" i="125"/>
  <c r="AC169" i="125"/>
  <c r="AC170" i="125"/>
  <c r="AC171" i="125"/>
  <c r="AC172" i="125"/>
  <c r="AC173" i="125"/>
  <c r="AC174" i="125"/>
  <c r="AC175" i="125"/>
  <c r="AC176" i="125"/>
  <c r="AC177" i="125"/>
  <c r="AC178" i="125"/>
  <c r="AC179" i="125"/>
  <c r="AC189" i="125"/>
  <c r="W167" i="125"/>
  <c r="W168" i="125"/>
  <c r="W169" i="125"/>
  <c r="W170" i="125"/>
  <c r="W171" i="125"/>
  <c r="W172" i="125"/>
  <c r="W173" i="125"/>
  <c r="W174" i="125"/>
  <c r="W175" i="125"/>
  <c r="W176" i="125"/>
  <c r="W177" i="125"/>
  <c r="W178" i="125"/>
  <c r="W179" i="125"/>
  <c r="W189" i="125"/>
  <c r="W190" i="125"/>
  <c r="V167" i="125"/>
  <c r="V168" i="125"/>
  <c r="V169" i="125"/>
  <c r="V170" i="125"/>
  <c r="V171" i="125"/>
  <c r="V172" i="125"/>
  <c r="V173" i="125"/>
  <c r="V174" i="125"/>
  <c r="V175" i="125"/>
  <c r="V176" i="125"/>
  <c r="V177" i="125"/>
  <c r="V178" i="125"/>
  <c r="V179" i="125"/>
  <c r="V189" i="125"/>
  <c r="U167" i="125"/>
  <c r="U168" i="125"/>
  <c r="U169" i="125"/>
  <c r="U170" i="125"/>
  <c r="X170" i="125" s="1"/>
  <c r="U171" i="125"/>
  <c r="U172" i="125"/>
  <c r="X172" i="125" s="1"/>
  <c r="U173" i="125"/>
  <c r="X173" i="125" s="1"/>
  <c r="U174" i="125"/>
  <c r="X174" i="125" s="1"/>
  <c r="U175" i="125"/>
  <c r="X175" i="125" s="1"/>
  <c r="U176" i="125"/>
  <c r="U177" i="125"/>
  <c r="X177" i="125" s="1"/>
  <c r="U178" i="125"/>
  <c r="U179" i="125"/>
  <c r="U189" i="125"/>
  <c r="U190" i="125"/>
  <c r="X190" i="125" s="1"/>
  <c r="M170" i="125"/>
  <c r="M171" i="125"/>
  <c r="M172" i="125"/>
  <c r="M173" i="125"/>
  <c r="M174" i="125"/>
  <c r="M175" i="125"/>
  <c r="M176" i="125"/>
  <c r="M177" i="125"/>
  <c r="M178" i="125"/>
  <c r="Z178" i="125" s="1"/>
  <c r="M188" i="125"/>
  <c r="M189" i="125"/>
  <c r="M190" i="125"/>
  <c r="F172" i="125"/>
  <c r="F173" i="125"/>
  <c r="F174" i="125"/>
  <c r="L174" i="125" s="1"/>
  <c r="F175" i="125"/>
  <c r="F176" i="125"/>
  <c r="F177" i="125"/>
  <c r="F178" i="125"/>
  <c r="F179" i="125"/>
  <c r="F188" i="125"/>
  <c r="N188" i="125" s="1"/>
  <c r="AA188" i="125" s="1"/>
  <c r="F189" i="125"/>
  <c r="N189" i="125" s="1"/>
  <c r="F190" i="125"/>
  <c r="N190" i="125" s="1"/>
  <c r="AD220" i="124"/>
  <c r="AD221" i="124"/>
  <c r="AD222" i="124"/>
  <c r="AD223" i="124"/>
  <c r="AD224" i="124"/>
  <c r="AD225" i="124"/>
  <c r="AD226" i="124"/>
  <c r="AD227" i="124"/>
  <c r="AD228" i="124"/>
  <c r="AD229" i="124"/>
  <c r="AD230" i="124"/>
  <c r="AD231" i="124"/>
  <c r="AD237" i="124"/>
  <c r="AD251" i="124"/>
  <c r="AC220" i="124"/>
  <c r="AC222" i="124"/>
  <c r="AC223" i="124"/>
  <c r="AC225" i="124"/>
  <c r="AC226" i="124"/>
  <c r="AC227" i="124"/>
  <c r="AC228" i="124"/>
  <c r="AC230" i="124"/>
  <c r="AC231" i="124"/>
  <c r="AC237" i="124"/>
  <c r="AC251" i="124"/>
  <c r="W222" i="124"/>
  <c r="W223" i="124"/>
  <c r="W224" i="124"/>
  <c r="W225" i="124"/>
  <c r="W226" i="124"/>
  <c r="W227" i="124"/>
  <c r="W228" i="124"/>
  <c r="W229" i="124"/>
  <c r="W230" i="124"/>
  <c r="W231" i="124"/>
  <c r="W250" i="124"/>
  <c r="W251" i="124"/>
  <c r="V222" i="124"/>
  <c r="V223" i="124"/>
  <c r="V224" i="124"/>
  <c r="V225" i="124"/>
  <c r="V226" i="124"/>
  <c r="V227" i="124"/>
  <c r="V228" i="124"/>
  <c r="V229" i="124"/>
  <c r="V230" i="124"/>
  <c r="V231" i="124"/>
  <c r="V250" i="124"/>
  <c r="V251" i="124"/>
  <c r="U222" i="124"/>
  <c r="U223" i="124"/>
  <c r="U224" i="124"/>
  <c r="U225" i="124"/>
  <c r="X225" i="124" s="1"/>
  <c r="U226" i="124"/>
  <c r="X226" i="124" s="1"/>
  <c r="U227" i="124"/>
  <c r="X227" i="124" s="1"/>
  <c r="U228" i="124"/>
  <c r="X228" i="124" s="1"/>
  <c r="U229" i="124"/>
  <c r="X229" i="124" s="1"/>
  <c r="AC229" i="124" s="1"/>
  <c r="U230" i="124"/>
  <c r="X230" i="124" s="1"/>
  <c r="U231" i="124"/>
  <c r="X231" i="124" s="1"/>
  <c r="U250" i="124"/>
  <c r="U251" i="124"/>
  <c r="U252" i="124"/>
  <c r="M224" i="124"/>
  <c r="M225" i="124"/>
  <c r="M226" i="124"/>
  <c r="M227" i="124"/>
  <c r="M228" i="124"/>
  <c r="M229" i="124"/>
  <c r="M230" i="124"/>
  <c r="M231" i="124"/>
  <c r="M237" i="124"/>
  <c r="M250" i="124"/>
  <c r="Z250" i="124" s="1"/>
  <c r="M251" i="124"/>
  <c r="Z251" i="124" s="1"/>
  <c r="F225" i="124"/>
  <c r="L225" i="124" s="1"/>
  <c r="F226" i="124"/>
  <c r="F227" i="124"/>
  <c r="F228" i="124"/>
  <c r="F229" i="124"/>
  <c r="L229" i="124" s="1"/>
  <c r="F230" i="124"/>
  <c r="L230" i="124" s="1"/>
  <c r="F231" i="124"/>
  <c r="N237" i="124"/>
  <c r="AA237" i="124" s="1"/>
  <c r="F250" i="124"/>
  <c r="N250" i="124" s="1"/>
  <c r="F251" i="124"/>
  <c r="N251" i="124" s="1"/>
  <c r="K161" i="120"/>
  <c r="K207" i="116"/>
  <c r="K205" i="116"/>
  <c r="L172" i="125"/>
  <c r="N172" i="125" s="1"/>
  <c r="V192" i="121"/>
  <c r="V193" i="121"/>
  <c r="V191" i="121"/>
  <c r="K159" i="120"/>
  <c r="K160" i="120"/>
  <c r="K223" i="124"/>
  <c r="M223" i="124" s="1"/>
  <c r="F223" i="124"/>
  <c r="L223" i="124" s="1"/>
  <c r="N223" i="124" s="1"/>
  <c r="F224" i="124"/>
  <c r="L224" i="124" s="1"/>
  <c r="N224" i="124" s="1"/>
  <c r="K289" i="117"/>
  <c r="M289" i="117" s="1"/>
  <c r="K198" i="116"/>
  <c r="K202" i="116"/>
  <c r="K287" i="117"/>
  <c r="M287" i="117" s="1"/>
  <c r="K288" i="117"/>
  <c r="AF279" i="117"/>
  <c r="AF280" i="117"/>
  <c r="AF281" i="117"/>
  <c r="AF282" i="117"/>
  <c r="AF283" i="117"/>
  <c r="AF284" i="117"/>
  <c r="AF285" i="117"/>
  <c r="AF286" i="117"/>
  <c r="AF287" i="117"/>
  <c r="AF288" i="117"/>
  <c r="AF289" i="117"/>
  <c r="AF290" i="117"/>
  <c r="AF291" i="117"/>
  <c r="AF292" i="117"/>
  <c r="AF293" i="117"/>
  <c r="AF294" i="117"/>
  <c r="AF295" i="117"/>
  <c r="AF296" i="117"/>
  <c r="AF297" i="117"/>
  <c r="AF298" i="117"/>
  <c r="AF299" i="117"/>
  <c r="AF303" i="117"/>
  <c r="AF304" i="117"/>
  <c r="AF305" i="117"/>
  <c r="AF320" i="117"/>
  <c r="AE279" i="117"/>
  <c r="AE280" i="117"/>
  <c r="AE281" i="117"/>
  <c r="AE282" i="117"/>
  <c r="AE283" i="117"/>
  <c r="AE284" i="117"/>
  <c r="AE285" i="117"/>
  <c r="AE286" i="117"/>
  <c r="AE287" i="117"/>
  <c r="AE288" i="117"/>
  <c r="AE289" i="117"/>
  <c r="AE290" i="117"/>
  <c r="AE291" i="117"/>
  <c r="AE292" i="117"/>
  <c r="AE293" i="117"/>
  <c r="AE294" i="117"/>
  <c r="AE295" i="117"/>
  <c r="AE296" i="117"/>
  <c r="AE297" i="117"/>
  <c r="AE298" i="117"/>
  <c r="AE299" i="117"/>
  <c r="AE303" i="117"/>
  <c r="AE304" i="117"/>
  <c r="AE305" i="117"/>
  <c r="AE320" i="117"/>
  <c r="AD279" i="117"/>
  <c r="AD280" i="117"/>
  <c r="AD281" i="117"/>
  <c r="AD282" i="117"/>
  <c r="AD283" i="117"/>
  <c r="AD284" i="117"/>
  <c r="AD285" i="117"/>
  <c r="AD286" i="117"/>
  <c r="AD287" i="117"/>
  <c r="AD288" i="117"/>
  <c r="AD289" i="117"/>
  <c r="AD290" i="117"/>
  <c r="AD291" i="117"/>
  <c r="AD292" i="117"/>
  <c r="AD293" i="117"/>
  <c r="AD294" i="117"/>
  <c r="AD295" i="117"/>
  <c r="AD296" i="117"/>
  <c r="AD297" i="117"/>
  <c r="AD298" i="117"/>
  <c r="AD299" i="117"/>
  <c r="AD303" i="117"/>
  <c r="AD304" i="117"/>
  <c r="AD305" i="117"/>
  <c r="AD320" i="117"/>
  <c r="AC279" i="117"/>
  <c r="AC280" i="117"/>
  <c r="AC281" i="117"/>
  <c r="AC282" i="117"/>
  <c r="AC283" i="117"/>
  <c r="AC284" i="117"/>
  <c r="AC285" i="117"/>
  <c r="AC286" i="117"/>
  <c r="AC287" i="117"/>
  <c r="AC288" i="117"/>
  <c r="AC289" i="117"/>
  <c r="AC290" i="117"/>
  <c r="AC291" i="117"/>
  <c r="AC292" i="117"/>
  <c r="AC293" i="117"/>
  <c r="AC294" i="117"/>
  <c r="AC295" i="117"/>
  <c r="AC296" i="117"/>
  <c r="AC297" i="117"/>
  <c r="AC298" i="117"/>
  <c r="AC299" i="117"/>
  <c r="AC303" i="117"/>
  <c r="AC304" i="117"/>
  <c r="AC305" i="117"/>
  <c r="AC320" i="117"/>
  <c r="W280" i="117"/>
  <c r="W281" i="117"/>
  <c r="W282" i="117"/>
  <c r="W283" i="117"/>
  <c r="W284" i="117"/>
  <c r="W285" i="117"/>
  <c r="W286" i="117"/>
  <c r="W287" i="117"/>
  <c r="W288" i="117"/>
  <c r="W289" i="117"/>
  <c r="W290" i="117"/>
  <c r="W291" i="117"/>
  <c r="W292" i="117"/>
  <c r="W293" i="117"/>
  <c r="W294" i="117"/>
  <c r="W295" i="117"/>
  <c r="W296" i="117"/>
  <c r="W297" i="117"/>
  <c r="W298" i="117"/>
  <c r="W299" i="117"/>
  <c r="W304" i="117"/>
  <c r="W305" i="117"/>
  <c r="V280" i="117"/>
  <c r="V281" i="117"/>
  <c r="V282" i="117"/>
  <c r="V283" i="117"/>
  <c r="V284" i="117"/>
  <c r="V285" i="117"/>
  <c r="V286" i="117"/>
  <c r="V287" i="117"/>
  <c r="V288" i="117"/>
  <c r="V289" i="117"/>
  <c r="V290" i="117"/>
  <c r="V291" i="117"/>
  <c r="V292" i="117"/>
  <c r="V293" i="117"/>
  <c r="V294" i="117"/>
  <c r="V295" i="117"/>
  <c r="V296" i="117"/>
  <c r="V297" i="117"/>
  <c r="V298" i="117"/>
  <c r="V299" i="117"/>
  <c r="V304" i="117"/>
  <c r="V305" i="117"/>
  <c r="V320" i="117"/>
  <c r="U280" i="117"/>
  <c r="X280" i="117" s="1"/>
  <c r="U281" i="117"/>
  <c r="U282" i="117"/>
  <c r="X282" i="117" s="1"/>
  <c r="U283" i="117"/>
  <c r="U284" i="117"/>
  <c r="U285" i="117"/>
  <c r="X285" i="117" s="1"/>
  <c r="U286" i="117"/>
  <c r="X286" i="117" s="1"/>
  <c r="U287" i="117"/>
  <c r="X287" i="117" s="1"/>
  <c r="U288" i="117"/>
  <c r="X288" i="117" s="1"/>
  <c r="U289" i="117"/>
  <c r="X289" i="117" s="1"/>
  <c r="U290" i="117"/>
  <c r="X290" i="117" s="1"/>
  <c r="U291" i="117"/>
  <c r="X291" i="117" s="1"/>
  <c r="U292" i="117"/>
  <c r="U293" i="117"/>
  <c r="X293" i="117" s="1"/>
  <c r="U294" i="117"/>
  <c r="U295" i="117"/>
  <c r="U296" i="117"/>
  <c r="U297" i="117"/>
  <c r="U298" i="117"/>
  <c r="U299" i="117"/>
  <c r="U304" i="117"/>
  <c r="U305" i="117"/>
  <c r="U320" i="117"/>
  <c r="M283" i="117"/>
  <c r="M285" i="117"/>
  <c r="M286" i="117"/>
  <c r="M288" i="117"/>
  <c r="M290" i="117"/>
  <c r="M291" i="117"/>
  <c r="M292" i="117"/>
  <c r="M293" i="117"/>
  <c r="M294" i="117"/>
  <c r="M295" i="117"/>
  <c r="M296" i="117"/>
  <c r="M297" i="117"/>
  <c r="M298" i="117"/>
  <c r="M299" i="117"/>
  <c r="M303" i="117"/>
  <c r="M304" i="117"/>
  <c r="M305" i="117"/>
  <c r="M319" i="117"/>
  <c r="M320" i="117"/>
  <c r="F283" i="117"/>
  <c r="L283" i="117" s="1"/>
  <c r="N283" i="117" s="1"/>
  <c r="F284" i="117"/>
  <c r="L284" i="117" s="1"/>
  <c r="N284" i="117" s="1"/>
  <c r="F285" i="117"/>
  <c r="F286" i="117"/>
  <c r="L286" i="117" s="1"/>
  <c r="F287" i="117"/>
  <c r="F288" i="117"/>
  <c r="L288" i="117" s="1"/>
  <c r="F289" i="117"/>
  <c r="F290" i="117"/>
  <c r="L290" i="117" s="1"/>
  <c r="N290" i="117" s="1"/>
  <c r="F291" i="117"/>
  <c r="F292" i="117"/>
  <c r="F293" i="117"/>
  <c r="F294" i="117"/>
  <c r="F295" i="117"/>
  <c r="F296" i="117"/>
  <c r="F297" i="117"/>
  <c r="F298" i="117"/>
  <c r="F299" i="117"/>
  <c r="F303" i="117"/>
  <c r="F304" i="117"/>
  <c r="F305" i="117"/>
  <c r="F319" i="117"/>
  <c r="F320" i="117"/>
  <c r="N320" i="117" s="1"/>
  <c r="AA320" i="117" s="1"/>
  <c r="K282" i="117"/>
  <c r="M282" i="117" s="1"/>
  <c r="K284" i="117"/>
  <c r="M284" i="117" s="1"/>
  <c r="Z320" i="117" l="1"/>
  <c r="L178" i="125"/>
  <c r="N178" i="125" s="1"/>
  <c r="AA178" i="125" s="1"/>
  <c r="L179" i="125"/>
  <c r="N179" i="125" s="1"/>
  <c r="AA179" i="125" s="1"/>
  <c r="Z305" i="117"/>
  <c r="AA250" i="124"/>
  <c r="AA189" i="125"/>
  <c r="N319" i="117"/>
  <c r="L319" i="117"/>
  <c r="Z188" i="125"/>
  <c r="Y188" i="125"/>
  <c r="Z298" i="117"/>
  <c r="L305" i="117"/>
  <c r="N305" i="117" s="1"/>
  <c r="AA305" i="117" s="1"/>
  <c r="AA251" i="124"/>
  <c r="L304" i="117"/>
  <c r="N304" i="117" s="1"/>
  <c r="AA304" i="117" s="1"/>
  <c r="Z190" i="125"/>
  <c r="Y189" i="125"/>
  <c r="Y179" i="125"/>
  <c r="Y174" i="125"/>
  <c r="L303" i="117"/>
  <c r="N303" i="117" s="1"/>
  <c r="AA303" i="117" s="1"/>
  <c r="Y303" i="117"/>
  <c r="Z303" i="117"/>
  <c r="L299" i="117"/>
  <c r="N299" i="117" s="1"/>
  <c r="AA299" i="117" s="1"/>
  <c r="L298" i="117"/>
  <c r="N298" i="117" s="1"/>
  <c r="AA298" i="117" s="1"/>
  <c r="Z296" i="117"/>
  <c r="Y304" i="117"/>
  <c r="Y299" i="117"/>
  <c r="L294" i="117"/>
  <c r="N294" i="117" s="1"/>
  <c r="AA294" i="117" s="1"/>
  <c r="L231" i="124"/>
  <c r="N231" i="124" s="1"/>
  <c r="AA231" i="124" s="1"/>
  <c r="Y250" i="124"/>
  <c r="L297" i="117"/>
  <c r="N297" i="117" s="1"/>
  <c r="AA297" i="117" s="1"/>
  <c r="Z299" i="117"/>
  <c r="Z295" i="117"/>
  <c r="Y320" i="117"/>
  <c r="Z189" i="125"/>
  <c r="Y178" i="125"/>
  <c r="L177" i="125"/>
  <c r="N177" i="125" s="1"/>
  <c r="AA177" i="125" s="1"/>
  <c r="L296" i="117"/>
  <c r="N296" i="117" s="1"/>
  <c r="AA296" i="117" s="1"/>
  <c r="L295" i="117"/>
  <c r="N295" i="117" s="1"/>
  <c r="AA295" i="117" s="1"/>
  <c r="Z304" i="117"/>
  <c r="Z297" i="117"/>
  <c r="Y305" i="117"/>
  <c r="Y251" i="124"/>
  <c r="L176" i="125"/>
  <c r="N176" i="125" s="1"/>
  <c r="AA176" i="125" s="1"/>
  <c r="Z179" i="125"/>
  <c r="Y297" i="117"/>
  <c r="Y295" i="117"/>
  <c r="Y298" i="117"/>
  <c r="Y296" i="117"/>
  <c r="L293" i="117"/>
  <c r="N293" i="117" s="1"/>
  <c r="AA293" i="117" s="1"/>
  <c r="L291" i="117"/>
  <c r="N291" i="117" s="1"/>
  <c r="AA291" i="117" s="1"/>
  <c r="N230" i="124"/>
  <c r="AA230" i="124" s="1"/>
  <c r="L228" i="124"/>
  <c r="N228" i="124" s="1"/>
  <c r="AA228" i="124" s="1"/>
  <c r="L226" i="124"/>
  <c r="N226" i="124" s="1"/>
  <c r="AA226" i="124" s="1"/>
  <c r="Z237" i="124"/>
  <c r="Y237" i="124"/>
  <c r="L175" i="125"/>
  <c r="N175" i="125" s="1"/>
  <c r="AA175" i="125" s="1"/>
  <c r="X304" i="117"/>
  <c r="X299" i="117"/>
  <c r="X297" i="117"/>
  <c r="X295" i="117"/>
  <c r="L289" i="117"/>
  <c r="N289" i="117" s="1"/>
  <c r="AA289" i="117" s="1"/>
  <c r="X251" i="124"/>
  <c r="X178" i="125"/>
  <c r="L292" i="117"/>
  <c r="N292" i="117" s="1"/>
  <c r="AA292" i="117" s="1"/>
  <c r="N229" i="124"/>
  <c r="AA229" i="124" s="1"/>
  <c r="L227" i="124"/>
  <c r="N227" i="124" s="1"/>
  <c r="AA227" i="124" s="1"/>
  <c r="N288" i="117"/>
  <c r="AA288" i="117" s="1"/>
  <c r="N286" i="117"/>
  <c r="AA286" i="117" s="1"/>
  <c r="Z294" i="117"/>
  <c r="X320" i="117"/>
  <c r="X305" i="117"/>
  <c r="X298" i="117"/>
  <c r="X296" i="117"/>
  <c r="L285" i="117"/>
  <c r="N285" i="117" s="1"/>
  <c r="AA285" i="117" s="1"/>
  <c r="L287" i="117"/>
  <c r="N287" i="117" s="1"/>
  <c r="AA287" i="117" s="1"/>
  <c r="N225" i="124"/>
  <c r="AA225" i="124" s="1"/>
  <c r="X250" i="124"/>
  <c r="N174" i="125"/>
  <c r="AA174" i="125" s="1"/>
  <c r="X189" i="125"/>
  <c r="X179" i="125"/>
  <c r="L173" i="125"/>
  <c r="N173" i="125" s="1"/>
  <c r="AA173" i="125" s="1"/>
  <c r="Y231" i="124"/>
  <c r="Z230" i="124"/>
  <c r="Z227" i="124"/>
  <c r="Y225" i="124"/>
  <c r="Z292" i="117"/>
  <c r="AA290" i="117"/>
  <c r="Y177" i="125"/>
  <c r="Z177" i="125"/>
  <c r="Z229" i="124"/>
  <c r="Z176" i="125"/>
  <c r="Z175" i="125"/>
  <c r="Z231" i="124"/>
  <c r="Y226" i="124"/>
  <c r="X176" i="125"/>
  <c r="Y176" i="125"/>
  <c r="Y228" i="124"/>
  <c r="Y230" i="124"/>
  <c r="Z173" i="125"/>
  <c r="Y229" i="124"/>
  <c r="Z228" i="124"/>
  <c r="Z285" i="117"/>
  <c r="Z287" i="117"/>
  <c r="AA172" i="125"/>
  <c r="X294" i="117"/>
  <c r="X292" i="117"/>
  <c r="Y293" i="117"/>
  <c r="Y291" i="117"/>
  <c r="Z293" i="117"/>
  <c r="Z291" i="117"/>
  <c r="Z290" i="117"/>
  <c r="Z286" i="117"/>
  <c r="Y294" i="117"/>
  <c r="Y292" i="117"/>
  <c r="Y171" i="125"/>
  <c r="Y170" i="125"/>
  <c r="Z170" i="125"/>
  <c r="Z171" i="125"/>
  <c r="X171" i="125"/>
  <c r="Y172" i="125"/>
  <c r="Z172" i="125"/>
  <c r="X168" i="125"/>
  <c r="AC168" i="125" s="1"/>
  <c r="X169" i="125"/>
  <c r="X167" i="125"/>
  <c r="Y227" i="124"/>
  <c r="Z226" i="124"/>
  <c r="Z289" i="117"/>
  <c r="Y175" i="125"/>
  <c r="Z288" i="117"/>
  <c r="Z174" i="125"/>
  <c r="Y173" i="125"/>
  <c r="Z224" i="124"/>
  <c r="AA224" i="124"/>
  <c r="AA223" i="124"/>
  <c r="Y223" i="124"/>
  <c r="Y290" i="117"/>
  <c r="AA284" i="117"/>
  <c r="Z284" i="117"/>
  <c r="Z283" i="117"/>
  <c r="AA283" i="117"/>
  <c r="X223" i="124"/>
  <c r="Y224" i="124"/>
  <c r="Z223" i="124"/>
  <c r="X224" i="124"/>
  <c r="AC224" i="124" s="1"/>
  <c r="X222" i="124"/>
  <c r="X281" i="117"/>
  <c r="Z225" i="124"/>
  <c r="X284" i="117"/>
  <c r="Y284" i="117"/>
  <c r="Z282" i="117"/>
  <c r="Y282" i="117"/>
  <c r="X283" i="117"/>
  <c r="Y283" i="117"/>
  <c r="Y289" i="117"/>
  <c r="Y288" i="117"/>
  <c r="Y287" i="117"/>
  <c r="Y286" i="117"/>
  <c r="Y285" i="117"/>
  <c r="K141" i="122"/>
  <c r="V196" i="116" l="1"/>
  <c r="V197" i="116"/>
  <c r="V198" i="116"/>
  <c r="V199" i="116"/>
  <c r="V200" i="116"/>
  <c r="V201" i="116"/>
  <c r="V202" i="116"/>
  <c r="V203" i="116"/>
  <c r="V204" i="116"/>
  <c r="V205" i="116"/>
  <c r="V206" i="116"/>
  <c r="V207" i="116"/>
  <c r="V208" i="116"/>
  <c r="V217" i="116"/>
  <c r="V234" i="116"/>
  <c r="U193" i="116"/>
  <c r="U194" i="116"/>
  <c r="U195" i="116"/>
  <c r="U196" i="116"/>
  <c r="U197" i="116"/>
  <c r="U198" i="116"/>
  <c r="X198" i="116" s="1"/>
  <c r="U199" i="116"/>
  <c r="X199" i="116" s="1"/>
  <c r="U200" i="116"/>
  <c r="X200" i="116" s="1"/>
  <c r="U201" i="116"/>
  <c r="X201" i="116" s="1"/>
  <c r="U202" i="116"/>
  <c r="X202" i="116" s="1"/>
  <c r="U203" i="116"/>
  <c r="X203" i="116" s="1"/>
  <c r="U204" i="116"/>
  <c r="X204" i="116" s="1"/>
  <c r="U205" i="116"/>
  <c r="X205" i="116" s="1"/>
  <c r="U206" i="116"/>
  <c r="X206" i="116" s="1"/>
  <c r="U207" i="116"/>
  <c r="X207" i="116" s="1"/>
  <c r="X216" i="116"/>
  <c r="U217" i="116"/>
  <c r="X217" i="116" s="1"/>
  <c r="U234" i="116"/>
  <c r="X234" i="116" s="1"/>
  <c r="M198" i="116"/>
  <c r="M199" i="116"/>
  <c r="M200" i="116"/>
  <c r="M201" i="116"/>
  <c r="M202" i="116"/>
  <c r="M203" i="116"/>
  <c r="M204" i="116"/>
  <c r="M205" i="116"/>
  <c r="M206" i="116"/>
  <c r="M207" i="116"/>
  <c r="M208" i="116"/>
  <c r="M216" i="116"/>
  <c r="M217" i="116"/>
  <c r="M234" i="116"/>
  <c r="Z234" i="116" s="1"/>
  <c r="F197" i="116"/>
  <c r="L197" i="116" s="1"/>
  <c r="N197" i="116" s="1"/>
  <c r="F198" i="116"/>
  <c r="L198" i="116" s="1"/>
  <c r="N198" i="116" s="1"/>
  <c r="F199" i="116"/>
  <c r="L199" i="116" s="1"/>
  <c r="N199" i="116" s="1"/>
  <c r="F200" i="116"/>
  <c r="L200" i="116" s="1"/>
  <c r="N200" i="116" s="1"/>
  <c r="F201" i="116"/>
  <c r="L201" i="116" s="1"/>
  <c r="N201" i="116" s="1"/>
  <c r="F202" i="116"/>
  <c r="F203" i="116"/>
  <c r="F204" i="116"/>
  <c r="L204" i="116" s="1"/>
  <c r="N204" i="116" s="1"/>
  <c r="F205" i="116"/>
  <c r="F206" i="116"/>
  <c r="F207" i="116"/>
  <c r="N208" i="116"/>
  <c r="F216" i="116"/>
  <c r="F217" i="116"/>
  <c r="F234" i="116"/>
  <c r="W164" i="125"/>
  <c r="W165" i="125"/>
  <c r="W166" i="125"/>
  <c r="V164" i="125"/>
  <c r="V165" i="125"/>
  <c r="V166" i="125"/>
  <c r="V190" i="125"/>
  <c r="AA190" i="125" s="1"/>
  <c r="U160" i="125"/>
  <c r="U161" i="125"/>
  <c r="U162" i="125"/>
  <c r="U163" i="125"/>
  <c r="U164" i="125"/>
  <c r="X164" i="125" s="1"/>
  <c r="U165" i="125"/>
  <c r="U166" i="125"/>
  <c r="X166" i="125" s="1"/>
  <c r="M164" i="125"/>
  <c r="M165" i="125"/>
  <c r="M166" i="125"/>
  <c r="M167" i="125"/>
  <c r="M168" i="125"/>
  <c r="M169" i="125"/>
  <c r="F165" i="125"/>
  <c r="L165" i="125" s="1"/>
  <c r="N165" i="125" s="1"/>
  <c r="F166" i="125"/>
  <c r="L166" i="125" s="1"/>
  <c r="N166" i="125" s="1"/>
  <c r="F167" i="125"/>
  <c r="L167" i="125" s="1"/>
  <c r="N167" i="125" s="1"/>
  <c r="AA167" i="125" s="1"/>
  <c r="F168" i="125"/>
  <c r="L168" i="125" s="1"/>
  <c r="N168" i="125" s="1"/>
  <c r="AA168" i="125" s="1"/>
  <c r="F169" i="125"/>
  <c r="L169" i="125" s="1"/>
  <c r="N169" i="125" s="1"/>
  <c r="AA169" i="125" s="1"/>
  <c r="F170" i="125"/>
  <c r="L170" i="125" s="1"/>
  <c r="N170" i="125" s="1"/>
  <c r="AA170" i="125" s="1"/>
  <c r="F171" i="125"/>
  <c r="L171" i="125" s="1"/>
  <c r="N171" i="125" s="1"/>
  <c r="AA171" i="125" s="1"/>
  <c r="M212" i="117"/>
  <c r="M213" i="117"/>
  <c r="M214" i="117"/>
  <c r="M165" i="116"/>
  <c r="M163" i="116"/>
  <c r="M162" i="116"/>
  <c r="K197" i="116"/>
  <c r="N234" i="116" l="1"/>
  <c r="AA234" i="116" s="1"/>
  <c r="L234" i="116"/>
  <c r="Z217" i="116"/>
  <c r="L216" i="116"/>
  <c r="N216" i="116" s="1"/>
  <c r="AA216" i="116" s="1"/>
  <c r="L217" i="116"/>
  <c r="N217" i="116" s="1"/>
  <c r="AA217" i="116" s="1"/>
  <c r="L207" i="116"/>
  <c r="N207" i="116" s="1"/>
  <c r="AA207" i="116" s="1"/>
  <c r="L205" i="116"/>
  <c r="N205" i="116" s="1"/>
  <c r="AA205" i="116" s="1"/>
  <c r="L203" i="116"/>
  <c r="N203" i="116" s="1"/>
  <c r="AA203" i="116" s="1"/>
  <c r="L206" i="116"/>
  <c r="N206" i="116" s="1"/>
  <c r="AA206" i="116" s="1"/>
  <c r="L202" i="116"/>
  <c r="N202" i="116" s="1"/>
  <c r="AA202" i="116" s="1"/>
  <c r="Y207" i="116"/>
  <c r="Z208" i="116"/>
  <c r="Y169" i="125"/>
  <c r="Z169" i="125"/>
  <c r="Z168" i="125"/>
  <c r="Y168" i="125"/>
  <c r="Z167" i="125"/>
  <c r="Y167" i="125"/>
  <c r="Z206" i="116"/>
  <c r="AA166" i="125"/>
  <c r="AA165" i="125"/>
  <c r="Z207" i="116"/>
  <c r="AA201" i="116"/>
  <c r="Z166" i="125"/>
  <c r="Z164" i="125"/>
  <c r="Z165" i="125"/>
  <c r="AA197" i="116"/>
  <c r="AA208" i="116"/>
  <c r="AA204" i="116"/>
  <c r="Y208" i="116"/>
  <c r="Y206" i="116"/>
  <c r="Y234" i="116"/>
  <c r="Y164" i="125"/>
  <c r="Z216" i="116"/>
  <c r="Z205" i="116"/>
  <c r="Z201" i="116"/>
  <c r="AA200" i="116"/>
  <c r="Y217" i="116"/>
  <c r="Y190" i="125"/>
  <c r="Y165" i="125"/>
  <c r="X165" i="125"/>
  <c r="Z204" i="116"/>
  <c r="Y200" i="116"/>
  <c r="X208" i="116"/>
  <c r="Z203" i="116"/>
  <c r="Z199" i="116"/>
  <c r="AA199" i="116"/>
  <c r="Y216" i="116"/>
  <c r="Y205" i="116"/>
  <c r="Y202" i="116"/>
  <c r="Y198" i="116"/>
  <c r="AA198" i="116"/>
  <c r="Y204" i="116"/>
  <c r="Y203" i="116"/>
  <c r="Z202" i="116"/>
  <c r="Y201" i="116"/>
  <c r="Z200" i="116"/>
  <c r="Y199" i="116"/>
  <c r="Z198" i="116"/>
  <c r="Y166" i="125"/>
  <c r="K140" i="123"/>
  <c r="M140" i="123" s="1"/>
  <c r="K139" i="123"/>
  <c r="AF133" i="123"/>
  <c r="AF134" i="123"/>
  <c r="AF135" i="123"/>
  <c r="AF136" i="123"/>
  <c r="AF137" i="123"/>
  <c r="AF138" i="123"/>
  <c r="AF139" i="123"/>
  <c r="AF140" i="123"/>
  <c r="AF141" i="123"/>
  <c r="AF142" i="123"/>
  <c r="AF143" i="123"/>
  <c r="AF144" i="123"/>
  <c r="AF145" i="123"/>
  <c r="AF146" i="123"/>
  <c r="AF147" i="123"/>
  <c r="AF148" i="123"/>
  <c r="AF149" i="123"/>
  <c r="AF150" i="123"/>
  <c r="AF151" i="123"/>
  <c r="AF152" i="123"/>
  <c r="AF153" i="123"/>
  <c r="AF154" i="123"/>
  <c r="AF165" i="123"/>
  <c r="AE133" i="123"/>
  <c r="AE134" i="123"/>
  <c r="AE135" i="123"/>
  <c r="AE136" i="123"/>
  <c r="AE137" i="123"/>
  <c r="AE138" i="123"/>
  <c r="AE139" i="123"/>
  <c r="AE140" i="123"/>
  <c r="AE141" i="123"/>
  <c r="AE142" i="123"/>
  <c r="AE143" i="123"/>
  <c r="AE144" i="123"/>
  <c r="AE145" i="123"/>
  <c r="AE146" i="123"/>
  <c r="AE147" i="123"/>
  <c r="AE148" i="123"/>
  <c r="AE149" i="123"/>
  <c r="AE150" i="123"/>
  <c r="AE151" i="123"/>
  <c r="AE152" i="123"/>
  <c r="AE153" i="123"/>
  <c r="AE154" i="123"/>
  <c r="AE165" i="123"/>
  <c r="AD133" i="123"/>
  <c r="AD134" i="123"/>
  <c r="AD135" i="123"/>
  <c r="AD136" i="123"/>
  <c r="AD137" i="123"/>
  <c r="AD138" i="123"/>
  <c r="AD139" i="123"/>
  <c r="AD140" i="123"/>
  <c r="AD141" i="123"/>
  <c r="AD142" i="123"/>
  <c r="AD143" i="123"/>
  <c r="AD144" i="123"/>
  <c r="AD145" i="123"/>
  <c r="AD146" i="123"/>
  <c r="AD147" i="123"/>
  <c r="AD148" i="123"/>
  <c r="AD149" i="123"/>
  <c r="AD150" i="123"/>
  <c r="AD151" i="123"/>
  <c r="AD152" i="123"/>
  <c r="AD153" i="123"/>
  <c r="AD154" i="123"/>
  <c r="AD165" i="123"/>
  <c r="AC133" i="123"/>
  <c r="AC134" i="123"/>
  <c r="AC136" i="123"/>
  <c r="AC137" i="123"/>
  <c r="AC138" i="123"/>
  <c r="AC139" i="123"/>
  <c r="AC140" i="123"/>
  <c r="AC141" i="123"/>
  <c r="AC142" i="123"/>
  <c r="AC143" i="123"/>
  <c r="AC144" i="123"/>
  <c r="AC145" i="123"/>
  <c r="AC146" i="123"/>
  <c r="AC147" i="123"/>
  <c r="AC148" i="123"/>
  <c r="AC149" i="123"/>
  <c r="AC150" i="123"/>
  <c r="AC151" i="123"/>
  <c r="AC152" i="123"/>
  <c r="AC153" i="123"/>
  <c r="AC154" i="123"/>
  <c r="AC165" i="123"/>
  <c r="V132" i="123"/>
  <c r="V133" i="123"/>
  <c r="V134" i="123"/>
  <c r="V135" i="123"/>
  <c r="V136" i="123"/>
  <c r="V137" i="123"/>
  <c r="V138" i="123"/>
  <c r="V139" i="123"/>
  <c r="V140" i="123"/>
  <c r="V141" i="123"/>
  <c r="V142" i="123"/>
  <c r="V143" i="123"/>
  <c r="V144" i="123"/>
  <c r="V145" i="123"/>
  <c r="V146" i="123"/>
  <c r="V147" i="123"/>
  <c r="V148" i="123"/>
  <c r="V149" i="123"/>
  <c r="V150" i="123"/>
  <c r="V151" i="123"/>
  <c r="V152" i="123"/>
  <c r="V153" i="123"/>
  <c r="V154" i="123"/>
  <c r="V165" i="123"/>
  <c r="U132" i="123"/>
  <c r="X132" i="123" s="1"/>
  <c r="U133" i="123"/>
  <c r="X133" i="123" s="1"/>
  <c r="U134" i="123"/>
  <c r="U135" i="123"/>
  <c r="X135" i="123" s="1"/>
  <c r="AC135" i="123" s="1"/>
  <c r="U136" i="123"/>
  <c r="X136" i="123" s="1"/>
  <c r="U137" i="123"/>
  <c r="X137" i="123" s="1"/>
  <c r="U138" i="123"/>
  <c r="X138" i="123" s="1"/>
  <c r="U139" i="123"/>
  <c r="X139" i="123" s="1"/>
  <c r="U140" i="123"/>
  <c r="X140" i="123" s="1"/>
  <c r="U141" i="123"/>
  <c r="X141" i="123" s="1"/>
  <c r="U142" i="123"/>
  <c r="U143" i="123"/>
  <c r="U144" i="123"/>
  <c r="U145" i="123"/>
  <c r="U146" i="123"/>
  <c r="U147" i="123"/>
  <c r="U148" i="123"/>
  <c r="U149" i="123"/>
  <c r="U150" i="123"/>
  <c r="U151" i="123"/>
  <c r="U152" i="123"/>
  <c r="U153" i="123"/>
  <c r="U154" i="123"/>
  <c r="U165" i="123"/>
  <c r="M133" i="123"/>
  <c r="M135" i="123"/>
  <c r="M136" i="123"/>
  <c r="M137" i="123"/>
  <c r="M138" i="123"/>
  <c r="M139" i="123"/>
  <c r="M141" i="123"/>
  <c r="M142" i="123"/>
  <c r="M143" i="123"/>
  <c r="M144" i="123"/>
  <c r="M145" i="123"/>
  <c r="M146" i="123"/>
  <c r="M147" i="123"/>
  <c r="M148" i="123"/>
  <c r="M149" i="123"/>
  <c r="M150" i="123"/>
  <c r="M151" i="123"/>
  <c r="M152" i="123"/>
  <c r="M153" i="123"/>
  <c r="M154" i="123"/>
  <c r="M164" i="123"/>
  <c r="Z164" i="123" s="1"/>
  <c r="M165" i="123"/>
  <c r="F135" i="123"/>
  <c r="F136" i="123"/>
  <c r="F137" i="123"/>
  <c r="F138" i="123"/>
  <c r="L138" i="123" s="1"/>
  <c r="F139" i="123"/>
  <c r="F140" i="123"/>
  <c r="F141" i="123"/>
  <c r="F142" i="123"/>
  <c r="F143" i="123"/>
  <c r="F144" i="123"/>
  <c r="F145" i="123"/>
  <c r="F146" i="123"/>
  <c r="N149" i="123"/>
  <c r="N150" i="123"/>
  <c r="N151" i="123"/>
  <c r="N152" i="123"/>
  <c r="N153" i="123"/>
  <c r="N154" i="123"/>
  <c r="N164" i="123"/>
  <c r="AA164" i="123" s="1"/>
  <c r="F165" i="123"/>
  <c r="N165" i="123" s="1"/>
  <c r="Z165" i="123" l="1"/>
  <c r="AA153" i="123"/>
  <c r="Z152" i="123"/>
  <c r="Z148" i="123"/>
  <c r="AA149" i="123"/>
  <c r="AA165" i="123"/>
  <c r="AA152" i="123"/>
  <c r="L148" i="123"/>
  <c r="N148" i="123" s="1"/>
  <c r="AA148" i="123" s="1"/>
  <c r="L144" i="123"/>
  <c r="N144" i="123" s="1"/>
  <c r="AA144" i="123" s="1"/>
  <c r="Z154" i="123"/>
  <c r="Z150" i="123"/>
  <c r="Z146" i="123"/>
  <c r="L146" i="123"/>
  <c r="N146" i="123" s="1"/>
  <c r="AA146" i="123" s="1"/>
  <c r="L145" i="123"/>
  <c r="N145" i="123" s="1"/>
  <c r="AA145" i="123" s="1"/>
  <c r="Z151" i="123"/>
  <c r="Z147" i="123"/>
  <c r="AA151" i="123"/>
  <c r="L147" i="123"/>
  <c r="N147" i="123" s="1"/>
  <c r="AA147" i="123" s="1"/>
  <c r="L142" i="123"/>
  <c r="N142" i="123" s="1"/>
  <c r="AA142" i="123" s="1"/>
  <c r="Y153" i="123"/>
  <c r="Y149" i="123"/>
  <c r="L143" i="123"/>
  <c r="N143" i="123" s="1"/>
  <c r="AA143" i="123" s="1"/>
  <c r="Z144" i="123"/>
  <c r="Y145" i="123"/>
  <c r="Z143" i="123"/>
  <c r="Z142" i="123"/>
  <c r="Z139" i="123"/>
  <c r="Z153" i="123"/>
  <c r="Z149" i="123"/>
  <c r="Z145" i="123"/>
  <c r="Z141" i="123"/>
  <c r="Z137" i="123"/>
  <c r="Y165" i="123"/>
  <c r="Y152" i="123"/>
  <c r="Y148" i="123"/>
  <c r="Y144" i="123"/>
  <c r="AA154" i="123"/>
  <c r="AA150" i="123"/>
  <c r="Y164" i="123"/>
  <c r="Y151" i="123"/>
  <c r="Y147" i="123"/>
  <c r="Y143" i="123"/>
  <c r="Y154" i="123"/>
  <c r="Y150" i="123"/>
  <c r="Y146" i="123"/>
  <c r="Y142" i="123"/>
  <c r="Z135" i="123"/>
  <c r="X154" i="123"/>
  <c r="X150" i="123"/>
  <c r="X146" i="123"/>
  <c r="X142" i="123"/>
  <c r="AA138" i="123"/>
  <c r="Z136" i="123"/>
  <c r="X153" i="123"/>
  <c r="X149" i="123"/>
  <c r="X145" i="123"/>
  <c r="L139" i="123"/>
  <c r="N139" i="123" s="1"/>
  <c r="AA139" i="123" s="1"/>
  <c r="L141" i="123"/>
  <c r="N141" i="123" s="1"/>
  <c r="AA141" i="123" s="1"/>
  <c r="X165" i="123"/>
  <c r="X152" i="123"/>
  <c r="X148" i="123"/>
  <c r="X144" i="123"/>
  <c r="Y138" i="123"/>
  <c r="X151" i="123"/>
  <c r="X147" i="123"/>
  <c r="X143" i="123"/>
  <c r="L137" i="123"/>
  <c r="AA137" i="123" s="1"/>
  <c r="L140" i="123"/>
  <c r="N140" i="123" s="1"/>
  <c r="AA140" i="123" s="1"/>
  <c r="Y141" i="123"/>
  <c r="Z133" i="123"/>
  <c r="Y140" i="123"/>
  <c r="Y136" i="123"/>
  <c r="Y135" i="123"/>
  <c r="Y133" i="123"/>
  <c r="X134" i="123"/>
  <c r="Z140" i="123"/>
  <c r="Y139" i="123"/>
  <c r="Z138" i="123"/>
  <c r="Y137" i="123"/>
  <c r="AF173" i="118"/>
  <c r="AF174" i="118"/>
  <c r="AF175" i="118"/>
  <c r="AF176" i="118"/>
  <c r="AF177" i="118"/>
  <c r="AF178" i="118"/>
  <c r="AF179" i="118"/>
  <c r="AF180" i="118"/>
  <c r="AF181" i="118"/>
  <c r="AF214" i="118"/>
  <c r="AE173" i="118"/>
  <c r="AE174" i="118"/>
  <c r="AE175" i="118"/>
  <c r="AE176" i="118"/>
  <c r="AE177" i="118"/>
  <c r="AE178" i="118"/>
  <c r="AE179" i="118"/>
  <c r="AE180" i="118"/>
  <c r="AE181" i="118"/>
  <c r="AD173" i="118"/>
  <c r="AD174" i="118"/>
  <c r="AD175" i="118"/>
  <c r="AD176" i="118"/>
  <c r="AD177" i="118"/>
  <c r="AD178" i="118"/>
  <c r="AD179" i="118"/>
  <c r="AD180" i="118"/>
  <c r="AD181" i="118"/>
  <c r="AC173" i="118"/>
  <c r="AC174" i="118"/>
  <c r="AC175" i="118"/>
  <c r="AC176" i="118"/>
  <c r="AC177" i="118"/>
  <c r="AC178" i="118"/>
  <c r="AC179" i="118"/>
  <c r="AC180" i="118"/>
  <c r="AC181" i="118"/>
  <c r="AC182" i="118"/>
  <c r="V174" i="118"/>
  <c r="V175" i="118"/>
  <c r="V176" i="118"/>
  <c r="V177" i="118"/>
  <c r="V178" i="118"/>
  <c r="V179" i="118"/>
  <c r="V180" i="118"/>
  <c r="V181" i="118"/>
  <c r="V182" i="118"/>
  <c r="V183" i="118"/>
  <c r="V184" i="118"/>
  <c r="U174" i="118"/>
  <c r="U175" i="118"/>
  <c r="U176" i="118"/>
  <c r="X176" i="118" s="1"/>
  <c r="U177" i="118"/>
  <c r="X177" i="118" s="1"/>
  <c r="U178" i="118"/>
  <c r="X178" i="118" s="1"/>
  <c r="U179" i="118"/>
  <c r="X179" i="118" s="1"/>
  <c r="U180" i="118"/>
  <c r="U181" i="118"/>
  <c r="U182" i="118"/>
  <c r="U183" i="118"/>
  <c r="Y183" i="118" s="1"/>
  <c r="U184" i="118"/>
  <c r="M176" i="118"/>
  <c r="M178" i="118"/>
  <c r="M179" i="118"/>
  <c r="M180" i="118"/>
  <c r="Z180" i="118" s="1"/>
  <c r="M181" i="118"/>
  <c r="F178" i="118"/>
  <c r="L178" i="118" s="1"/>
  <c r="N178" i="118" s="1"/>
  <c r="F179" i="118"/>
  <c r="F180" i="118"/>
  <c r="F181" i="118"/>
  <c r="F182" i="118"/>
  <c r="F183" i="118"/>
  <c r="F184" i="118"/>
  <c r="F185" i="118"/>
  <c r="F186" i="118"/>
  <c r="L186" i="118" s="1"/>
  <c r="N186" i="118" s="1"/>
  <c r="AA186" i="118" s="1"/>
  <c r="L179" i="118"/>
  <c r="N179" i="118" s="1"/>
  <c r="K177" i="118"/>
  <c r="M177" i="118" s="1"/>
  <c r="AF134" i="122"/>
  <c r="AF135" i="122"/>
  <c r="AF136" i="122"/>
  <c r="AF137" i="122"/>
  <c r="AF138" i="122"/>
  <c r="AF139" i="122"/>
  <c r="AF140" i="122"/>
  <c r="AF141" i="122"/>
  <c r="AF142" i="122"/>
  <c r="AF143" i="122"/>
  <c r="AF144" i="122"/>
  <c r="AF145" i="122"/>
  <c r="AF146" i="122"/>
  <c r="AF147" i="122"/>
  <c r="AF148" i="122"/>
  <c r="AF149" i="122"/>
  <c r="AF150" i="122"/>
  <c r="AF151" i="122"/>
  <c r="AF152" i="122"/>
  <c r="AF153" i="122"/>
  <c r="AF154" i="122"/>
  <c r="AF155" i="122"/>
  <c r="AF156" i="122"/>
  <c r="AF157" i="122"/>
  <c r="AF158" i="122"/>
  <c r="AF159" i="122"/>
  <c r="AE134" i="122"/>
  <c r="AE135" i="122"/>
  <c r="AE136" i="122"/>
  <c r="AE137" i="122"/>
  <c r="AE138" i="122"/>
  <c r="AE139" i="122"/>
  <c r="AE140" i="122"/>
  <c r="AE141" i="122"/>
  <c r="AE142" i="122"/>
  <c r="AE143" i="122"/>
  <c r="AE144" i="122"/>
  <c r="AE145" i="122"/>
  <c r="AE146" i="122"/>
  <c r="AE147" i="122"/>
  <c r="AE148" i="122"/>
  <c r="AE149" i="122"/>
  <c r="AE150" i="122"/>
  <c r="AE151" i="122"/>
  <c r="AE152" i="122"/>
  <c r="AE153" i="122"/>
  <c r="AE154" i="122"/>
  <c r="AE155" i="122"/>
  <c r="AE156" i="122"/>
  <c r="AE157" i="122"/>
  <c r="AE158" i="122"/>
  <c r="AE159" i="122"/>
  <c r="AD135" i="122"/>
  <c r="AD136" i="122"/>
  <c r="AD137" i="122"/>
  <c r="AD138" i="122"/>
  <c r="AD139" i="122"/>
  <c r="AD140" i="122"/>
  <c r="AD141" i="122"/>
  <c r="AD142" i="122"/>
  <c r="AD143" i="122"/>
  <c r="AD144" i="122"/>
  <c r="AD145" i="122"/>
  <c r="AD146" i="122"/>
  <c r="AD147" i="122"/>
  <c r="AD148" i="122"/>
  <c r="AD149" i="122"/>
  <c r="AD150" i="122"/>
  <c r="AD151" i="122"/>
  <c r="AD152" i="122"/>
  <c r="AD153" i="122"/>
  <c r="AD154" i="122"/>
  <c r="AD155" i="122"/>
  <c r="AD156" i="122"/>
  <c r="AD157" i="122"/>
  <c r="AD158" i="122"/>
  <c r="AD159" i="122"/>
  <c r="AC138" i="122"/>
  <c r="AC139" i="122"/>
  <c r="AC140" i="122"/>
  <c r="AC141" i="122"/>
  <c r="AC142" i="122"/>
  <c r="AC143" i="122"/>
  <c r="AC144" i="122"/>
  <c r="AC145" i="122"/>
  <c r="AC146" i="122"/>
  <c r="AC147" i="122"/>
  <c r="AC148" i="122"/>
  <c r="AC149" i="122"/>
  <c r="AC150" i="122"/>
  <c r="AC151" i="122"/>
  <c r="AC152" i="122"/>
  <c r="AC153" i="122"/>
  <c r="AC154" i="122"/>
  <c r="AC155" i="122"/>
  <c r="AC156" i="122"/>
  <c r="AC157" i="122"/>
  <c r="AC158" i="122"/>
  <c r="AC159" i="122"/>
  <c r="AC160" i="122"/>
  <c r="X158" i="122"/>
  <c r="W138" i="122"/>
  <c r="W139" i="122"/>
  <c r="W140" i="122"/>
  <c r="W141" i="122"/>
  <c r="W142" i="122"/>
  <c r="W143" i="122"/>
  <c r="W144" i="122"/>
  <c r="W145" i="122"/>
  <c r="W146" i="122"/>
  <c r="W147" i="122"/>
  <c r="W148" i="122"/>
  <c r="W149" i="122"/>
  <c r="W150" i="122"/>
  <c r="W151" i="122"/>
  <c r="W152" i="122"/>
  <c r="W153" i="122"/>
  <c r="W154" i="122"/>
  <c r="W155" i="122"/>
  <c r="W156" i="122"/>
  <c r="W157" i="122"/>
  <c r="W158" i="122"/>
  <c r="W159" i="122"/>
  <c r="V138" i="122"/>
  <c r="V139" i="122"/>
  <c r="V140" i="122"/>
  <c r="V141" i="122"/>
  <c r="V142" i="122"/>
  <c r="V143" i="122"/>
  <c r="V144" i="122"/>
  <c r="V145" i="122"/>
  <c r="V146" i="122"/>
  <c r="V147" i="122"/>
  <c r="V148" i="122"/>
  <c r="V149" i="122"/>
  <c r="V150" i="122"/>
  <c r="V151" i="122"/>
  <c r="V152" i="122"/>
  <c r="V153" i="122"/>
  <c r="V154" i="122"/>
  <c r="V155" i="122"/>
  <c r="V156" i="122"/>
  <c r="V157" i="122"/>
  <c r="V158" i="122"/>
  <c r="V159" i="122"/>
  <c r="U137" i="122"/>
  <c r="U138" i="122"/>
  <c r="U139" i="122"/>
  <c r="X139" i="122" s="1"/>
  <c r="U140" i="122"/>
  <c r="U141" i="122"/>
  <c r="X141" i="122" s="1"/>
  <c r="U142" i="122"/>
  <c r="X142" i="122" s="1"/>
  <c r="X143" i="122"/>
  <c r="X146" i="122"/>
  <c r="X147" i="122"/>
  <c r="X149" i="122"/>
  <c r="X151" i="122"/>
  <c r="X152" i="122"/>
  <c r="X155" i="122"/>
  <c r="X157" i="122"/>
  <c r="X159" i="122"/>
  <c r="M139" i="122"/>
  <c r="M140" i="122"/>
  <c r="M141" i="122"/>
  <c r="M142" i="122"/>
  <c r="M143" i="122"/>
  <c r="M144" i="122"/>
  <c r="Y144" i="122" s="1"/>
  <c r="M145" i="122"/>
  <c r="M146" i="122"/>
  <c r="M147" i="122"/>
  <c r="M148" i="122"/>
  <c r="Y148" i="122" s="1"/>
  <c r="M149" i="122"/>
  <c r="Y149" i="122" s="1"/>
  <c r="M150" i="122"/>
  <c r="M151" i="122"/>
  <c r="M152" i="122"/>
  <c r="Y152" i="122" s="1"/>
  <c r="M153" i="122"/>
  <c r="Y153" i="122" s="1"/>
  <c r="M154" i="122"/>
  <c r="M155" i="122"/>
  <c r="M156" i="122"/>
  <c r="M157" i="122"/>
  <c r="M158" i="122"/>
  <c r="M159" i="122"/>
  <c r="Z159" i="122" s="1"/>
  <c r="F139" i="122"/>
  <c r="F140" i="122"/>
  <c r="F141" i="122"/>
  <c r="F142" i="122"/>
  <c r="F143" i="122"/>
  <c r="L143" i="122" s="1"/>
  <c r="N143" i="122" s="1"/>
  <c r="F144" i="122"/>
  <c r="F145" i="122"/>
  <c r="F146" i="122"/>
  <c r="F147" i="122"/>
  <c r="F148" i="122"/>
  <c r="F149" i="122"/>
  <c r="N150" i="122"/>
  <c r="F151" i="122"/>
  <c r="F152" i="122"/>
  <c r="L152" i="122" s="1"/>
  <c r="F153" i="122"/>
  <c r="L153" i="122" s="1"/>
  <c r="F154" i="122"/>
  <c r="F155" i="122"/>
  <c r="F156" i="122"/>
  <c r="F157" i="122"/>
  <c r="F158" i="122"/>
  <c r="F159" i="122"/>
  <c r="K272" i="117"/>
  <c r="K273" i="117"/>
  <c r="K274" i="117"/>
  <c r="K188" i="121"/>
  <c r="K137" i="119"/>
  <c r="M137" i="119" s="1"/>
  <c r="AF131" i="119"/>
  <c r="AF132" i="119"/>
  <c r="AF133" i="119"/>
  <c r="AF134" i="119"/>
  <c r="AF135" i="119"/>
  <c r="AF136" i="119"/>
  <c r="AF137" i="119"/>
  <c r="AF138" i="119"/>
  <c r="AF139" i="119"/>
  <c r="AF140" i="119"/>
  <c r="AF141" i="119"/>
  <c r="AF142" i="119"/>
  <c r="AF143" i="119"/>
  <c r="AF144" i="119"/>
  <c r="AF145" i="119"/>
  <c r="AF146" i="119"/>
  <c r="AF147" i="119"/>
  <c r="AF154" i="119"/>
  <c r="AF155" i="119"/>
  <c r="AE131" i="119"/>
  <c r="AE132" i="119"/>
  <c r="AE133" i="119"/>
  <c r="AE134" i="119"/>
  <c r="AE135" i="119"/>
  <c r="AE136" i="119"/>
  <c r="AE137" i="119"/>
  <c r="AE138" i="119"/>
  <c r="AE139" i="119"/>
  <c r="AE140" i="119"/>
  <c r="AE141" i="119"/>
  <c r="AE142" i="119"/>
  <c r="AE143" i="119"/>
  <c r="AE144" i="119"/>
  <c r="AE145" i="119"/>
  <c r="AE146" i="119"/>
  <c r="AE147" i="119"/>
  <c r="AE154" i="119"/>
  <c r="AE155" i="119"/>
  <c r="AD131" i="119"/>
  <c r="AD132" i="119"/>
  <c r="AD133" i="119"/>
  <c r="AD134" i="119"/>
  <c r="AD135" i="119"/>
  <c r="AD136" i="119"/>
  <c r="AD137" i="119"/>
  <c r="AD138" i="119"/>
  <c r="AD139" i="119"/>
  <c r="AD140" i="119"/>
  <c r="AD141" i="119"/>
  <c r="AD142" i="119"/>
  <c r="AD143" i="119"/>
  <c r="AD144" i="119"/>
  <c r="AD145" i="119"/>
  <c r="AD146" i="119"/>
  <c r="AD147" i="119"/>
  <c r="AD154" i="119"/>
  <c r="AD155" i="119"/>
  <c r="AC131" i="119"/>
  <c r="AC132" i="119"/>
  <c r="AC133" i="119"/>
  <c r="AC134" i="119"/>
  <c r="AC135" i="119"/>
  <c r="AC136" i="119"/>
  <c r="AC137" i="119"/>
  <c r="AC138" i="119"/>
  <c r="AC139" i="119"/>
  <c r="AC140" i="119"/>
  <c r="AC141" i="119"/>
  <c r="AC142" i="119"/>
  <c r="AC143" i="119"/>
  <c r="AC144" i="119"/>
  <c r="AC145" i="119"/>
  <c r="AC146" i="119"/>
  <c r="AC147" i="119"/>
  <c r="AC154" i="119"/>
  <c r="AC155" i="119"/>
  <c r="V133" i="119"/>
  <c r="V134" i="119"/>
  <c r="V135" i="119"/>
  <c r="V136" i="119"/>
  <c r="V137" i="119"/>
  <c r="V138" i="119"/>
  <c r="V139" i="119"/>
  <c r="V140" i="119"/>
  <c r="V141" i="119"/>
  <c r="V142" i="119"/>
  <c r="V143" i="119"/>
  <c r="V144" i="119"/>
  <c r="V145" i="119"/>
  <c r="V146" i="119"/>
  <c r="V147" i="119"/>
  <c r="V153" i="119"/>
  <c r="V154" i="119"/>
  <c r="V155" i="119"/>
  <c r="U133" i="119"/>
  <c r="X133" i="119" s="1"/>
  <c r="U134" i="119"/>
  <c r="U135" i="119"/>
  <c r="U136" i="119"/>
  <c r="U137" i="119"/>
  <c r="X137" i="119" s="1"/>
  <c r="U138" i="119"/>
  <c r="U139" i="119"/>
  <c r="X139" i="119" s="1"/>
  <c r="U140" i="119"/>
  <c r="X140" i="119" s="1"/>
  <c r="U141" i="119"/>
  <c r="U142" i="119"/>
  <c r="X142" i="119" s="1"/>
  <c r="U143" i="119"/>
  <c r="X143" i="119" s="1"/>
  <c r="U144" i="119"/>
  <c r="X144" i="119" s="1"/>
  <c r="U145" i="119"/>
  <c r="X145" i="119" s="1"/>
  <c r="U146" i="119"/>
  <c r="X146" i="119" s="1"/>
  <c r="U147" i="119"/>
  <c r="U153" i="119"/>
  <c r="X153" i="119" s="1"/>
  <c r="U154" i="119"/>
  <c r="U155" i="119"/>
  <c r="M136" i="119"/>
  <c r="M138" i="119"/>
  <c r="M139" i="119"/>
  <c r="M140" i="119"/>
  <c r="M141" i="119"/>
  <c r="M142" i="119"/>
  <c r="M143" i="119"/>
  <c r="M144" i="119"/>
  <c r="M145" i="119"/>
  <c r="M146" i="119"/>
  <c r="M147" i="119"/>
  <c r="M153" i="119"/>
  <c r="M154" i="119"/>
  <c r="M155" i="119"/>
  <c r="F137" i="119"/>
  <c r="L137" i="119" s="1"/>
  <c r="F138" i="119"/>
  <c r="F139" i="119"/>
  <c r="F140" i="119"/>
  <c r="F141" i="119"/>
  <c r="F142" i="119"/>
  <c r="F143" i="119"/>
  <c r="F144" i="119"/>
  <c r="F145" i="119"/>
  <c r="F146" i="119"/>
  <c r="F147" i="119"/>
  <c r="F153" i="119"/>
  <c r="F154" i="119"/>
  <c r="F155" i="119"/>
  <c r="K158" i="120"/>
  <c r="U117" i="119"/>
  <c r="K155" i="120"/>
  <c r="K153" i="120"/>
  <c r="J9" i="19"/>
  <c r="N155" i="119" l="1"/>
  <c r="AA155" i="119" s="1"/>
  <c r="L155" i="119"/>
  <c r="L153" i="119"/>
  <c r="N153" i="119" s="1"/>
  <c r="AA153" i="119" s="1"/>
  <c r="N154" i="119"/>
  <c r="AA154" i="119" s="1"/>
  <c r="L154" i="119"/>
  <c r="Z147" i="119"/>
  <c r="L147" i="119"/>
  <c r="N147" i="119" s="1"/>
  <c r="AA147" i="119" s="1"/>
  <c r="L146" i="119"/>
  <c r="N146" i="119" s="1"/>
  <c r="AA146" i="119" s="1"/>
  <c r="Z181" i="118"/>
  <c r="N158" i="122"/>
  <c r="AA158" i="122" s="1"/>
  <c r="L158" i="122"/>
  <c r="L154" i="122"/>
  <c r="N154" i="122" s="1"/>
  <c r="AA154" i="122" s="1"/>
  <c r="N157" i="122"/>
  <c r="AA157" i="122" s="1"/>
  <c r="L157" i="122"/>
  <c r="N153" i="122"/>
  <c r="AA153" i="122" s="1"/>
  <c r="Y153" i="119"/>
  <c r="N156" i="122"/>
  <c r="AA156" i="122" s="1"/>
  <c r="L156" i="122"/>
  <c r="N152" i="122"/>
  <c r="AA152" i="122" s="1"/>
  <c r="L145" i="119"/>
  <c r="N145" i="119" s="1"/>
  <c r="AA145" i="119" s="1"/>
  <c r="N159" i="122"/>
  <c r="AA159" i="122" s="1"/>
  <c r="L159" i="122"/>
  <c r="L155" i="122"/>
  <c r="N155" i="122" s="1"/>
  <c r="AA155" i="122" s="1"/>
  <c r="L151" i="122"/>
  <c r="N151" i="122" s="1"/>
  <c r="AA151" i="122" s="1"/>
  <c r="AA150" i="122"/>
  <c r="AA143" i="122"/>
  <c r="Y144" i="119"/>
  <c r="Z143" i="119"/>
  <c r="L148" i="122"/>
  <c r="N148" i="122" s="1"/>
  <c r="AA148" i="122" s="1"/>
  <c r="L147" i="122"/>
  <c r="N147" i="122" s="1"/>
  <c r="AA147" i="122" s="1"/>
  <c r="L146" i="122"/>
  <c r="N146" i="122" s="1"/>
  <c r="AA146" i="122" s="1"/>
  <c r="Z154" i="119"/>
  <c r="Z145" i="119"/>
  <c r="Y147" i="119"/>
  <c r="L149" i="122"/>
  <c r="N149" i="122" s="1"/>
  <c r="AA149" i="122" s="1"/>
  <c r="L145" i="122"/>
  <c r="N145" i="122" s="1"/>
  <c r="AA145" i="122" s="1"/>
  <c r="L143" i="119"/>
  <c r="N143" i="119" s="1"/>
  <c r="AA143" i="119" s="1"/>
  <c r="L141" i="119"/>
  <c r="N141" i="119" s="1"/>
  <c r="AA141" i="119" s="1"/>
  <c r="L139" i="119"/>
  <c r="N139" i="119" s="1"/>
  <c r="AA139" i="119" s="1"/>
  <c r="L141" i="122"/>
  <c r="N141" i="122" s="1"/>
  <c r="AA141" i="122" s="1"/>
  <c r="Z158" i="122"/>
  <c r="Y158" i="122"/>
  <c r="Z156" i="122"/>
  <c r="Y156" i="122"/>
  <c r="Z154" i="122"/>
  <c r="Y154" i="122"/>
  <c r="Z150" i="122"/>
  <c r="Y150" i="122"/>
  <c r="L185" i="118"/>
  <c r="N185" i="118" s="1"/>
  <c r="AA185" i="118" s="1"/>
  <c r="L183" i="118"/>
  <c r="N183" i="118" s="1"/>
  <c r="AA183" i="118" s="1"/>
  <c r="L181" i="118"/>
  <c r="N181" i="118" s="1"/>
  <c r="AA181" i="118" s="1"/>
  <c r="X147" i="119"/>
  <c r="L144" i="119"/>
  <c r="N144" i="119" s="1"/>
  <c r="AA144" i="119" s="1"/>
  <c r="L142" i="119"/>
  <c r="N142" i="119" s="1"/>
  <c r="AA142" i="119" s="1"/>
  <c r="L140" i="119"/>
  <c r="N140" i="119" s="1"/>
  <c r="AA140" i="119" s="1"/>
  <c r="L138" i="119"/>
  <c r="N138" i="119" s="1"/>
  <c r="AA138" i="119" s="1"/>
  <c r="L144" i="122"/>
  <c r="N144" i="122" s="1"/>
  <c r="AA144" i="122" s="1"/>
  <c r="L142" i="122"/>
  <c r="AA142" i="122" s="1"/>
  <c r="L140" i="122"/>
  <c r="N140" i="122" s="1"/>
  <c r="AA140" i="122" s="1"/>
  <c r="Z157" i="122"/>
  <c r="Y157" i="122"/>
  <c r="Z155" i="122"/>
  <c r="Y155" i="122"/>
  <c r="Z151" i="122"/>
  <c r="Y151" i="122"/>
  <c r="L184" i="118"/>
  <c r="N184" i="118" s="1"/>
  <c r="AA184" i="118" s="1"/>
  <c r="L182" i="118"/>
  <c r="N182" i="118" s="1"/>
  <c r="AA182" i="118" s="1"/>
  <c r="L180" i="118"/>
  <c r="N180" i="118" s="1"/>
  <c r="AA180" i="118" s="1"/>
  <c r="Z149" i="122"/>
  <c r="Z140" i="119"/>
  <c r="Z141" i="119"/>
  <c r="Z139" i="119"/>
  <c r="Z147" i="122"/>
  <c r="Y147" i="122"/>
  <c r="Z146" i="122"/>
  <c r="Y146" i="122"/>
  <c r="Z145" i="122"/>
  <c r="Y145" i="122"/>
  <c r="Z176" i="118"/>
  <c r="X183" i="118"/>
  <c r="Z183" i="118"/>
  <c r="X184" i="118"/>
  <c r="Z184" i="118"/>
  <c r="Z143" i="122"/>
  <c r="Y143" i="122"/>
  <c r="Z144" i="122"/>
  <c r="Y179" i="118"/>
  <c r="Z142" i="122"/>
  <c r="AA178" i="118"/>
  <c r="Z139" i="122"/>
  <c r="Z177" i="118"/>
  <c r="AA179" i="118"/>
  <c r="X144" i="122"/>
  <c r="Y139" i="119"/>
  <c r="X148" i="122"/>
  <c r="Y181" i="118"/>
  <c r="Y155" i="119"/>
  <c r="Y138" i="119"/>
  <c r="Z148" i="122"/>
  <c r="X156" i="122"/>
  <c r="Y180" i="118"/>
  <c r="X180" i="118"/>
  <c r="Y143" i="119"/>
  <c r="Z144" i="119"/>
  <c r="Z153" i="122"/>
  <c r="X153" i="122"/>
  <c r="X145" i="122"/>
  <c r="Z152" i="122"/>
  <c r="Y184" i="118"/>
  <c r="Y142" i="119"/>
  <c r="Y182" i="118"/>
  <c r="X182" i="118"/>
  <c r="X155" i="119"/>
  <c r="Y154" i="119"/>
  <c r="Y145" i="119"/>
  <c r="Y141" i="119"/>
  <c r="X154" i="119"/>
  <c r="X138" i="119"/>
  <c r="Y146" i="119"/>
  <c r="Y140" i="119"/>
  <c r="Z153" i="119"/>
  <c r="Z182" i="118"/>
  <c r="Z178" i="118"/>
  <c r="X150" i="122"/>
  <c r="Y159" i="122"/>
  <c r="Z155" i="119"/>
  <c r="Z146" i="119"/>
  <c r="Z142" i="119"/>
  <c r="Z138" i="119"/>
  <c r="X141" i="119"/>
  <c r="X154" i="122"/>
  <c r="N137" i="119"/>
  <c r="AA137" i="119" s="1"/>
  <c r="Z141" i="122"/>
  <c r="X181" i="118"/>
  <c r="Y142" i="122"/>
  <c r="Y141" i="122"/>
  <c r="Z140" i="122"/>
  <c r="Z137" i="119"/>
  <c r="Y177" i="118"/>
  <c r="X140" i="122"/>
  <c r="Y140" i="122"/>
  <c r="X174" i="118"/>
  <c r="X175" i="118"/>
  <c r="Y139" i="122"/>
  <c r="Z136" i="119"/>
  <c r="Z179" i="118"/>
  <c r="Y178" i="118"/>
  <c r="Y176" i="118"/>
  <c r="X138" i="122"/>
  <c r="X134" i="119"/>
  <c r="X136" i="119"/>
  <c r="Y136" i="119"/>
  <c r="X135" i="119"/>
  <c r="Y137" i="119"/>
  <c r="L139" i="122"/>
  <c r="N139" i="122" l="1"/>
  <c r="AA139" i="122" s="1"/>
  <c r="AF176" i="121"/>
  <c r="AF177" i="121"/>
  <c r="AF178" i="121"/>
  <c r="AF179" i="121"/>
  <c r="AF180" i="121"/>
  <c r="AF181" i="121"/>
  <c r="AF182" i="121"/>
  <c r="AF183" i="121"/>
  <c r="AF184" i="121"/>
  <c r="AF185" i="121"/>
  <c r="AF186" i="121"/>
  <c r="AF187" i="121"/>
  <c r="AF188" i="121"/>
  <c r="AF189" i="121"/>
  <c r="AF190" i="121"/>
  <c r="AF191" i="121"/>
  <c r="AF192" i="121"/>
  <c r="AF193" i="121"/>
  <c r="AF194" i="121"/>
  <c r="AF195" i="121"/>
  <c r="AF196" i="121"/>
  <c r="AF197" i="121"/>
  <c r="AF216" i="121"/>
  <c r="AF217" i="121"/>
  <c r="AF218" i="121"/>
  <c r="AE176" i="121"/>
  <c r="AE177" i="121"/>
  <c r="AE178" i="121"/>
  <c r="AE179" i="121"/>
  <c r="AE180" i="121"/>
  <c r="AE181" i="121"/>
  <c r="AE182" i="121"/>
  <c r="AE183" i="121"/>
  <c r="AE184" i="121"/>
  <c r="AE185" i="121"/>
  <c r="AE187" i="121"/>
  <c r="AE188" i="121"/>
  <c r="AE189" i="121"/>
  <c r="AE190" i="121"/>
  <c r="AE191" i="121"/>
  <c r="AE192" i="121"/>
  <c r="AE193" i="121"/>
  <c r="AE194" i="121"/>
  <c r="AE195" i="121"/>
  <c r="AE196" i="121"/>
  <c r="AE197" i="121"/>
  <c r="AE216" i="121"/>
  <c r="AE217" i="121"/>
  <c r="AE218" i="121"/>
  <c r="AD170" i="121"/>
  <c r="AD171" i="121"/>
  <c r="AD172" i="121"/>
  <c r="AD173" i="121"/>
  <c r="AD174" i="121"/>
  <c r="AD175" i="121"/>
  <c r="AD176" i="121"/>
  <c r="AD177" i="121"/>
  <c r="AD178" i="121"/>
  <c r="AD179" i="121"/>
  <c r="AD180" i="121"/>
  <c r="AD181" i="121"/>
  <c r="AD182" i="121"/>
  <c r="AD183" i="121"/>
  <c r="AD184" i="121"/>
  <c r="AD185" i="121"/>
  <c r="AD186" i="121"/>
  <c r="AD187" i="121"/>
  <c r="AD188" i="121"/>
  <c r="AD189" i="121"/>
  <c r="AD190" i="121"/>
  <c r="AD191" i="121"/>
  <c r="AD192" i="121"/>
  <c r="AD193" i="121"/>
  <c r="AD194" i="121"/>
  <c r="AD195" i="121"/>
  <c r="AD196" i="121"/>
  <c r="AD197" i="121"/>
  <c r="AD216" i="121"/>
  <c r="AD217" i="121"/>
  <c r="AD218" i="121"/>
  <c r="AC197" i="121"/>
  <c r="AC216" i="121"/>
  <c r="AC217" i="121"/>
  <c r="AC218" i="121"/>
  <c r="AC182" i="121"/>
  <c r="AC183" i="121"/>
  <c r="AC184" i="121"/>
  <c r="AC185" i="121"/>
  <c r="AC186" i="121"/>
  <c r="AC188" i="121"/>
  <c r="AC189" i="121"/>
  <c r="AC190" i="121"/>
  <c r="AC191" i="121"/>
  <c r="AC193" i="121"/>
  <c r="AC194" i="121"/>
  <c r="AC195" i="121"/>
  <c r="AC196" i="121"/>
  <c r="W180" i="121"/>
  <c r="W181" i="121"/>
  <c r="W182" i="121"/>
  <c r="W183" i="121"/>
  <c r="W184" i="121"/>
  <c r="W185" i="121"/>
  <c r="W186" i="121"/>
  <c r="W187" i="121"/>
  <c r="W188" i="121"/>
  <c r="W189" i="121"/>
  <c r="W190" i="121"/>
  <c r="W191" i="121"/>
  <c r="W192" i="121"/>
  <c r="W193" i="121"/>
  <c r="W194" i="121"/>
  <c r="W195" i="121"/>
  <c r="W196" i="121"/>
  <c r="W197" i="121"/>
  <c r="W216" i="121"/>
  <c r="W217" i="121"/>
  <c r="W218" i="121"/>
  <c r="V180" i="121"/>
  <c r="V181" i="121"/>
  <c r="V182" i="121"/>
  <c r="V183" i="121"/>
  <c r="V184" i="121"/>
  <c r="V185" i="121"/>
  <c r="V186" i="121"/>
  <c r="V187" i="121"/>
  <c r="V188" i="121"/>
  <c r="V189" i="121"/>
  <c r="V190" i="121"/>
  <c r="V194" i="121"/>
  <c r="V195" i="121"/>
  <c r="V196" i="121"/>
  <c r="V197" i="121"/>
  <c r="V216" i="121"/>
  <c r="V217" i="121"/>
  <c r="V218" i="121"/>
  <c r="U180" i="121"/>
  <c r="U181" i="121"/>
  <c r="U182" i="121"/>
  <c r="U183" i="121"/>
  <c r="U184" i="121"/>
  <c r="U185" i="121"/>
  <c r="X185" i="121" s="1"/>
  <c r="U186" i="121"/>
  <c r="U187" i="121"/>
  <c r="U188" i="121"/>
  <c r="X188" i="121" s="1"/>
  <c r="U189" i="121"/>
  <c r="X189" i="121" s="1"/>
  <c r="U190" i="121"/>
  <c r="X190" i="121" s="1"/>
  <c r="U191" i="121"/>
  <c r="X191" i="121" s="1"/>
  <c r="U192" i="121"/>
  <c r="X192" i="121" s="1"/>
  <c r="U193" i="121"/>
  <c r="X193" i="121" s="1"/>
  <c r="U194" i="121"/>
  <c r="X194" i="121" s="1"/>
  <c r="U195" i="121"/>
  <c r="X195" i="121" s="1"/>
  <c r="U196" i="121"/>
  <c r="X196" i="121" s="1"/>
  <c r="U197" i="121"/>
  <c r="X197" i="121" s="1"/>
  <c r="U216" i="121"/>
  <c r="X216" i="121" s="1"/>
  <c r="U217" i="121"/>
  <c r="X217" i="121" s="1"/>
  <c r="U218" i="121"/>
  <c r="M183" i="121"/>
  <c r="M185" i="121"/>
  <c r="M186" i="121"/>
  <c r="M187" i="121"/>
  <c r="M188" i="121"/>
  <c r="M189" i="121"/>
  <c r="M190" i="121"/>
  <c r="M191" i="121"/>
  <c r="M192" i="121"/>
  <c r="M193" i="121"/>
  <c r="M194" i="121"/>
  <c r="M195" i="121"/>
  <c r="M196" i="121"/>
  <c r="M197" i="121"/>
  <c r="M216" i="121"/>
  <c r="Z216" i="121" s="1"/>
  <c r="M217" i="121"/>
  <c r="M218" i="121"/>
  <c r="F182" i="121"/>
  <c r="F183" i="121"/>
  <c r="F184" i="121"/>
  <c r="F185" i="121"/>
  <c r="F186" i="121"/>
  <c r="F187" i="121"/>
  <c r="F188" i="121"/>
  <c r="F189" i="121"/>
  <c r="F190" i="121"/>
  <c r="F191" i="121"/>
  <c r="F192" i="121"/>
  <c r="F193" i="121"/>
  <c r="F194" i="121"/>
  <c r="F195" i="121"/>
  <c r="F196" i="121"/>
  <c r="F197" i="121"/>
  <c r="F216" i="121"/>
  <c r="F217" i="121"/>
  <c r="F218" i="121"/>
  <c r="K175" i="118"/>
  <c r="K174" i="118"/>
  <c r="M174" i="118" s="1"/>
  <c r="AF170" i="118"/>
  <c r="AF171" i="118"/>
  <c r="AF172" i="118"/>
  <c r="AE170" i="118"/>
  <c r="AE171" i="118"/>
  <c r="AE172" i="118"/>
  <c r="AD170" i="118"/>
  <c r="AD171" i="118"/>
  <c r="AD172" i="118"/>
  <c r="AC170" i="118"/>
  <c r="AC171" i="118"/>
  <c r="AC172" i="118"/>
  <c r="V170" i="118"/>
  <c r="V171" i="118"/>
  <c r="V172" i="118"/>
  <c r="V173" i="118"/>
  <c r="U170" i="118"/>
  <c r="U171" i="118"/>
  <c r="X171" i="118" s="1"/>
  <c r="U172" i="118"/>
  <c r="X172" i="118" s="1"/>
  <c r="U173" i="118"/>
  <c r="M175" i="118"/>
  <c r="F172" i="118"/>
  <c r="F173" i="118"/>
  <c r="F174" i="118"/>
  <c r="F175" i="118"/>
  <c r="L175" i="118" s="1"/>
  <c r="N175" i="118" s="1"/>
  <c r="F176" i="118"/>
  <c r="L176" i="118" s="1"/>
  <c r="N176" i="118" s="1"/>
  <c r="AA176" i="118" s="1"/>
  <c r="F177" i="118"/>
  <c r="L177" i="118" s="1"/>
  <c r="N177" i="118" s="1"/>
  <c r="AA177" i="118" s="1"/>
  <c r="K217" i="124"/>
  <c r="AD212" i="124"/>
  <c r="AD213" i="124"/>
  <c r="AD214" i="124"/>
  <c r="AD215" i="124"/>
  <c r="AD216" i="124"/>
  <c r="AD217" i="124"/>
  <c r="AD218" i="124"/>
  <c r="AD219" i="124"/>
  <c r="AC212" i="124"/>
  <c r="AC213" i="124"/>
  <c r="AC214" i="124"/>
  <c r="AC215" i="124"/>
  <c r="AC216" i="124"/>
  <c r="AC217" i="124"/>
  <c r="AC218" i="124"/>
  <c r="W212" i="124"/>
  <c r="W213" i="124"/>
  <c r="W214" i="124"/>
  <c r="W215" i="124"/>
  <c r="W216" i="124"/>
  <c r="W217" i="124"/>
  <c r="W218" i="124"/>
  <c r="W219" i="124"/>
  <c r="W220" i="124"/>
  <c r="W221" i="124"/>
  <c r="V212" i="124"/>
  <c r="V213" i="124"/>
  <c r="V214" i="124"/>
  <c r="V215" i="124"/>
  <c r="V216" i="124"/>
  <c r="V217" i="124"/>
  <c r="V218" i="124"/>
  <c r="V219" i="124"/>
  <c r="V220" i="124"/>
  <c r="V221" i="124"/>
  <c r="U212" i="124"/>
  <c r="U213" i="124"/>
  <c r="U214" i="124"/>
  <c r="U215" i="124"/>
  <c r="U216" i="124"/>
  <c r="X216" i="124" s="1"/>
  <c r="U217" i="124"/>
  <c r="X217" i="124" s="1"/>
  <c r="U218" i="124"/>
  <c r="X218" i="124" s="1"/>
  <c r="U219" i="124"/>
  <c r="X219" i="124" s="1"/>
  <c r="AC219" i="124" s="1"/>
  <c r="U220" i="124"/>
  <c r="U221" i="124"/>
  <c r="M215" i="124"/>
  <c r="M216" i="124"/>
  <c r="M217" i="124"/>
  <c r="M218" i="124"/>
  <c r="M219" i="124"/>
  <c r="M220" i="124"/>
  <c r="M221" i="124"/>
  <c r="M222" i="124"/>
  <c r="F214" i="124"/>
  <c r="F215" i="124"/>
  <c r="F216" i="124"/>
  <c r="L216" i="124" s="1"/>
  <c r="N216" i="124" s="1"/>
  <c r="F217" i="124"/>
  <c r="F218" i="124"/>
  <c r="F219" i="124"/>
  <c r="F220" i="124"/>
  <c r="F221" i="124"/>
  <c r="F222" i="124"/>
  <c r="L222" i="124" s="1"/>
  <c r="N222" i="124" s="1"/>
  <c r="AA222" i="124" s="1"/>
  <c r="L136" i="123"/>
  <c r="N136" i="123" s="1"/>
  <c r="AA136" i="123" s="1"/>
  <c r="M264" i="117"/>
  <c r="AF258" i="117"/>
  <c r="AF259" i="117"/>
  <c r="AF260" i="117"/>
  <c r="AF261" i="117"/>
  <c r="AF262" i="117"/>
  <c r="AF263" i="117"/>
  <c r="AF264" i="117"/>
  <c r="AF265" i="117"/>
  <c r="AF266" i="117"/>
  <c r="AF267" i="117"/>
  <c r="AF268" i="117"/>
  <c r="AF269" i="117"/>
  <c r="AF270" i="117"/>
  <c r="AF271" i="117"/>
  <c r="AF272" i="117"/>
  <c r="AF273" i="117"/>
  <c r="AF274" i="117"/>
  <c r="AF275" i="117"/>
  <c r="AF276" i="117"/>
  <c r="AF277" i="117"/>
  <c r="AF278" i="117"/>
  <c r="AE258" i="117"/>
  <c r="AE259" i="117"/>
  <c r="AE260" i="117"/>
  <c r="AE261" i="117"/>
  <c r="AE262" i="117"/>
  <c r="AE263" i="117"/>
  <c r="AE264" i="117"/>
  <c r="AE265" i="117"/>
  <c r="AE266" i="117"/>
  <c r="AE267" i="117"/>
  <c r="AE268" i="117"/>
  <c r="AE269" i="117"/>
  <c r="AE270" i="117"/>
  <c r="AE271" i="117"/>
  <c r="AE272" i="117"/>
  <c r="AE273" i="117"/>
  <c r="AE274" i="117"/>
  <c r="AE275" i="117"/>
  <c r="AE276" i="117"/>
  <c r="AE277" i="117"/>
  <c r="AE278" i="117"/>
  <c r="AD258" i="117"/>
  <c r="AD259" i="117"/>
  <c r="AD260" i="117"/>
  <c r="AD261" i="117"/>
  <c r="AD262" i="117"/>
  <c r="AD263" i="117"/>
  <c r="AD264" i="117"/>
  <c r="AD265" i="117"/>
  <c r="AD266" i="117"/>
  <c r="AD267" i="117"/>
  <c r="AD269" i="117"/>
  <c r="AD270" i="117"/>
  <c r="AD271" i="117"/>
  <c r="AD272" i="117"/>
  <c r="AD273" i="117"/>
  <c r="AD274" i="117"/>
  <c r="AD275" i="117"/>
  <c r="AD276" i="117"/>
  <c r="AD277" i="117"/>
  <c r="AD278" i="117"/>
  <c r="AC255" i="117"/>
  <c r="AC256" i="117"/>
  <c r="AC257" i="117"/>
  <c r="AC258" i="117"/>
  <c r="AC260" i="117"/>
  <c r="AC261" i="117"/>
  <c r="AC262" i="117"/>
  <c r="AC263" i="117"/>
  <c r="AC264" i="117"/>
  <c r="AC265" i="117"/>
  <c r="AC266" i="117"/>
  <c r="AC267" i="117"/>
  <c r="AC268" i="117"/>
  <c r="AC270" i="117"/>
  <c r="AC271" i="117"/>
  <c r="AC272" i="117"/>
  <c r="AC273" i="117"/>
  <c r="AC275" i="117"/>
  <c r="AC277" i="117"/>
  <c r="AC278" i="117"/>
  <c r="W258" i="117"/>
  <c r="W259" i="117"/>
  <c r="W260" i="117"/>
  <c r="W261" i="117"/>
  <c r="W262" i="117"/>
  <c r="W263" i="117"/>
  <c r="W264" i="117"/>
  <c r="W265" i="117"/>
  <c r="W266" i="117"/>
  <c r="W267" i="117"/>
  <c r="W268" i="117"/>
  <c r="W269" i="117"/>
  <c r="W270" i="117"/>
  <c r="W271" i="117"/>
  <c r="W272" i="117"/>
  <c r="W273" i="117"/>
  <c r="W274" i="117"/>
  <c r="W275" i="117"/>
  <c r="W276" i="117"/>
  <c r="W277" i="117"/>
  <c r="W278" i="117"/>
  <c r="W279" i="117"/>
  <c r="W320" i="117"/>
  <c r="V258" i="117"/>
  <c r="V259" i="117"/>
  <c r="V260" i="117"/>
  <c r="V261" i="117"/>
  <c r="V262" i="117"/>
  <c r="V263" i="117"/>
  <c r="V264" i="117"/>
  <c r="V265" i="117"/>
  <c r="V266" i="117"/>
  <c r="V267" i="117"/>
  <c r="V268" i="117"/>
  <c r="V269" i="117"/>
  <c r="V270" i="117"/>
  <c r="V271" i="117"/>
  <c r="V272" i="117"/>
  <c r="V273" i="117"/>
  <c r="V274" i="117"/>
  <c r="V275" i="117"/>
  <c r="V276" i="117"/>
  <c r="V277" i="117"/>
  <c r="V278" i="117"/>
  <c r="V279" i="117"/>
  <c r="U254" i="117"/>
  <c r="U255" i="117"/>
  <c r="U256" i="117"/>
  <c r="U257" i="117"/>
  <c r="U258" i="117"/>
  <c r="U259" i="117"/>
  <c r="U260" i="117"/>
  <c r="U261" i="117"/>
  <c r="U262" i="117"/>
  <c r="U263" i="117"/>
  <c r="X263" i="117" s="1"/>
  <c r="U264" i="117"/>
  <c r="X264" i="117" s="1"/>
  <c r="U265" i="117"/>
  <c r="X265" i="117" s="1"/>
  <c r="U266" i="117"/>
  <c r="X266" i="117" s="1"/>
  <c r="U267" i="117"/>
  <c r="X267" i="117" s="1"/>
  <c r="U268" i="117"/>
  <c r="X268" i="117" s="1"/>
  <c r="AD268" i="117" s="1"/>
  <c r="U269" i="117"/>
  <c r="X269" i="117" s="1"/>
  <c r="AC269" i="117" s="1"/>
  <c r="U270" i="117"/>
  <c r="X270" i="117" s="1"/>
  <c r="U271" i="117"/>
  <c r="X271" i="117" s="1"/>
  <c r="U272" i="117"/>
  <c r="X272" i="117" s="1"/>
  <c r="U273" i="117"/>
  <c r="X273" i="117" s="1"/>
  <c r="U274" i="117"/>
  <c r="X274" i="117" s="1"/>
  <c r="AC274" i="117" s="1"/>
  <c r="U275" i="117"/>
  <c r="X275" i="117" s="1"/>
  <c r="U276" i="117"/>
  <c r="X276" i="117" s="1"/>
  <c r="AC276" i="117" s="1"/>
  <c r="U277" i="117"/>
  <c r="U278" i="117"/>
  <c r="U279" i="117"/>
  <c r="M260" i="117"/>
  <c r="M261" i="117"/>
  <c r="M263" i="117"/>
  <c r="M265" i="117"/>
  <c r="M266" i="117"/>
  <c r="M267" i="117"/>
  <c r="M268" i="117"/>
  <c r="M269" i="117"/>
  <c r="M270" i="117"/>
  <c r="M271" i="117"/>
  <c r="M272" i="117"/>
  <c r="M273" i="117"/>
  <c r="M274" i="117"/>
  <c r="M275" i="117"/>
  <c r="M276" i="117"/>
  <c r="M277" i="117"/>
  <c r="M278" i="117"/>
  <c r="M279" i="117"/>
  <c r="M280" i="117"/>
  <c r="M281" i="117"/>
  <c r="F262" i="117"/>
  <c r="F263" i="117"/>
  <c r="L263" i="117" s="1"/>
  <c r="N263" i="117" s="1"/>
  <c r="F264" i="117"/>
  <c r="L264" i="117" s="1"/>
  <c r="N264" i="117" s="1"/>
  <c r="F265" i="117"/>
  <c r="F266" i="117"/>
  <c r="F267" i="117"/>
  <c r="L267" i="117" s="1"/>
  <c r="F268" i="117"/>
  <c r="L268" i="117" s="1"/>
  <c r="N268" i="117" s="1"/>
  <c r="F269" i="117"/>
  <c r="L269" i="117" s="1"/>
  <c r="F270" i="117"/>
  <c r="F271" i="117"/>
  <c r="F272" i="117"/>
  <c r="F273" i="117"/>
  <c r="F274" i="117"/>
  <c r="F275" i="117"/>
  <c r="F276" i="117"/>
  <c r="F277" i="117"/>
  <c r="F278" i="117"/>
  <c r="F279" i="117"/>
  <c r="F280" i="117"/>
  <c r="F281" i="117"/>
  <c r="F282" i="117"/>
  <c r="L282" i="117" s="1"/>
  <c r="N282" i="117" s="1"/>
  <c r="AA282" i="117" s="1"/>
  <c r="AF129" i="120"/>
  <c r="AF130" i="120"/>
  <c r="AF131" i="120"/>
  <c r="AF132" i="120"/>
  <c r="AF133" i="120"/>
  <c r="AF134" i="120"/>
  <c r="AF135" i="120"/>
  <c r="AF136" i="120"/>
  <c r="AF137" i="120"/>
  <c r="AF138" i="120"/>
  <c r="AF139" i="120"/>
  <c r="AF140" i="120"/>
  <c r="AF141" i="120"/>
  <c r="AF142" i="120"/>
  <c r="AF143" i="120"/>
  <c r="AF145" i="120"/>
  <c r="AF146" i="120"/>
  <c r="AF147" i="120"/>
  <c r="AF148" i="120"/>
  <c r="AF149" i="120"/>
  <c r="AF150" i="120"/>
  <c r="AF151" i="120"/>
  <c r="AF152" i="120"/>
  <c r="AF153" i="120"/>
  <c r="AF154" i="120"/>
  <c r="AF155" i="120"/>
  <c r="AE129" i="120"/>
  <c r="AE130" i="120"/>
  <c r="AE131" i="120"/>
  <c r="AE132" i="120"/>
  <c r="AE133" i="120"/>
  <c r="AE134" i="120"/>
  <c r="AE135" i="120"/>
  <c r="AE136" i="120"/>
  <c r="AE137" i="120"/>
  <c r="AE138" i="120"/>
  <c r="AE139" i="120"/>
  <c r="AE140" i="120"/>
  <c r="AE141" i="120"/>
  <c r="AE142" i="120"/>
  <c r="AE143" i="120"/>
  <c r="AE144" i="120"/>
  <c r="AE145" i="120"/>
  <c r="AE146" i="120"/>
  <c r="AE147" i="120"/>
  <c r="AE148" i="120"/>
  <c r="AE149" i="120"/>
  <c r="AE150" i="120"/>
  <c r="AE151" i="120"/>
  <c r="AE152" i="120"/>
  <c r="AE153" i="120"/>
  <c r="AE154" i="120"/>
  <c r="AE155" i="120"/>
  <c r="AE179" i="120"/>
  <c r="AD130" i="120"/>
  <c r="AD131" i="120"/>
  <c r="AD132" i="120"/>
  <c r="AD133" i="120"/>
  <c r="AD134" i="120"/>
  <c r="AD135" i="120"/>
  <c r="AD136" i="120"/>
  <c r="AD137" i="120"/>
  <c r="AD138" i="120"/>
  <c r="AD139" i="120"/>
  <c r="AD140" i="120"/>
  <c r="AD141" i="120"/>
  <c r="AD142" i="120"/>
  <c r="AD143" i="120"/>
  <c r="AD144" i="120"/>
  <c r="AD145" i="120"/>
  <c r="AD146" i="120"/>
  <c r="AD147" i="120"/>
  <c r="AD148" i="120"/>
  <c r="AD149" i="120"/>
  <c r="AD150" i="120"/>
  <c r="AD151" i="120"/>
  <c r="AD152" i="120"/>
  <c r="AD153" i="120"/>
  <c r="AD154" i="120"/>
  <c r="AD155" i="120"/>
  <c r="AC136" i="120"/>
  <c r="AC137" i="120"/>
  <c r="AC138" i="120"/>
  <c r="AC139" i="120"/>
  <c r="AC140" i="120"/>
  <c r="AC141" i="120"/>
  <c r="AC142" i="120"/>
  <c r="AC143" i="120"/>
  <c r="AC144" i="120"/>
  <c r="AC146" i="120"/>
  <c r="AC147" i="120"/>
  <c r="AC148" i="120"/>
  <c r="AC149" i="120"/>
  <c r="AC151" i="120"/>
  <c r="AC153" i="120"/>
  <c r="AC154" i="120"/>
  <c r="AA180" i="120"/>
  <c r="Y180" i="120"/>
  <c r="W148" i="120"/>
  <c r="W149" i="120"/>
  <c r="W150" i="120"/>
  <c r="W151" i="120"/>
  <c r="W152" i="120"/>
  <c r="W153" i="120"/>
  <c r="W154" i="120"/>
  <c r="W155" i="120"/>
  <c r="W156" i="120"/>
  <c r="W157" i="120"/>
  <c r="W158" i="120"/>
  <c r="W159" i="120"/>
  <c r="V148" i="120"/>
  <c r="V149" i="120"/>
  <c r="V150" i="120"/>
  <c r="V151" i="120"/>
  <c r="V152" i="120"/>
  <c r="V153" i="120"/>
  <c r="V154" i="120"/>
  <c r="V155" i="120"/>
  <c r="V156" i="120"/>
  <c r="V157" i="120"/>
  <c r="V158" i="120"/>
  <c r="V159" i="120"/>
  <c r="U147" i="120"/>
  <c r="U148" i="120"/>
  <c r="X148" i="120" s="1"/>
  <c r="U149" i="120"/>
  <c r="U150" i="120"/>
  <c r="U151" i="120"/>
  <c r="U152" i="120"/>
  <c r="U153" i="120"/>
  <c r="X153" i="120" s="1"/>
  <c r="U154" i="120"/>
  <c r="X154" i="120" s="1"/>
  <c r="U155" i="120"/>
  <c r="X155" i="120" s="1"/>
  <c r="AC155" i="120" s="1"/>
  <c r="U156" i="120"/>
  <c r="X156" i="120" s="1"/>
  <c r="U157" i="120"/>
  <c r="X157" i="120" s="1"/>
  <c r="U158" i="120"/>
  <c r="X158" i="120" s="1"/>
  <c r="U159" i="120"/>
  <c r="M153" i="120"/>
  <c r="M154" i="120"/>
  <c r="M155" i="120"/>
  <c r="M156" i="120"/>
  <c r="M157" i="120"/>
  <c r="M158" i="120"/>
  <c r="M159" i="120"/>
  <c r="M160" i="120"/>
  <c r="M161" i="120"/>
  <c r="M162" i="120"/>
  <c r="M163" i="120"/>
  <c r="M179" i="120"/>
  <c r="F152" i="120"/>
  <c r="F153" i="120"/>
  <c r="F154" i="120"/>
  <c r="F155" i="120"/>
  <c r="F156" i="120"/>
  <c r="F157" i="120"/>
  <c r="L157" i="120" s="1"/>
  <c r="F158" i="120"/>
  <c r="F159" i="120"/>
  <c r="F160" i="120"/>
  <c r="F161" i="120"/>
  <c r="F162" i="120"/>
  <c r="F163" i="120"/>
  <c r="F164" i="120"/>
  <c r="L164" i="120" s="1"/>
  <c r="N164" i="120" s="1"/>
  <c r="AA164" i="120" s="1"/>
  <c r="X186" i="121" l="1"/>
  <c r="AE186" i="121" s="1"/>
  <c r="X187" i="121"/>
  <c r="AC187" i="121" s="1"/>
  <c r="Z217" i="121"/>
  <c r="N217" i="121"/>
  <c r="AA217" i="121" s="1"/>
  <c r="L217" i="121"/>
  <c r="N216" i="121"/>
  <c r="AA216" i="121" s="1"/>
  <c r="L216" i="121"/>
  <c r="Z218" i="121"/>
  <c r="L162" i="120"/>
  <c r="N162" i="120" s="1"/>
  <c r="AA162" i="120" s="1"/>
  <c r="L163" i="120"/>
  <c r="N163" i="120" s="1"/>
  <c r="AA163" i="120" s="1"/>
  <c r="L161" i="120"/>
  <c r="N161" i="120" s="1"/>
  <c r="AA161" i="120" s="1"/>
  <c r="L159" i="120"/>
  <c r="N159" i="120" s="1"/>
  <c r="AA159" i="120" s="1"/>
  <c r="Z179" i="120"/>
  <c r="Y179" i="120"/>
  <c r="L280" i="117"/>
  <c r="N280" i="117" s="1"/>
  <c r="AA280" i="117" s="1"/>
  <c r="L278" i="117"/>
  <c r="N278" i="117" s="1"/>
  <c r="AA278" i="117" s="1"/>
  <c r="L197" i="121"/>
  <c r="N197" i="121" s="1"/>
  <c r="AA197" i="121" s="1"/>
  <c r="L195" i="121"/>
  <c r="N195" i="121" s="1"/>
  <c r="AA195" i="121" s="1"/>
  <c r="L193" i="121"/>
  <c r="N193" i="121" s="1"/>
  <c r="AA193" i="121" s="1"/>
  <c r="L160" i="120"/>
  <c r="N160" i="120" s="1"/>
  <c r="AA160" i="120" s="1"/>
  <c r="L281" i="117"/>
  <c r="N281" i="117" s="1"/>
  <c r="AA281" i="117" s="1"/>
  <c r="L279" i="117"/>
  <c r="N279" i="117" s="1"/>
  <c r="AA279" i="117" s="1"/>
  <c r="L196" i="121"/>
  <c r="N196" i="121" s="1"/>
  <c r="AA196" i="121" s="1"/>
  <c r="L194" i="121"/>
  <c r="N194" i="121" s="1"/>
  <c r="AA194" i="121" s="1"/>
  <c r="L192" i="121"/>
  <c r="N192" i="121" s="1"/>
  <c r="AA192" i="121" s="1"/>
  <c r="Y218" i="121"/>
  <c r="Y216" i="121"/>
  <c r="X218" i="121"/>
  <c r="Z196" i="121"/>
  <c r="Z195" i="121"/>
  <c r="Z194" i="121"/>
  <c r="Z153" i="120"/>
  <c r="Z163" i="120"/>
  <c r="Y163" i="120"/>
  <c r="Z162" i="120"/>
  <c r="Y162" i="120"/>
  <c r="Z161" i="120"/>
  <c r="Y161" i="120"/>
  <c r="Y160" i="120"/>
  <c r="Z160" i="120"/>
  <c r="X159" i="120"/>
  <c r="Z159" i="120"/>
  <c r="Y159" i="120"/>
  <c r="Y196" i="121"/>
  <c r="Y194" i="121"/>
  <c r="Z191" i="121"/>
  <c r="Y192" i="121"/>
  <c r="Y222" i="124"/>
  <c r="Z222" i="124"/>
  <c r="Y281" i="117"/>
  <c r="Z281" i="117"/>
  <c r="Z280" i="117"/>
  <c r="Y280" i="117"/>
  <c r="Z277" i="117"/>
  <c r="X220" i="124"/>
  <c r="Z220" i="124"/>
  <c r="X221" i="124"/>
  <c r="AC221" i="124" s="1"/>
  <c r="Z221" i="124"/>
  <c r="X278" i="117"/>
  <c r="Z278" i="117"/>
  <c r="X279" i="117"/>
  <c r="Z279" i="117"/>
  <c r="Y279" i="117"/>
  <c r="Z263" i="117"/>
  <c r="Z157" i="120"/>
  <c r="AC192" i="121"/>
  <c r="Z192" i="121"/>
  <c r="Z188" i="121"/>
  <c r="Z190" i="121"/>
  <c r="Z155" i="120"/>
  <c r="Z158" i="120"/>
  <c r="Z154" i="120"/>
  <c r="Z273" i="117"/>
  <c r="Z269" i="117"/>
  <c r="Z265" i="117"/>
  <c r="Z271" i="117"/>
  <c r="Y267" i="117"/>
  <c r="Y221" i="124"/>
  <c r="Z217" i="124"/>
  <c r="Y217" i="121"/>
  <c r="Y195" i="121"/>
  <c r="Z156" i="120"/>
  <c r="Y219" i="124"/>
  <c r="Z197" i="121"/>
  <c r="Z193" i="121"/>
  <c r="L158" i="120"/>
  <c r="N158" i="120" s="1"/>
  <c r="AA158" i="120" s="1"/>
  <c r="L274" i="117"/>
  <c r="N274" i="117" s="1"/>
  <c r="AA274" i="117" s="1"/>
  <c r="L190" i="121"/>
  <c r="N190" i="121" s="1"/>
  <c r="AA190" i="121" s="1"/>
  <c r="L186" i="121"/>
  <c r="N186" i="121" s="1"/>
  <c r="AA186" i="121" s="1"/>
  <c r="L156" i="120"/>
  <c r="L277" i="117"/>
  <c r="N277" i="117" s="1"/>
  <c r="AA277" i="117" s="1"/>
  <c r="L273" i="117"/>
  <c r="N273" i="117" s="1"/>
  <c r="AA273" i="117" s="1"/>
  <c r="N269" i="117"/>
  <c r="AA269" i="117" s="1"/>
  <c r="Z272" i="117"/>
  <c r="Z268" i="117"/>
  <c r="Z218" i="124"/>
  <c r="AA175" i="118"/>
  <c r="L189" i="121"/>
  <c r="N189" i="121" s="1"/>
  <c r="AA189" i="121" s="1"/>
  <c r="L185" i="121"/>
  <c r="Y197" i="121"/>
  <c r="Y193" i="121"/>
  <c r="L154" i="120"/>
  <c r="N154" i="120" s="1"/>
  <c r="AA154" i="120" s="1"/>
  <c r="L153" i="120"/>
  <c r="N153" i="120" s="1"/>
  <c r="AA153" i="120" s="1"/>
  <c r="L155" i="120"/>
  <c r="N155" i="120" s="1"/>
  <c r="AA155" i="120" s="1"/>
  <c r="L276" i="117"/>
  <c r="N276" i="117" s="1"/>
  <c r="AA276" i="117" s="1"/>
  <c r="L272" i="117"/>
  <c r="N272" i="117" s="1"/>
  <c r="AA272" i="117" s="1"/>
  <c r="AA268" i="117"/>
  <c r="AA264" i="117"/>
  <c r="L174" i="118"/>
  <c r="L188" i="121"/>
  <c r="N188" i="121" s="1"/>
  <c r="AA188" i="121" s="1"/>
  <c r="L275" i="117"/>
  <c r="N275" i="117" s="1"/>
  <c r="AA275" i="117" s="1"/>
  <c r="L271" i="117"/>
  <c r="N267" i="117"/>
  <c r="Y278" i="117"/>
  <c r="Y274" i="117"/>
  <c r="Z270" i="117"/>
  <c r="Z266" i="117"/>
  <c r="L266" i="117"/>
  <c r="N266" i="117" s="1"/>
  <c r="AA266" i="117" s="1"/>
  <c r="L270" i="117"/>
  <c r="N270" i="117" s="1"/>
  <c r="AA270" i="117" s="1"/>
  <c r="Z216" i="124"/>
  <c r="L191" i="121"/>
  <c r="N191" i="121" s="1"/>
  <c r="AA191" i="121" s="1"/>
  <c r="L187" i="121"/>
  <c r="N187" i="121" s="1"/>
  <c r="AA187" i="121" s="1"/>
  <c r="Y191" i="121"/>
  <c r="Z189" i="121"/>
  <c r="AA267" i="117"/>
  <c r="Z275" i="117"/>
  <c r="Z276" i="117"/>
  <c r="Z185" i="121"/>
  <c r="Z187" i="121"/>
  <c r="Z175" i="118"/>
  <c r="Y175" i="118"/>
  <c r="Y174" i="118"/>
  <c r="Z174" i="118"/>
  <c r="X173" i="118"/>
  <c r="X277" i="117"/>
  <c r="Y277" i="117"/>
  <c r="L219" i="124"/>
  <c r="N219" i="124" s="1"/>
  <c r="AA219" i="124" s="1"/>
  <c r="L220" i="124"/>
  <c r="AA220" i="124" s="1"/>
  <c r="AA216" i="124"/>
  <c r="L217" i="124"/>
  <c r="L218" i="124"/>
  <c r="L221" i="124"/>
  <c r="N221" i="124" s="1"/>
  <c r="AA221" i="124" s="1"/>
  <c r="Y220" i="124"/>
  <c r="Z219" i="124"/>
  <c r="Z186" i="121"/>
  <c r="Y276" i="117"/>
  <c r="Y275" i="117"/>
  <c r="Z274" i="117"/>
  <c r="Y190" i="121"/>
  <c r="Y189" i="121"/>
  <c r="Y188" i="121"/>
  <c r="Y158" i="120"/>
  <c r="Y157" i="120"/>
  <c r="Y215" i="124"/>
  <c r="Z183" i="121"/>
  <c r="Y273" i="117"/>
  <c r="Z261" i="117"/>
  <c r="Y260" i="117"/>
  <c r="X212" i="124"/>
  <c r="X184" i="121"/>
  <c r="Z264" i="117"/>
  <c r="X150" i="120"/>
  <c r="AC150" i="120" s="1"/>
  <c r="AA263" i="117"/>
  <c r="X214" i="124"/>
  <c r="X170" i="118"/>
  <c r="X262" i="117"/>
  <c r="X152" i="120"/>
  <c r="AC152" i="120" s="1"/>
  <c r="X180" i="121"/>
  <c r="Y272" i="117"/>
  <c r="Y271" i="117"/>
  <c r="X182" i="121"/>
  <c r="X181" i="121"/>
  <c r="X149" i="120"/>
  <c r="X259" i="117"/>
  <c r="AC259" i="117" s="1"/>
  <c r="X213" i="124"/>
  <c r="X183" i="121"/>
  <c r="Y183" i="121"/>
  <c r="Y187" i="121"/>
  <c r="Y186" i="121"/>
  <c r="Y185" i="121"/>
  <c r="X215" i="124"/>
  <c r="Z215" i="124"/>
  <c r="Y218" i="124"/>
  <c r="Y217" i="124"/>
  <c r="Y216" i="124"/>
  <c r="Y261" i="117"/>
  <c r="X261" i="117"/>
  <c r="X258" i="117"/>
  <c r="X260" i="117"/>
  <c r="Z260" i="117"/>
  <c r="L265" i="117"/>
  <c r="N265" i="117" s="1"/>
  <c r="AA265" i="117" s="1"/>
  <c r="Y270" i="117"/>
  <c r="Y268" i="117"/>
  <c r="Z267" i="117"/>
  <c r="Y269" i="117"/>
  <c r="Y266" i="117"/>
  <c r="Y265" i="117"/>
  <c r="Y264" i="117"/>
  <c r="Y263" i="117"/>
  <c r="X151" i="120"/>
  <c r="Y156" i="120"/>
  <c r="Y155" i="120"/>
  <c r="Y154" i="120"/>
  <c r="Y153" i="120"/>
  <c r="K21" i="19"/>
  <c r="K20" i="19"/>
  <c r="K17" i="19"/>
  <c r="K16" i="19"/>
  <c r="K15" i="19"/>
  <c r="K14" i="19"/>
  <c r="N218" i="124" l="1"/>
  <c r="AA218" i="124" s="1"/>
  <c r="N174" i="118"/>
  <c r="AA174" i="118" s="1"/>
  <c r="N217" i="124"/>
  <c r="AA217" i="124" s="1"/>
  <c r="N271" i="117"/>
  <c r="AA271" i="117" s="1"/>
  <c r="N185" i="121"/>
  <c r="AA185" i="121" s="1"/>
  <c r="N156" i="120"/>
  <c r="AA156" i="120" s="1"/>
  <c r="AA157" i="120"/>
  <c r="L30" i="81"/>
  <c r="M30" i="81" s="1"/>
  <c r="E7" i="82" l="1"/>
  <c r="K152" i="120" l="1"/>
  <c r="M152" i="120" s="1"/>
  <c r="L152" i="120"/>
  <c r="N152" i="120" s="1"/>
  <c r="AA152" i="120" s="1"/>
  <c r="K137" i="122"/>
  <c r="M137" i="122" s="1"/>
  <c r="K138" i="122"/>
  <c r="M138" i="122" s="1"/>
  <c r="K262" i="117"/>
  <c r="M262" i="117" s="1"/>
  <c r="L262" i="117"/>
  <c r="K190" i="116"/>
  <c r="K191" i="116"/>
  <c r="K192" i="116"/>
  <c r="K171" i="118"/>
  <c r="M171" i="118" s="1"/>
  <c r="K172" i="118"/>
  <c r="M172" i="118" s="1"/>
  <c r="K173" i="118"/>
  <c r="M173" i="118" s="1"/>
  <c r="L173" i="118"/>
  <c r="K259" i="117"/>
  <c r="M259" i="117" s="1"/>
  <c r="L135" i="123"/>
  <c r="N135" i="123" s="1"/>
  <c r="AA135" i="123" s="1"/>
  <c r="L215" i="124"/>
  <c r="K161" i="125"/>
  <c r="K160" i="125"/>
  <c r="M160" i="125" s="1"/>
  <c r="Z160" i="125" s="1"/>
  <c r="AF150" i="125"/>
  <c r="AF151" i="125"/>
  <c r="AF152" i="125"/>
  <c r="AF153" i="125"/>
  <c r="AF154" i="125"/>
  <c r="AF155" i="125"/>
  <c r="AF156" i="125"/>
  <c r="AF157" i="125"/>
  <c r="AF158" i="125"/>
  <c r="AF159" i="125"/>
  <c r="AF160" i="125"/>
  <c r="AF161" i="125"/>
  <c r="AF162" i="125"/>
  <c r="AF163" i="125"/>
  <c r="AF164" i="125"/>
  <c r="AE150" i="125"/>
  <c r="AE151" i="125"/>
  <c r="AE152" i="125"/>
  <c r="AE153" i="125"/>
  <c r="AE154" i="125"/>
  <c r="AE155" i="125"/>
  <c r="AE156" i="125"/>
  <c r="AE157" i="125"/>
  <c r="AE158" i="125"/>
  <c r="AE159" i="125"/>
  <c r="AE160" i="125"/>
  <c r="AE161" i="125"/>
  <c r="AE162" i="125"/>
  <c r="AE163" i="125"/>
  <c r="AE164" i="125"/>
  <c r="AD150" i="125"/>
  <c r="AD151" i="125"/>
  <c r="AD152" i="125"/>
  <c r="AD153" i="125"/>
  <c r="AD154" i="125"/>
  <c r="AD155" i="125"/>
  <c r="AD156" i="125"/>
  <c r="AD157" i="125"/>
  <c r="AD158" i="125"/>
  <c r="AD159" i="125"/>
  <c r="AD160" i="125"/>
  <c r="AD161" i="125"/>
  <c r="AD162" i="125"/>
  <c r="AD163" i="125"/>
  <c r="AD164" i="125"/>
  <c r="AC150" i="125"/>
  <c r="AC151" i="125"/>
  <c r="AC152" i="125"/>
  <c r="AC153" i="125"/>
  <c r="AC154" i="125"/>
  <c r="AC155" i="125"/>
  <c r="AC156" i="125"/>
  <c r="AC157" i="125"/>
  <c r="AC158" i="125"/>
  <c r="AC160" i="125"/>
  <c r="AC161" i="125"/>
  <c r="AC162" i="125"/>
  <c r="AC163" i="125"/>
  <c r="AC164" i="125"/>
  <c r="AC190" i="125"/>
  <c r="W154" i="125"/>
  <c r="W155" i="125"/>
  <c r="W156" i="125"/>
  <c r="W157" i="125"/>
  <c r="W158" i="125"/>
  <c r="W159" i="125"/>
  <c r="W160" i="125"/>
  <c r="W161" i="125"/>
  <c r="W162" i="125"/>
  <c r="W163" i="125"/>
  <c r="V154" i="125"/>
  <c r="V155" i="125"/>
  <c r="V156" i="125"/>
  <c r="V157" i="125"/>
  <c r="V158" i="125"/>
  <c r="V159" i="125"/>
  <c r="V160" i="125"/>
  <c r="V161" i="125"/>
  <c r="V162" i="125"/>
  <c r="V163" i="125"/>
  <c r="U154" i="125"/>
  <c r="U155" i="125"/>
  <c r="U156" i="125"/>
  <c r="U157" i="125"/>
  <c r="X157" i="125" s="1"/>
  <c r="U158" i="125"/>
  <c r="U159" i="125"/>
  <c r="X160" i="125"/>
  <c r="X161" i="125"/>
  <c r="X163" i="125"/>
  <c r="M158" i="125"/>
  <c r="M159" i="125"/>
  <c r="M161" i="125"/>
  <c r="Y161" i="125" s="1"/>
  <c r="M162" i="125"/>
  <c r="M163" i="125"/>
  <c r="Z163" i="125" s="1"/>
  <c r="F160" i="125"/>
  <c r="F161" i="125"/>
  <c r="L161" i="125" s="1"/>
  <c r="F162" i="125"/>
  <c r="F163" i="125"/>
  <c r="F164" i="125"/>
  <c r="L164" i="125" s="1"/>
  <c r="AA164" i="125" s="1"/>
  <c r="K151" i="120"/>
  <c r="M151" i="120" s="1"/>
  <c r="N215" i="124" l="1"/>
  <c r="AA215" i="124" s="1"/>
  <c r="N262" i="117"/>
  <c r="AA262" i="117" s="1"/>
  <c r="N173" i="118"/>
  <c r="AA173" i="118" s="1"/>
  <c r="L162" i="125"/>
  <c r="Z172" i="118"/>
  <c r="Y172" i="118"/>
  <c r="Y138" i="122"/>
  <c r="Z138" i="122"/>
  <c r="Z151" i="120"/>
  <c r="Y151" i="120"/>
  <c r="Y262" i="117"/>
  <c r="Z262" i="117"/>
  <c r="Y152" i="120"/>
  <c r="Z152" i="120"/>
  <c r="N161" i="125"/>
  <c r="AA161" i="125" s="1"/>
  <c r="Y171" i="118"/>
  <c r="Z171" i="118"/>
  <c r="L163" i="125"/>
  <c r="N163" i="125" s="1"/>
  <c r="AA163" i="125" s="1"/>
  <c r="L160" i="125"/>
  <c r="Y259" i="117"/>
  <c r="Z259" i="117"/>
  <c r="Y173" i="118"/>
  <c r="Z173" i="118"/>
  <c r="Y163" i="125"/>
  <c r="Z162" i="125"/>
  <c r="Z159" i="125"/>
  <c r="Z158" i="125"/>
  <c r="X162" i="125"/>
  <c r="Y162" i="125"/>
  <c r="X155" i="125"/>
  <c r="X156" i="125"/>
  <c r="X154" i="125"/>
  <c r="X159" i="125"/>
  <c r="AC159" i="125" s="1"/>
  <c r="Y159" i="125"/>
  <c r="X158" i="125"/>
  <c r="Y158" i="125"/>
  <c r="Z161" i="125"/>
  <c r="Y160" i="125"/>
  <c r="N162" i="125" l="1"/>
  <c r="AA162" i="125" s="1"/>
  <c r="N160" i="125"/>
  <c r="AA160" i="125" s="1"/>
  <c r="K32" i="116"/>
  <c r="K35" i="118"/>
  <c r="K184" i="121"/>
  <c r="M184" i="121" s="1"/>
  <c r="K258" i="117"/>
  <c r="Y184" i="121" l="1"/>
  <c r="Z184" i="121"/>
  <c r="K134" i="123"/>
  <c r="M134" i="123" s="1"/>
  <c r="K150" i="120"/>
  <c r="M150" i="120" s="1"/>
  <c r="K214" i="124"/>
  <c r="M214" i="124" s="1"/>
  <c r="L214" i="124"/>
  <c r="K213" i="124"/>
  <c r="M213" i="124" s="1"/>
  <c r="K149" i="120"/>
  <c r="M149" i="120" s="1"/>
  <c r="K148" i="120"/>
  <c r="W145" i="120"/>
  <c r="W146" i="120"/>
  <c r="W147" i="120"/>
  <c r="V145" i="120"/>
  <c r="V146" i="120"/>
  <c r="V147" i="120"/>
  <c r="U145" i="120"/>
  <c r="U146" i="120"/>
  <c r="X147" i="120"/>
  <c r="M148" i="120"/>
  <c r="F148" i="120"/>
  <c r="F149" i="120"/>
  <c r="L149" i="120" s="1"/>
  <c r="N149" i="120" s="1"/>
  <c r="F150" i="120"/>
  <c r="L150" i="120" s="1"/>
  <c r="N150" i="120" s="1"/>
  <c r="AA150" i="120" s="1"/>
  <c r="F151" i="120"/>
  <c r="L151" i="120" s="1"/>
  <c r="N151" i="120" s="1"/>
  <c r="AA151" i="120" s="1"/>
  <c r="K170" i="118"/>
  <c r="F157" i="125"/>
  <c r="L157" i="125" s="1"/>
  <c r="F158" i="125"/>
  <c r="L158" i="125" s="1"/>
  <c r="N158" i="125" s="1"/>
  <c r="AA158" i="125" s="1"/>
  <c r="L184" i="121"/>
  <c r="N184" i="121" s="1"/>
  <c r="AA184" i="121" s="1"/>
  <c r="K156" i="125"/>
  <c r="K131" i="119"/>
  <c r="M131" i="119" s="1"/>
  <c r="L183" i="121"/>
  <c r="K182" i="121"/>
  <c r="M182" i="121" s="1"/>
  <c r="K181" i="121"/>
  <c r="M181" i="121" s="1"/>
  <c r="L182" i="121"/>
  <c r="N182" i="121" s="1"/>
  <c r="AA182" i="121" s="1"/>
  <c r="K130" i="119"/>
  <c r="M130" i="119" s="1"/>
  <c r="AF125" i="119"/>
  <c r="AF126" i="119"/>
  <c r="AF127" i="119"/>
  <c r="AF128" i="119"/>
  <c r="AF129" i="119"/>
  <c r="AF130" i="119"/>
  <c r="AE126" i="119"/>
  <c r="AE127" i="119"/>
  <c r="AE128" i="119"/>
  <c r="AE129" i="119"/>
  <c r="AE130" i="119"/>
  <c r="AD125" i="119"/>
  <c r="AD126" i="119"/>
  <c r="AD127" i="119"/>
  <c r="AD128" i="119"/>
  <c r="AD129" i="119"/>
  <c r="AD130" i="119"/>
  <c r="AC125" i="119"/>
  <c r="AC126" i="119"/>
  <c r="AC127" i="119"/>
  <c r="AC128" i="119"/>
  <c r="AC129" i="119"/>
  <c r="AC130" i="119"/>
  <c r="Y156" i="119"/>
  <c r="X156" i="119"/>
  <c r="V128" i="119"/>
  <c r="V129" i="119"/>
  <c r="V130" i="119"/>
  <c r="V131" i="119"/>
  <c r="V132" i="119"/>
  <c r="U128" i="119"/>
  <c r="X128" i="119" s="1"/>
  <c r="U129" i="119"/>
  <c r="U130" i="119"/>
  <c r="X130" i="119" s="1"/>
  <c r="U131" i="119"/>
  <c r="X131" i="119" s="1"/>
  <c r="U132" i="119"/>
  <c r="X132" i="119" s="1"/>
  <c r="M128" i="119"/>
  <c r="M129" i="119"/>
  <c r="M132" i="119"/>
  <c r="M133" i="119"/>
  <c r="M134" i="119"/>
  <c r="M135" i="119"/>
  <c r="F129" i="119"/>
  <c r="F130" i="119"/>
  <c r="F131" i="119"/>
  <c r="L131" i="119" s="1"/>
  <c r="F132" i="119"/>
  <c r="F133" i="119"/>
  <c r="F134" i="119"/>
  <c r="F135" i="119"/>
  <c r="L135" i="119" s="1"/>
  <c r="F136" i="119"/>
  <c r="L136" i="119" s="1"/>
  <c r="K253" i="117"/>
  <c r="K212" i="124"/>
  <c r="M212" i="124" s="1"/>
  <c r="AD203" i="124"/>
  <c r="AD204" i="124"/>
  <c r="AD205" i="124"/>
  <c r="AD206" i="124"/>
  <c r="AD207" i="124"/>
  <c r="AD208" i="124"/>
  <c r="AD209" i="124"/>
  <c r="AD210" i="124"/>
  <c r="AD211" i="124"/>
  <c r="AC203" i="124"/>
  <c r="AC204" i="124"/>
  <c r="AC206" i="124"/>
  <c r="AC209" i="124"/>
  <c r="AC210" i="124"/>
  <c r="AC211" i="124"/>
  <c r="W204" i="124"/>
  <c r="W205" i="124"/>
  <c r="W206" i="124"/>
  <c r="W207" i="124"/>
  <c r="W208" i="124"/>
  <c r="W209" i="124"/>
  <c r="W210" i="124"/>
  <c r="W211" i="124"/>
  <c r="W252" i="124"/>
  <c r="V204" i="124"/>
  <c r="V205" i="124"/>
  <c r="V206" i="124"/>
  <c r="V207" i="124"/>
  <c r="V208" i="124"/>
  <c r="V209" i="124"/>
  <c r="V210" i="124"/>
  <c r="V211" i="124"/>
  <c r="U204" i="124"/>
  <c r="U205" i="124"/>
  <c r="U206" i="124"/>
  <c r="U207" i="124"/>
  <c r="U208" i="124"/>
  <c r="U209" i="124"/>
  <c r="X209" i="124" s="1"/>
  <c r="U210" i="124"/>
  <c r="U211" i="124"/>
  <c r="X211" i="124" s="1"/>
  <c r="M211" i="124"/>
  <c r="F211" i="124"/>
  <c r="F212" i="124"/>
  <c r="L212" i="124" s="1"/>
  <c r="N212" i="124" s="1"/>
  <c r="AA212" i="124" s="1"/>
  <c r="F213" i="124"/>
  <c r="N136" i="119" l="1"/>
  <c r="AA136" i="119" s="1"/>
  <c r="N183" i="121"/>
  <c r="AA183" i="121" s="1"/>
  <c r="N135" i="119"/>
  <c r="AA135" i="119" s="1"/>
  <c r="N214" i="124"/>
  <c r="AA214" i="124" s="1"/>
  <c r="L213" i="124"/>
  <c r="N213" i="124" s="1"/>
  <c r="L133" i="119"/>
  <c r="N133" i="119" s="1"/>
  <c r="AA133" i="119" s="1"/>
  <c r="Z181" i="121"/>
  <c r="Y181" i="121"/>
  <c r="AA149" i="120"/>
  <c r="Y134" i="123"/>
  <c r="Z134" i="123"/>
  <c r="Z182" i="121"/>
  <c r="Y182" i="121"/>
  <c r="L148" i="120"/>
  <c r="L132" i="119"/>
  <c r="N132" i="119" s="1"/>
  <c r="AA132" i="119" s="1"/>
  <c r="L134" i="119"/>
  <c r="N134" i="119" s="1"/>
  <c r="AA134" i="119" s="1"/>
  <c r="L130" i="119"/>
  <c r="N130" i="119" s="1"/>
  <c r="AA130" i="119" s="1"/>
  <c r="N131" i="119"/>
  <c r="AA131" i="119" s="1"/>
  <c r="Z150" i="120"/>
  <c r="Y150" i="120"/>
  <c r="Z212" i="124"/>
  <c r="Y212" i="124"/>
  <c r="Y213" i="124"/>
  <c r="Z213" i="124"/>
  <c r="Z214" i="124"/>
  <c r="Y214" i="124"/>
  <c r="L211" i="124"/>
  <c r="N211" i="124" s="1"/>
  <c r="AA211" i="124" s="1"/>
  <c r="Y135" i="119"/>
  <c r="Z135" i="119"/>
  <c r="Y134" i="119"/>
  <c r="Z134" i="119"/>
  <c r="Y133" i="119"/>
  <c r="Z133" i="119"/>
  <c r="Y149" i="120"/>
  <c r="Z149" i="120"/>
  <c r="Z148" i="120"/>
  <c r="Y148" i="120"/>
  <c r="Z132" i="119"/>
  <c r="Y130" i="119"/>
  <c r="Y128" i="119"/>
  <c r="Z131" i="119"/>
  <c r="Y211" i="124"/>
  <c r="Y129" i="119"/>
  <c r="Z128" i="119"/>
  <c r="X204" i="124"/>
  <c r="X146" i="120"/>
  <c r="X205" i="124"/>
  <c r="AC205" i="124" s="1"/>
  <c r="X207" i="124"/>
  <c r="AC207" i="124" s="1"/>
  <c r="Y132" i="119"/>
  <c r="Z129" i="119"/>
  <c r="X129" i="119"/>
  <c r="X208" i="124"/>
  <c r="AC208" i="124" s="1"/>
  <c r="X145" i="120"/>
  <c r="AC145" i="120" s="1"/>
  <c r="X206" i="124"/>
  <c r="Y131" i="119"/>
  <c r="Z130" i="119"/>
  <c r="X210" i="124"/>
  <c r="Z211" i="124"/>
  <c r="AA213" i="124" l="1"/>
  <c r="N148" i="120"/>
  <c r="AA148" i="120" s="1"/>
  <c r="K147" i="120"/>
  <c r="M147" i="120" s="1"/>
  <c r="Z147" i="120" l="1"/>
  <c r="Y147" i="120"/>
  <c r="K208" i="124"/>
  <c r="K210" i="124"/>
  <c r="M210" i="124" s="1"/>
  <c r="K252" i="117"/>
  <c r="K155" i="125"/>
  <c r="K169" i="118"/>
  <c r="K168" i="118"/>
  <c r="K206" i="124"/>
  <c r="K146" i="120"/>
  <c r="K186" i="116"/>
  <c r="K187" i="116"/>
  <c r="Z210" i="124" l="1"/>
  <c r="Y210" i="124"/>
  <c r="K145" i="120"/>
  <c r="AF132" i="121"/>
  <c r="AF133" i="121"/>
  <c r="AF134" i="121"/>
  <c r="AF136" i="121"/>
  <c r="AF137" i="121"/>
  <c r="AF138" i="121"/>
  <c r="AF139" i="121"/>
  <c r="AF140" i="121"/>
  <c r="AF141" i="121"/>
  <c r="AF142" i="121"/>
  <c r="AF143" i="121"/>
  <c r="AF144" i="121"/>
  <c r="AF145" i="121"/>
  <c r="AF146" i="121"/>
  <c r="AF147" i="121"/>
  <c r="AF148" i="121"/>
  <c r="AF149" i="121"/>
  <c r="AF150" i="121"/>
  <c r="AF151" i="121"/>
  <c r="AF152" i="121"/>
  <c r="AF153" i="121"/>
  <c r="AF154" i="121"/>
  <c r="AF155" i="121"/>
  <c r="AF156" i="121"/>
  <c r="AF157" i="121"/>
  <c r="AF158" i="121"/>
  <c r="AF159" i="121"/>
  <c r="AF160" i="121"/>
  <c r="AF161" i="121"/>
  <c r="AF162" i="121"/>
  <c r="AF163" i="121"/>
  <c r="AF164" i="121"/>
  <c r="AF165" i="121"/>
  <c r="AF166" i="121"/>
  <c r="AF167" i="121"/>
  <c r="AF168" i="121"/>
  <c r="AF169" i="121"/>
  <c r="AF170" i="121"/>
  <c r="AF171" i="121"/>
  <c r="AF172" i="121"/>
  <c r="AF173" i="121"/>
  <c r="AF174" i="121"/>
  <c r="AF175" i="121"/>
  <c r="AE131" i="121"/>
  <c r="AE132" i="121"/>
  <c r="AE133" i="121"/>
  <c r="AE134" i="121"/>
  <c r="AE135" i="121"/>
  <c r="AE136" i="121"/>
  <c r="AE137" i="121"/>
  <c r="AE138" i="121"/>
  <c r="AE139" i="121"/>
  <c r="AE140" i="121"/>
  <c r="AE141" i="121"/>
  <c r="AE142" i="121"/>
  <c r="AE143" i="121"/>
  <c r="AE144" i="121"/>
  <c r="AE145" i="121"/>
  <c r="AE146" i="121"/>
  <c r="AE147" i="121"/>
  <c r="AE148" i="121"/>
  <c r="AE150" i="121"/>
  <c r="AE152" i="121"/>
  <c r="AE153" i="121"/>
  <c r="AE154" i="121"/>
  <c r="AE155" i="121"/>
  <c r="AE156" i="121"/>
  <c r="AE157" i="121"/>
  <c r="AE158" i="121"/>
  <c r="AE159" i="121"/>
  <c r="AE160" i="121"/>
  <c r="AE161" i="121"/>
  <c r="AE163" i="121"/>
  <c r="AE164" i="121"/>
  <c r="AE165" i="121"/>
  <c r="AE166" i="121"/>
  <c r="AE168" i="121"/>
  <c r="AE169" i="121"/>
  <c r="AE170" i="121"/>
  <c r="AE171" i="121"/>
  <c r="AE172" i="121"/>
  <c r="AE173" i="121"/>
  <c r="AE174" i="121"/>
  <c r="AE175" i="121"/>
  <c r="AD133" i="121"/>
  <c r="AD134" i="121"/>
  <c r="AD135" i="121"/>
  <c r="AD136" i="121"/>
  <c r="AD137" i="121"/>
  <c r="AD138" i="121"/>
  <c r="AD139" i="121"/>
  <c r="AD140" i="121"/>
  <c r="AD141" i="121"/>
  <c r="AD142" i="121"/>
  <c r="AD143" i="121"/>
  <c r="AD144" i="121"/>
  <c r="AD145" i="121"/>
  <c r="AD146" i="121"/>
  <c r="AD147" i="121"/>
  <c r="AD148" i="121"/>
  <c r="AD150" i="121"/>
  <c r="AD152" i="121"/>
  <c r="AD153" i="121"/>
  <c r="AD154" i="121"/>
  <c r="AD155" i="121"/>
  <c r="AD156" i="121"/>
  <c r="AD157" i="121"/>
  <c r="AD158" i="121"/>
  <c r="AD159" i="121"/>
  <c r="AD160" i="121"/>
  <c r="AD161" i="121"/>
  <c r="AD162" i="121"/>
  <c r="AD163" i="121"/>
  <c r="AD164" i="121"/>
  <c r="AD165" i="121"/>
  <c r="AD166" i="121"/>
  <c r="AD167" i="121"/>
  <c r="AD168" i="121"/>
  <c r="AD169" i="121"/>
  <c r="AC126" i="121"/>
  <c r="AC127" i="121"/>
  <c r="AC128" i="121"/>
  <c r="AC129" i="121"/>
  <c r="AC130" i="121"/>
  <c r="AC131" i="121"/>
  <c r="AC132" i="121"/>
  <c r="AC133" i="121"/>
  <c r="AC134" i="121"/>
  <c r="AC136" i="121"/>
  <c r="AC137" i="121"/>
  <c r="AC138" i="121"/>
  <c r="AC139" i="121"/>
  <c r="AC140" i="121"/>
  <c r="AC141" i="121"/>
  <c r="AC142" i="121"/>
  <c r="AC143" i="121"/>
  <c r="AC144" i="121"/>
  <c r="AC145" i="121"/>
  <c r="AC146" i="121"/>
  <c r="AC147" i="121"/>
  <c r="AC148" i="121"/>
  <c r="AC149" i="121"/>
  <c r="AC150" i="121"/>
  <c r="AC151" i="121"/>
  <c r="AC152" i="121"/>
  <c r="AC153" i="121"/>
  <c r="AC154" i="121"/>
  <c r="AC155" i="121"/>
  <c r="AC156" i="121"/>
  <c r="AC157" i="121"/>
  <c r="AC158" i="121"/>
  <c r="AC159" i="121"/>
  <c r="AC160" i="121"/>
  <c r="AC161" i="121"/>
  <c r="AC163" i="121"/>
  <c r="AC164" i="121"/>
  <c r="AC165" i="121"/>
  <c r="AC166" i="121"/>
  <c r="AC167" i="121"/>
  <c r="AC168" i="121"/>
  <c r="AC169" i="121"/>
  <c r="AC170" i="121"/>
  <c r="AC171" i="121"/>
  <c r="AC172" i="121"/>
  <c r="AC173" i="121"/>
  <c r="AC174" i="121"/>
  <c r="AC175" i="121"/>
  <c r="AC176" i="121"/>
  <c r="AC177" i="121"/>
  <c r="AC178" i="121"/>
  <c r="AC179" i="121"/>
  <c r="AC180" i="121"/>
  <c r="AC181" i="121"/>
  <c r="W175" i="121"/>
  <c r="W176" i="121"/>
  <c r="W177" i="121"/>
  <c r="W178" i="121"/>
  <c r="W179" i="121"/>
  <c r="V175" i="121"/>
  <c r="V176" i="121"/>
  <c r="V177" i="121"/>
  <c r="V178" i="121"/>
  <c r="V179" i="121"/>
  <c r="U175" i="121"/>
  <c r="U176" i="121"/>
  <c r="U177" i="121"/>
  <c r="U178" i="121"/>
  <c r="X178" i="121" s="1"/>
  <c r="U179" i="121"/>
  <c r="N218" i="121"/>
  <c r="AA218" i="121" s="1"/>
  <c r="M175" i="121"/>
  <c r="M176" i="121"/>
  <c r="M177" i="121"/>
  <c r="M178" i="121"/>
  <c r="M179" i="121"/>
  <c r="M180" i="121"/>
  <c r="F176" i="121"/>
  <c r="L176" i="121" s="1"/>
  <c r="N176" i="121" s="1"/>
  <c r="F177" i="121"/>
  <c r="L177" i="121" s="1"/>
  <c r="N177" i="121" s="1"/>
  <c r="F178" i="121"/>
  <c r="F179" i="121"/>
  <c r="F180" i="121"/>
  <c r="L180" i="121" s="1"/>
  <c r="N180" i="121" s="1"/>
  <c r="AA180" i="121" s="1"/>
  <c r="F181" i="121"/>
  <c r="L181" i="121" s="1"/>
  <c r="N181" i="121" s="1"/>
  <c r="AA181" i="121" s="1"/>
  <c r="K144" i="120"/>
  <c r="AF105" i="123"/>
  <c r="AF106" i="123"/>
  <c r="AF107" i="123"/>
  <c r="AF108" i="123"/>
  <c r="AF109" i="123"/>
  <c r="AF110" i="123"/>
  <c r="AF111" i="123"/>
  <c r="AF112" i="123"/>
  <c r="AF113" i="123"/>
  <c r="AF114" i="123"/>
  <c r="AF115" i="123"/>
  <c r="AF116" i="123"/>
  <c r="AF117" i="123"/>
  <c r="AF118" i="123"/>
  <c r="AF119" i="123"/>
  <c r="AF120" i="123"/>
  <c r="AF121" i="123"/>
  <c r="AF122" i="123"/>
  <c r="AF123" i="123"/>
  <c r="AF124" i="123"/>
  <c r="AF125" i="123"/>
  <c r="AF126" i="123"/>
  <c r="AF127" i="123"/>
  <c r="AF128" i="123"/>
  <c r="AF129" i="123"/>
  <c r="AF130" i="123"/>
  <c r="AF131" i="123"/>
  <c r="AF132" i="123"/>
  <c r="AE105" i="123"/>
  <c r="AE106" i="123"/>
  <c r="AE107" i="123"/>
  <c r="AE108" i="123"/>
  <c r="AE109" i="123"/>
  <c r="AE110" i="123"/>
  <c r="AE111" i="123"/>
  <c r="AE112" i="123"/>
  <c r="AE113" i="123"/>
  <c r="AE114" i="123"/>
  <c r="AE115" i="123"/>
  <c r="AE116" i="123"/>
  <c r="AE117" i="123"/>
  <c r="AE118" i="123"/>
  <c r="AE119" i="123"/>
  <c r="AE120" i="123"/>
  <c r="AE121" i="123"/>
  <c r="AE122" i="123"/>
  <c r="AE123" i="123"/>
  <c r="AE124" i="123"/>
  <c r="AE125" i="123"/>
  <c r="AE126" i="123"/>
  <c r="AE127" i="123"/>
  <c r="AE128" i="123"/>
  <c r="AE129" i="123"/>
  <c r="AE130" i="123"/>
  <c r="AE131" i="123"/>
  <c r="AE132" i="123"/>
  <c r="AD105" i="123"/>
  <c r="AD106" i="123"/>
  <c r="AD107" i="123"/>
  <c r="AD108" i="123"/>
  <c r="AD109" i="123"/>
  <c r="AD110" i="123"/>
  <c r="AD111" i="123"/>
  <c r="AD112" i="123"/>
  <c r="AD113" i="123"/>
  <c r="AD114" i="123"/>
  <c r="AD115" i="123"/>
  <c r="AD116" i="123"/>
  <c r="AD117" i="123"/>
  <c r="AD118" i="123"/>
  <c r="AD119" i="123"/>
  <c r="AD120" i="123"/>
  <c r="AD121" i="123"/>
  <c r="AD122" i="123"/>
  <c r="AD123" i="123"/>
  <c r="AD124" i="123"/>
  <c r="AD125" i="123"/>
  <c r="AD126" i="123"/>
  <c r="AD127" i="123"/>
  <c r="AD128" i="123"/>
  <c r="AD129" i="123"/>
  <c r="AD130" i="123"/>
  <c r="AD131" i="123"/>
  <c r="AD132" i="123"/>
  <c r="AC105" i="123"/>
  <c r="AC106" i="123"/>
  <c r="AC107" i="123"/>
  <c r="AC108" i="123"/>
  <c r="AC109" i="123"/>
  <c r="AC110" i="123"/>
  <c r="AC111" i="123"/>
  <c r="AC112" i="123"/>
  <c r="AC113" i="123"/>
  <c r="AC114" i="123"/>
  <c r="AC115" i="123"/>
  <c r="AC116" i="123"/>
  <c r="AC117" i="123"/>
  <c r="AC118" i="123"/>
  <c r="AC119" i="123"/>
  <c r="AC120" i="123"/>
  <c r="AC121" i="123"/>
  <c r="AC122" i="123"/>
  <c r="AC123" i="123"/>
  <c r="AC124" i="123"/>
  <c r="AC125" i="123"/>
  <c r="AC126" i="123"/>
  <c r="AC127" i="123"/>
  <c r="AC128" i="123"/>
  <c r="AC129" i="123"/>
  <c r="AC130" i="123"/>
  <c r="AC131" i="123"/>
  <c r="AC132" i="123"/>
  <c r="V119" i="123"/>
  <c r="V120" i="123"/>
  <c r="V121" i="123"/>
  <c r="V122" i="123"/>
  <c r="V123" i="123"/>
  <c r="V124" i="123"/>
  <c r="V125" i="123"/>
  <c r="V126" i="123"/>
  <c r="V127" i="123"/>
  <c r="V128" i="123"/>
  <c r="V129" i="123"/>
  <c r="V130" i="123"/>
  <c r="V131" i="123"/>
  <c r="U119" i="123"/>
  <c r="U120" i="123"/>
  <c r="U121" i="123"/>
  <c r="U122" i="123"/>
  <c r="U123" i="123"/>
  <c r="U124" i="123"/>
  <c r="X124" i="123" s="1"/>
  <c r="U125" i="123"/>
  <c r="X125" i="123" s="1"/>
  <c r="U126" i="123"/>
  <c r="X126" i="123" s="1"/>
  <c r="U127" i="123"/>
  <c r="X127" i="123" s="1"/>
  <c r="U128" i="123"/>
  <c r="X128" i="123" s="1"/>
  <c r="U129" i="123"/>
  <c r="X129" i="123" s="1"/>
  <c r="U130" i="123"/>
  <c r="X130" i="123" s="1"/>
  <c r="U131" i="123"/>
  <c r="X131" i="123" s="1"/>
  <c r="M120" i="123"/>
  <c r="M122" i="123"/>
  <c r="M123" i="123"/>
  <c r="M124" i="123"/>
  <c r="M125" i="123"/>
  <c r="M126" i="123"/>
  <c r="M127" i="123"/>
  <c r="M128" i="123"/>
  <c r="M129" i="123"/>
  <c r="M130" i="123"/>
  <c r="M131" i="123"/>
  <c r="M132" i="123"/>
  <c r="Z132" i="123" s="1"/>
  <c r="F122" i="123"/>
  <c r="F123" i="123"/>
  <c r="F124" i="123"/>
  <c r="L124" i="123" s="1"/>
  <c r="F125" i="123"/>
  <c r="F126" i="123"/>
  <c r="F127" i="123"/>
  <c r="F128" i="123"/>
  <c r="F129" i="123"/>
  <c r="F130" i="123"/>
  <c r="F131" i="123"/>
  <c r="F132" i="123"/>
  <c r="F133" i="123"/>
  <c r="L133" i="123" s="1"/>
  <c r="N133" i="123" s="1"/>
  <c r="AA133" i="123" s="1"/>
  <c r="F134" i="123"/>
  <c r="L134" i="123" s="1"/>
  <c r="N134" i="123" s="1"/>
  <c r="AA134" i="123" s="1"/>
  <c r="AF162" i="118"/>
  <c r="AF163" i="118"/>
  <c r="AF164" i="118"/>
  <c r="AF165" i="118"/>
  <c r="AF166" i="118"/>
  <c r="AF167" i="118"/>
  <c r="AF168" i="118"/>
  <c r="AF169" i="118"/>
  <c r="AE162" i="118"/>
  <c r="AE163" i="118"/>
  <c r="AE164" i="118"/>
  <c r="AE165" i="118"/>
  <c r="AE166" i="118"/>
  <c r="AE167" i="118"/>
  <c r="AE168" i="118"/>
  <c r="AE169" i="118"/>
  <c r="AD162" i="118"/>
  <c r="AD163" i="118"/>
  <c r="AD164" i="118"/>
  <c r="AD165" i="118"/>
  <c r="AD166" i="118"/>
  <c r="AD167" i="118"/>
  <c r="AD168" i="118"/>
  <c r="AD169" i="118"/>
  <c r="AC162" i="118"/>
  <c r="AC163" i="118"/>
  <c r="AC164" i="118"/>
  <c r="AC165" i="118"/>
  <c r="AC166" i="118"/>
  <c r="AC167" i="118"/>
  <c r="AC168" i="118"/>
  <c r="AC169" i="118"/>
  <c r="V163" i="118"/>
  <c r="V164" i="118"/>
  <c r="V165" i="118"/>
  <c r="V166" i="118"/>
  <c r="V167" i="118"/>
  <c r="V168" i="118"/>
  <c r="V169" i="118"/>
  <c r="U163" i="118"/>
  <c r="U164" i="118"/>
  <c r="U165" i="118"/>
  <c r="U166" i="118"/>
  <c r="U167" i="118"/>
  <c r="U168" i="118"/>
  <c r="X168" i="118" s="1"/>
  <c r="U169" i="118"/>
  <c r="X169" i="118" s="1"/>
  <c r="M165" i="118"/>
  <c r="M166" i="118"/>
  <c r="M167" i="118"/>
  <c r="M168" i="118"/>
  <c r="M169" i="118"/>
  <c r="M170" i="118"/>
  <c r="F167" i="118"/>
  <c r="F168" i="118"/>
  <c r="F169" i="118"/>
  <c r="F170" i="118"/>
  <c r="F171" i="118"/>
  <c r="AF122" i="122"/>
  <c r="AF123" i="122"/>
  <c r="AF124" i="122"/>
  <c r="AF125" i="122"/>
  <c r="AF126" i="122"/>
  <c r="AF127" i="122"/>
  <c r="AF128" i="122"/>
  <c r="AF129" i="122"/>
  <c r="AF130" i="122"/>
  <c r="AF131" i="122"/>
  <c r="AF132" i="122"/>
  <c r="AF133" i="122"/>
  <c r="AE122" i="122"/>
  <c r="AE123" i="122"/>
  <c r="AE124" i="122"/>
  <c r="AE125" i="122"/>
  <c r="AE126" i="122"/>
  <c r="AE127" i="122"/>
  <c r="AE128" i="122"/>
  <c r="AE129" i="122"/>
  <c r="AE130" i="122"/>
  <c r="AE131" i="122"/>
  <c r="AE132" i="122"/>
  <c r="AE133" i="122"/>
  <c r="AD116" i="122"/>
  <c r="AD117" i="122"/>
  <c r="AD118" i="122"/>
  <c r="AD119" i="122"/>
  <c r="AD120" i="122"/>
  <c r="AD121" i="122"/>
  <c r="AD122" i="122"/>
  <c r="AD123" i="122"/>
  <c r="AD124" i="122"/>
  <c r="AD125" i="122"/>
  <c r="AD126" i="122"/>
  <c r="AD127" i="122"/>
  <c r="AD128" i="122"/>
  <c r="AD129" i="122"/>
  <c r="AD130" i="122"/>
  <c r="AD131" i="122"/>
  <c r="AD132" i="122"/>
  <c r="AD133" i="122"/>
  <c r="AD134" i="122"/>
  <c r="AC116" i="122"/>
  <c r="AC117" i="122"/>
  <c r="AC118" i="122"/>
  <c r="AC119" i="122"/>
  <c r="AC120" i="122"/>
  <c r="AC121" i="122"/>
  <c r="AC122" i="122"/>
  <c r="AC123" i="122"/>
  <c r="AC124" i="122"/>
  <c r="AC125" i="122"/>
  <c r="AC126" i="122"/>
  <c r="AC127" i="122"/>
  <c r="AC128" i="122"/>
  <c r="AC129" i="122"/>
  <c r="AC130" i="122"/>
  <c r="AC131" i="122"/>
  <c r="AC132" i="122"/>
  <c r="AC133" i="122"/>
  <c r="AC134" i="122"/>
  <c r="AC135" i="122"/>
  <c r="AC136" i="122"/>
  <c r="AC137" i="122"/>
  <c r="W130" i="122"/>
  <c r="W131" i="122"/>
  <c r="W132" i="122"/>
  <c r="W133" i="122"/>
  <c r="W134" i="122"/>
  <c r="W135" i="122"/>
  <c r="W136" i="122"/>
  <c r="W137" i="122"/>
  <c r="V130" i="122"/>
  <c r="V131" i="122"/>
  <c r="V132" i="122"/>
  <c r="V133" i="122"/>
  <c r="V134" i="122"/>
  <c r="V135" i="122"/>
  <c r="V136" i="122"/>
  <c r="V137" i="122"/>
  <c r="U130" i="122"/>
  <c r="U131" i="122"/>
  <c r="U132" i="122"/>
  <c r="X132" i="122" s="1"/>
  <c r="U133" i="122"/>
  <c r="X133" i="122" s="1"/>
  <c r="U134" i="122"/>
  <c r="X134" i="122" s="1"/>
  <c r="U135" i="122"/>
  <c r="X135" i="122" s="1"/>
  <c r="U136" i="122"/>
  <c r="X136" i="122" s="1"/>
  <c r="M130" i="122"/>
  <c r="M131" i="122"/>
  <c r="M132" i="122"/>
  <c r="M133" i="122"/>
  <c r="M134" i="122"/>
  <c r="M135" i="122"/>
  <c r="M136" i="122"/>
  <c r="F131" i="122"/>
  <c r="F132" i="122"/>
  <c r="F133" i="122"/>
  <c r="L133" i="122" s="1"/>
  <c r="F134" i="122"/>
  <c r="L134" i="122" s="1"/>
  <c r="N134" i="122" s="1"/>
  <c r="F135" i="122"/>
  <c r="L135" i="122" s="1"/>
  <c r="N135" i="122" s="1"/>
  <c r="F136" i="122"/>
  <c r="L136" i="122" s="1"/>
  <c r="N136" i="122" s="1"/>
  <c r="F137" i="122"/>
  <c r="L137" i="122" s="1"/>
  <c r="N137" i="122" s="1"/>
  <c r="F138" i="122"/>
  <c r="L138" i="122" s="1"/>
  <c r="N138" i="122" s="1"/>
  <c r="AA138" i="122" s="1"/>
  <c r="AF181" i="116"/>
  <c r="AF182" i="116"/>
  <c r="AF183" i="116"/>
  <c r="AF184" i="116"/>
  <c r="AF185" i="116"/>
  <c r="AF186" i="116"/>
  <c r="AF187" i="116"/>
  <c r="AF188" i="116"/>
  <c r="AF189" i="116"/>
  <c r="AF190" i="116"/>
  <c r="AF191" i="116"/>
  <c r="AF192" i="116"/>
  <c r="AF193" i="116"/>
  <c r="AF194" i="116"/>
  <c r="AF195" i="116"/>
  <c r="AF196" i="116"/>
  <c r="AF197" i="116"/>
  <c r="AF205" i="116"/>
  <c r="AF206" i="116"/>
  <c r="AF207" i="116"/>
  <c r="AF208" i="116"/>
  <c r="AF216" i="116"/>
  <c r="AF217" i="116"/>
  <c r="AF234" i="116"/>
  <c r="AE181" i="116"/>
  <c r="AE182" i="116"/>
  <c r="AE183" i="116"/>
  <c r="AE184" i="116"/>
  <c r="AE185" i="116"/>
  <c r="AE186" i="116"/>
  <c r="AE187" i="116"/>
  <c r="AE188" i="116"/>
  <c r="AE189" i="116"/>
  <c r="AE190" i="116"/>
  <c r="AE191" i="116"/>
  <c r="AE192" i="116"/>
  <c r="AE193" i="116"/>
  <c r="AE194" i="116"/>
  <c r="AE195" i="116"/>
  <c r="AE196" i="116"/>
  <c r="AE197" i="116"/>
  <c r="AE205" i="116"/>
  <c r="AE206" i="116"/>
  <c r="AE207" i="116"/>
  <c r="AE208" i="116"/>
  <c r="AE216" i="116"/>
  <c r="AE217" i="116"/>
  <c r="AE234" i="116"/>
  <c r="AD176" i="116"/>
  <c r="AD177" i="116"/>
  <c r="AD178" i="116"/>
  <c r="AD179" i="116"/>
  <c r="AD180" i="116"/>
  <c r="AD181" i="116"/>
  <c r="AD182" i="116"/>
  <c r="AD183" i="116"/>
  <c r="AD184" i="116"/>
  <c r="AD185" i="116"/>
  <c r="AD187" i="116"/>
  <c r="AD188" i="116"/>
  <c r="AD189" i="116"/>
  <c r="AD190" i="116"/>
  <c r="AD191" i="116"/>
  <c r="AD192" i="116"/>
  <c r="AD193" i="116"/>
  <c r="AD194" i="116"/>
  <c r="AD195" i="116"/>
  <c r="AD196" i="116"/>
  <c r="AD197" i="116"/>
  <c r="AD205" i="116"/>
  <c r="AD206" i="116"/>
  <c r="AD207" i="116"/>
  <c r="AD208" i="116"/>
  <c r="AD216" i="116"/>
  <c r="AD217" i="116"/>
  <c r="AD234" i="116"/>
  <c r="AC174" i="116"/>
  <c r="AC175" i="116"/>
  <c r="AC176" i="116"/>
  <c r="AC177" i="116"/>
  <c r="AC178" i="116"/>
  <c r="AC179" i="116"/>
  <c r="AC180" i="116"/>
  <c r="AC182" i="116"/>
  <c r="AC183" i="116"/>
  <c r="AC184" i="116"/>
  <c r="AC185" i="116"/>
  <c r="AC186" i="116"/>
  <c r="AC187" i="116"/>
  <c r="AC188" i="116"/>
  <c r="AC189" i="116"/>
  <c r="AC190" i="116"/>
  <c r="AC191" i="116"/>
  <c r="AC192" i="116"/>
  <c r="AC193" i="116"/>
  <c r="AC194" i="116"/>
  <c r="AC195" i="116"/>
  <c r="AC196" i="116"/>
  <c r="AC197" i="116"/>
  <c r="AC205" i="116"/>
  <c r="AC206" i="116"/>
  <c r="AC207" i="116"/>
  <c r="AC208" i="116"/>
  <c r="AC216" i="116"/>
  <c r="AC217" i="116"/>
  <c r="AC234" i="116"/>
  <c r="AC235" i="116"/>
  <c r="V180" i="116"/>
  <c r="V181" i="116"/>
  <c r="V182" i="116"/>
  <c r="V183" i="116"/>
  <c r="V184" i="116"/>
  <c r="V185" i="116"/>
  <c r="V186" i="116"/>
  <c r="V187" i="116"/>
  <c r="V188" i="116"/>
  <c r="V189" i="116"/>
  <c r="V190" i="116"/>
  <c r="V191" i="116"/>
  <c r="V192" i="116"/>
  <c r="V193" i="116"/>
  <c r="V194" i="116"/>
  <c r="V195" i="116"/>
  <c r="U180" i="116"/>
  <c r="U181" i="116"/>
  <c r="X181" i="116" s="1"/>
  <c r="AC181" i="116" s="1"/>
  <c r="U182" i="116"/>
  <c r="U183" i="116"/>
  <c r="X183" i="116" s="1"/>
  <c r="U184" i="116"/>
  <c r="X184" i="116" s="1"/>
  <c r="U185" i="116"/>
  <c r="X185" i="116" s="1"/>
  <c r="U186" i="116"/>
  <c r="AD186" i="116" s="1"/>
  <c r="U187" i="116"/>
  <c r="X187" i="116" s="1"/>
  <c r="U188" i="116"/>
  <c r="U189" i="116"/>
  <c r="U190" i="116"/>
  <c r="U191" i="116"/>
  <c r="U192" i="116"/>
  <c r="X196" i="116"/>
  <c r="X197" i="116"/>
  <c r="M181" i="116"/>
  <c r="M183" i="116"/>
  <c r="M184" i="116"/>
  <c r="M185" i="116"/>
  <c r="M186" i="116"/>
  <c r="M187" i="116"/>
  <c r="M188" i="116"/>
  <c r="M189" i="116"/>
  <c r="M190" i="116"/>
  <c r="M191" i="116"/>
  <c r="M192" i="116"/>
  <c r="M193" i="116"/>
  <c r="M194" i="116"/>
  <c r="M195" i="116"/>
  <c r="M196" i="116"/>
  <c r="Z196" i="116" s="1"/>
  <c r="M197" i="116"/>
  <c r="F183" i="116"/>
  <c r="F184" i="116"/>
  <c r="F185" i="116"/>
  <c r="F186" i="116"/>
  <c r="F187" i="116"/>
  <c r="F188" i="116"/>
  <c r="F189" i="116"/>
  <c r="F190" i="116"/>
  <c r="F191" i="116"/>
  <c r="F192" i="116"/>
  <c r="F193" i="116"/>
  <c r="F194" i="116"/>
  <c r="F195" i="116"/>
  <c r="F196" i="116"/>
  <c r="K182" i="116"/>
  <c r="M182" i="116" s="1"/>
  <c r="L184" i="116" l="1"/>
  <c r="N184" i="116" s="1"/>
  <c r="AA184" i="116" s="1"/>
  <c r="Z131" i="123"/>
  <c r="Z129" i="123"/>
  <c r="Z130" i="123"/>
  <c r="L189" i="116"/>
  <c r="N189" i="116" s="1"/>
  <c r="AA189" i="116" s="1"/>
  <c r="L170" i="118"/>
  <c r="N170" i="118" s="1"/>
  <c r="AA170" i="118" s="1"/>
  <c r="L130" i="123"/>
  <c r="L192" i="116"/>
  <c r="L188" i="116"/>
  <c r="L169" i="118"/>
  <c r="N169" i="118" s="1"/>
  <c r="AA169" i="118" s="1"/>
  <c r="L179" i="121"/>
  <c r="N179" i="121" s="1"/>
  <c r="AA179" i="121" s="1"/>
  <c r="L195" i="116"/>
  <c r="AA195" i="116" s="1"/>
  <c r="L191" i="116"/>
  <c r="L132" i="122"/>
  <c r="N132" i="122" s="1"/>
  <c r="AA132" i="122" s="1"/>
  <c r="L132" i="123"/>
  <c r="N132" i="123" s="1"/>
  <c r="AA132" i="123" s="1"/>
  <c r="L128" i="123"/>
  <c r="N128" i="123" s="1"/>
  <c r="AA128" i="123" s="1"/>
  <c r="N124" i="123"/>
  <c r="AA124" i="123" s="1"/>
  <c r="L185" i="116"/>
  <c r="L178" i="121"/>
  <c r="N178" i="121" s="1"/>
  <c r="AA178" i="121" s="1"/>
  <c r="L193" i="116"/>
  <c r="N193" i="116" s="1"/>
  <c r="AA193" i="116" s="1"/>
  <c r="N126" i="123"/>
  <c r="AA126" i="123" s="1"/>
  <c r="L126" i="123"/>
  <c r="L196" i="116"/>
  <c r="AA196" i="116" s="1"/>
  <c r="L129" i="123"/>
  <c r="L125" i="123"/>
  <c r="N125" i="123" s="1"/>
  <c r="AA125" i="123" s="1"/>
  <c r="L194" i="116"/>
  <c r="AA194" i="116" s="1"/>
  <c r="L190" i="116"/>
  <c r="Z197" i="116"/>
  <c r="Y197" i="116"/>
  <c r="N133" i="122"/>
  <c r="AA133" i="122" s="1"/>
  <c r="L168" i="118"/>
  <c r="N168" i="118" s="1"/>
  <c r="AA168" i="118" s="1"/>
  <c r="L131" i="123"/>
  <c r="L127" i="123"/>
  <c r="N127" i="123" s="1"/>
  <c r="AA127" i="123" s="1"/>
  <c r="L183" i="116"/>
  <c r="N183" i="116" s="1"/>
  <c r="AA183" i="116" s="1"/>
  <c r="Z183" i="116"/>
  <c r="Z187" i="116"/>
  <c r="Y180" i="121"/>
  <c r="Z180" i="121"/>
  <c r="Z179" i="121"/>
  <c r="Y170" i="118"/>
  <c r="Z170" i="118"/>
  <c r="Z127" i="123"/>
  <c r="Y196" i="116"/>
  <c r="Z195" i="116"/>
  <c r="Z194" i="116"/>
  <c r="Z193" i="116"/>
  <c r="X195" i="116"/>
  <c r="Y195" i="116"/>
  <c r="Z135" i="122"/>
  <c r="Z192" i="116"/>
  <c r="Z191" i="116"/>
  <c r="Z137" i="122"/>
  <c r="AA137" i="122"/>
  <c r="L172" i="118"/>
  <c r="L171" i="118"/>
  <c r="Z190" i="116"/>
  <c r="Z189" i="116"/>
  <c r="Z188" i="116"/>
  <c r="Z168" i="118"/>
  <c r="Z125" i="123"/>
  <c r="Z124" i="123"/>
  <c r="Y130" i="123"/>
  <c r="Z134" i="122"/>
  <c r="AA136" i="122"/>
  <c r="Z136" i="122"/>
  <c r="Y132" i="122"/>
  <c r="AA134" i="122"/>
  <c r="Z133" i="122"/>
  <c r="AA135" i="122"/>
  <c r="Y169" i="118"/>
  <c r="Z185" i="116"/>
  <c r="Y186" i="116"/>
  <c r="Y184" i="116"/>
  <c r="Y132" i="123"/>
  <c r="X137" i="122"/>
  <c r="Y137" i="122"/>
  <c r="X193" i="116"/>
  <c r="Y193" i="116"/>
  <c r="X194" i="116"/>
  <c r="Y194" i="116"/>
  <c r="Z178" i="121"/>
  <c r="Y136" i="122"/>
  <c r="Y131" i="123"/>
  <c r="Z128" i="123"/>
  <c r="Z126" i="123"/>
  <c r="Z169" i="118"/>
  <c r="Z123" i="123"/>
  <c r="Z122" i="123"/>
  <c r="Z120" i="123"/>
  <c r="Z131" i="122"/>
  <c r="Z130" i="122"/>
  <c r="Y177" i="121"/>
  <c r="AA177" i="121"/>
  <c r="Z176" i="121"/>
  <c r="AA176" i="121"/>
  <c r="Y175" i="121"/>
  <c r="Z167" i="118"/>
  <c r="Y166" i="118"/>
  <c r="Z165" i="118"/>
  <c r="Z182" i="116"/>
  <c r="X123" i="123"/>
  <c r="X121" i="123"/>
  <c r="X119" i="123"/>
  <c r="Y123" i="123"/>
  <c r="X122" i="123"/>
  <c r="X120" i="123"/>
  <c r="Y122" i="123"/>
  <c r="Y120" i="123"/>
  <c r="X130" i="122"/>
  <c r="Y130" i="122"/>
  <c r="X131" i="122"/>
  <c r="Y131" i="122"/>
  <c r="X179" i="121"/>
  <c r="X177" i="121"/>
  <c r="X175" i="121"/>
  <c r="Y179" i="121"/>
  <c r="Y176" i="121"/>
  <c r="Z177" i="121"/>
  <c r="Z175" i="121"/>
  <c r="X176" i="121"/>
  <c r="X166" i="118"/>
  <c r="X164" i="118"/>
  <c r="Y167" i="118"/>
  <c r="Y165" i="118"/>
  <c r="Z166" i="118"/>
  <c r="X167" i="118"/>
  <c r="X165" i="118"/>
  <c r="X163" i="118"/>
  <c r="X192" i="116"/>
  <c r="X190" i="116"/>
  <c r="X188" i="116"/>
  <c r="X182" i="116"/>
  <c r="Y192" i="116"/>
  <c r="Y190" i="116"/>
  <c r="Y188" i="116"/>
  <c r="X191" i="116"/>
  <c r="X189" i="116"/>
  <c r="X180" i="116"/>
  <c r="Y191" i="116"/>
  <c r="Y189" i="116"/>
  <c r="Y182" i="116"/>
  <c r="Z181" i="116"/>
  <c r="L186" i="116"/>
  <c r="N186" i="116" s="1"/>
  <c r="AA186" i="116" s="1"/>
  <c r="Y135" i="122"/>
  <c r="Y134" i="122"/>
  <c r="Y133" i="122"/>
  <c r="L187" i="116"/>
  <c r="N187" i="116" s="1"/>
  <c r="Y187" i="116"/>
  <c r="Y178" i="121"/>
  <c r="Y185" i="116"/>
  <c r="Z184" i="116"/>
  <c r="Y183" i="116"/>
  <c r="Y129" i="123"/>
  <c r="Y128" i="123"/>
  <c r="Y127" i="123"/>
  <c r="Y126" i="123"/>
  <c r="Y125" i="123"/>
  <c r="Y124" i="123"/>
  <c r="Y168" i="118"/>
  <c r="Z132" i="122"/>
  <c r="Y181" i="116"/>
  <c r="L129" i="119"/>
  <c r="K174" i="121"/>
  <c r="N192" i="116" l="1"/>
  <c r="AA192" i="116" s="1"/>
  <c r="N191" i="116"/>
  <c r="AA191" i="116" s="1"/>
  <c r="N190" i="116"/>
  <c r="AA190" i="116" s="1"/>
  <c r="N188" i="116"/>
  <c r="AA188" i="116" s="1"/>
  <c r="N172" i="118"/>
  <c r="AA172" i="118" s="1"/>
  <c r="N171" i="118"/>
  <c r="AA171" i="118" s="1"/>
  <c r="N130" i="123"/>
  <c r="AA130" i="123" s="1"/>
  <c r="N131" i="123"/>
  <c r="AA131" i="123" s="1"/>
  <c r="N129" i="123"/>
  <c r="AA129" i="123" s="1"/>
  <c r="N185" i="116"/>
  <c r="AA185" i="116" s="1"/>
  <c r="N129" i="119"/>
  <c r="AA129" i="119" s="1"/>
  <c r="AA187" i="116"/>
  <c r="L167" i="118"/>
  <c r="L131" i="122"/>
  <c r="N131" i="122" s="1"/>
  <c r="AA131" i="122" s="1"/>
  <c r="K250" i="117"/>
  <c r="N167" i="118" l="1"/>
  <c r="AA167" i="118" s="1"/>
  <c r="K126" i="119"/>
  <c r="K199" i="124"/>
  <c r="K200" i="124"/>
  <c r="M200" i="124" s="1"/>
  <c r="K201" i="124"/>
  <c r="M201" i="124" s="1"/>
  <c r="K202" i="124"/>
  <c r="K198" i="124"/>
  <c r="W166" i="121"/>
  <c r="W167" i="121"/>
  <c r="W168" i="121"/>
  <c r="W169" i="121"/>
  <c r="W170" i="121"/>
  <c r="W171" i="121"/>
  <c r="W172" i="121"/>
  <c r="W173" i="121"/>
  <c r="W174" i="121"/>
  <c r="V166" i="121"/>
  <c r="V167" i="121"/>
  <c r="V168" i="121"/>
  <c r="V169" i="121"/>
  <c r="V170" i="121"/>
  <c r="V171" i="121"/>
  <c r="V172" i="121"/>
  <c r="V173" i="121"/>
  <c r="V174" i="121"/>
  <c r="U166" i="121"/>
  <c r="U167" i="121"/>
  <c r="X167" i="121" s="1"/>
  <c r="AE167" i="121" s="1"/>
  <c r="U168" i="121"/>
  <c r="X168" i="121" s="1"/>
  <c r="U169" i="121"/>
  <c r="X169" i="121" s="1"/>
  <c r="U170" i="121"/>
  <c r="X170" i="121" s="1"/>
  <c r="U171" i="121"/>
  <c r="X171" i="121" s="1"/>
  <c r="U172" i="121"/>
  <c r="X172" i="121" s="1"/>
  <c r="U173" i="121"/>
  <c r="X173" i="121" s="1"/>
  <c r="U174" i="121"/>
  <c r="X174" i="121" s="1"/>
  <c r="M167" i="121"/>
  <c r="M168" i="121"/>
  <c r="M169" i="121"/>
  <c r="M170" i="121"/>
  <c r="M171" i="121"/>
  <c r="M172" i="121"/>
  <c r="M173" i="121"/>
  <c r="M174" i="121"/>
  <c r="F169" i="121"/>
  <c r="F170" i="121"/>
  <c r="L170" i="121" s="1"/>
  <c r="N170" i="121" s="1"/>
  <c r="F171" i="121"/>
  <c r="F172" i="121"/>
  <c r="F173" i="121"/>
  <c r="F174" i="121"/>
  <c r="F175" i="121"/>
  <c r="L175" i="121" s="1"/>
  <c r="N175" i="121" s="1"/>
  <c r="AA175" i="121" s="1"/>
  <c r="K162" i="118"/>
  <c r="L123" i="123"/>
  <c r="N123" i="123" s="1"/>
  <c r="AA123" i="123" s="1"/>
  <c r="L122" i="123"/>
  <c r="N122" i="123" s="1"/>
  <c r="AA122" i="123" s="1"/>
  <c r="AF158" i="118"/>
  <c r="AF159" i="118"/>
  <c r="AF160" i="118"/>
  <c r="AF161" i="118"/>
  <c r="AE158" i="118"/>
  <c r="AE159" i="118"/>
  <c r="AE160" i="118"/>
  <c r="AE161" i="118"/>
  <c r="AD158" i="118"/>
  <c r="AD159" i="118"/>
  <c r="AD160" i="118"/>
  <c r="AD161" i="118"/>
  <c r="AC158" i="118"/>
  <c r="AC159" i="118"/>
  <c r="AC160" i="118"/>
  <c r="AC161" i="118"/>
  <c r="V158" i="118"/>
  <c r="V159" i="118"/>
  <c r="V160" i="118"/>
  <c r="V161" i="118"/>
  <c r="V162" i="118"/>
  <c r="U158" i="118"/>
  <c r="U159" i="118"/>
  <c r="U160" i="118"/>
  <c r="U161" i="118"/>
  <c r="U162" i="118"/>
  <c r="M160" i="118"/>
  <c r="M161" i="118"/>
  <c r="M162" i="118"/>
  <c r="M163" i="118"/>
  <c r="Z163" i="118" s="1"/>
  <c r="M164" i="118"/>
  <c r="M214" i="118"/>
  <c r="F163" i="118"/>
  <c r="N163" i="118" s="1"/>
  <c r="F164" i="118"/>
  <c r="F165" i="118"/>
  <c r="L165" i="118" s="1"/>
  <c r="N165" i="118" s="1"/>
  <c r="AA165" i="118" s="1"/>
  <c r="F166" i="118"/>
  <c r="K143" i="120"/>
  <c r="AD196" i="124"/>
  <c r="AD197" i="124"/>
  <c r="AD198" i="124"/>
  <c r="AD199" i="124"/>
  <c r="AD200" i="124"/>
  <c r="AD201" i="124"/>
  <c r="AD202" i="124"/>
  <c r="AC198" i="124"/>
  <c r="AC199" i="124"/>
  <c r="AC200" i="124"/>
  <c r="AC201" i="124"/>
  <c r="AC202" i="124"/>
  <c r="W193" i="124"/>
  <c r="W194" i="124"/>
  <c r="W195" i="124"/>
  <c r="W196" i="124"/>
  <c r="W197" i="124"/>
  <c r="W198" i="124"/>
  <c r="W199" i="124"/>
  <c r="W200" i="124"/>
  <c r="W201" i="124"/>
  <c r="W202" i="124"/>
  <c r="W203" i="124"/>
  <c r="V193" i="124"/>
  <c r="V194" i="124"/>
  <c r="V195" i="124"/>
  <c r="V196" i="124"/>
  <c r="V197" i="124"/>
  <c r="V198" i="124"/>
  <c r="V199" i="124"/>
  <c r="V200" i="124"/>
  <c r="V201" i="124"/>
  <c r="V202" i="124"/>
  <c r="V203" i="124"/>
  <c r="U193" i="124"/>
  <c r="U194" i="124"/>
  <c r="U195" i="124"/>
  <c r="U196" i="124"/>
  <c r="U197" i="124"/>
  <c r="U198" i="124"/>
  <c r="X198" i="124" s="1"/>
  <c r="U199" i="124"/>
  <c r="X199" i="124" s="1"/>
  <c r="U200" i="124"/>
  <c r="X200" i="124" s="1"/>
  <c r="U201" i="124"/>
  <c r="X201" i="124" s="1"/>
  <c r="U202" i="124"/>
  <c r="X202" i="124" s="1"/>
  <c r="U203" i="124"/>
  <c r="X203" i="124" s="1"/>
  <c r="M195" i="124"/>
  <c r="M196" i="124"/>
  <c r="M197" i="124"/>
  <c r="M198" i="124"/>
  <c r="M199" i="124"/>
  <c r="M202" i="124"/>
  <c r="M203" i="124"/>
  <c r="M204" i="124"/>
  <c r="M205" i="124"/>
  <c r="M206" i="124"/>
  <c r="M207" i="124"/>
  <c r="M208" i="124"/>
  <c r="M209" i="124"/>
  <c r="F197" i="124"/>
  <c r="F198" i="124"/>
  <c r="L198" i="124" s="1"/>
  <c r="N198" i="124" s="1"/>
  <c r="F199" i="124"/>
  <c r="F200" i="124"/>
  <c r="L200" i="124" s="1"/>
  <c r="N200" i="124" s="1"/>
  <c r="F201" i="124"/>
  <c r="F202" i="124"/>
  <c r="L202" i="124" s="1"/>
  <c r="N202" i="124" s="1"/>
  <c r="F203" i="124"/>
  <c r="F204" i="124"/>
  <c r="F205" i="124"/>
  <c r="F206" i="124"/>
  <c r="F207" i="124"/>
  <c r="F208" i="124"/>
  <c r="F209" i="124"/>
  <c r="L209" i="124" s="1"/>
  <c r="N209" i="124" s="1"/>
  <c r="AA209" i="124" s="1"/>
  <c r="F210" i="124"/>
  <c r="L210" i="124" s="1"/>
  <c r="K142" i="120"/>
  <c r="M246" i="117"/>
  <c r="N210" i="124" l="1"/>
  <c r="AA210" i="124" s="1"/>
  <c r="L166" i="118"/>
  <c r="N166" i="118" s="1"/>
  <c r="Y214" i="118"/>
  <c r="Z214" i="118"/>
  <c r="Y198" i="124"/>
  <c r="L174" i="121"/>
  <c r="L173" i="121"/>
  <c r="L169" i="121"/>
  <c r="N169" i="121" s="1"/>
  <c r="AA169" i="121" s="1"/>
  <c r="L172" i="121"/>
  <c r="N172" i="121" s="1"/>
  <c r="AA172" i="121" s="1"/>
  <c r="Z170" i="121"/>
  <c r="L164" i="118"/>
  <c r="N164" i="118" s="1"/>
  <c r="AA170" i="121"/>
  <c r="L171" i="121"/>
  <c r="N171" i="121" s="1"/>
  <c r="AA171" i="121" s="1"/>
  <c r="Y202" i="124"/>
  <c r="Z199" i="124"/>
  <c r="L207" i="124"/>
  <c r="N207" i="124" s="1"/>
  <c r="AA207" i="124" s="1"/>
  <c r="L205" i="124"/>
  <c r="N205" i="124" s="1"/>
  <c r="AA205" i="124" s="1"/>
  <c r="L208" i="124"/>
  <c r="N208" i="124" s="1"/>
  <c r="AA208" i="124" s="1"/>
  <c r="L206" i="124"/>
  <c r="N206" i="124" s="1"/>
  <c r="AA206" i="124" s="1"/>
  <c r="L204" i="124"/>
  <c r="AA202" i="124"/>
  <c r="AA200" i="124"/>
  <c r="AA198" i="124"/>
  <c r="L199" i="124"/>
  <c r="L201" i="124"/>
  <c r="L203" i="124"/>
  <c r="Z203" i="124"/>
  <c r="Z209" i="124"/>
  <c r="Y209" i="124"/>
  <c r="Z208" i="124"/>
  <c r="Y208" i="124"/>
  <c r="Y207" i="124"/>
  <c r="Z207" i="124"/>
  <c r="Y206" i="124"/>
  <c r="Z206" i="124"/>
  <c r="Y205" i="124"/>
  <c r="Z205" i="124"/>
  <c r="Z204" i="124"/>
  <c r="Y204" i="124"/>
  <c r="Y200" i="124"/>
  <c r="Z201" i="124"/>
  <c r="Y171" i="121"/>
  <c r="Z167" i="121"/>
  <c r="Z172" i="121"/>
  <c r="Y173" i="121"/>
  <c r="Y169" i="121"/>
  <c r="Z174" i="121"/>
  <c r="Y164" i="118"/>
  <c r="Z164" i="118"/>
  <c r="Z162" i="118"/>
  <c r="X162" i="118"/>
  <c r="X166" i="121"/>
  <c r="Y174" i="121"/>
  <c r="Z173" i="121"/>
  <c r="Z161" i="118"/>
  <c r="Y172" i="121"/>
  <c r="Z168" i="121"/>
  <c r="Y168" i="121"/>
  <c r="Y167" i="121"/>
  <c r="Z171" i="121"/>
  <c r="Y170" i="121"/>
  <c r="Z169" i="121"/>
  <c r="Z197" i="124"/>
  <c r="Z196" i="124"/>
  <c r="Z195" i="124"/>
  <c r="Y163" i="118"/>
  <c r="Y161" i="118"/>
  <c r="Y160" i="118"/>
  <c r="X195" i="124"/>
  <c r="X197" i="124"/>
  <c r="X194" i="124"/>
  <c r="Y197" i="124"/>
  <c r="Y162" i="118"/>
  <c r="X161" i="118"/>
  <c r="X160" i="118"/>
  <c r="X158" i="118"/>
  <c r="Z160" i="118"/>
  <c r="X159" i="118"/>
  <c r="Y203" i="124"/>
  <c r="X196" i="124"/>
  <c r="Y196" i="124"/>
  <c r="Z202" i="124"/>
  <c r="Y201" i="124"/>
  <c r="Z200" i="124"/>
  <c r="Y199" i="124"/>
  <c r="Z198" i="124"/>
  <c r="K141" i="120"/>
  <c r="L197" i="124"/>
  <c r="N197" i="124" s="1"/>
  <c r="AA197" i="124" s="1"/>
  <c r="K125" i="119"/>
  <c r="K166" i="121"/>
  <c r="N203" i="124" l="1"/>
  <c r="AA203" i="124" s="1"/>
  <c r="N174" i="121"/>
  <c r="AA174" i="121" s="1"/>
  <c r="N201" i="124"/>
  <c r="AA201" i="124" s="1"/>
  <c r="N199" i="124"/>
  <c r="AA199" i="124" s="1"/>
  <c r="N204" i="124"/>
  <c r="AA204" i="124" s="1"/>
  <c r="N173" i="121"/>
  <c r="AA173" i="121" s="1"/>
  <c r="AA166" i="118"/>
  <c r="AA164" i="118"/>
  <c r="K158" i="118"/>
  <c r="K180" i="116"/>
  <c r="K194" i="124"/>
  <c r="M194" i="124" s="1"/>
  <c r="Z194" i="124" s="1"/>
  <c r="K151" i="125"/>
  <c r="E52" i="66" l="1"/>
  <c r="G38" i="69"/>
  <c r="K121" i="123" l="1"/>
  <c r="M121" i="123" s="1"/>
  <c r="Z121" i="123" l="1"/>
  <c r="Y121" i="123"/>
  <c r="K124" i="119"/>
  <c r="K147" i="125"/>
  <c r="K146" i="125"/>
  <c r="K248" i="117"/>
  <c r="AF206" i="117"/>
  <c r="AF207" i="117"/>
  <c r="AF208" i="117"/>
  <c r="AF209" i="117"/>
  <c r="AF210" i="117"/>
  <c r="AF211" i="117"/>
  <c r="AF212" i="117"/>
  <c r="AF213" i="117"/>
  <c r="AF214" i="117"/>
  <c r="AF215" i="117"/>
  <c r="AF216" i="117"/>
  <c r="AF217" i="117"/>
  <c r="AF218" i="117"/>
  <c r="AF219" i="117"/>
  <c r="AF220" i="117"/>
  <c r="AF221" i="117"/>
  <c r="AF222" i="117"/>
  <c r="AF223" i="117"/>
  <c r="AF225" i="117"/>
  <c r="AF226" i="117"/>
  <c r="AF227" i="117"/>
  <c r="AF228" i="117"/>
  <c r="AF229" i="117"/>
  <c r="AF230" i="117"/>
  <c r="AF231" i="117"/>
  <c r="AF232" i="117"/>
  <c r="AF233" i="117"/>
  <c r="AF234" i="117"/>
  <c r="AF235" i="117"/>
  <c r="AF236" i="117"/>
  <c r="AF237" i="117"/>
  <c r="AF238" i="117"/>
  <c r="AF240" i="117"/>
  <c r="AF241" i="117"/>
  <c r="AF242" i="117"/>
  <c r="AF244" i="117"/>
  <c r="AF245" i="117"/>
  <c r="AF246" i="117"/>
  <c r="AF247" i="117"/>
  <c r="AF248" i="117"/>
  <c r="AF249" i="117"/>
  <c r="AF250" i="117"/>
  <c r="AF251" i="117"/>
  <c r="AF252" i="117"/>
  <c r="AF253" i="117"/>
  <c r="AF254" i="117"/>
  <c r="AF255" i="117"/>
  <c r="AF256" i="117"/>
  <c r="AF257" i="117"/>
  <c r="AE203" i="117"/>
  <c r="AE204" i="117"/>
  <c r="AE205" i="117"/>
  <c r="AE206" i="117"/>
  <c r="AE207" i="117"/>
  <c r="AE208" i="117"/>
  <c r="AE209" i="117"/>
  <c r="AE210" i="117"/>
  <c r="AE211" i="117"/>
  <c r="AE212" i="117"/>
  <c r="AE213" i="117"/>
  <c r="AE214" i="117"/>
  <c r="AE215" i="117"/>
  <c r="AE216" i="117"/>
  <c r="AE217" i="117"/>
  <c r="AE218" i="117"/>
  <c r="AE219" i="117"/>
  <c r="AE220" i="117"/>
  <c r="AE221" i="117"/>
  <c r="AE222" i="117"/>
  <c r="AE223" i="117"/>
  <c r="AE224" i="117"/>
  <c r="AE225" i="117"/>
  <c r="AE226" i="117"/>
  <c r="AE227" i="117"/>
  <c r="AE228" i="117"/>
  <c r="AE229" i="117"/>
  <c r="AE230" i="117"/>
  <c r="AE231" i="117"/>
  <c r="AE232" i="117"/>
  <c r="AE233" i="117"/>
  <c r="AE234" i="117"/>
  <c r="AE235" i="117"/>
  <c r="AE236" i="117"/>
  <c r="AE237" i="117"/>
  <c r="AE238" i="117"/>
  <c r="AE239" i="117"/>
  <c r="AE240" i="117"/>
  <c r="AE241" i="117"/>
  <c r="AE242" i="117"/>
  <c r="AE243" i="117"/>
  <c r="AE244" i="117"/>
  <c r="AE245" i="117"/>
  <c r="AE246" i="117"/>
  <c r="AE247" i="117"/>
  <c r="AE248" i="117"/>
  <c r="AE249" i="117"/>
  <c r="AE250" i="117"/>
  <c r="AE251" i="117"/>
  <c r="AE252" i="117"/>
  <c r="AE253" i="117"/>
  <c r="AE254" i="117"/>
  <c r="AE255" i="117"/>
  <c r="AE256" i="117"/>
  <c r="AE257" i="117"/>
  <c r="AD202" i="117"/>
  <c r="AD203" i="117"/>
  <c r="AD204" i="117"/>
  <c r="AD205" i="117"/>
  <c r="AD206" i="117"/>
  <c r="AD207" i="117"/>
  <c r="AD208" i="117"/>
  <c r="AD209" i="117"/>
  <c r="AD210" i="117"/>
  <c r="AD211" i="117"/>
  <c r="AD212" i="117"/>
  <c r="AD213" i="117"/>
  <c r="AD214" i="117"/>
  <c r="AD215" i="117"/>
  <c r="AD216" i="117"/>
  <c r="AD217" i="117"/>
  <c r="AD218" i="117"/>
  <c r="AD219" i="117"/>
  <c r="AD220" i="117"/>
  <c r="AD221" i="117"/>
  <c r="AD222" i="117"/>
  <c r="AD223" i="117"/>
  <c r="AD224" i="117"/>
  <c r="AD225" i="117"/>
  <c r="AD226" i="117"/>
  <c r="AD227" i="117"/>
  <c r="AD228" i="117"/>
  <c r="AD229" i="117"/>
  <c r="AD230" i="117"/>
  <c r="AD231" i="117"/>
  <c r="AD232" i="117"/>
  <c r="AD233" i="117"/>
  <c r="AD234" i="117"/>
  <c r="AD235" i="117"/>
  <c r="AD236" i="117"/>
  <c r="AD237" i="117"/>
  <c r="AD238" i="117"/>
  <c r="AD239" i="117"/>
  <c r="AD240" i="117"/>
  <c r="AD241" i="117"/>
  <c r="AD242" i="117"/>
  <c r="AD243" i="117"/>
  <c r="AD244" i="117"/>
  <c r="AD245" i="117"/>
  <c r="AD246" i="117"/>
  <c r="AD247" i="117"/>
  <c r="AD248" i="117"/>
  <c r="AD249" i="117"/>
  <c r="AD250" i="117"/>
  <c r="AD251" i="117"/>
  <c r="AD252" i="117"/>
  <c r="AD253" i="117"/>
  <c r="AD254" i="117"/>
  <c r="AD255" i="117"/>
  <c r="AD256" i="117"/>
  <c r="AD257" i="117"/>
  <c r="AC230" i="117"/>
  <c r="AC231" i="117"/>
  <c r="AC232" i="117"/>
  <c r="AC233" i="117"/>
  <c r="AC234" i="117"/>
  <c r="AC235" i="117"/>
  <c r="AC236" i="117"/>
  <c r="AC237" i="117"/>
  <c r="AC238" i="117"/>
  <c r="AC239" i="117"/>
  <c r="AC240" i="117"/>
  <c r="AC241" i="117"/>
  <c r="AC242" i="117"/>
  <c r="AC243" i="117"/>
  <c r="AC244" i="117"/>
  <c r="AC245" i="117"/>
  <c r="AC246" i="117"/>
  <c r="AC247" i="117"/>
  <c r="AC248" i="117"/>
  <c r="AC249" i="117"/>
  <c r="AC250" i="117"/>
  <c r="AC251" i="117"/>
  <c r="AC252" i="117"/>
  <c r="AC253" i="117"/>
  <c r="AC254" i="117"/>
  <c r="W240" i="117"/>
  <c r="W241" i="117"/>
  <c r="W242" i="117"/>
  <c r="W243" i="117"/>
  <c r="W244" i="117"/>
  <c r="W245" i="117"/>
  <c r="W246" i="117"/>
  <c r="W247" i="117"/>
  <c r="W248" i="117"/>
  <c r="W249" i="117"/>
  <c r="W250" i="117"/>
  <c r="W251" i="117"/>
  <c r="W252" i="117"/>
  <c r="W253" i="117"/>
  <c r="W254" i="117"/>
  <c r="W255" i="117"/>
  <c r="W256" i="117"/>
  <c r="W257" i="117"/>
  <c r="V240" i="117"/>
  <c r="V241" i="117"/>
  <c r="V242" i="117"/>
  <c r="V243" i="117"/>
  <c r="V244" i="117"/>
  <c r="V245" i="117"/>
  <c r="V246" i="117"/>
  <c r="V247" i="117"/>
  <c r="V248" i="117"/>
  <c r="V249" i="117"/>
  <c r="V250" i="117"/>
  <c r="V251" i="117"/>
  <c r="V252" i="117"/>
  <c r="V253" i="117"/>
  <c r="V254" i="117"/>
  <c r="V255" i="117"/>
  <c r="V256" i="117"/>
  <c r="V257" i="117"/>
  <c r="U240" i="117"/>
  <c r="U241" i="117"/>
  <c r="U242" i="117"/>
  <c r="U243" i="117"/>
  <c r="X243" i="117" s="1"/>
  <c r="AF243" i="117" s="1"/>
  <c r="U244" i="117"/>
  <c r="X244" i="117" s="1"/>
  <c r="U245" i="117"/>
  <c r="U246" i="117"/>
  <c r="X246" i="117" s="1"/>
  <c r="U247" i="117"/>
  <c r="X247" i="117" s="1"/>
  <c r="U248" i="117"/>
  <c r="X248" i="117" s="1"/>
  <c r="U249" i="117"/>
  <c r="U250" i="117"/>
  <c r="U251" i="117"/>
  <c r="U252" i="117"/>
  <c r="U253" i="117"/>
  <c r="M247" i="117"/>
  <c r="M248" i="117"/>
  <c r="M249" i="117"/>
  <c r="M250" i="117"/>
  <c r="M251" i="117"/>
  <c r="M252" i="117"/>
  <c r="M253" i="117"/>
  <c r="M254" i="117"/>
  <c r="M255" i="117"/>
  <c r="M256" i="117"/>
  <c r="M257" i="117"/>
  <c r="Z257" i="117" s="1"/>
  <c r="M258" i="117"/>
  <c r="F244" i="117"/>
  <c r="F245" i="117"/>
  <c r="F246" i="117"/>
  <c r="N246" i="117" s="1"/>
  <c r="F247" i="117"/>
  <c r="F248" i="117"/>
  <c r="N248" i="117" s="1"/>
  <c r="F249" i="117"/>
  <c r="N249" i="117" s="1"/>
  <c r="F250" i="117"/>
  <c r="F251" i="117"/>
  <c r="F252" i="117"/>
  <c r="F253" i="117"/>
  <c r="F254" i="117"/>
  <c r="F255" i="117"/>
  <c r="F256" i="117"/>
  <c r="F257" i="117"/>
  <c r="F258" i="117"/>
  <c r="F259" i="117"/>
  <c r="L259" i="117" s="1"/>
  <c r="N259" i="117" s="1"/>
  <c r="AA259" i="117" s="1"/>
  <c r="F260" i="117"/>
  <c r="L260" i="117" s="1"/>
  <c r="F261" i="117"/>
  <c r="L261" i="117" s="1"/>
  <c r="M106" i="122"/>
  <c r="K170" i="116"/>
  <c r="K171" i="116"/>
  <c r="K172" i="116"/>
  <c r="K173" i="116"/>
  <c r="K174" i="116"/>
  <c r="K175" i="116"/>
  <c r="K176" i="116"/>
  <c r="AF170" i="116"/>
  <c r="AE170" i="116"/>
  <c r="AD170" i="116"/>
  <c r="AC170" i="116"/>
  <c r="V170" i="116"/>
  <c r="U170" i="116"/>
  <c r="X170" i="116" s="1"/>
  <c r="M170" i="116"/>
  <c r="F170" i="116"/>
  <c r="N261" i="117" l="1"/>
  <c r="AA261" i="117" s="1"/>
  <c r="N260" i="117"/>
  <c r="AA260" i="117" s="1"/>
  <c r="L247" i="117"/>
  <c r="N247" i="117"/>
  <c r="AA247" i="117" s="1"/>
  <c r="L252" i="117"/>
  <c r="L249" i="117"/>
  <c r="AA249" i="117" s="1"/>
  <c r="L255" i="117"/>
  <c r="L251" i="117"/>
  <c r="L257" i="117"/>
  <c r="L253" i="117"/>
  <c r="L256" i="117"/>
  <c r="L258" i="117"/>
  <c r="N258" i="117" s="1"/>
  <c r="AA258" i="117" s="1"/>
  <c r="L254" i="117"/>
  <c r="Y258" i="117"/>
  <c r="Z258" i="117"/>
  <c r="Z253" i="117"/>
  <c r="Z249" i="117"/>
  <c r="Z252" i="117"/>
  <c r="Z256" i="117"/>
  <c r="Z255" i="117"/>
  <c r="Y248" i="117"/>
  <c r="Z254" i="117"/>
  <c r="Z250" i="117"/>
  <c r="Z246" i="117"/>
  <c r="Z251" i="117"/>
  <c r="Y257" i="117"/>
  <c r="Y256" i="117"/>
  <c r="Y255" i="117"/>
  <c r="Y254" i="117"/>
  <c r="Y253" i="117"/>
  <c r="Y252" i="117"/>
  <c r="Y251" i="117"/>
  <c r="L250" i="117"/>
  <c r="N250" i="117" s="1"/>
  <c r="AA250" i="117" s="1"/>
  <c r="Y250" i="117"/>
  <c r="Y249" i="117"/>
  <c r="X257" i="117"/>
  <c r="X255" i="117"/>
  <c r="X253" i="117"/>
  <c r="X251" i="117"/>
  <c r="X249" i="117"/>
  <c r="L246" i="117"/>
  <c r="AA246" i="117" s="1"/>
  <c r="Z247" i="117"/>
  <c r="X256" i="117"/>
  <c r="X254" i="117"/>
  <c r="X252" i="117"/>
  <c r="X250" i="117"/>
  <c r="L248" i="117"/>
  <c r="AA248" i="117" s="1"/>
  <c r="X241" i="117"/>
  <c r="X245" i="117"/>
  <c r="X242" i="117"/>
  <c r="Z248" i="117"/>
  <c r="Y247" i="117"/>
  <c r="Y246" i="117"/>
  <c r="Z170" i="116"/>
  <c r="N170" i="116"/>
  <c r="AA170" i="116" s="1"/>
  <c r="L170" i="116"/>
  <c r="Y170" i="116"/>
  <c r="AF150" i="118"/>
  <c r="AF151" i="118"/>
  <c r="AF152" i="118"/>
  <c r="AF153" i="118"/>
  <c r="AF154" i="118"/>
  <c r="AF155" i="118"/>
  <c r="AF156" i="118"/>
  <c r="AF157" i="118"/>
  <c r="AE150" i="118"/>
  <c r="AE151" i="118"/>
  <c r="AE152" i="118"/>
  <c r="AE153" i="118"/>
  <c r="AE154" i="118"/>
  <c r="AE155" i="118"/>
  <c r="AE156" i="118"/>
  <c r="AE157" i="118"/>
  <c r="AD150" i="118"/>
  <c r="AD151" i="118"/>
  <c r="AD152" i="118"/>
  <c r="AD153" i="118"/>
  <c r="AD154" i="118"/>
  <c r="AD155" i="118"/>
  <c r="AD156" i="118"/>
  <c r="AD157" i="118"/>
  <c r="AC150" i="118"/>
  <c r="AC151" i="118"/>
  <c r="AC152" i="118"/>
  <c r="AC153" i="118"/>
  <c r="AC154" i="118"/>
  <c r="AC155" i="118"/>
  <c r="AC156" i="118"/>
  <c r="AC157" i="118"/>
  <c r="V150" i="118"/>
  <c r="V151" i="118"/>
  <c r="V152" i="118"/>
  <c r="V153" i="118"/>
  <c r="V154" i="118"/>
  <c r="V155" i="118"/>
  <c r="V156" i="118"/>
  <c r="V157" i="118"/>
  <c r="U150" i="118"/>
  <c r="U151" i="118"/>
  <c r="U152" i="118"/>
  <c r="U153" i="118"/>
  <c r="U154" i="118"/>
  <c r="X154" i="118" s="1"/>
  <c r="U155" i="118"/>
  <c r="X155" i="118" s="1"/>
  <c r="U156" i="118"/>
  <c r="X156" i="118" s="1"/>
  <c r="U157" i="118"/>
  <c r="M154" i="118"/>
  <c r="M155" i="118"/>
  <c r="M156" i="118"/>
  <c r="M157" i="118"/>
  <c r="M158" i="118"/>
  <c r="M159" i="118"/>
  <c r="F153" i="118"/>
  <c r="N153" i="118" s="1"/>
  <c r="F154" i="118"/>
  <c r="N154" i="118" s="1"/>
  <c r="F155" i="118"/>
  <c r="F156" i="118"/>
  <c r="N156" i="118" s="1"/>
  <c r="F157" i="118"/>
  <c r="N157" i="118" s="1"/>
  <c r="F158" i="118"/>
  <c r="F159" i="118"/>
  <c r="N159" i="118" s="1"/>
  <c r="F160" i="118"/>
  <c r="N160" i="118" s="1"/>
  <c r="F161" i="118"/>
  <c r="F162" i="118"/>
  <c r="N162" i="118" s="1"/>
  <c r="K126" i="122"/>
  <c r="K145" i="125"/>
  <c r="K144" i="125"/>
  <c r="K193" i="124"/>
  <c r="K192" i="124"/>
  <c r="K120" i="123"/>
  <c r="K163" i="121"/>
  <c r="N254" i="117" l="1"/>
  <c r="AA254" i="117" s="1"/>
  <c r="N256" i="117"/>
  <c r="AA256" i="117" s="1"/>
  <c r="N257" i="117"/>
  <c r="AA257" i="117" s="1"/>
  <c r="N255" i="117"/>
  <c r="AA255" i="117" s="1"/>
  <c r="N253" i="117"/>
  <c r="AA253" i="117" s="1"/>
  <c r="N252" i="117"/>
  <c r="AA252" i="117" s="1"/>
  <c r="N251" i="117"/>
  <c r="AA251" i="117" s="1"/>
  <c r="Z154" i="118"/>
  <c r="Y159" i="118"/>
  <c r="Z159" i="118"/>
  <c r="Z158" i="118"/>
  <c r="Y158" i="118"/>
  <c r="L162" i="118"/>
  <c r="AA162" i="118" s="1"/>
  <c r="L160" i="118"/>
  <c r="AA160" i="118" s="1"/>
  <c r="L158" i="118"/>
  <c r="N158" i="118" s="1"/>
  <c r="AA158" i="118" s="1"/>
  <c r="L154" i="118"/>
  <c r="AA154" i="118" s="1"/>
  <c r="L156" i="118"/>
  <c r="AA156" i="118" s="1"/>
  <c r="L163" i="118"/>
  <c r="AA163" i="118" s="1"/>
  <c r="L161" i="118"/>
  <c r="N161" i="118" s="1"/>
  <c r="AA161" i="118" s="1"/>
  <c r="L159" i="118"/>
  <c r="AA159" i="118" s="1"/>
  <c r="L157" i="118"/>
  <c r="AA157" i="118" s="1"/>
  <c r="N155" i="118"/>
  <c r="AA155" i="118" s="1"/>
  <c r="L155" i="118"/>
  <c r="Z157" i="118"/>
  <c r="Z155" i="118"/>
  <c r="Y157" i="118"/>
  <c r="X157" i="118"/>
  <c r="Z156" i="118"/>
  <c r="X153" i="118"/>
  <c r="X151" i="118"/>
  <c r="X152" i="118"/>
  <c r="X150" i="118"/>
  <c r="Y156" i="118"/>
  <c r="Y155" i="118"/>
  <c r="Y154" i="118"/>
  <c r="K162" i="121" l="1"/>
  <c r="K124" i="122"/>
  <c r="M245" i="117"/>
  <c r="L245" i="117"/>
  <c r="N245" i="117" s="1"/>
  <c r="AA245" i="117" s="1"/>
  <c r="M244" i="117"/>
  <c r="L244" i="117"/>
  <c r="N244" i="117" s="1"/>
  <c r="AA244" i="117" s="1"/>
  <c r="K242" i="117"/>
  <c r="K241" i="117"/>
  <c r="F243" i="117"/>
  <c r="L243" i="117" s="1"/>
  <c r="F242" i="117"/>
  <c r="F241" i="117"/>
  <c r="L241" i="117" s="1"/>
  <c r="K139" i="120"/>
  <c r="L242" i="117" l="1"/>
  <c r="N242" i="117"/>
  <c r="Z244" i="117"/>
  <c r="Y244" i="117"/>
  <c r="Z245" i="117"/>
  <c r="Y245" i="117"/>
  <c r="F52" i="66"/>
  <c r="K142" i="125"/>
  <c r="K153" i="118"/>
  <c r="M153" i="118" s="1"/>
  <c r="L153" i="118"/>
  <c r="AA153" i="118" s="1"/>
  <c r="K138" i="120"/>
  <c r="K190" i="124"/>
  <c r="K240" i="117"/>
  <c r="F240" i="117"/>
  <c r="L240" i="117" s="1"/>
  <c r="K239" i="117"/>
  <c r="F239" i="117"/>
  <c r="L239" i="117" s="1"/>
  <c r="F238" i="117"/>
  <c r="L238" i="117" s="1"/>
  <c r="AD182" i="124"/>
  <c r="AD183" i="124"/>
  <c r="AD184" i="124"/>
  <c r="AD185" i="124"/>
  <c r="AD186" i="124"/>
  <c r="AD187" i="124"/>
  <c r="AD188" i="124"/>
  <c r="AD189" i="124"/>
  <c r="AD190" i="124"/>
  <c r="AD191" i="124"/>
  <c r="AD192" i="124"/>
  <c r="AD193" i="124"/>
  <c r="AD194" i="124"/>
  <c r="AD195" i="124"/>
  <c r="AC182" i="124"/>
  <c r="AC183" i="124"/>
  <c r="AC184" i="124"/>
  <c r="AC185" i="124"/>
  <c r="AC186" i="124"/>
  <c r="AC187" i="124"/>
  <c r="AC188" i="124"/>
  <c r="AC189" i="124"/>
  <c r="AC190" i="124"/>
  <c r="AC191" i="124"/>
  <c r="AC192" i="124"/>
  <c r="AC193" i="124"/>
  <c r="AC194" i="124"/>
  <c r="AC195" i="124"/>
  <c r="AC196" i="124"/>
  <c r="AC197" i="124"/>
  <c r="W183" i="124"/>
  <c r="W184" i="124"/>
  <c r="W185" i="124"/>
  <c r="W186" i="124"/>
  <c r="W187" i="124"/>
  <c r="W188" i="124"/>
  <c r="W189" i="124"/>
  <c r="W190" i="124"/>
  <c r="W191" i="124"/>
  <c r="W192" i="124"/>
  <c r="V182" i="124"/>
  <c r="V183" i="124"/>
  <c r="V184" i="124"/>
  <c r="V185" i="124"/>
  <c r="V186" i="124"/>
  <c r="V187" i="124"/>
  <c r="V188" i="124"/>
  <c r="V189" i="124"/>
  <c r="V190" i="124"/>
  <c r="V191" i="124"/>
  <c r="V192" i="124"/>
  <c r="U182" i="124"/>
  <c r="U183" i="124"/>
  <c r="U184" i="124"/>
  <c r="U185" i="124"/>
  <c r="U186" i="124"/>
  <c r="U187" i="124"/>
  <c r="U188" i="124"/>
  <c r="X188" i="124" s="1"/>
  <c r="U189" i="124"/>
  <c r="X189" i="124" s="1"/>
  <c r="U190" i="124"/>
  <c r="X190" i="124" s="1"/>
  <c r="U191" i="124"/>
  <c r="X191" i="124" s="1"/>
  <c r="U192" i="124"/>
  <c r="X193" i="124"/>
  <c r="M187" i="124"/>
  <c r="M188" i="124"/>
  <c r="M189" i="124"/>
  <c r="M190" i="124"/>
  <c r="M191" i="124"/>
  <c r="M192" i="124"/>
  <c r="M193" i="124"/>
  <c r="Z193" i="124" s="1"/>
  <c r="F188" i="124"/>
  <c r="N188" i="124" s="1"/>
  <c r="F189" i="124"/>
  <c r="N189" i="124" s="1"/>
  <c r="F190" i="124"/>
  <c r="N190" i="124" s="1"/>
  <c r="F191" i="124"/>
  <c r="F192" i="124"/>
  <c r="F193" i="124"/>
  <c r="F194" i="124"/>
  <c r="L194" i="124" s="1"/>
  <c r="N194" i="124" s="1"/>
  <c r="AA194" i="124" s="1"/>
  <c r="F195" i="124"/>
  <c r="F196" i="124"/>
  <c r="K161" i="121"/>
  <c r="L196" i="124" l="1"/>
  <c r="N196" i="124"/>
  <c r="L195" i="124"/>
  <c r="N195" i="124"/>
  <c r="N193" i="124"/>
  <c r="AA193" i="124" s="1"/>
  <c r="L193" i="124"/>
  <c r="N191" i="124"/>
  <c r="AA191" i="124" s="1"/>
  <c r="L191" i="124"/>
  <c r="L190" i="124"/>
  <c r="L192" i="124"/>
  <c r="N192" i="124" s="1"/>
  <c r="AA192" i="124" s="1"/>
  <c r="L188" i="124"/>
  <c r="L189" i="124"/>
  <c r="X192" i="124"/>
  <c r="Z192" i="124"/>
  <c r="Y153" i="118"/>
  <c r="Z153" i="118"/>
  <c r="Y191" i="124"/>
  <c r="AA189" i="124"/>
  <c r="AA190" i="124"/>
  <c r="AA188" i="124"/>
  <c r="Y195" i="124"/>
  <c r="Y194" i="124"/>
  <c r="Y193" i="124"/>
  <c r="Y192" i="124"/>
  <c r="Z191" i="124"/>
  <c r="Z190" i="124"/>
  <c r="Z187" i="124"/>
  <c r="Z189" i="124"/>
  <c r="Y188" i="124"/>
  <c r="X187" i="124"/>
  <c r="Y187" i="124"/>
  <c r="X183" i="124"/>
  <c r="Y190" i="124"/>
  <c r="Y189" i="124"/>
  <c r="X186" i="124"/>
  <c r="X185" i="124"/>
  <c r="X184" i="124"/>
  <c r="Z188" i="124"/>
  <c r="AA195" i="124" l="1"/>
  <c r="AA196" i="124"/>
  <c r="K152" i="118"/>
  <c r="M152" i="118" s="1"/>
  <c r="F152" i="118"/>
  <c r="K119" i="123"/>
  <c r="L152" i="118" l="1"/>
  <c r="N152" i="118"/>
  <c r="Z152" i="118"/>
  <c r="Y152" i="118"/>
  <c r="F151" i="118"/>
  <c r="K187" i="124"/>
  <c r="K137" i="120"/>
  <c r="K168" i="116"/>
  <c r="F168" i="116"/>
  <c r="F237" i="117"/>
  <c r="L237" i="117" s="1"/>
  <c r="N237" i="117" s="1"/>
  <c r="K184" i="124"/>
  <c r="K185" i="124"/>
  <c r="K186" i="124"/>
  <c r="F236" i="117"/>
  <c r="L236" i="117" s="1"/>
  <c r="N236" i="117" s="1"/>
  <c r="F235" i="117"/>
  <c r="L235" i="117" s="1"/>
  <c r="N235" i="117" s="1"/>
  <c r="K136" i="120"/>
  <c r="W134" i="120"/>
  <c r="W135" i="120"/>
  <c r="W136" i="120"/>
  <c r="W137" i="120"/>
  <c r="W138" i="120"/>
  <c r="W139" i="120"/>
  <c r="W140" i="120"/>
  <c r="W141" i="120"/>
  <c r="W142" i="120"/>
  <c r="W143" i="120"/>
  <c r="W144" i="120"/>
  <c r="V134" i="120"/>
  <c r="V135" i="120"/>
  <c r="V136" i="120"/>
  <c r="V137" i="120"/>
  <c r="V138" i="120"/>
  <c r="V139" i="120"/>
  <c r="V140" i="120"/>
  <c r="V141" i="120"/>
  <c r="V142" i="120"/>
  <c r="V143" i="120"/>
  <c r="V144" i="120"/>
  <c r="U134" i="120"/>
  <c r="U135" i="120"/>
  <c r="X135" i="120" s="1"/>
  <c r="U136" i="120"/>
  <c r="X136" i="120" s="1"/>
  <c r="U137" i="120"/>
  <c r="X137" i="120" s="1"/>
  <c r="U138" i="120"/>
  <c r="X138" i="120" s="1"/>
  <c r="U139" i="120"/>
  <c r="U140" i="120"/>
  <c r="U141" i="120"/>
  <c r="U142" i="120"/>
  <c r="U143" i="120"/>
  <c r="U144" i="120"/>
  <c r="M136" i="120"/>
  <c r="Y136" i="120" s="1"/>
  <c r="M137" i="120"/>
  <c r="M138" i="120"/>
  <c r="M139" i="120"/>
  <c r="M140" i="120"/>
  <c r="M141" i="120"/>
  <c r="M142" i="120"/>
  <c r="M143" i="120"/>
  <c r="M144" i="120"/>
  <c r="M145" i="120"/>
  <c r="M146" i="120"/>
  <c r="F135" i="120"/>
  <c r="N135" i="120" s="1"/>
  <c r="F136" i="120"/>
  <c r="N136" i="120" s="1"/>
  <c r="F137" i="120"/>
  <c r="N137" i="120" s="1"/>
  <c r="F138" i="120"/>
  <c r="L138" i="120" s="1"/>
  <c r="F139" i="120"/>
  <c r="L139" i="120" s="1"/>
  <c r="F140" i="120"/>
  <c r="L140" i="120" s="1"/>
  <c r="N140" i="120" s="1"/>
  <c r="F141" i="120"/>
  <c r="L141" i="120" s="1"/>
  <c r="F142" i="120"/>
  <c r="L142" i="120" s="1"/>
  <c r="N142" i="120" s="1"/>
  <c r="F143" i="120"/>
  <c r="F144" i="120"/>
  <c r="L144" i="120" s="1"/>
  <c r="N144" i="120" s="1"/>
  <c r="F145" i="120"/>
  <c r="L145" i="120" s="1"/>
  <c r="N145" i="120" s="1"/>
  <c r="AA145" i="120" s="1"/>
  <c r="F146" i="120"/>
  <c r="L146" i="120" s="1"/>
  <c r="F147" i="120"/>
  <c r="K160" i="121"/>
  <c r="K166" i="116"/>
  <c r="K234" i="117"/>
  <c r="F234" i="117"/>
  <c r="F233" i="117"/>
  <c r="L233" i="117" s="1"/>
  <c r="N233" i="117" s="1"/>
  <c r="F232" i="117"/>
  <c r="L232" i="117" s="1"/>
  <c r="N232" i="117" s="1"/>
  <c r="F231" i="117"/>
  <c r="L231" i="117" s="1"/>
  <c r="N231" i="117" s="1"/>
  <c r="AC226" i="117"/>
  <c r="AC227" i="117"/>
  <c r="AC228" i="117"/>
  <c r="AC229" i="117"/>
  <c r="W230" i="117"/>
  <c r="W231" i="117"/>
  <c r="W232" i="117"/>
  <c r="W233" i="117"/>
  <c r="W234" i="117"/>
  <c r="W235" i="117"/>
  <c r="W236" i="117"/>
  <c r="W237" i="117"/>
  <c r="W238" i="117"/>
  <c r="W239" i="117"/>
  <c r="V230" i="117"/>
  <c r="V231" i="117"/>
  <c r="V232" i="117"/>
  <c r="V233" i="117"/>
  <c r="V234" i="117"/>
  <c r="V235" i="117"/>
  <c r="V236" i="117"/>
  <c r="V237" i="117"/>
  <c r="V238" i="117"/>
  <c r="V239" i="117"/>
  <c r="U230" i="117"/>
  <c r="U231" i="117"/>
  <c r="X231" i="117" s="1"/>
  <c r="U232" i="117"/>
  <c r="X232" i="117" s="1"/>
  <c r="U233" i="117"/>
  <c r="X233" i="117" s="1"/>
  <c r="U234" i="117"/>
  <c r="X234" i="117" s="1"/>
  <c r="U235" i="117"/>
  <c r="X235" i="117" s="1"/>
  <c r="U236" i="117"/>
  <c r="X236" i="117" s="1"/>
  <c r="U237" i="117"/>
  <c r="X237" i="117" s="1"/>
  <c r="U238" i="117"/>
  <c r="X238" i="117" s="1"/>
  <c r="U239" i="117"/>
  <c r="X239" i="117" s="1"/>
  <c r="AF239" i="117" s="1"/>
  <c r="X240" i="117"/>
  <c r="N238" i="117"/>
  <c r="N239" i="117"/>
  <c r="N240" i="117"/>
  <c r="N241" i="117"/>
  <c r="AA241" i="117" s="1"/>
  <c r="AA242" i="117"/>
  <c r="N243" i="117"/>
  <c r="AA243" i="117" s="1"/>
  <c r="M231" i="117"/>
  <c r="M232" i="117"/>
  <c r="M233" i="117"/>
  <c r="M234" i="117"/>
  <c r="M235" i="117"/>
  <c r="M236" i="117"/>
  <c r="M237" i="117"/>
  <c r="M238" i="117"/>
  <c r="M239" i="117"/>
  <c r="M240" i="117"/>
  <c r="Z240" i="117" s="1"/>
  <c r="M241" i="117"/>
  <c r="M242" i="117"/>
  <c r="M243" i="117"/>
  <c r="F150" i="118"/>
  <c r="U141" i="121"/>
  <c r="N146" i="120" l="1"/>
  <c r="AA146" i="120" s="1"/>
  <c r="L147" i="120"/>
  <c r="N147" i="120"/>
  <c r="L150" i="118"/>
  <c r="N150" i="118"/>
  <c r="L234" i="117"/>
  <c r="N234" i="117"/>
  <c r="L143" i="120"/>
  <c r="N143" i="120"/>
  <c r="L168" i="116"/>
  <c r="N168" i="116"/>
  <c r="L151" i="118"/>
  <c r="N151" i="118"/>
  <c r="AA152" i="118"/>
  <c r="N138" i="120"/>
  <c r="AA138" i="120" s="1"/>
  <c r="N139" i="120"/>
  <c r="N141" i="120"/>
  <c r="Z137" i="120"/>
  <c r="L136" i="120"/>
  <c r="L137" i="120"/>
  <c r="Y146" i="120"/>
  <c r="Z146" i="120"/>
  <c r="Y145" i="120"/>
  <c r="Z145" i="120"/>
  <c r="Z138" i="120"/>
  <c r="Z144" i="120"/>
  <c r="AA144" i="120"/>
  <c r="Z143" i="120"/>
  <c r="AA143" i="120"/>
  <c r="Z142" i="120"/>
  <c r="AA142" i="120"/>
  <c r="Z141" i="120"/>
  <c r="AA141" i="120"/>
  <c r="Y237" i="117"/>
  <c r="Z140" i="120"/>
  <c r="AA140" i="120"/>
  <c r="AA237" i="117"/>
  <c r="Z236" i="117"/>
  <c r="Z243" i="117"/>
  <c r="Y243" i="117"/>
  <c r="Z241" i="117"/>
  <c r="Y241" i="117"/>
  <c r="Z242" i="117"/>
  <c r="Y242" i="117"/>
  <c r="Z233" i="117"/>
  <c r="AA238" i="117"/>
  <c r="AA234" i="117"/>
  <c r="Z232" i="117"/>
  <c r="X144" i="120"/>
  <c r="AF144" i="120" s="1"/>
  <c r="X142" i="120"/>
  <c r="X140" i="120"/>
  <c r="Y144" i="120"/>
  <c r="Y142" i="120"/>
  <c r="Y140" i="120"/>
  <c r="X143" i="120"/>
  <c r="X141" i="120"/>
  <c r="Y143" i="120"/>
  <c r="Y141" i="120"/>
  <c r="Y139" i="120"/>
  <c r="AA139" i="120"/>
  <c r="AA233" i="117"/>
  <c r="AA137" i="120"/>
  <c r="X139" i="120"/>
  <c r="Z139" i="120"/>
  <c r="AA136" i="120"/>
  <c r="Z239" i="117"/>
  <c r="AA240" i="117"/>
  <c r="Z238" i="117"/>
  <c r="Z234" i="117"/>
  <c r="AA239" i="117"/>
  <c r="AA235" i="117"/>
  <c r="Y235" i="117"/>
  <c r="Y231" i="117"/>
  <c r="AA236" i="117"/>
  <c r="AA232" i="117"/>
  <c r="Y240" i="117"/>
  <c r="Y239" i="117"/>
  <c r="Y238" i="117"/>
  <c r="AA231" i="117"/>
  <c r="Y138" i="120"/>
  <c r="X134" i="120"/>
  <c r="X230" i="117"/>
  <c r="Y137" i="120"/>
  <c r="Z237" i="117"/>
  <c r="Y236" i="117"/>
  <c r="Z235" i="117"/>
  <c r="Z136" i="120"/>
  <c r="Y234" i="117"/>
  <c r="Y233" i="117"/>
  <c r="Y232" i="117"/>
  <c r="Z231" i="117"/>
  <c r="P4" i="3"/>
  <c r="AA147" i="120" l="1"/>
  <c r="K123" i="122"/>
  <c r="K135" i="120"/>
  <c r="M135" i="120" s="1"/>
  <c r="K133" i="120"/>
  <c r="AD124" i="120"/>
  <c r="AD125" i="120"/>
  <c r="AD126" i="120"/>
  <c r="AD127" i="120"/>
  <c r="AD128" i="120"/>
  <c r="AD129" i="120"/>
  <c r="AC124" i="120"/>
  <c r="AC125" i="120"/>
  <c r="AC126" i="120"/>
  <c r="AC127" i="120"/>
  <c r="AC128" i="120"/>
  <c r="AC129" i="120"/>
  <c r="AC130" i="120"/>
  <c r="AC131" i="120"/>
  <c r="AC132" i="120"/>
  <c r="AC133" i="120"/>
  <c r="AC134" i="120"/>
  <c r="AC135" i="120"/>
  <c r="W128" i="120"/>
  <c r="W129" i="120"/>
  <c r="W130" i="120"/>
  <c r="W131" i="120"/>
  <c r="W132" i="120"/>
  <c r="W133" i="120"/>
  <c r="V128" i="120"/>
  <c r="V129" i="120"/>
  <c r="V130" i="120"/>
  <c r="V131" i="120"/>
  <c r="V132" i="120"/>
  <c r="V133" i="120"/>
  <c r="U128" i="120"/>
  <c r="U129" i="120"/>
  <c r="U130" i="120"/>
  <c r="U131" i="120"/>
  <c r="U132" i="120"/>
  <c r="U133" i="120"/>
  <c r="M130" i="120"/>
  <c r="M132" i="120"/>
  <c r="M133" i="120"/>
  <c r="M134" i="120"/>
  <c r="F132" i="120"/>
  <c r="F133" i="120"/>
  <c r="N133" i="120" s="1"/>
  <c r="F134" i="120"/>
  <c r="I31" i="81"/>
  <c r="D365" i="5"/>
  <c r="D366" i="5" s="1"/>
  <c r="D367" i="5" s="1"/>
  <c r="E365" i="5"/>
  <c r="E366" i="5" s="1"/>
  <c r="E367" i="5" s="1"/>
  <c r="F365" i="5"/>
  <c r="F366" i="5" s="1"/>
  <c r="F367" i="5" s="1"/>
  <c r="G365" i="5"/>
  <c r="G366" i="5" s="1"/>
  <c r="G367" i="5" s="1"/>
  <c r="H365" i="5"/>
  <c r="H366" i="5" s="1"/>
  <c r="H367" i="5" s="1"/>
  <c r="I365" i="5"/>
  <c r="I366" i="5" s="1"/>
  <c r="I367" i="5" s="1"/>
  <c r="J365" i="5"/>
  <c r="J366" i="5" s="1"/>
  <c r="J367" i="5" s="1"/>
  <c r="K365" i="5"/>
  <c r="K366" i="5" s="1"/>
  <c r="K367" i="5" s="1"/>
  <c r="L365" i="5"/>
  <c r="L366" i="5" s="1"/>
  <c r="L367" i="5" s="1"/>
  <c r="M365" i="5"/>
  <c r="M366" i="5" s="1"/>
  <c r="M367" i="5" s="1"/>
  <c r="Z134" i="120" l="1"/>
  <c r="Y134" i="120"/>
  <c r="Z130" i="120"/>
  <c r="X133" i="120"/>
  <c r="Z133" i="120"/>
  <c r="X132" i="120"/>
  <c r="Z132" i="120"/>
  <c r="Z135" i="120"/>
  <c r="Y135" i="120"/>
  <c r="L132" i="120"/>
  <c r="N132" i="120" s="1"/>
  <c r="AA132" i="120" s="1"/>
  <c r="L133" i="120"/>
  <c r="AA133" i="120" s="1"/>
  <c r="L134" i="120"/>
  <c r="N134" i="120" s="1"/>
  <c r="AA134" i="120" s="1"/>
  <c r="L135" i="120"/>
  <c r="AA135" i="120" s="1"/>
  <c r="X131" i="120"/>
  <c r="X130" i="120"/>
  <c r="X128" i="120"/>
  <c r="Y130" i="120"/>
  <c r="X129" i="120"/>
  <c r="Y133" i="120"/>
  <c r="Y132" i="120"/>
  <c r="M230" i="117" l="1"/>
  <c r="K229" i="117"/>
  <c r="F149" i="118"/>
  <c r="K148" i="118"/>
  <c r="F148" i="118"/>
  <c r="K139" i="125"/>
  <c r="W156" i="121"/>
  <c r="W157" i="121"/>
  <c r="W158" i="121"/>
  <c r="W159" i="121"/>
  <c r="W160" i="121"/>
  <c r="W161" i="121"/>
  <c r="W162" i="121"/>
  <c r="W163" i="121"/>
  <c r="W164" i="121"/>
  <c r="W165" i="121"/>
  <c r="V156" i="121"/>
  <c r="V157" i="121"/>
  <c r="V158" i="121"/>
  <c r="V159" i="121"/>
  <c r="V160" i="121"/>
  <c r="V161" i="121"/>
  <c r="V162" i="121"/>
  <c r="V163" i="121"/>
  <c r="V164" i="121"/>
  <c r="V165" i="121"/>
  <c r="U156" i="121"/>
  <c r="U157" i="121"/>
  <c r="U158" i="121"/>
  <c r="X158" i="121" s="1"/>
  <c r="U159" i="121"/>
  <c r="U160" i="121"/>
  <c r="U161" i="121"/>
  <c r="U162" i="121"/>
  <c r="U163" i="121"/>
  <c r="U164" i="121"/>
  <c r="U165" i="121"/>
  <c r="M156" i="121"/>
  <c r="M158" i="121"/>
  <c r="M159" i="121"/>
  <c r="M160" i="121"/>
  <c r="M161" i="121"/>
  <c r="M162" i="121"/>
  <c r="M163" i="121"/>
  <c r="M164" i="121"/>
  <c r="M165" i="121"/>
  <c r="M166" i="121"/>
  <c r="F157" i="121"/>
  <c r="F158" i="121"/>
  <c r="F159" i="121"/>
  <c r="F160" i="121"/>
  <c r="L160" i="121" s="1"/>
  <c r="N160" i="121" s="1"/>
  <c r="F161" i="121"/>
  <c r="F162" i="121"/>
  <c r="L162" i="121" s="1"/>
  <c r="N162" i="121" s="1"/>
  <c r="F163" i="121"/>
  <c r="L163" i="121" s="1"/>
  <c r="F164" i="121"/>
  <c r="N164" i="121" s="1"/>
  <c r="F165" i="121"/>
  <c r="F166" i="121"/>
  <c r="F167" i="121"/>
  <c r="F168" i="121"/>
  <c r="L168" i="121" s="1"/>
  <c r="K227" i="117"/>
  <c r="K223" i="117"/>
  <c r="K224" i="117"/>
  <c r="K222" i="117"/>
  <c r="K118" i="123"/>
  <c r="M131" i="120"/>
  <c r="Z131" i="120" s="1"/>
  <c r="K137" i="125"/>
  <c r="K138" i="125"/>
  <c r="K182" i="124"/>
  <c r="N168" i="121" l="1"/>
  <c r="AA168" i="121" s="1"/>
  <c r="L161" i="121"/>
  <c r="N161" i="121"/>
  <c r="AA161" i="121" s="1"/>
  <c r="L148" i="118"/>
  <c r="N148" i="118"/>
  <c r="L149" i="118"/>
  <c r="N149" i="118"/>
  <c r="N166" i="121"/>
  <c r="AA166" i="121" s="1"/>
  <c r="L166" i="121"/>
  <c r="N163" i="121"/>
  <c r="AA163" i="121" s="1"/>
  <c r="L164" i="121"/>
  <c r="AA164" i="121" s="1"/>
  <c r="N165" i="121"/>
  <c r="AA165" i="121" s="1"/>
  <c r="L165" i="121"/>
  <c r="Y166" i="121"/>
  <c r="Z166" i="121"/>
  <c r="L167" i="121"/>
  <c r="N167" i="121" s="1"/>
  <c r="AA167" i="121" s="1"/>
  <c r="Y230" i="117"/>
  <c r="Z230" i="117"/>
  <c r="N159" i="121"/>
  <c r="AA159" i="121" s="1"/>
  <c r="L159" i="121"/>
  <c r="N158" i="121"/>
  <c r="AA158" i="121" s="1"/>
  <c r="Z164" i="121"/>
  <c r="Y165" i="121"/>
  <c r="L158" i="121"/>
  <c r="Y163" i="121"/>
  <c r="Z162" i="121"/>
  <c r="AA162" i="121"/>
  <c r="Z161" i="121"/>
  <c r="Y160" i="121"/>
  <c r="AA160" i="121"/>
  <c r="Z159" i="121"/>
  <c r="Z158" i="121"/>
  <c r="Y131" i="120"/>
  <c r="X164" i="121"/>
  <c r="X162" i="121"/>
  <c r="X161" i="121"/>
  <c r="X159" i="121"/>
  <c r="Y164" i="121"/>
  <c r="Y162" i="121"/>
  <c r="Y161" i="121"/>
  <c r="Y159" i="121"/>
  <c r="Z165" i="121"/>
  <c r="Z163" i="121"/>
  <c r="Z160" i="121"/>
  <c r="X165" i="121"/>
  <c r="X163" i="121"/>
  <c r="X160" i="121"/>
  <c r="X157" i="121"/>
  <c r="Y158" i="121"/>
  <c r="AC162" i="121" l="1"/>
  <c r="AE162" i="121"/>
  <c r="AC145" i="124"/>
  <c r="AD145" i="124"/>
  <c r="AE145" i="124"/>
  <c r="AF145" i="124"/>
  <c r="AC146" i="124"/>
  <c r="AD146" i="124"/>
  <c r="AE146" i="124"/>
  <c r="AF146" i="124"/>
  <c r="AC147" i="124"/>
  <c r="AD147" i="124"/>
  <c r="AE147" i="124"/>
  <c r="AF147" i="124"/>
  <c r="AC148" i="124"/>
  <c r="AD148" i="124"/>
  <c r="AE148" i="124"/>
  <c r="AF148" i="124"/>
  <c r="AC149" i="124"/>
  <c r="AD149" i="124"/>
  <c r="AE149" i="124"/>
  <c r="AF149" i="124"/>
  <c r="AC150" i="124"/>
  <c r="AD150" i="124"/>
  <c r="AE150" i="124"/>
  <c r="AF150" i="124"/>
  <c r="AC151" i="124"/>
  <c r="AD151" i="124"/>
  <c r="AE151" i="124"/>
  <c r="AF151" i="124"/>
  <c r="AC152" i="124"/>
  <c r="AD152" i="124"/>
  <c r="AE152" i="124"/>
  <c r="AF152" i="124"/>
  <c r="AD153" i="124"/>
  <c r="AE153" i="124"/>
  <c r="AF153" i="124"/>
  <c r="AC154" i="124"/>
  <c r="AD154" i="124"/>
  <c r="AE154" i="124"/>
  <c r="AF154" i="124"/>
  <c r="AC155" i="124"/>
  <c r="AD155" i="124"/>
  <c r="AE155" i="124"/>
  <c r="AF155" i="124"/>
  <c r="AC156" i="124"/>
  <c r="AD156" i="124"/>
  <c r="AE156" i="124"/>
  <c r="AF156" i="124"/>
  <c r="AD157" i="124"/>
  <c r="AE157" i="124"/>
  <c r="AF157" i="124"/>
  <c r="AC158" i="124"/>
  <c r="AD158" i="124"/>
  <c r="AE158" i="124"/>
  <c r="AF158" i="124"/>
  <c r="AC159" i="124"/>
  <c r="AD159" i="124"/>
  <c r="AE159" i="124"/>
  <c r="AF159" i="124"/>
  <c r="AC160" i="124"/>
  <c r="AD160" i="124"/>
  <c r="AE160" i="124"/>
  <c r="AF160" i="124"/>
  <c r="AC161" i="124"/>
  <c r="AD161" i="124"/>
  <c r="AE161" i="124"/>
  <c r="AF161" i="124"/>
  <c r="AC162" i="124"/>
  <c r="AD162" i="124"/>
  <c r="AE162" i="124"/>
  <c r="AF162" i="124"/>
  <c r="AC163" i="124"/>
  <c r="AD163" i="124"/>
  <c r="AE163" i="124"/>
  <c r="AF163" i="124"/>
  <c r="AC164" i="124"/>
  <c r="AD164" i="124"/>
  <c r="AE164" i="124"/>
  <c r="AF164" i="124"/>
  <c r="AC165" i="124"/>
  <c r="AD165" i="124"/>
  <c r="AE165" i="124"/>
  <c r="AF165" i="124"/>
  <c r="AC166" i="124"/>
  <c r="AD166" i="124"/>
  <c r="AE166" i="124"/>
  <c r="AF166" i="124"/>
  <c r="AC167" i="124"/>
  <c r="AD167" i="124"/>
  <c r="AE167" i="124"/>
  <c r="AF167" i="124"/>
  <c r="AC168" i="124"/>
  <c r="AD168" i="124"/>
  <c r="AE168" i="124"/>
  <c r="AF168" i="124"/>
  <c r="AC169" i="124"/>
  <c r="AD169" i="124"/>
  <c r="AE169" i="124"/>
  <c r="AF169" i="124"/>
  <c r="AC170" i="124"/>
  <c r="AD170" i="124"/>
  <c r="AE170" i="124"/>
  <c r="AF170" i="124"/>
  <c r="AC171" i="124"/>
  <c r="AD171" i="124"/>
  <c r="AE171" i="124"/>
  <c r="AF171" i="124"/>
  <c r="AC172" i="124"/>
  <c r="AD172" i="124"/>
  <c r="AF172" i="124"/>
  <c r="AC173" i="124"/>
  <c r="AD173" i="124"/>
  <c r="AF173" i="124"/>
  <c r="AC174" i="124"/>
  <c r="AD174" i="124"/>
  <c r="AE174" i="124"/>
  <c r="AF174" i="124"/>
  <c r="AC175" i="124"/>
  <c r="AD175" i="124"/>
  <c r="AF175" i="124"/>
  <c r="AC176" i="124"/>
  <c r="AD176" i="124"/>
  <c r="AE176" i="124"/>
  <c r="AF176" i="124"/>
  <c r="AC177" i="124"/>
  <c r="AD177" i="124"/>
  <c r="AE177" i="124"/>
  <c r="AF177" i="124"/>
  <c r="AC178" i="124"/>
  <c r="AD178" i="124"/>
  <c r="AE178" i="124"/>
  <c r="AF178" i="124"/>
  <c r="AC179" i="124"/>
  <c r="AD179" i="124"/>
  <c r="AE179" i="124"/>
  <c r="AF179" i="124"/>
  <c r="AC180" i="124"/>
  <c r="AD180" i="124"/>
  <c r="AE180" i="124"/>
  <c r="AF180" i="124"/>
  <c r="AC181" i="124"/>
  <c r="AD181" i="124"/>
  <c r="AE181" i="124"/>
  <c r="AF181" i="124"/>
  <c r="AE182" i="124"/>
  <c r="AF182" i="124"/>
  <c r="AE183" i="124"/>
  <c r="AF183" i="124"/>
  <c r="AC100" i="118"/>
  <c r="AD100" i="118"/>
  <c r="AE100" i="118"/>
  <c r="AF100" i="118"/>
  <c r="AC101" i="118"/>
  <c r="AD101" i="118"/>
  <c r="AE101" i="118"/>
  <c r="AF101" i="118"/>
  <c r="AC102" i="118"/>
  <c r="AD102" i="118"/>
  <c r="AE102" i="118"/>
  <c r="AF102" i="118"/>
  <c r="AC103" i="118"/>
  <c r="AD103" i="118"/>
  <c r="AE103" i="118"/>
  <c r="AF103" i="118"/>
  <c r="AC104" i="118"/>
  <c r="AD104" i="118"/>
  <c r="AE104" i="118"/>
  <c r="AF104" i="118"/>
  <c r="AC105" i="118"/>
  <c r="AD105" i="118"/>
  <c r="AE105" i="118"/>
  <c r="AF105" i="118"/>
  <c r="AC106" i="118"/>
  <c r="AD106" i="118"/>
  <c r="AE106" i="118"/>
  <c r="AF106" i="118"/>
  <c r="AC107" i="118"/>
  <c r="AD107" i="118"/>
  <c r="AE107" i="118"/>
  <c r="AF107" i="118"/>
  <c r="AC108" i="118"/>
  <c r="AD108" i="118"/>
  <c r="AE108" i="118"/>
  <c r="AF108" i="118"/>
  <c r="AC109" i="118"/>
  <c r="AD109" i="118"/>
  <c r="AE109" i="118"/>
  <c r="AF109" i="118"/>
  <c r="AC110" i="118"/>
  <c r="AD110" i="118"/>
  <c r="AE110" i="118"/>
  <c r="AF110" i="118"/>
  <c r="AC111" i="118"/>
  <c r="AD111" i="118"/>
  <c r="AE111" i="118"/>
  <c r="AF111" i="118"/>
  <c r="AC112" i="118"/>
  <c r="AD112" i="118"/>
  <c r="AC113" i="118"/>
  <c r="AD113" i="118"/>
  <c r="AE113" i="118"/>
  <c r="AF113" i="118"/>
  <c r="AC114" i="118"/>
  <c r="AD114" i="118"/>
  <c r="AE114" i="118"/>
  <c r="AF114" i="118"/>
  <c r="AC115" i="118"/>
  <c r="AD115" i="118"/>
  <c r="AE115" i="118"/>
  <c r="AF115" i="118"/>
  <c r="AC116" i="118"/>
  <c r="AD116" i="118"/>
  <c r="AE116" i="118"/>
  <c r="AF116" i="118"/>
  <c r="AC117" i="118"/>
  <c r="AD117" i="118"/>
  <c r="AE117" i="118"/>
  <c r="AF117" i="118"/>
  <c r="AC118" i="118"/>
  <c r="AD118" i="118"/>
  <c r="AC119" i="118"/>
  <c r="AD119" i="118"/>
  <c r="AE119" i="118"/>
  <c r="AF119" i="118"/>
  <c r="AC120" i="118"/>
  <c r="AD120" i="118"/>
  <c r="AE120" i="118"/>
  <c r="AF120" i="118"/>
  <c r="AC121" i="118"/>
  <c r="AD121" i="118"/>
  <c r="AE121" i="118"/>
  <c r="AF121" i="118"/>
  <c r="AC122" i="118"/>
  <c r="AD122" i="118"/>
  <c r="AE122" i="118"/>
  <c r="AF122" i="118"/>
  <c r="AC123" i="118"/>
  <c r="AD123" i="118"/>
  <c r="AE123" i="118"/>
  <c r="AF123" i="118"/>
  <c r="AD124" i="118"/>
  <c r="AE124" i="118"/>
  <c r="AF124" i="118"/>
  <c r="AC125" i="118"/>
  <c r="AD125" i="118"/>
  <c r="AE125" i="118"/>
  <c r="AF125" i="118"/>
  <c r="AC126" i="118"/>
  <c r="AD126" i="118"/>
  <c r="AE126" i="118"/>
  <c r="AF126" i="118"/>
  <c r="AC127" i="118"/>
  <c r="AD127" i="118"/>
  <c r="AE127" i="118"/>
  <c r="AF127" i="118"/>
  <c r="AC128" i="118"/>
  <c r="AD128" i="118"/>
  <c r="AE128" i="118"/>
  <c r="AF128" i="118"/>
  <c r="AC129" i="118"/>
  <c r="AD129" i="118"/>
  <c r="AE129" i="118"/>
  <c r="AF129" i="118"/>
  <c r="AC130" i="118"/>
  <c r="AD130" i="118"/>
  <c r="AE130" i="118"/>
  <c r="AF130" i="118"/>
  <c r="AC131" i="118"/>
  <c r="AD131" i="118"/>
  <c r="AE131" i="118"/>
  <c r="AF131" i="118"/>
  <c r="AC132" i="118"/>
  <c r="AD132" i="118"/>
  <c r="AE132" i="118"/>
  <c r="AF132" i="118"/>
  <c r="AC133" i="118"/>
  <c r="AD133" i="118"/>
  <c r="AE133" i="118"/>
  <c r="AF133" i="118"/>
  <c r="AC134" i="118"/>
  <c r="AD134" i="118"/>
  <c r="AE134" i="118"/>
  <c r="AF134" i="118"/>
  <c r="AD135" i="118"/>
  <c r="AE135" i="118"/>
  <c r="AC136" i="118"/>
  <c r="AD136" i="118"/>
  <c r="AE136" i="118"/>
  <c r="AF136" i="118"/>
  <c r="AC137" i="118"/>
  <c r="AD137" i="118"/>
  <c r="AE137" i="118"/>
  <c r="AF137" i="118"/>
  <c r="AD138" i="118"/>
  <c r="AE138" i="118"/>
  <c r="AF138" i="118"/>
  <c r="AC139" i="118"/>
  <c r="AD139" i="118"/>
  <c r="AE139" i="118"/>
  <c r="AF139" i="118"/>
  <c r="AC140" i="118"/>
  <c r="AD140" i="118"/>
  <c r="AE140" i="118"/>
  <c r="AF140" i="118"/>
  <c r="AC141" i="118"/>
  <c r="AD141" i="118"/>
  <c r="AE141" i="118"/>
  <c r="AF141" i="118"/>
  <c r="AC142" i="118"/>
  <c r="AD142" i="118"/>
  <c r="AE142" i="118"/>
  <c r="AF142" i="118"/>
  <c r="AC143" i="118"/>
  <c r="AD143" i="118"/>
  <c r="AE143" i="118"/>
  <c r="AF143" i="118"/>
  <c r="AC144" i="118"/>
  <c r="AD144" i="118"/>
  <c r="AE144" i="118"/>
  <c r="AF144" i="118"/>
  <c r="AC145" i="118"/>
  <c r="AD145" i="118"/>
  <c r="AE145" i="118"/>
  <c r="AF145" i="118"/>
  <c r="AC146" i="118"/>
  <c r="AD146" i="118"/>
  <c r="AE146" i="118"/>
  <c r="AF146" i="118"/>
  <c r="AC147" i="118"/>
  <c r="AD147" i="118"/>
  <c r="AE147" i="118"/>
  <c r="AF147" i="118"/>
  <c r="AC148" i="118"/>
  <c r="AD148" i="118"/>
  <c r="AE148" i="118"/>
  <c r="AF148" i="118"/>
  <c r="AC149" i="118"/>
  <c r="AD149" i="118"/>
  <c r="AE149" i="118"/>
  <c r="AF149" i="118"/>
  <c r="AD129" i="117"/>
  <c r="AE129" i="117"/>
  <c r="AF129" i="117"/>
  <c r="AD130" i="117"/>
  <c r="AE130" i="117"/>
  <c r="AF130" i="117"/>
  <c r="AD131" i="117"/>
  <c r="AE131" i="117"/>
  <c r="AF131" i="117"/>
  <c r="AD132" i="117"/>
  <c r="AE132" i="117"/>
  <c r="AF132" i="117"/>
  <c r="AD133" i="117"/>
  <c r="AE133" i="117"/>
  <c r="AF133" i="117"/>
  <c r="AD134" i="117"/>
  <c r="AE134" i="117"/>
  <c r="AF134" i="117"/>
  <c r="AD135" i="117"/>
  <c r="AE135" i="117"/>
  <c r="AF135" i="117"/>
  <c r="AD136" i="117"/>
  <c r="AE136" i="117"/>
  <c r="AF136" i="117"/>
  <c r="AD137" i="117"/>
  <c r="AE137" i="117"/>
  <c r="AF137" i="117"/>
  <c r="AD138" i="117"/>
  <c r="AE138" i="117"/>
  <c r="AF138" i="117"/>
  <c r="AD139" i="117"/>
  <c r="AE139" i="117"/>
  <c r="AF139" i="117"/>
  <c r="AD140" i="117"/>
  <c r="AE140" i="117"/>
  <c r="AF140" i="117"/>
  <c r="AD141" i="117"/>
  <c r="AE141" i="117"/>
  <c r="AF141" i="117"/>
  <c r="AD142" i="117"/>
  <c r="AE142" i="117"/>
  <c r="AD143" i="117"/>
  <c r="AE143" i="117"/>
  <c r="AF143" i="117"/>
  <c r="AD144" i="117"/>
  <c r="AE144" i="117"/>
  <c r="AF144" i="117"/>
  <c r="AD145" i="117"/>
  <c r="AE145" i="117"/>
  <c r="AF145" i="117"/>
  <c r="AD146" i="117"/>
  <c r="AE146" i="117"/>
  <c r="AF146" i="117"/>
  <c r="AD147" i="117"/>
  <c r="AE147" i="117"/>
  <c r="AF147" i="117"/>
  <c r="AD148" i="117"/>
  <c r="AE148" i="117"/>
  <c r="AF148" i="117"/>
  <c r="AD149" i="117"/>
  <c r="AE149" i="117"/>
  <c r="AF149" i="117"/>
  <c r="AD150" i="117"/>
  <c r="AE150" i="117"/>
  <c r="AF150" i="117"/>
  <c r="AD151" i="117"/>
  <c r="AE151" i="117"/>
  <c r="AF151" i="117"/>
  <c r="AD152" i="117"/>
  <c r="AE152" i="117"/>
  <c r="AF152" i="117"/>
  <c r="AD153" i="117"/>
  <c r="AE153" i="117"/>
  <c r="AF153" i="117"/>
  <c r="AD154" i="117"/>
  <c r="AE154" i="117"/>
  <c r="AD155" i="117"/>
  <c r="AE155" i="117"/>
  <c r="AF155" i="117"/>
  <c r="AD156" i="117"/>
  <c r="AE156" i="117"/>
  <c r="AF156" i="117"/>
  <c r="AD157" i="117"/>
  <c r="AE157" i="117"/>
  <c r="AF157" i="117"/>
  <c r="AD158" i="117"/>
  <c r="AE158" i="117"/>
  <c r="AF158" i="117"/>
  <c r="AD159" i="117"/>
  <c r="AE159" i="117"/>
  <c r="AF159" i="117"/>
  <c r="AD160" i="117"/>
  <c r="AE160" i="117"/>
  <c r="AF160" i="117"/>
  <c r="AD161" i="117"/>
  <c r="AE161" i="117"/>
  <c r="AF161" i="117"/>
  <c r="AD162" i="117"/>
  <c r="AE162" i="117"/>
  <c r="AF162" i="117"/>
  <c r="AD163" i="117"/>
  <c r="AE163" i="117"/>
  <c r="AF163" i="117"/>
  <c r="AD164" i="117"/>
  <c r="AE164" i="117"/>
  <c r="AF164" i="117"/>
  <c r="AE165" i="117"/>
  <c r="AF165" i="117"/>
  <c r="AD166" i="117"/>
  <c r="AF166" i="117"/>
  <c r="AD167" i="117"/>
  <c r="AE167" i="117"/>
  <c r="AF167" i="117"/>
  <c r="AD168" i="117"/>
  <c r="AE168" i="117"/>
  <c r="AF168" i="117"/>
  <c r="AD169" i="117"/>
  <c r="AE169" i="117"/>
  <c r="AF169" i="117"/>
  <c r="AD170" i="117"/>
  <c r="AE170" i="117"/>
  <c r="AF170" i="117"/>
  <c r="AD171" i="117"/>
  <c r="AE171" i="117"/>
  <c r="AF171" i="117"/>
  <c r="AD172" i="117"/>
  <c r="AE172" i="117"/>
  <c r="AF172" i="117"/>
  <c r="AD173" i="117"/>
  <c r="AE173" i="117"/>
  <c r="AF173" i="117"/>
  <c r="AD174" i="117"/>
  <c r="AD175" i="117"/>
  <c r="AE175" i="117"/>
  <c r="AF175" i="117"/>
  <c r="AD176" i="117"/>
  <c r="AE176" i="117"/>
  <c r="AF176" i="117"/>
  <c r="AD177" i="117"/>
  <c r="AE177" i="117"/>
  <c r="AF177" i="117"/>
  <c r="AD178" i="117"/>
  <c r="AD179" i="117"/>
  <c r="AE179" i="117"/>
  <c r="AF179" i="117"/>
  <c r="AD180" i="117"/>
  <c r="AE180" i="117"/>
  <c r="AF180" i="117"/>
  <c r="AD181" i="117"/>
  <c r="AE181" i="117"/>
  <c r="AF181" i="117"/>
  <c r="AD182" i="117"/>
  <c r="AE182" i="117"/>
  <c r="AF182" i="117"/>
  <c r="AD183" i="117"/>
  <c r="AE183" i="117"/>
  <c r="AF183" i="117"/>
  <c r="AD184" i="117"/>
  <c r="AE184" i="117"/>
  <c r="AF184" i="117"/>
  <c r="AE185" i="117"/>
  <c r="AF185" i="117"/>
  <c r="AE186" i="117"/>
  <c r="AE187" i="117"/>
  <c r="AF187" i="117"/>
  <c r="AD188" i="117"/>
  <c r="AE188" i="117"/>
  <c r="AF188" i="117"/>
  <c r="AD189" i="117"/>
  <c r="AE189" i="117"/>
  <c r="AF189" i="117"/>
  <c r="AD190" i="117"/>
  <c r="AE190" i="117"/>
  <c r="AF190" i="117"/>
  <c r="AD191" i="117"/>
  <c r="AE191" i="117"/>
  <c r="AF191" i="117"/>
  <c r="AD192" i="117"/>
  <c r="AE192" i="117"/>
  <c r="AF192" i="117"/>
  <c r="AD193" i="117"/>
  <c r="AE193" i="117"/>
  <c r="AF193" i="117"/>
  <c r="AD194" i="117"/>
  <c r="AE194" i="117"/>
  <c r="AF194" i="117"/>
  <c r="AD195" i="117"/>
  <c r="AE195" i="117"/>
  <c r="AF195" i="117"/>
  <c r="AD196" i="117"/>
  <c r="AE196" i="117"/>
  <c r="AF196" i="117"/>
  <c r="AD197" i="117"/>
  <c r="AE197" i="117"/>
  <c r="AF197" i="117"/>
  <c r="AD198" i="117"/>
  <c r="AD199" i="117"/>
  <c r="AE199" i="117"/>
  <c r="AF199" i="117"/>
  <c r="AD200" i="117"/>
  <c r="AE200" i="117"/>
  <c r="AF200" i="117"/>
  <c r="AD201" i="117"/>
  <c r="AF203" i="117"/>
  <c r="AF204" i="117"/>
  <c r="AF205" i="117"/>
  <c r="J39" i="81"/>
  <c r="J38" i="81"/>
  <c r="J37" i="81"/>
  <c r="J40" i="81" l="1"/>
  <c r="AC11" i="3"/>
  <c r="AC12" i="3" s="1"/>
  <c r="AC13" i="3" s="1"/>
  <c r="AC14" i="3" s="1"/>
  <c r="AC15" i="3" s="1"/>
  <c r="AC16" i="3" s="1"/>
  <c r="AC17" i="3" s="1"/>
  <c r="AC18" i="3" s="1"/>
  <c r="AC19" i="3" s="1"/>
  <c r="AC20" i="3" s="1"/>
  <c r="AC21" i="3" s="1"/>
  <c r="AC22" i="3" s="1"/>
  <c r="AC23" i="3" s="1"/>
  <c r="AC24" i="3" s="1"/>
  <c r="AC25" i="3" s="1"/>
  <c r="AC26" i="3" s="1"/>
  <c r="AC27" i="3" s="1"/>
  <c r="AC28" i="3" s="1"/>
  <c r="AC29" i="3" s="1"/>
  <c r="AC36" i="3" s="1"/>
  <c r="AC37" i="3" s="1"/>
  <c r="AC38" i="3" s="1"/>
  <c r="AC39" i="3" s="1"/>
  <c r="AC40" i="3" s="1"/>
  <c r="AC41" i="3" s="1"/>
  <c r="AC42" i="3" s="1"/>
  <c r="AC43" i="3" s="1"/>
  <c r="AC44" i="3" s="1"/>
  <c r="AC45" i="3" s="1"/>
  <c r="AC46" i="3" s="1"/>
  <c r="AC47" i="3" s="1"/>
  <c r="AC48" i="3" s="1"/>
  <c r="AC49" i="3" s="1"/>
  <c r="AC50" i="3" s="1"/>
  <c r="AC51" i="3" s="1"/>
  <c r="AC52" i="3" s="1"/>
  <c r="AC53" i="3" s="1"/>
  <c r="AC54" i="3" s="1"/>
  <c r="AC55" i="3" s="1"/>
  <c r="AC56" i="3" s="1"/>
  <c r="AC57" i="3" s="1"/>
  <c r="AC58" i="3" s="1"/>
  <c r="AC59" i="3" s="1"/>
  <c r="B6" i="3"/>
  <c r="B5" i="3"/>
  <c r="B4" i="3"/>
  <c r="AC60" i="3" l="1"/>
  <c r="AC61" i="3" s="1"/>
  <c r="AC62" i="3" s="1"/>
  <c r="AC63" i="3" s="1"/>
  <c r="AC64" i="3" s="1"/>
  <c r="AC65" i="3" s="1"/>
  <c r="AC66" i="3" s="1"/>
  <c r="AC67" i="3" s="1"/>
  <c r="AC68" i="3" s="1"/>
  <c r="AC69" i="3" s="1"/>
  <c r="AC70" i="3" s="1"/>
  <c r="AC71" i="3" s="1"/>
  <c r="AC72" i="3" s="1"/>
  <c r="AC73" i="3" s="1"/>
  <c r="AC74" i="3" s="1"/>
  <c r="AC75" i="3" s="1"/>
  <c r="F147" i="118"/>
  <c r="M120" i="119"/>
  <c r="K119" i="119"/>
  <c r="M136" i="125"/>
  <c r="F136" i="125"/>
  <c r="K164" i="116"/>
  <c r="M164" i="116" s="1"/>
  <c r="F163" i="116"/>
  <c r="L163" i="116" s="1"/>
  <c r="N163" i="116" s="1"/>
  <c r="F164" i="116"/>
  <c r="N164" i="116" s="1"/>
  <c r="K218" i="117"/>
  <c r="M135" i="125"/>
  <c r="AF106" i="125"/>
  <c r="AF107" i="125"/>
  <c r="AF108" i="125"/>
  <c r="AF110" i="125"/>
  <c r="AF111" i="125"/>
  <c r="AF112" i="125"/>
  <c r="AF113" i="125"/>
  <c r="AF114" i="125"/>
  <c r="AF115" i="125"/>
  <c r="AF116" i="125"/>
  <c r="AF118" i="125"/>
  <c r="AF119" i="125"/>
  <c r="AF120" i="125"/>
  <c r="AF121" i="125"/>
  <c r="AF122" i="125"/>
  <c r="AF123" i="125"/>
  <c r="AF124" i="125"/>
  <c r="AF125" i="125"/>
  <c r="AF126" i="125"/>
  <c r="AF127" i="125"/>
  <c r="AF128" i="125"/>
  <c r="AF129" i="125"/>
  <c r="AF130" i="125"/>
  <c r="AF131" i="125"/>
  <c r="AF132" i="125"/>
  <c r="AF133" i="125"/>
  <c r="AF134" i="125"/>
  <c r="AF135" i="125"/>
  <c r="AF136" i="125"/>
  <c r="AF137" i="125"/>
  <c r="AF138" i="125"/>
  <c r="AF139" i="125"/>
  <c r="AF141" i="125"/>
  <c r="AF142" i="125"/>
  <c r="AF143" i="125"/>
  <c r="AF144" i="125"/>
  <c r="AF145" i="125"/>
  <c r="AF146" i="125"/>
  <c r="AF147" i="125"/>
  <c r="AF148" i="125"/>
  <c r="AE106" i="125"/>
  <c r="AE107" i="125"/>
  <c r="AE108" i="125"/>
  <c r="AE109" i="125"/>
  <c r="AE110" i="125"/>
  <c r="AE111" i="125"/>
  <c r="AE112" i="125"/>
  <c r="AE113" i="125"/>
  <c r="AE114" i="125"/>
  <c r="AE115" i="125"/>
  <c r="AE116" i="125"/>
  <c r="AE117" i="125"/>
  <c r="AE118" i="125"/>
  <c r="AE119" i="125"/>
  <c r="AE120" i="125"/>
  <c r="AE121" i="125"/>
  <c r="AE122" i="125"/>
  <c r="AE123" i="125"/>
  <c r="AE124" i="125"/>
  <c r="AE125" i="125"/>
  <c r="AE126" i="125"/>
  <c r="AE127" i="125"/>
  <c r="AE128" i="125"/>
  <c r="AE129" i="125"/>
  <c r="AE130" i="125"/>
  <c r="AE131" i="125"/>
  <c r="AE132" i="125"/>
  <c r="AE133" i="125"/>
  <c r="AE134" i="125"/>
  <c r="AE135" i="125"/>
  <c r="AE136" i="125"/>
  <c r="AE137" i="125"/>
  <c r="AE138" i="125"/>
  <c r="AE139" i="125"/>
  <c r="AE140" i="125"/>
  <c r="AE141" i="125"/>
  <c r="AE142" i="125"/>
  <c r="AE143" i="125"/>
  <c r="AE144" i="125"/>
  <c r="AE145" i="125"/>
  <c r="AE146" i="125"/>
  <c r="AE147" i="125"/>
  <c r="AE148" i="125"/>
  <c r="AE149" i="125"/>
  <c r="AD110" i="125"/>
  <c r="AD111" i="125"/>
  <c r="AD112" i="125"/>
  <c r="AD113" i="125"/>
  <c r="AD114" i="125"/>
  <c r="AD115" i="125"/>
  <c r="AD116" i="125"/>
  <c r="AD117" i="125"/>
  <c r="AD118" i="125"/>
  <c r="AD119" i="125"/>
  <c r="AD120" i="125"/>
  <c r="AD121" i="125"/>
  <c r="AD122" i="125"/>
  <c r="AD123" i="125"/>
  <c r="AD124" i="125"/>
  <c r="AD125" i="125"/>
  <c r="AD126" i="125"/>
  <c r="AD127" i="125"/>
  <c r="AD128" i="125"/>
  <c r="AD129" i="125"/>
  <c r="AD130" i="125"/>
  <c r="AD131" i="125"/>
  <c r="AD132" i="125"/>
  <c r="AD133" i="125"/>
  <c r="AD134" i="125"/>
  <c r="AD135" i="125"/>
  <c r="AD136" i="125"/>
  <c r="AD137" i="125"/>
  <c r="AD138" i="125"/>
  <c r="AD139" i="125"/>
  <c r="AD140" i="125"/>
  <c r="AD141" i="125"/>
  <c r="AD142" i="125"/>
  <c r="AD143" i="125"/>
  <c r="AD144" i="125"/>
  <c r="AD145" i="125"/>
  <c r="AD146" i="125"/>
  <c r="AD147" i="125"/>
  <c r="AD148" i="125"/>
  <c r="AD149" i="125"/>
  <c r="AC121" i="125"/>
  <c r="AC122" i="125"/>
  <c r="AC123" i="125"/>
  <c r="AC124" i="125"/>
  <c r="AC126" i="125"/>
  <c r="AC127" i="125"/>
  <c r="AC128" i="125"/>
  <c r="AC129" i="125"/>
  <c r="AC130" i="125"/>
  <c r="AC131" i="125"/>
  <c r="AC132" i="125"/>
  <c r="AC133" i="125"/>
  <c r="AC134" i="125"/>
  <c r="AC135" i="125"/>
  <c r="AC136" i="125"/>
  <c r="AC137" i="125"/>
  <c r="AC138" i="125"/>
  <c r="AC139" i="125"/>
  <c r="AC141" i="125"/>
  <c r="AC142" i="125"/>
  <c r="AC143" i="125"/>
  <c r="AC144" i="125"/>
  <c r="AC145" i="125"/>
  <c r="AC146" i="125"/>
  <c r="AC147" i="125"/>
  <c r="AC148" i="125"/>
  <c r="W129" i="125"/>
  <c r="W130" i="125"/>
  <c r="W131" i="125"/>
  <c r="W132" i="125"/>
  <c r="W133" i="125"/>
  <c r="W134" i="125"/>
  <c r="W135" i="125"/>
  <c r="W136" i="125"/>
  <c r="W137" i="125"/>
  <c r="W138" i="125"/>
  <c r="W139" i="125"/>
  <c r="W140" i="125"/>
  <c r="W141" i="125"/>
  <c r="W142" i="125"/>
  <c r="W143" i="125"/>
  <c r="W144" i="125"/>
  <c r="W145" i="125"/>
  <c r="W146" i="125"/>
  <c r="W147" i="125"/>
  <c r="W148" i="125"/>
  <c r="W149" i="125"/>
  <c r="W150" i="125"/>
  <c r="W151" i="125"/>
  <c r="W152" i="125"/>
  <c r="W153" i="125"/>
  <c r="V129" i="125"/>
  <c r="V130" i="125"/>
  <c r="V131" i="125"/>
  <c r="V132" i="125"/>
  <c r="V133" i="125"/>
  <c r="V134" i="125"/>
  <c r="V135" i="125"/>
  <c r="V136" i="125"/>
  <c r="V137" i="125"/>
  <c r="V138" i="125"/>
  <c r="V139" i="125"/>
  <c r="V140" i="125"/>
  <c r="V141" i="125"/>
  <c r="V142" i="125"/>
  <c r="V143" i="125"/>
  <c r="V144" i="125"/>
  <c r="V145" i="125"/>
  <c r="V146" i="125"/>
  <c r="V147" i="125"/>
  <c r="V148" i="125"/>
  <c r="V149" i="125"/>
  <c r="V150" i="125"/>
  <c r="V151" i="125"/>
  <c r="V152" i="125"/>
  <c r="V153" i="125"/>
  <c r="U129" i="125"/>
  <c r="U130" i="125"/>
  <c r="X130" i="125" s="1"/>
  <c r="U131" i="125"/>
  <c r="U132" i="125"/>
  <c r="U133" i="125"/>
  <c r="X133" i="125" s="1"/>
  <c r="U134" i="125"/>
  <c r="X134" i="125" s="1"/>
  <c r="U135" i="125"/>
  <c r="X135" i="125" s="1"/>
  <c r="U136" i="125"/>
  <c r="X136" i="125" s="1"/>
  <c r="U137" i="125"/>
  <c r="U138" i="125"/>
  <c r="U139" i="125"/>
  <c r="X139" i="125" s="1"/>
  <c r="U140" i="125"/>
  <c r="U141" i="125"/>
  <c r="U142" i="125"/>
  <c r="U143" i="125"/>
  <c r="X143" i="125" s="1"/>
  <c r="U144" i="125"/>
  <c r="U145" i="125"/>
  <c r="U146" i="125"/>
  <c r="U147" i="125"/>
  <c r="U148" i="125"/>
  <c r="U149" i="125"/>
  <c r="U150" i="125"/>
  <c r="U151" i="125"/>
  <c r="U152" i="125"/>
  <c r="U153" i="125"/>
  <c r="M129" i="125"/>
  <c r="M131" i="125"/>
  <c r="M132" i="125"/>
  <c r="M133" i="125"/>
  <c r="M134" i="125"/>
  <c r="M137" i="125"/>
  <c r="M138" i="125"/>
  <c r="M139" i="125"/>
  <c r="M140" i="125"/>
  <c r="M141" i="125"/>
  <c r="M142" i="125"/>
  <c r="M143" i="125"/>
  <c r="M144" i="125"/>
  <c r="M145" i="125"/>
  <c r="M146" i="125"/>
  <c r="M147" i="125"/>
  <c r="M148" i="125"/>
  <c r="M149" i="125"/>
  <c r="M150" i="125"/>
  <c r="M151" i="125"/>
  <c r="M152" i="125"/>
  <c r="M153" i="125"/>
  <c r="M154" i="125"/>
  <c r="M155" i="125"/>
  <c r="M156" i="125"/>
  <c r="M157" i="125"/>
  <c r="F132" i="125"/>
  <c r="N132" i="125" s="1"/>
  <c r="F133" i="125"/>
  <c r="N133" i="125" s="1"/>
  <c r="F134" i="125"/>
  <c r="N134" i="125" s="1"/>
  <c r="F135" i="125"/>
  <c r="F137" i="125"/>
  <c r="N137" i="125" s="1"/>
  <c r="F138" i="125"/>
  <c r="N138" i="125" s="1"/>
  <c r="F139" i="125"/>
  <c r="N139" i="125" s="1"/>
  <c r="F140" i="125"/>
  <c r="F141" i="125"/>
  <c r="F142" i="125"/>
  <c r="N142" i="125" s="1"/>
  <c r="F143" i="125"/>
  <c r="F144" i="125"/>
  <c r="N144" i="125" s="1"/>
  <c r="F145" i="125"/>
  <c r="F146" i="125"/>
  <c r="F147" i="125"/>
  <c r="F148" i="125"/>
  <c r="F149" i="125"/>
  <c r="F150" i="125"/>
  <c r="N150" i="125" s="1"/>
  <c r="F151" i="125"/>
  <c r="N151" i="125" s="1"/>
  <c r="F152" i="125"/>
  <c r="N152" i="125" s="1"/>
  <c r="F153" i="125"/>
  <c r="F154" i="125"/>
  <c r="F155" i="125"/>
  <c r="F156" i="125"/>
  <c r="N157" i="125"/>
  <c r="AA157" i="125" s="1"/>
  <c r="F159" i="125"/>
  <c r="L159" i="125" s="1"/>
  <c r="N159" i="125" s="1"/>
  <c r="AA159" i="125" s="1"/>
  <c r="M118" i="119"/>
  <c r="AF113" i="119"/>
  <c r="AF114" i="119"/>
  <c r="AF115" i="119"/>
  <c r="AF116" i="119"/>
  <c r="AF117" i="119"/>
  <c r="AF118" i="119"/>
  <c r="AF119" i="119"/>
  <c r="AF120" i="119"/>
  <c r="AF121" i="119"/>
  <c r="AF122" i="119"/>
  <c r="AF123" i="119"/>
  <c r="AF124" i="119"/>
  <c r="AE113" i="119"/>
  <c r="AE114" i="119"/>
  <c r="AE115" i="119"/>
  <c r="AE116" i="119"/>
  <c r="AE118" i="119"/>
  <c r="AE119" i="119"/>
  <c r="AE120" i="119"/>
  <c r="AE121" i="119"/>
  <c r="AE122" i="119"/>
  <c r="AE123" i="119"/>
  <c r="AE124" i="119"/>
  <c r="AD113" i="119"/>
  <c r="AD114" i="119"/>
  <c r="AD115" i="119"/>
  <c r="AD116" i="119"/>
  <c r="AD117" i="119"/>
  <c r="AD118" i="119"/>
  <c r="AD119" i="119"/>
  <c r="AD120" i="119"/>
  <c r="AD121" i="119"/>
  <c r="AD122" i="119"/>
  <c r="AD123" i="119"/>
  <c r="AD124" i="119"/>
  <c r="AC113" i="119"/>
  <c r="AC114" i="119"/>
  <c r="AC115" i="119"/>
  <c r="AC116" i="119"/>
  <c r="AC118" i="119"/>
  <c r="AC119" i="119"/>
  <c r="AC120" i="119"/>
  <c r="AC121" i="119"/>
  <c r="AC122" i="119"/>
  <c r="AC123" i="119"/>
  <c r="AC124" i="119"/>
  <c r="V113" i="119"/>
  <c r="V114" i="119"/>
  <c r="V115" i="119"/>
  <c r="V116" i="119"/>
  <c r="V117" i="119"/>
  <c r="V118" i="119"/>
  <c r="V119" i="119"/>
  <c r="V120" i="119"/>
  <c r="V121" i="119"/>
  <c r="V122" i="119"/>
  <c r="V123" i="119"/>
  <c r="V124" i="119"/>
  <c r="V125" i="119"/>
  <c r="V126" i="119"/>
  <c r="V127" i="119"/>
  <c r="U113" i="119"/>
  <c r="U114" i="119"/>
  <c r="U115" i="119"/>
  <c r="U116" i="119"/>
  <c r="X116" i="119" s="1"/>
  <c r="U118" i="119"/>
  <c r="X118" i="119" s="1"/>
  <c r="U119" i="119"/>
  <c r="X119" i="119" s="1"/>
  <c r="U120" i="119"/>
  <c r="X120" i="119" s="1"/>
  <c r="U121" i="119"/>
  <c r="X121" i="119" s="1"/>
  <c r="U122" i="119"/>
  <c r="X122" i="119" s="1"/>
  <c r="U123" i="119"/>
  <c r="X123" i="119" s="1"/>
  <c r="U124" i="119"/>
  <c r="U125" i="119"/>
  <c r="X125" i="119" s="1"/>
  <c r="AE125" i="119" s="1"/>
  <c r="U126" i="119"/>
  <c r="X126" i="119" s="1"/>
  <c r="U127" i="119"/>
  <c r="M119" i="119"/>
  <c r="M121" i="119"/>
  <c r="M122" i="119"/>
  <c r="M123" i="119"/>
  <c r="M124" i="119"/>
  <c r="M125" i="119"/>
  <c r="M126" i="119"/>
  <c r="M127" i="119"/>
  <c r="F117" i="119"/>
  <c r="F118" i="119"/>
  <c r="L118" i="119" s="1"/>
  <c r="N118" i="119" s="1"/>
  <c r="F119" i="119"/>
  <c r="N119" i="119" s="1"/>
  <c r="F120" i="119"/>
  <c r="F121" i="119"/>
  <c r="F122" i="119"/>
  <c r="N122" i="119" s="1"/>
  <c r="F123" i="119"/>
  <c r="F124" i="119"/>
  <c r="F125" i="119"/>
  <c r="F126" i="119"/>
  <c r="F127" i="119"/>
  <c r="F128" i="119"/>
  <c r="L128" i="119" s="1"/>
  <c r="N128" i="119" s="1"/>
  <c r="AA128" i="119" s="1"/>
  <c r="AF153" i="116"/>
  <c r="AF154" i="116"/>
  <c r="AF155" i="116"/>
  <c r="AF156" i="116"/>
  <c r="AF158" i="116"/>
  <c r="AF159" i="116"/>
  <c r="AF160" i="116"/>
  <c r="AF161" i="116"/>
  <c r="AF162" i="116"/>
  <c r="AF163" i="116"/>
  <c r="AF164" i="116"/>
  <c r="AF165" i="116"/>
  <c r="AF166" i="116"/>
  <c r="AF167" i="116"/>
  <c r="AF168" i="116"/>
  <c r="AF169" i="116"/>
  <c r="AF171" i="116"/>
  <c r="AF172" i="116"/>
  <c r="AF173" i="116"/>
  <c r="AF174" i="116"/>
  <c r="AF175" i="116"/>
  <c r="AF176" i="116"/>
  <c r="AF177" i="116"/>
  <c r="AF178" i="116"/>
  <c r="AF179" i="116"/>
  <c r="AF180" i="116"/>
  <c r="AE162" i="116"/>
  <c r="AE163" i="116"/>
  <c r="AE164" i="116"/>
  <c r="AE165" i="116"/>
  <c r="AE166" i="116"/>
  <c r="AE167" i="116"/>
  <c r="AE168" i="116"/>
  <c r="AE169" i="116"/>
  <c r="AE171" i="116"/>
  <c r="AE172" i="116"/>
  <c r="AE173" i="116"/>
  <c r="AE174" i="116"/>
  <c r="AE175" i="116"/>
  <c r="AE176" i="116"/>
  <c r="AE177" i="116"/>
  <c r="AE178" i="116"/>
  <c r="AE179" i="116"/>
  <c r="AE180" i="116"/>
  <c r="AD159" i="116"/>
  <c r="AD160" i="116"/>
  <c r="AD161" i="116"/>
  <c r="AD162" i="116"/>
  <c r="AD163" i="116"/>
  <c r="AD164" i="116"/>
  <c r="AD165" i="116"/>
  <c r="AD166" i="116"/>
  <c r="AD167" i="116"/>
  <c r="AD168" i="116"/>
  <c r="AD169" i="116"/>
  <c r="AD171" i="116"/>
  <c r="AD172" i="116"/>
  <c r="AD173" i="116"/>
  <c r="AD174" i="116"/>
  <c r="AD175" i="116"/>
  <c r="AD235" i="116"/>
  <c r="AC157" i="116"/>
  <c r="AC158" i="116"/>
  <c r="AC159" i="116"/>
  <c r="AC160" i="116"/>
  <c r="AC161" i="116"/>
  <c r="AC162" i="116"/>
  <c r="AC163" i="116"/>
  <c r="AC164" i="116"/>
  <c r="AC165" i="116"/>
  <c r="AC166" i="116"/>
  <c r="AC167" i="116"/>
  <c r="AC168" i="116"/>
  <c r="AC169" i="116"/>
  <c r="AC171" i="116"/>
  <c r="AC172" i="116"/>
  <c r="AC173" i="116"/>
  <c r="V159" i="116"/>
  <c r="V160" i="116"/>
  <c r="V161" i="116"/>
  <c r="V162" i="116"/>
  <c r="V163" i="116"/>
  <c r="V164" i="116"/>
  <c r="V165" i="116"/>
  <c r="V166" i="116"/>
  <c r="V167" i="116"/>
  <c r="V168" i="116"/>
  <c r="V169" i="116"/>
  <c r="V171" i="116"/>
  <c r="V172" i="116"/>
  <c r="V173" i="116"/>
  <c r="V174" i="116"/>
  <c r="V175" i="116"/>
  <c r="V176" i="116"/>
  <c r="V177" i="116"/>
  <c r="V178" i="116"/>
  <c r="V179" i="116"/>
  <c r="U159" i="116"/>
  <c r="U160" i="116"/>
  <c r="X160" i="116" s="1"/>
  <c r="U161" i="116"/>
  <c r="X161" i="116" s="1"/>
  <c r="U162" i="116"/>
  <c r="X162" i="116" s="1"/>
  <c r="U163" i="116"/>
  <c r="X163" i="116" s="1"/>
  <c r="U164" i="116"/>
  <c r="X164" i="116" s="1"/>
  <c r="U165" i="116"/>
  <c r="X165" i="116" s="1"/>
  <c r="U166" i="116"/>
  <c r="U167" i="116"/>
  <c r="X167" i="116" s="1"/>
  <c r="U168" i="116"/>
  <c r="U169" i="116"/>
  <c r="U171" i="116"/>
  <c r="U172" i="116"/>
  <c r="U173" i="116"/>
  <c r="U174" i="116"/>
  <c r="X174" i="116" s="1"/>
  <c r="U175" i="116"/>
  <c r="U176" i="116"/>
  <c r="U177" i="116"/>
  <c r="U178" i="116"/>
  <c r="U179" i="116"/>
  <c r="M160" i="116"/>
  <c r="M161" i="116"/>
  <c r="M166" i="116"/>
  <c r="M167" i="116"/>
  <c r="M168" i="116"/>
  <c r="M169" i="116"/>
  <c r="M171" i="116"/>
  <c r="M172" i="116"/>
  <c r="M173" i="116"/>
  <c r="M174" i="116"/>
  <c r="M175" i="116"/>
  <c r="M176" i="116"/>
  <c r="M177" i="116"/>
  <c r="M178" i="116"/>
  <c r="M179" i="116"/>
  <c r="M180" i="116"/>
  <c r="F161" i="116"/>
  <c r="N161" i="116" s="1"/>
  <c r="F162" i="116"/>
  <c r="N162" i="116" s="1"/>
  <c r="F165" i="116"/>
  <c r="F166" i="116"/>
  <c r="N166" i="116" s="1"/>
  <c r="F167" i="116"/>
  <c r="N167" i="116" s="1"/>
  <c r="F169" i="116"/>
  <c r="N169" i="116" s="1"/>
  <c r="F171" i="116"/>
  <c r="F172" i="116"/>
  <c r="N172" i="116" s="1"/>
  <c r="F173" i="116"/>
  <c r="F174" i="116"/>
  <c r="F175" i="116"/>
  <c r="F176" i="116"/>
  <c r="N176" i="116" s="1"/>
  <c r="F177" i="116"/>
  <c r="N177" i="116" s="1"/>
  <c r="F178" i="116"/>
  <c r="N178" i="116" s="1"/>
  <c r="F179" i="116"/>
  <c r="N179" i="116" s="1"/>
  <c r="F180" i="116"/>
  <c r="N180" i="116" s="1"/>
  <c r="F181" i="116"/>
  <c r="L181" i="116" s="1"/>
  <c r="N181" i="116" s="1"/>
  <c r="AA181" i="116" s="1"/>
  <c r="F182" i="116"/>
  <c r="K129" i="120"/>
  <c r="K128" i="120"/>
  <c r="K127" i="120"/>
  <c r="AC76" i="3" l="1"/>
  <c r="AC77" i="3" s="1"/>
  <c r="AC78" i="3" s="1"/>
  <c r="AC79" i="3" s="1"/>
  <c r="AC80" i="3" s="1"/>
  <c r="AC81" i="3" s="1"/>
  <c r="AC82" i="3" s="1"/>
  <c r="AC83" i="3" s="1"/>
  <c r="AC84" i="3" s="1"/>
  <c r="AC85" i="3" s="1"/>
  <c r="AC86" i="3" s="1"/>
  <c r="L135" i="125"/>
  <c r="N135" i="125"/>
  <c r="L182" i="116"/>
  <c r="L145" i="125"/>
  <c r="N145" i="125"/>
  <c r="AA145" i="125" s="1"/>
  <c r="L136" i="125"/>
  <c r="N136" i="125"/>
  <c r="AA136" i="125" s="1"/>
  <c r="L147" i="118"/>
  <c r="N147" i="118"/>
  <c r="L179" i="116"/>
  <c r="AA179" i="116" s="1"/>
  <c r="N175" i="116"/>
  <c r="AA175" i="116" s="1"/>
  <c r="L175" i="116"/>
  <c r="L166" i="116"/>
  <c r="L127" i="119"/>
  <c r="N127" i="119" s="1"/>
  <c r="AA127" i="119" s="1"/>
  <c r="L150" i="125"/>
  <c r="AA150" i="125" s="1"/>
  <c r="AA142" i="125"/>
  <c r="L142" i="125"/>
  <c r="L178" i="116"/>
  <c r="AA178" i="116" s="1"/>
  <c r="N174" i="116"/>
  <c r="AA174" i="116" s="1"/>
  <c r="L174" i="116"/>
  <c r="AA169" i="116"/>
  <c r="L169" i="116"/>
  <c r="L126" i="119"/>
  <c r="N126" i="119" s="1"/>
  <c r="AA126" i="119" s="1"/>
  <c r="AA122" i="119"/>
  <c r="L122" i="119"/>
  <c r="L153" i="125"/>
  <c r="N153" i="125" s="1"/>
  <c r="AA153" i="125" s="1"/>
  <c r="N141" i="125"/>
  <c r="AA141" i="125" s="1"/>
  <c r="L141" i="125"/>
  <c r="L137" i="125"/>
  <c r="L177" i="116"/>
  <c r="AA177" i="116" s="1"/>
  <c r="N173" i="116"/>
  <c r="AA173" i="116" s="1"/>
  <c r="L173" i="116"/>
  <c r="L125" i="119"/>
  <c r="N125" i="119" s="1"/>
  <c r="AA125" i="119" s="1"/>
  <c r="N121" i="119"/>
  <c r="AA121" i="119" s="1"/>
  <c r="L121" i="119"/>
  <c r="L156" i="125"/>
  <c r="L152" i="125"/>
  <c r="AA152" i="125" s="1"/>
  <c r="L148" i="125"/>
  <c r="N148" i="125" s="1"/>
  <c r="AA148" i="125" s="1"/>
  <c r="AA144" i="125"/>
  <c r="L144" i="125"/>
  <c r="N140" i="125"/>
  <c r="AA140" i="125" s="1"/>
  <c r="L140" i="125"/>
  <c r="Z149" i="125"/>
  <c r="N171" i="116"/>
  <c r="AA171" i="116" s="1"/>
  <c r="L171" i="116"/>
  <c r="N123" i="119"/>
  <c r="AA123" i="119" s="1"/>
  <c r="L123" i="119"/>
  <c r="L154" i="125"/>
  <c r="L146" i="125"/>
  <c r="N146" i="125" s="1"/>
  <c r="AA146" i="125" s="1"/>
  <c r="AA138" i="125"/>
  <c r="L138" i="125"/>
  <c r="L180" i="116"/>
  <c r="AA180" i="116" s="1"/>
  <c r="L176" i="116"/>
  <c r="L172" i="116"/>
  <c r="AA167" i="116"/>
  <c r="L167" i="116"/>
  <c r="L124" i="119"/>
  <c r="N124" i="119" s="1"/>
  <c r="AA124" i="119" s="1"/>
  <c r="N155" i="125"/>
  <c r="AA155" i="125" s="1"/>
  <c r="L155" i="125"/>
  <c r="L151" i="125"/>
  <c r="AA151" i="125" s="1"/>
  <c r="N147" i="125"/>
  <c r="AA147" i="125" s="1"/>
  <c r="L147" i="125"/>
  <c r="N143" i="125"/>
  <c r="AA143" i="125" s="1"/>
  <c r="L143" i="125"/>
  <c r="AA139" i="125"/>
  <c r="L139" i="125"/>
  <c r="Z129" i="125"/>
  <c r="Z145" i="125"/>
  <c r="Z148" i="125"/>
  <c r="Z147" i="125"/>
  <c r="Z146" i="125"/>
  <c r="Z143" i="125"/>
  <c r="Z144" i="125"/>
  <c r="Z157" i="125"/>
  <c r="Y157" i="125"/>
  <c r="Y156" i="125"/>
  <c r="Z156" i="125"/>
  <c r="Y155" i="125"/>
  <c r="Z155" i="125"/>
  <c r="Z154" i="125"/>
  <c r="Y154" i="125"/>
  <c r="Z153" i="125"/>
  <c r="Z152" i="125"/>
  <c r="Z151" i="125"/>
  <c r="Z150" i="125"/>
  <c r="X127" i="119"/>
  <c r="Z127" i="119"/>
  <c r="Y180" i="116"/>
  <c r="Z180" i="116"/>
  <c r="Z178" i="116"/>
  <c r="Z160" i="116"/>
  <c r="Z161" i="116"/>
  <c r="Z179" i="116"/>
  <c r="Y179" i="116"/>
  <c r="X179" i="116"/>
  <c r="Z162" i="116"/>
  <c r="Z126" i="119"/>
  <c r="Z125" i="119"/>
  <c r="Z177" i="116"/>
  <c r="Y151" i="125"/>
  <c r="Y124" i="119"/>
  <c r="L149" i="125"/>
  <c r="N149" i="125" s="1"/>
  <c r="AA149" i="125" s="1"/>
  <c r="Z176" i="116"/>
  <c r="Z174" i="116"/>
  <c r="Y147" i="125"/>
  <c r="Z173" i="116"/>
  <c r="Z172" i="116"/>
  <c r="Z167" i="116"/>
  <c r="Z123" i="119"/>
  <c r="Y176" i="116"/>
  <c r="Y175" i="116"/>
  <c r="Y172" i="116"/>
  <c r="Y171" i="116"/>
  <c r="Z122" i="119"/>
  <c r="Z168" i="116"/>
  <c r="AA166" i="116"/>
  <c r="Z140" i="125"/>
  <c r="Z134" i="125"/>
  <c r="Z142" i="125"/>
  <c r="Z141" i="125"/>
  <c r="Z169" i="116"/>
  <c r="Y165" i="116"/>
  <c r="Z121" i="119"/>
  <c r="Z139" i="125"/>
  <c r="Z137" i="125"/>
  <c r="Y133" i="125"/>
  <c r="Y166" i="116"/>
  <c r="Z138" i="125"/>
  <c r="AA137" i="125"/>
  <c r="X172" i="116"/>
  <c r="Z135" i="125"/>
  <c r="AA118" i="119"/>
  <c r="Z132" i="125"/>
  <c r="Y131" i="125"/>
  <c r="Z163" i="116"/>
  <c r="AA163" i="116"/>
  <c r="Y143" i="125"/>
  <c r="X176" i="116"/>
  <c r="Y167" i="116"/>
  <c r="AA168" i="116"/>
  <c r="Z175" i="116"/>
  <c r="Z171" i="116"/>
  <c r="Z166" i="116"/>
  <c r="Y178" i="116"/>
  <c r="Y169" i="116"/>
  <c r="Y127" i="119"/>
  <c r="Y150" i="125"/>
  <c r="Y146" i="125"/>
  <c r="Y142" i="125"/>
  <c r="Y138" i="125"/>
  <c r="X147" i="125"/>
  <c r="Y139" i="125"/>
  <c r="Z164" i="116"/>
  <c r="Z120" i="119"/>
  <c r="Y122" i="119"/>
  <c r="X151" i="125"/>
  <c r="Y123" i="119"/>
  <c r="Z131" i="125"/>
  <c r="Y152" i="125"/>
  <c r="Y148" i="125"/>
  <c r="Y144" i="125"/>
  <c r="Y140" i="125"/>
  <c r="AA176" i="116"/>
  <c r="AA172" i="116"/>
  <c r="Y177" i="116"/>
  <c r="Y173" i="116"/>
  <c r="Y168" i="116"/>
  <c r="Z124" i="119"/>
  <c r="Y119" i="119"/>
  <c r="Y126" i="119"/>
  <c r="Y153" i="125"/>
  <c r="Y149" i="125"/>
  <c r="Y145" i="125"/>
  <c r="Y141" i="125"/>
  <c r="Y137" i="125"/>
  <c r="Y129" i="125"/>
  <c r="X129" i="125"/>
  <c r="L162" i="116"/>
  <c r="AA162" i="116" s="1"/>
  <c r="Y174" i="116"/>
  <c r="X115" i="119"/>
  <c r="Y125" i="119"/>
  <c r="Y121" i="119"/>
  <c r="Z118" i="119"/>
  <c r="X153" i="125"/>
  <c r="X149" i="125"/>
  <c r="X145" i="125"/>
  <c r="X141" i="125"/>
  <c r="X137" i="125"/>
  <c r="L119" i="119"/>
  <c r="AA119" i="119" s="1"/>
  <c r="X117" i="119"/>
  <c r="X178" i="116"/>
  <c r="X169" i="116"/>
  <c r="X175" i="116"/>
  <c r="X171" i="116"/>
  <c r="X166" i="116"/>
  <c r="X124" i="119"/>
  <c r="AA135" i="125"/>
  <c r="X150" i="125"/>
  <c r="X146" i="125"/>
  <c r="X142" i="125"/>
  <c r="X138" i="125"/>
  <c r="X177" i="116"/>
  <c r="X173" i="116"/>
  <c r="X168" i="116"/>
  <c r="X152" i="125"/>
  <c r="X148" i="125"/>
  <c r="X144" i="125"/>
  <c r="X140" i="125"/>
  <c r="X131" i="125"/>
  <c r="L134" i="125"/>
  <c r="AA134" i="125" s="1"/>
  <c r="L164" i="116"/>
  <c r="AA164" i="116" s="1"/>
  <c r="Z136" i="125"/>
  <c r="L120" i="119"/>
  <c r="N120" i="119" s="1"/>
  <c r="AA120" i="119" s="1"/>
  <c r="Z133" i="125"/>
  <c r="X114" i="119"/>
  <c r="Y120" i="119"/>
  <c r="L165" i="116"/>
  <c r="N165" i="116" s="1"/>
  <c r="AA165" i="116" s="1"/>
  <c r="Z165" i="116"/>
  <c r="X132" i="125"/>
  <c r="Y132" i="125"/>
  <c r="Z119" i="119"/>
  <c r="Y136" i="125"/>
  <c r="Y164" i="116"/>
  <c r="X113" i="119"/>
  <c r="Y135" i="125"/>
  <c r="Y134" i="125"/>
  <c r="Y118" i="119"/>
  <c r="Y163" i="116"/>
  <c r="Y162" i="116"/>
  <c r="AC149" i="125" l="1"/>
  <c r="AF149" i="125"/>
  <c r="AC140" i="125"/>
  <c r="AF140" i="125"/>
  <c r="N156" i="125"/>
  <c r="AA156" i="125" s="1"/>
  <c r="AC117" i="119"/>
  <c r="AE117" i="119"/>
  <c r="N154" i="125"/>
  <c r="AA154" i="125" s="1"/>
  <c r="N182" i="116"/>
  <c r="AA182" i="116" s="1"/>
  <c r="K116" i="119"/>
  <c r="M116" i="119" s="1"/>
  <c r="M117" i="119"/>
  <c r="L117" i="119"/>
  <c r="N117" i="119" s="1"/>
  <c r="AA117" i="119" s="1"/>
  <c r="K215" i="117"/>
  <c r="Y116" i="119" l="1"/>
  <c r="Z116" i="119"/>
  <c r="Z117" i="119"/>
  <c r="Y117" i="119"/>
  <c r="K146" i="118"/>
  <c r="M146" i="118" s="1"/>
  <c r="K145" i="118"/>
  <c r="F146" i="118"/>
  <c r="L146" i="118" s="1"/>
  <c r="N146" i="118" s="1"/>
  <c r="F145" i="118"/>
  <c r="V144" i="118"/>
  <c r="V145" i="118"/>
  <c r="V146" i="118"/>
  <c r="V147" i="118"/>
  <c r="V148" i="118"/>
  <c r="V149" i="118"/>
  <c r="U144" i="118"/>
  <c r="U145" i="118"/>
  <c r="X145" i="118" s="1"/>
  <c r="U146" i="118"/>
  <c r="X146" i="118" s="1"/>
  <c r="U147" i="118"/>
  <c r="X147" i="118" s="1"/>
  <c r="U148" i="118"/>
  <c r="X148" i="118" s="1"/>
  <c r="U149" i="118"/>
  <c r="X149" i="118" s="1"/>
  <c r="AA150" i="118"/>
  <c r="AA151" i="118"/>
  <c r="M145" i="118"/>
  <c r="M147" i="118"/>
  <c r="M148" i="118"/>
  <c r="M149" i="118"/>
  <c r="M150" i="118"/>
  <c r="M151" i="118"/>
  <c r="L145" i="118" l="1"/>
  <c r="N145" i="118"/>
  <c r="AA145" i="118" s="1"/>
  <c r="Z151" i="118"/>
  <c r="Y151" i="118"/>
  <c r="Z150" i="118"/>
  <c r="Y150" i="118"/>
  <c r="AA147" i="118"/>
  <c r="Z149" i="118"/>
  <c r="Y147" i="118"/>
  <c r="AA148" i="118"/>
  <c r="Z148" i="118"/>
  <c r="Z146" i="118"/>
  <c r="Z145" i="118"/>
  <c r="AA149" i="118"/>
  <c r="Y149" i="118"/>
  <c r="AA146" i="118"/>
  <c r="Y148" i="118"/>
  <c r="Z147" i="118"/>
  <c r="X144" i="118"/>
  <c r="Y146" i="118"/>
  <c r="Y145" i="118"/>
  <c r="AC210" i="117" l="1"/>
  <c r="AC211" i="117"/>
  <c r="AC212" i="117"/>
  <c r="AC213" i="117"/>
  <c r="AC214" i="117"/>
  <c r="AC215" i="117"/>
  <c r="AC216" i="117"/>
  <c r="AC217" i="117"/>
  <c r="AC218" i="117"/>
  <c r="AC219" i="117"/>
  <c r="AC220" i="117"/>
  <c r="AC221" i="117"/>
  <c r="AC222" i="117"/>
  <c r="AC223" i="117"/>
  <c r="AC224" i="117"/>
  <c r="AC225" i="117"/>
  <c r="W210" i="117"/>
  <c r="W211" i="117"/>
  <c r="W212" i="117"/>
  <c r="W213" i="117"/>
  <c r="W214" i="117"/>
  <c r="W215" i="117"/>
  <c r="W216" i="117"/>
  <c r="W217" i="117"/>
  <c r="W218" i="117"/>
  <c r="W219" i="117"/>
  <c r="W220" i="117"/>
  <c r="W221" i="117"/>
  <c r="W222" i="117"/>
  <c r="W223" i="117"/>
  <c r="W224" i="117"/>
  <c r="W225" i="117"/>
  <c r="W226" i="117"/>
  <c r="W227" i="117"/>
  <c r="W228" i="117"/>
  <c r="W229" i="117"/>
  <c r="V210" i="117"/>
  <c r="V211" i="117"/>
  <c r="V212" i="117"/>
  <c r="V213" i="117"/>
  <c r="V214" i="117"/>
  <c r="V215" i="117"/>
  <c r="V216" i="117"/>
  <c r="V217" i="117"/>
  <c r="V218" i="117"/>
  <c r="V219" i="117"/>
  <c r="V220" i="117"/>
  <c r="V221" i="117"/>
  <c r="V222" i="117"/>
  <c r="V223" i="117"/>
  <c r="V224" i="117"/>
  <c r="V225" i="117"/>
  <c r="V226" i="117"/>
  <c r="V227" i="117"/>
  <c r="V228" i="117"/>
  <c r="V229" i="117"/>
  <c r="U210" i="117"/>
  <c r="X210" i="117" s="1"/>
  <c r="U211" i="117"/>
  <c r="X211" i="117" s="1"/>
  <c r="U212" i="117"/>
  <c r="X212" i="117" s="1"/>
  <c r="U213" i="117"/>
  <c r="X213" i="117" s="1"/>
  <c r="U214" i="117"/>
  <c r="X214" i="117" s="1"/>
  <c r="U215" i="117"/>
  <c r="X215" i="117" s="1"/>
  <c r="U216" i="117"/>
  <c r="X216" i="117" s="1"/>
  <c r="U217" i="117"/>
  <c r="X217" i="117" s="1"/>
  <c r="U218" i="117"/>
  <c r="X218" i="117" s="1"/>
  <c r="U219" i="117"/>
  <c r="U220" i="117"/>
  <c r="X220" i="117" s="1"/>
  <c r="U221" i="117"/>
  <c r="X221" i="117" s="1"/>
  <c r="U222" i="117"/>
  <c r="X222" i="117" s="1"/>
  <c r="U223" i="117"/>
  <c r="U224" i="117"/>
  <c r="X224" i="117" s="1"/>
  <c r="AF224" i="117" s="1"/>
  <c r="U225" i="117"/>
  <c r="X225" i="117" s="1"/>
  <c r="U226" i="117"/>
  <c r="X226" i="117" s="1"/>
  <c r="U227" i="117"/>
  <c r="U228" i="117"/>
  <c r="X228" i="117" s="1"/>
  <c r="U229" i="117"/>
  <c r="M215" i="117"/>
  <c r="M216" i="117"/>
  <c r="M217" i="117"/>
  <c r="M218" i="117"/>
  <c r="M219" i="117"/>
  <c r="M220" i="117"/>
  <c r="M221" i="117"/>
  <c r="M222" i="117"/>
  <c r="M223" i="117"/>
  <c r="M224" i="117"/>
  <c r="M225" i="117"/>
  <c r="M226" i="117"/>
  <c r="M227" i="117"/>
  <c r="M228" i="117"/>
  <c r="M229" i="117"/>
  <c r="F211" i="117"/>
  <c r="N211" i="117" s="1"/>
  <c r="F212" i="117"/>
  <c r="N212" i="117" s="1"/>
  <c r="F213" i="117"/>
  <c r="N213" i="117" s="1"/>
  <c r="F214" i="117"/>
  <c r="N214" i="117" s="1"/>
  <c r="F215" i="117"/>
  <c r="N215" i="117" s="1"/>
  <c r="F216" i="117"/>
  <c r="N216" i="117" s="1"/>
  <c r="F217" i="117"/>
  <c r="N217" i="117" s="1"/>
  <c r="F218" i="117"/>
  <c r="N218" i="117" s="1"/>
  <c r="F219" i="117"/>
  <c r="F220" i="117"/>
  <c r="F221" i="117"/>
  <c r="F222" i="117"/>
  <c r="F223" i="117"/>
  <c r="N223" i="117" s="1"/>
  <c r="F224" i="117"/>
  <c r="F225" i="117"/>
  <c r="N225" i="117" s="1"/>
  <c r="F226" i="117"/>
  <c r="N226" i="117" s="1"/>
  <c r="F227" i="117"/>
  <c r="N227" i="117" s="1"/>
  <c r="F228" i="117"/>
  <c r="N228" i="117" s="1"/>
  <c r="F229" i="117"/>
  <c r="F230" i="117"/>
  <c r="L230" i="117" s="1"/>
  <c r="N230" i="117" s="1"/>
  <c r="AA230" i="117" s="1"/>
  <c r="J8" i="19"/>
  <c r="K157" i="121"/>
  <c r="M157" i="121" s="1"/>
  <c r="AC87" i="3" l="1"/>
  <c r="AA226" i="117"/>
  <c r="L226" i="117"/>
  <c r="N224" i="117"/>
  <c r="AA224" i="117" s="1"/>
  <c r="L224" i="117"/>
  <c r="N222" i="117"/>
  <c r="AA222" i="117" s="1"/>
  <c r="L222" i="117"/>
  <c r="N220" i="117"/>
  <c r="AA220" i="117" s="1"/>
  <c r="L220" i="117"/>
  <c r="N229" i="117"/>
  <c r="AA229" i="117" s="1"/>
  <c r="L229" i="117"/>
  <c r="L227" i="117"/>
  <c r="AA225" i="117"/>
  <c r="L225" i="117"/>
  <c r="AA223" i="117"/>
  <c r="L223" i="117"/>
  <c r="N221" i="117"/>
  <c r="AA221" i="117" s="1"/>
  <c r="L221" i="117"/>
  <c r="N219" i="117"/>
  <c r="AA219" i="117" s="1"/>
  <c r="L219" i="117"/>
  <c r="Y157" i="121"/>
  <c r="Z157" i="121"/>
  <c r="Z227" i="117"/>
  <c r="Z220" i="117"/>
  <c r="Z215" i="117"/>
  <c r="Z222" i="117"/>
  <c r="Z228" i="117"/>
  <c r="Z212" i="117"/>
  <c r="AA227" i="117"/>
  <c r="Z223" i="117"/>
  <c r="X229" i="117"/>
  <c r="Z229" i="117"/>
  <c r="Z226" i="117"/>
  <c r="Z224" i="117"/>
  <c r="Z225" i="117"/>
  <c r="Z216" i="117"/>
  <c r="Z221" i="117"/>
  <c r="Z219" i="117"/>
  <c r="L228" i="117"/>
  <c r="AA228" i="117" s="1"/>
  <c r="Y227" i="117"/>
  <c r="Y223" i="117"/>
  <c r="Y219" i="117"/>
  <c r="X223" i="117"/>
  <c r="Y229" i="117"/>
  <c r="X227" i="117"/>
  <c r="X219" i="117"/>
  <c r="Y221" i="117"/>
  <c r="Y225" i="117"/>
  <c r="AA214" i="117"/>
  <c r="L214" i="117"/>
  <c r="L217" i="117"/>
  <c r="AA217" i="117" s="1"/>
  <c r="L213" i="117"/>
  <c r="AA213" i="117" s="1"/>
  <c r="Z218" i="117"/>
  <c r="Z214" i="117"/>
  <c r="Y228" i="117"/>
  <c r="Y224" i="117"/>
  <c r="Y220" i="117"/>
  <c r="AA215" i="117"/>
  <c r="L215" i="117"/>
  <c r="Y226" i="117"/>
  <c r="Y222" i="117"/>
  <c r="L218" i="117"/>
  <c r="AA218" i="117" s="1"/>
  <c r="L216" i="117"/>
  <c r="AA216" i="117" s="1"/>
  <c r="L212" i="117"/>
  <c r="AA212" i="117" s="1"/>
  <c r="Z217" i="117"/>
  <c r="Z213" i="117"/>
  <c r="Y218" i="117"/>
  <c r="Y217" i="117"/>
  <c r="Y216" i="117"/>
  <c r="Y215" i="117"/>
  <c r="Y214" i="117"/>
  <c r="Y213" i="117"/>
  <c r="Y212" i="117"/>
  <c r="L133" i="125"/>
  <c r="AA133" i="125" s="1"/>
  <c r="K115" i="123"/>
  <c r="K115" i="119"/>
  <c r="K179" i="124"/>
  <c r="Z252" i="124"/>
  <c r="W175" i="124"/>
  <c r="W176" i="124"/>
  <c r="W177" i="124"/>
  <c r="W178" i="124"/>
  <c r="W179" i="124"/>
  <c r="W180" i="124"/>
  <c r="W181" i="124"/>
  <c r="W182" i="124"/>
  <c r="V175" i="124"/>
  <c r="V176" i="124"/>
  <c r="V177" i="124"/>
  <c r="V178" i="124"/>
  <c r="V179" i="124"/>
  <c r="V180" i="124"/>
  <c r="V181" i="124"/>
  <c r="U175" i="124"/>
  <c r="U176" i="124"/>
  <c r="U177" i="124"/>
  <c r="U178" i="124"/>
  <c r="U179" i="124"/>
  <c r="X179" i="124" s="1"/>
  <c r="U180" i="124"/>
  <c r="X180" i="124" s="1"/>
  <c r="U181" i="124"/>
  <c r="X181" i="124" s="1"/>
  <c r="M179" i="124"/>
  <c r="M180" i="124"/>
  <c r="M181" i="124"/>
  <c r="M182" i="124"/>
  <c r="M183" i="124"/>
  <c r="M184" i="124"/>
  <c r="M185" i="124"/>
  <c r="M186" i="124"/>
  <c r="F179" i="124"/>
  <c r="F180" i="124"/>
  <c r="L180" i="124" s="1"/>
  <c r="F181" i="124"/>
  <c r="F182" i="124"/>
  <c r="N182" i="124" s="1"/>
  <c r="F183" i="124"/>
  <c r="N183" i="124" s="1"/>
  <c r="F184" i="124"/>
  <c r="N184" i="124" s="1"/>
  <c r="F185" i="124"/>
  <c r="N185" i="124" s="1"/>
  <c r="F186" i="124"/>
  <c r="N186" i="124" s="1"/>
  <c r="F187" i="124"/>
  <c r="K126" i="120"/>
  <c r="K114" i="123"/>
  <c r="K120" i="122"/>
  <c r="L181" i="124" l="1"/>
  <c r="N181" i="124"/>
  <c r="AA186" i="124"/>
  <c r="L186" i="124"/>
  <c r="AA184" i="124"/>
  <c r="L184" i="124"/>
  <c r="N187" i="124"/>
  <c r="AA187" i="124" s="1"/>
  <c r="L187" i="124"/>
  <c r="AA185" i="124"/>
  <c r="L185" i="124"/>
  <c r="Z186" i="124"/>
  <c r="Y186" i="124"/>
  <c r="Y185" i="124"/>
  <c r="Z185" i="124"/>
  <c r="Y184" i="124"/>
  <c r="Z184" i="124"/>
  <c r="Y183" i="124"/>
  <c r="Z183" i="124"/>
  <c r="AA183" i="124"/>
  <c r="L183" i="124"/>
  <c r="AA182" i="124"/>
  <c r="L182" i="124"/>
  <c r="N180" i="124"/>
  <c r="AA180" i="124" s="1"/>
  <c r="AA181" i="124"/>
  <c r="L179" i="124"/>
  <c r="N179" i="124" s="1"/>
  <c r="AA179" i="124" s="1"/>
  <c r="Z181" i="124"/>
  <c r="Z182" i="124"/>
  <c r="Z180" i="124"/>
  <c r="Y179" i="124"/>
  <c r="X182" i="124"/>
  <c r="Y182" i="124"/>
  <c r="X178" i="124"/>
  <c r="X175" i="124"/>
  <c r="AE175" i="124" s="1"/>
  <c r="X176" i="124"/>
  <c r="Y181" i="124"/>
  <c r="X177" i="124"/>
  <c r="Y180" i="124"/>
  <c r="Z179" i="124"/>
  <c r="M168" i="124" l="1"/>
  <c r="K153" i="121" l="1"/>
  <c r="K158" i="116"/>
  <c r="K159" i="116"/>
  <c r="K211" i="117"/>
  <c r="M211" i="117" s="1"/>
  <c r="K119" i="122"/>
  <c r="K152" i="121"/>
  <c r="K151" i="121"/>
  <c r="AF117" i="122"/>
  <c r="AF118" i="122"/>
  <c r="AF119" i="122"/>
  <c r="AF120" i="122"/>
  <c r="AF121" i="122"/>
  <c r="AE117" i="122"/>
  <c r="AE118" i="122"/>
  <c r="AE119" i="122"/>
  <c r="AE120" i="122"/>
  <c r="AE121" i="122"/>
  <c r="W115" i="122"/>
  <c r="W116" i="122"/>
  <c r="W117" i="122"/>
  <c r="W118" i="122"/>
  <c r="W119" i="122"/>
  <c r="W120" i="122"/>
  <c r="W121" i="122"/>
  <c r="W122" i="122"/>
  <c r="W123" i="122"/>
  <c r="W124" i="122"/>
  <c r="W125" i="122"/>
  <c r="W126" i="122"/>
  <c r="W127" i="122"/>
  <c r="W128" i="122"/>
  <c r="W129" i="122"/>
  <c r="V115" i="122"/>
  <c r="V116" i="122"/>
  <c r="V117" i="122"/>
  <c r="V118" i="122"/>
  <c r="V119" i="122"/>
  <c r="V120" i="122"/>
  <c r="V121" i="122"/>
  <c r="V122" i="122"/>
  <c r="V123" i="122"/>
  <c r="V124" i="122"/>
  <c r="V125" i="122"/>
  <c r="V126" i="122"/>
  <c r="V127" i="122"/>
  <c r="V128" i="122"/>
  <c r="V129" i="122"/>
  <c r="U115" i="122"/>
  <c r="X115" i="122" s="1"/>
  <c r="U116" i="122"/>
  <c r="X116" i="122" s="1"/>
  <c r="U117" i="122"/>
  <c r="X117" i="122" s="1"/>
  <c r="U118" i="122"/>
  <c r="X118" i="122" s="1"/>
  <c r="U119" i="122"/>
  <c r="X119" i="122" s="1"/>
  <c r="U120" i="122"/>
  <c r="U121" i="122"/>
  <c r="U122" i="122"/>
  <c r="U123" i="122"/>
  <c r="U124" i="122"/>
  <c r="U125" i="122"/>
  <c r="U126" i="122"/>
  <c r="X126" i="122" s="1"/>
  <c r="U127" i="122"/>
  <c r="X127" i="122" s="1"/>
  <c r="U128" i="122"/>
  <c r="U129" i="122"/>
  <c r="M117" i="122"/>
  <c r="M118" i="122"/>
  <c r="M119" i="122"/>
  <c r="M120" i="122"/>
  <c r="M121" i="122"/>
  <c r="M122" i="122"/>
  <c r="M123" i="122"/>
  <c r="M124" i="122"/>
  <c r="M125" i="122"/>
  <c r="M126" i="122"/>
  <c r="M127" i="122"/>
  <c r="M128" i="122"/>
  <c r="M129" i="122"/>
  <c r="F117" i="122"/>
  <c r="F118" i="122"/>
  <c r="N118" i="122" s="1"/>
  <c r="F119" i="122"/>
  <c r="N119" i="122" s="1"/>
  <c r="F120" i="122"/>
  <c r="N120" i="122" s="1"/>
  <c r="F121" i="122"/>
  <c r="N121" i="122" s="1"/>
  <c r="F122" i="122"/>
  <c r="N122" i="122" s="1"/>
  <c r="F123" i="122"/>
  <c r="F124" i="122"/>
  <c r="F125" i="122"/>
  <c r="F126" i="122"/>
  <c r="F127" i="122"/>
  <c r="F128" i="122"/>
  <c r="F129" i="122"/>
  <c r="F130" i="122"/>
  <c r="L130" i="122" s="1"/>
  <c r="N130" i="122" s="1"/>
  <c r="AA130" i="122" s="1"/>
  <c r="K113" i="123"/>
  <c r="M113" i="123" s="1"/>
  <c r="V111" i="123"/>
  <c r="V112" i="123"/>
  <c r="V113" i="123"/>
  <c r="V114" i="123"/>
  <c r="V115" i="123"/>
  <c r="V116" i="123"/>
  <c r="V117" i="123"/>
  <c r="V118" i="123"/>
  <c r="U111" i="123"/>
  <c r="U112" i="123"/>
  <c r="X112" i="123" s="1"/>
  <c r="U113" i="123"/>
  <c r="X113" i="123" s="1"/>
  <c r="U114" i="123"/>
  <c r="U115" i="123"/>
  <c r="U116" i="123"/>
  <c r="U117" i="123"/>
  <c r="U118" i="123"/>
  <c r="M112" i="123"/>
  <c r="M114" i="123"/>
  <c r="M115" i="123"/>
  <c r="M116" i="123"/>
  <c r="M117" i="123"/>
  <c r="M118" i="123"/>
  <c r="M119" i="123"/>
  <c r="F112" i="123"/>
  <c r="N112" i="123" s="1"/>
  <c r="F113" i="123"/>
  <c r="F114" i="123"/>
  <c r="N114" i="123" s="1"/>
  <c r="F115" i="123"/>
  <c r="F116" i="123"/>
  <c r="N116" i="123" s="1"/>
  <c r="F117" i="123"/>
  <c r="N117" i="123" s="1"/>
  <c r="F118" i="123"/>
  <c r="F119" i="123"/>
  <c r="F120" i="123"/>
  <c r="N120" i="123" s="1"/>
  <c r="F121" i="123"/>
  <c r="L121" i="123" s="1"/>
  <c r="N121" i="123" s="1"/>
  <c r="AA121" i="123" s="1"/>
  <c r="L113" i="123" l="1"/>
  <c r="N113" i="123"/>
  <c r="L117" i="122"/>
  <c r="N117" i="122"/>
  <c r="AA117" i="122" s="1"/>
  <c r="N126" i="122"/>
  <c r="AA126" i="122" s="1"/>
  <c r="L126" i="122"/>
  <c r="N125" i="122"/>
  <c r="AA125" i="122" s="1"/>
  <c r="L125" i="122"/>
  <c r="AA121" i="122"/>
  <c r="L121" i="122"/>
  <c r="N119" i="123"/>
  <c r="AA119" i="123" s="1"/>
  <c r="L119" i="123"/>
  <c r="L122" i="122"/>
  <c r="N118" i="123"/>
  <c r="L118" i="123"/>
  <c r="N129" i="122"/>
  <c r="AA129" i="122" s="1"/>
  <c r="L129" i="122"/>
  <c r="N124" i="122"/>
  <c r="L124" i="122"/>
  <c r="AA120" i="123"/>
  <c r="L120" i="123"/>
  <c r="N123" i="122"/>
  <c r="AA123" i="122" s="1"/>
  <c r="L123" i="122"/>
  <c r="AA122" i="122"/>
  <c r="Z119" i="123"/>
  <c r="Y119" i="123"/>
  <c r="AA118" i="123"/>
  <c r="Z118" i="123"/>
  <c r="Y118" i="123"/>
  <c r="X118" i="123"/>
  <c r="Z116" i="123"/>
  <c r="Y116" i="123"/>
  <c r="X116" i="123"/>
  <c r="Z117" i="123"/>
  <c r="Y117" i="123"/>
  <c r="X117" i="123"/>
  <c r="Y115" i="123"/>
  <c r="X115" i="123"/>
  <c r="Z129" i="122"/>
  <c r="Y129" i="122"/>
  <c r="Z128" i="122"/>
  <c r="L128" i="122"/>
  <c r="L127" i="122"/>
  <c r="Z124" i="122"/>
  <c r="AA124" i="122"/>
  <c r="Z125" i="122"/>
  <c r="Z121" i="122"/>
  <c r="AA116" i="123"/>
  <c r="L116" i="123"/>
  <c r="AA120" i="122"/>
  <c r="L120" i="122"/>
  <c r="Z123" i="122"/>
  <c r="AA117" i="123"/>
  <c r="L117" i="123"/>
  <c r="Y128" i="122"/>
  <c r="Y124" i="122"/>
  <c r="L114" i="123"/>
  <c r="AA114" i="123" s="1"/>
  <c r="Y125" i="122"/>
  <c r="L115" i="123"/>
  <c r="N115" i="123" s="1"/>
  <c r="AA115" i="123" s="1"/>
  <c r="Z211" i="117"/>
  <c r="Y211" i="117"/>
  <c r="Z122" i="122"/>
  <c r="Z120" i="122"/>
  <c r="Z113" i="123"/>
  <c r="Y112" i="123"/>
  <c r="Y121" i="122"/>
  <c r="Y117" i="122"/>
  <c r="Z114" i="123"/>
  <c r="Y120" i="122"/>
  <c r="Y114" i="123"/>
  <c r="X122" i="122"/>
  <c r="Y126" i="122"/>
  <c r="Z126" i="122"/>
  <c r="X123" i="122"/>
  <c r="Y127" i="122"/>
  <c r="Z127" i="122"/>
  <c r="X114" i="123"/>
  <c r="Y119" i="122"/>
  <c r="X128" i="122"/>
  <c r="X124" i="122"/>
  <c r="X120" i="122"/>
  <c r="Y122" i="122"/>
  <c r="L119" i="122"/>
  <c r="AA119" i="122" s="1"/>
  <c r="Z115" i="123"/>
  <c r="Z118" i="122"/>
  <c r="Y123" i="122"/>
  <c r="AA113" i="123"/>
  <c r="L112" i="123"/>
  <c r="AA112" i="123" s="1"/>
  <c r="X129" i="122"/>
  <c r="X125" i="122"/>
  <c r="X121" i="122"/>
  <c r="L118" i="122"/>
  <c r="AA118" i="122" s="1"/>
  <c r="X111" i="123"/>
  <c r="Z119" i="122"/>
  <c r="Y118" i="122"/>
  <c r="Z117" i="122"/>
  <c r="Y113" i="123"/>
  <c r="Z112" i="123"/>
  <c r="N127" i="122" l="1"/>
  <c r="AA127" i="122" s="1"/>
  <c r="N128" i="122"/>
  <c r="AA128" i="122" s="1"/>
  <c r="K149" i="121"/>
  <c r="K148" i="121"/>
  <c r="K147" i="121"/>
  <c r="K125" i="120" l="1"/>
  <c r="K176" i="124" l="1"/>
  <c r="K177" i="124"/>
  <c r="K178" i="124"/>
  <c r="M178" i="124" s="1"/>
  <c r="K116" i="122"/>
  <c r="M116" i="122" s="1"/>
  <c r="K210" i="117"/>
  <c r="K156" i="116"/>
  <c r="K124" i="120"/>
  <c r="K111" i="123"/>
  <c r="K143" i="118"/>
  <c r="K173" i="124"/>
  <c r="K172" i="124"/>
  <c r="M172" i="124" s="1"/>
  <c r="K113" i="119"/>
  <c r="Y45" i="13"/>
  <c r="Z45" i="13" s="1"/>
  <c r="Y44" i="13"/>
  <c r="Z44" i="13" s="1"/>
  <c r="Y43" i="13"/>
  <c r="Z43" i="13" s="1"/>
  <c r="Y42" i="13"/>
  <c r="Z42" i="13" s="1"/>
  <c r="Y41" i="13"/>
  <c r="Z41" i="13" s="1"/>
  <c r="Y40" i="13"/>
  <c r="Z40" i="13" s="1"/>
  <c r="Y39" i="13"/>
  <c r="Z39" i="13" s="1"/>
  <c r="Y38" i="13"/>
  <c r="Z38" i="13" s="1"/>
  <c r="Y37" i="13"/>
  <c r="Z37" i="13" s="1"/>
  <c r="Y36" i="13"/>
  <c r="Z36" i="13" s="1"/>
  <c r="Y35" i="13"/>
  <c r="Z35" i="13" s="1"/>
  <c r="Y34" i="13"/>
  <c r="Z34" i="13" s="1"/>
  <c r="Y33" i="13"/>
  <c r="Z33" i="13" s="1"/>
  <c r="Y32" i="13"/>
  <c r="Z32" i="13" s="1"/>
  <c r="Y31" i="13"/>
  <c r="Z31" i="13" s="1"/>
  <c r="Y30" i="13"/>
  <c r="Z30" i="13" s="1"/>
  <c r="Y29" i="13"/>
  <c r="Z29" i="13" s="1"/>
  <c r="Y28" i="13"/>
  <c r="Z28" i="13" s="1"/>
  <c r="Y27" i="13"/>
  <c r="Z27" i="13" s="1"/>
  <c r="Y26" i="13"/>
  <c r="Z26" i="13" s="1"/>
  <c r="Y25" i="13"/>
  <c r="Z25" i="13" s="1"/>
  <c r="Y24" i="13"/>
  <c r="Z24" i="13" s="1"/>
  <c r="Y23" i="13"/>
  <c r="Z23" i="13" s="1"/>
  <c r="Y22" i="13"/>
  <c r="Z22" i="13" s="1"/>
  <c r="Y21" i="13"/>
  <c r="Z21" i="13" s="1"/>
  <c r="Y20" i="13"/>
  <c r="Z20" i="13" s="1"/>
  <c r="Y19" i="13"/>
  <c r="Z19" i="13" s="1"/>
  <c r="Y18" i="13"/>
  <c r="Z18" i="13" s="1"/>
  <c r="Y17" i="13"/>
  <c r="Z17" i="13" s="1"/>
  <c r="Y16" i="13"/>
  <c r="Z16" i="13" s="1"/>
  <c r="Y15" i="13"/>
  <c r="Z15" i="13" s="1"/>
  <c r="Y14" i="13"/>
  <c r="Z14" i="13" s="1"/>
  <c r="Y13" i="13"/>
  <c r="Z13" i="13" s="1"/>
  <c r="Y12" i="13"/>
  <c r="Z12" i="13" s="1"/>
  <c r="Z178" i="124" l="1"/>
  <c r="Y178" i="124"/>
  <c r="Z116" i="122"/>
  <c r="Y116" i="122"/>
  <c r="K144" i="121" l="1"/>
  <c r="K143" i="121"/>
  <c r="K141" i="121"/>
  <c r="K142" i="121"/>
  <c r="M203" i="117"/>
  <c r="M204" i="117"/>
  <c r="F100" i="123" l="1"/>
  <c r="N100" i="123" s="1"/>
  <c r="F101" i="123"/>
  <c r="F102" i="123"/>
  <c r="N102" i="123" s="1"/>
  <c r="F103" i="123"/>
  <c r="F104" i="123"/>
  <c r="L104" i="123" s="1"/>
  <c r="F105" i="123"/>
  <c r="F106" i="123"/>
  <c r="K115" i="122"/>
  <c r="M115" i="122" s="1"/>
  <c r="Z115" i="122" s="1"/>
  <c r="L105" i="123" l="1"/>
  <c r="N105" i="123"/>
  <c r="L106" i="123"/>
  <c r="N106" i="123"/>
  <c r="AE149" i="116"/>
  <c r="AE150" i="116"/>
  <c r="AE151" i="116"/>
  <c r="AE152" i="116"/>
  <c r="AE153" i="116"/>
  <c r="AE154" i="116"/>
  <c r="AE155" i="116"/>
  <c r="AE156" i="116"/>
  <c r="AE157" i="116"/>
  <c r="AE158" i="116"/>
  <c r="AE159" i="116"/>
  <c r="AE160" i="116"/>
  <c r="AE161" i="116"/>
  <c r="AD149" i="116"/>
  <c r="AD150" i="116"/>
  <c r="AD151" i="116"/>
  <c r="AD153" i="116"/>
  <c r="AD154" i="116"/>
  <c r="AD155" i="116"/>
  <c r="AD156" i="116"/>
  <c r="AD157" i="116"/>
  <c r="AD158" i="116"/>
  <c r="AC150" i="116"/>
  <c r="AC151" i="116"/>
  <c r="AC153" i="116"/>
  <c r="AC236" i="116"/>
  <c r="AA235" i="116"/>
  <c r="V149" i="116"/>
  <c r="V150" i="116"/>
  <c r="V151" i="116"/>
  <c r="V152" i="116"/>
  <c r="V153" i="116"/>
  <c r="V154" i="116"/>
  <c r="V155" i="116"/>
  <c r="V156" i="116"/>
  <c r="V158" i="116"/>
  <c r="U149" i="116"/>
  <c r="X149" i="116" s="1"/>
  <c r="AC149" i="116" s="1"/>
  <c r="U150" i="116"/>
  <c r="X150" i="116" s="1"/>
  <c r="U151" i="116"/>
  <c r="X151" i="116" s="1"/>
  <c r="U152" i="116"/>
  <c r="X152" i="116" s="1"/>
  <c r="U153" i="116"/>
  <c r="X153" i="116" s="1"/>
  <c r="U154" i="116"/>
  <c r="U155" i="116"/>
  <c r="U156" i="116"/>
  <c r="X156" i="116" s="1"/>
  <c r="AC156" i="116" s="1"/>
  <c r="X157" i="116"/>
  <c r="AF157" i="116" s="1"/>
  <c r="U158" i="116"/>
  <c r="M152" i="116"/>
  <c r="M153" i="116"/>
  <c r="M154" i="116"/>
  <c r="M155" i="116"/>
  <c r="M156" i="116"/>
  <c r="M157" i="116"/>
  <c r="M158" i="116"/>
  <c r="M159" i="116"/>
  <c r="F153" i="116"/>
  <c r="F154" i="116"/>
  <c r="L154" i="116" s="1"/>
  <c r="N154" i="116" s="1"/>
  <c r="F155" i="116"/>
  <c r="F156" i="116"/>
  <c r="F157" i="116"/>
  <c r="F158" i="116"/>
  <c r="N158" i="116" s="1"/>
  <c r="F159" i="116"/>
  <c r="N159" i="116" s="1"/>
  <c r="F160" i="116"/>
  <c r="N160" i="116" s="1"/>
  <c r="AF102" i="123"/>
  <c r="AF103" i="123"/>
  <c r="AE102" i="123"/>
  <c r="AE103" i="123"/>
  <c r="AE104" i="123"/>
  <c r="AD102" i="123"/>
  <c r="AD103" i="123"/>
  <c r="AD104" i="123"/>
  <c r="AC102" i="123"/>
  <c r="AC103" i="123"/>
  <c r="V102" i="123"/>
  <c r="V103" i="123"/>
  <c r="V104" i="123"/>
  <c r="V105" i="123"/>
  <c r="V106" i="123"/>
  <c r="V107" i="123"/>
  <c r="V108" i="123"/>
  <c r="V109" i="123"/>
  <c r="V110" i="123"/>
  <c r="U102" i="123"/>
  <c r="X102" i="123" s="1"/>
  <c r="U103" i="123"/>
  <c r="X103" i="123" s="1"/>
  <c r="U104" i="123"/>
  <c r="X104" i="123" s="1"/>
  <c r="U105" i="123"/>
  <c r="U106" i="123"/>
  <c r="X106" i="123" s="1"/>
  <c r="U107" i="123"/>
  <c r="X107" i="123" s="1"/>
  <c r="U108" i="123"/>
  <c r="X108" i="123" s="1"/>
  <c r="U109" i="123"/>
  <c r="X109" i="123" s="1"/>
  <c r="U110" i="123"/>
  <c r="X110" i="123" s="1"/>
  <c r="M104" i="123"/>
  <c r="M105" i="123"/>
  <c r="M106" i="123"/>
  <c r="M107" i="123"/>
  <c r="M108" i="123"/>
  <c r="M109" i="123"/>
  <c r="M110" i="123"/>
  <c r="M111" i="123"/>
  <c r="N104" i="123"/>
  <c r="AA104" i="123" s="1"/>
  <c r="F107" i="123"/>
  <c r="F108" i="123"/>
  <c r="N108" i="123" s="1"/>
  <c r="F109" i="123"/>
  <c r="N109" i="123" s="1"/>
  <c r="F110" i="123"/>
  <c r="F111" i="123"/>
  <c r="M107" i="119"/>
  <c r="K109" i="119"/>
  <c r="M109" i="119" s="1"/>
  <c r="K107" i="119"/>
  <c r="K108" i="119"/>
  <c r="M108" i="119" s="1"/>
  <c r="B36" i="2"/>
  <c r="P25" i="2"/>
  <c r="P26" i="2" s="1"/>
  <c r="P27" i="2" s="1"/>
  <c r="O25" i="2"/>
  <c r="N25" i="2"/>
  <c r="N26" i="2" s="1"/>
  <c r="N27" i="2" s="1"/>
  <c r="M25" i="2"/>
  <c r="M26" i="2" s="1"/>
  <c r="M27" i="2" s="1"/>
  <c r="L25" i="2"/>
  <c r="L26" i="2" s="1"/>
  <c r="L27" i="2" s="1"/>
  <c r="K25" i="2"/>
  <c r="K26" i="2" s="1"/>
  <c r="J25" i="2"/>
  <c r="J26" i="2" s="1"/>
  <c r="J27" i="2" s="1"/>
  <c r="I25" i="2"/>
  <c r="I26" i="2" s="1"/>
  <c r="I27" i="2" s="1"/>
  <c r="H25" i="2"/>
  <c r="H26" i="2" s="1"/>
  <c r="H27" i="2" s="1"/>
  <c r="G25" i="2"/>
  <c r="G26" i="2" s="1"/>
  <c r="G27" i="2" s="1"/>
  <c r="F25" i="2"/>
  <c r="F26" i="2" s="1"/>
  <c r="F27" i="2" s="1"/>
  <c r="E25" i="2"/>
  <c r="E26" i="2" s="1"/>
  <c r="E27" i="2" s="1"/>
  <c r="D25" i="2"/>
  <c r="Q12" i="2"/>
  <c r="Q13" i="2" s="1"/>
  <c r="Q14" i="2" s="1"/>
  <c r="Q15" i="2" s="1"/>
  <c r="Q16" i="2" s="1"/>
  <c r="Q17" i="2" s="1"/>
  <c r="C6" i="2"/>
  <c r="C5" i="2"/>
  <c r="C4" i="2"/>
  <c r="E52" i="57"/>
  <c r="E53" i="57" s="1"/>
  <c r="E54" i="57" s="1"/>
  <c r="F52" i="57"/>
  <c r="G52" i="57"/>
  <c r="G53" i="57" s="1"/>
  <c r="G54" i="57" s="1"/>
  <c r="H52" i="57"/>
  <c r="H53" i="57" s="1"/>
  <c r="H54" i="57" s="1"/>
  <c r="I52" i="57"/>
  <c r="I53" i="57" s="1"/>
  <c r="I54" i="57" s="1"/>
  <c r="J52" i="57"/>
  <c r="J53" i="57" s="1"/>
  <c r="J54" i="57" s="1"/>
  <c r="AC104" i="123" l="1"/>
  <c r="AF104" i="123"/>
  <c r="AC152" i="116"/>
  <c r="AF152" i="116"/>
  <c r="K52" i="57"/>
  <c r="AA105" i="123"/>
  <c r="Q18" i="2"/>
  <c r="Q19" i="2" s="1"/>
  <c r="Q20" i="2" s="1"/>
  <c r="Q21" i="2" s="1"/>
  <c r="Q22" i="2" s="1"/>
  <c r="Q23" i="2" s="1"/>
  <c r="Q24" i="2" s="1"/>
  <c r="AD152" i="116"/>
  <c r="X105" i="123"/>
  <c r="Z105" i="123"/>
  <c r="O26" i="2"/>
  <c r="O27" i="2" s="1"/>
  <c r="Y105" i="123"/>
  <c r="Z110" i="123"/>
  <c r="Y109" i="123"/>
  <c r="L158" i="116"/>
  <c r="AA158" i="116" s="1"/>
  <c r="L159" i="116"/>
  <c r="AA159" i="116" s="1"/>
  <c r="L160" i="116"/>
  <c r="AA160" i="116" s="1"/>
  <c r="Z111" i="123"/>
  <c r="Y111" i="123"/>
  <c r="L161" i="116"/>
  <c r="AA161" i="116" s="1"/>
  <c r="N157" i="116"/>
  <c r="AA157" i="116" s="1"/>
  <c r="L157" i="116"/>
  <c r="Z158" i="116"/>
  <c r="Z159" i="116"/>
  <c r="Z156" i="116"/>
  <c r="Y159" i="116"/>
  <c r="Y158" i="116"/>
  <c r="Z108" i="123"/>
  <c r="Z107" i="123"/>
  <c r="Z104" i="123"/>
  <c r="Z152" i="116"/>
  <c r="Z153" i="116"/>
  <c r="Q25" i="2"/>
  <c r="L108" i="123"/>
  <c r="AA108" i="123" s="1"/>
  <c r="L111" i="123"/>
  <c r="N111" i="123" s="1"/>
  <c r="AA111" i="123" s="1"/>
  <c r="L107" i="123"/>
  <c r="N107" i="123" s="1"/>
  <c r="AA107" i="123" s="1"/>
  <c r="N156" i="116"/>
  <c r="AA156" i="116" s="1"/>
  <c r="L156" i="116"/>
  <c r="X159" i="116"/>
  <c r="L109" i="123"/>
  <c r="AA109" i="123" s="1"/>
  <c r="Y160" i="116"/>
  <c r="Y161" i="116"/>
  <c r="Y157" i="116"/>
  <c r="N155" i="116"/>
  <c r="AA155" i="116" s="1"/>
  <c r="L155" i="116"/>
  <c r="AA106" i="123"/>
  <c r="X158" i="116"/>
  <c r="L110" i="123"/>
  <c r="N110" i="123" s="1"/>
  <c r="AA110" i="123" s="1"/>
  <c r="Y156" i="116"/>
  <c r="Z155" i="116"/>
  <c r="Y110" i="123"/>
  <c r="Z109" i="123"/>
  <c r="Y108" i="123"/>
  <c r="Z154" i="116"/>
  <c r="AA154" i="116"/>
  <c r="Z106" i="123"/>
  <c r="X154" i="116"/>
  <c r="AC154" i="116" s="1"/>
  <c r="Y154" i="116"/>
  <c r="X155" i="116"/>
  <c r="AC155" i="116" s="1"/>
  <c r="Y155" i="116"/>
  <c r="Y107" i="123"/>
  <c r="Y106" i="123"/>
  <c r="Y104" i="123"/>
  <c r="Y153" i="116"/>
  <c r="Y152" i="116"/>
  <c r="F53" i="57"/>
  <c r="F54" i="57" s="1"/>
  <c r="E371" i="5"/>
  <c r="K27" i="2"/>
  <c r="S26" i="2"/>
  <c r="D26" i="2"/>
  <c r="D41" i="2"/>
  <c r="D27" i="2" l="1"/>
  <c r="Q27" i="2" s="1"/>
  <c r="Q26" i="2"/>
  <c r="M133" i="121" l="1"/>
  <c r="N95" i="119"/>
  <c r="N94" i="119"/>
  <c r="M143" i="116"/>
  <c r="M145" i="116"/>
  <c r="M146" i="116"/>
  <c r="M147" i="116"/>
  <c r="K138" i="121" l="1"/>
  <c r="M138" i="121" s="1"/>
  <c r="W136" i="121"/>
  <c r="W137" i="121"/>
  <c r="W138" i="121"/>
  <c r="W139" i="121"/>
  <c r="W140" i="121"/>
  <c r="W141" i="121"/>
  <c r="W142" i="121"/>
  <c r="W143" i="121"/>
  <c r="W144" i="121"/>
  <c r="W145" i="121"/>
  <c r="W146" i="121"/>
  <c r="W147" i="121"/>
  <c r="W148" i="121"/>
  <c r="W149" i="121"/>
  <c r="W150" i="121"/>
  <c r="W151" i="121"/>
  <c r="W152" i="121"/>
  <c r="W153" i="121"/>
  <c r="W154" i="121"/>
  <c r="W155" i="121"/>
  <c r="V137" i="121"/>
  <c r="V138" i="121"/>
  <c r="V139" i="121"/>
  <c r="V140" i="121"/>
  <c r="V141" i="121"/>
  <c r="V142" i="121"/>
  <c r="V143" i="121"/>
  <c r="V144" i="121"/>
  <c r="V145" i="121"/>
  <c r="V146" i="121"/>
  <c r="V147" i="121"/>
  <c r="V148" i="121"/>
  <c r="V149" i="121"/>
  <c r="V150" i="121"/>
  <c r="V151" i="121"/>
  <c r="V152" i="121"/>
  <c r="V153" i="121"/>
  <c r="V154" i="121"/>
  <c r="V155" i="121"/>
  <c r="U137" i="121"/>
  <c r="U138" i="121"/>
  <c r="X138" i="121" s="1"/>
  <c r="U139" i="121"/>
  <c r="X139" i="121" s="1"/>
  <c r="U140" i="121"/>
  <c r="X140" i="121" s="1"/>
  <c r="X141" i="121"/>
  <c r="U142" i="121"/>
  <c r="X142" i="121" s="1"/>
  <c r="U143" i="121"/>
  <c r="X143" i="121" s="1"/>
  <c r="U144" i="121"/>
  <c r="X144" i="121" s="1"/>
  <c r="U145" i="121"/>
  <c r="X145" i="121" s="1"/>
  <c r="U146" i="121"/>
  <c r="X146" i="121" s="1"/>
  <c r="U147" i="121"/>
  <c r="X147" i="121" s="1"/>
  <c r="U148" i="121"/>
  <c r="X148" i="121" s="1"/>
  <c r="U149" i="121"/>
  <c r="X149" i="121" s="1"/>
  <c r="U150" i="121"/>
  <c r="X150" i="121" s="1"/>
  <c r="U151" i="121"/>
  <c r="X151" i="121" s="1"/>
  <c r="U152" i="121"/>
  <c r="U153" i="121"/>
  <c r="X153" i="121" s="1"/>
  <c r="U154" i="121"/>
  <c r="X154" i="121" s="1"/>
  <c r="U155" i="121"/>
  <c r="X155" i="121" s="1"/>
  <c r="M139" i="121"/>
  <c r="M140" i="121"/>
  <c r="M141" i="121"/>
  <c r="M142" i="121"/>
  <c r="M143" i="121"/>
  <c r="M144" i="121"/>
  <c r="M145" i="121"/>
  <c r="M146" i="121"/>
  <c r="M147" i="121"/>
  <c r="M148" i="121"/>
  <c r="M149" i="121"/>
  <c r="M150" i="121"/>
  <c r="M151" i="121"/>
  <c r="M152" i="121"/>
  <c r="M153" i="121"/>
  <c r="M154" i="121"/>
  <c r="M155" i="121"/>
  <c r="F138" i="121"/>
  <c r="F139" i="121"/>
  <c r="L139" i="121" s="1"/>
  <c r="F140" i="121"/>
  <c r="F141" i="121"/>
  <c r="F142" i="121"/>
  <c r="F143" i="121"/>
  <c r="F144" i="121"/>
  <c r="N144" i="121" s="1"/>
  <c r="F145" i="121"/>
  <c r="F146" i="121"/>
  <c r="F147" i="121"/>
  <c r="F148" i="121"/>
  <c r="F149" i="121"/>
  <c r="L149" i="121" s="1"/>
  <c r="N149" i="121" s="1"/>
  <c r="F150" i="121"/>
  <c r="N150" i="121" s="1"/>
  <c r="F151" i="121"/>
  <c r="F152" i="121"/>
  <c r="F153" i="121"/>
  <c r="F154" i="121"/>
  <c r="N154" i="121" s="1"/>
  <c r="F155" i="121"/>
  <c r="F156" i="121"/>
  <c r="K141" i="118"/>
  <c r="AD149" i="121" l="1"/>
  <c r="AE149" i="121"/>
  <c r="AD151" i="121"/>
  <c r="AE151" i="121"/>
  <c r="L153" i="121"/>
  <c r="N153" i="121"/>
  <c r="L141" i="121"/>
  <c r="N141" i="121"/>
  <c r="AA141" i="121" s="1"/>
  <c r="L142" i="121"/>
  <c r="N142" i="121"/>
  <c r="AA142" i="121" s="1"/>
  <c r="L138" i="121"/>
  <c r="N138" i="121"/>
  <c r="L157" i="121"/>
  <c r="N157" i="121" s="1"/>
  <c r="AA157" i="121" s="1"/>
  <c r="L155" i="121"/>
  <c r="N155" i="121" s="1"/>
  <c r="AA155" i="121" s="1"/>
  <c r="L156" i="121"/>
  <c r="Z156" i="121"/>
  <c r="Z155" i="121"/>
  <c r="Z149" i="121"/>
  <c r="Z152" i="121"/>
  <c r="Z151" i="121"/>
  <c r="Z150" i="121"/>
  <c r="AA153" i="121"/>
  <c r="Z153" i="121"/>
  <c r="Z154" i="121"/>
  <c r="L154" i="121"/>
  <c r="AA154" i="121" s="1"/>
  <c r="L150" i="121"/>
  <c r="AA150" i="121" s="1"/>
  <c r="L151" i="121"/>
  <c r="N151" i="121" s="1"/>
  <c r="AA151" i="121" s="1"/>
  <c r="L152" i="121"/>
  <c r="N152" i="121" s="1"/>
  <c r="AA152" i="121" s="1"/>
  <c r="Y156" i="121"/>
  <c r="Y154" i="121"/>
  <c r="Y153" i="121"/>
  <c r="AA149" i="121"/>
  <c r="Y152" i="121"/>
  <c r="Y150" i="121"/>
  <c r="Y147" i="121"/>
  <c r="Z146" i="121"/>
  <c r="Z145" i="121"/>
  <c r="Z143" i="121"/>
  <c r="L145" i="121"/>
  <c r="N145" i="121" s="1"/>
  <c r="AA145" i="121" s="1"/>
  <c r="Y148" i="121"/>
  <c r="X156" i="121"/>
  <c r="X152" i="121"/>
  <c r="L146" i="121"/>
  <c r="N146" i="121" s="1"/>
  <c r="AA146" i="121" s="1"/>
  <c r="L147" i="121"/>
  <c r="N147" i="121" s="1"/>
  <c r="AA147" i="121" s="1"/>
  <c r="L143" i="121"/>
  <c r="N143" i="121" s="1"/>
  <c r="AA143" i="121" s="1"/>
  <c r="N139" i="121"/>
  <c r="AA139" i="121" s="1"/>
  <c r="Y155" i="121"/>
  <c r="Y151" i="121"/>
  <c r="L148" i="121"/>
  <c r="N148" i="121" s="1"/>
  <c r="AA148" i="121" s="1"/>
  <c r="L144" i="121"/>
  <c r="AA144" i="121" s="1"/>
  <c r="L140" i="121"/>
  <c r="N140" i="121" s="1"/>
  <c r="AA140" i="121" s="1"/>
  <c r="AA138" i="121"/>
  <c r="Y149" i="121"/>
  <c r="Z148" i="121"/>
  <c r="Z144" i="121"/>
  <c r="Z138" i="121"/>
  <c r="Z139" i="121"/>
  <c r="Z141" i="121"/>
  <c r="Z142" i="121"/>
  <c r="Z140" i="121"/>
  <c r="Y145" i="121"/>
  <c r="Y143" i="121"/>
  <c r="Y144" i="121"/>
  <c r="Y142" i="121"/>
  <c r="Y146" i="121"/>
  <c r="Z147" i="121"/>
  <c r="Y141" i="121"/>
  <c r="Y140" i="121"/>
  <c r="X137" i="121"/>
  <c r="Y139" i="121"/>
  <c r="Y138" i="121"/>
  <c r="N156" i="121" l="1"/>
  <c r="AA156" i="121" s="1"/>
  <c r="K169" i="124"/>
  <c r="K136" i="118"/>
  <c r="M136" i="118" s="1"/>
  <c r="K137" i="118"/>
  <c r="K138" i="118"/>
  <c r="V135" i="118"/>
  <c r="V136" i="118"/>
  <c r="V137" i="118"/>
  <c r="V138" i="118"/>
  <c r="V139" i="118"/>
  <c r="V140" i="118"/>
  <c r="V141" i="118"/>
  <c r="V142" i="118"/>
  <c r="V143" i="118"/>
  <c r="U135" i="118"/>
  <c r="X135" i="118" s="1"/>
  <c r="U136" i="118"/>
  <c r="X136" i="118" s="1"/>
  <c r="U137" i="118"/>
  <c r="X137" i="118" s="1"/>
  <c r="U138" i="118"/>
  <c r="X138" i="118" s="1"/>
  <c r="AC138" i="118" s="1"/>
  <c r="U139" i="118"/>
  <c r="X139" i="118" s="1"/>
  <c r="U140" i="118"/>
  <c r="X140" i="118" s="1"/>
  <c r="U141" i="118"/>
  <c r="X141" i="118" s="1"/>
  <c r="U142" i="118"/>
  <c r="U143" i="118"/>
  <c r="M137" i="118"/>
  <c r="M138" i="118"/>
  <c r="M139" i="118"/>
  <c r="M140" i="118"/>
  <c r="M141" i="118"/>
  <c r="M142" i="118"/>
  <c r="M143" i="118"/>
  <c r="M144" i="118"/>
  <c r="F136" i="118"/>
  <c r="L136" i="118" s="1"/>
  <c r="F137" i="118"/>
  <c r="F138" i="118"/>
  <c r="L138" i="118" s="1"/>
  <c r="F139" i="118"/>
  <c r="F140" i="118"/>
  <c r="F141" i="118"/>
  <c r="F142" i="118"/>
  <c r="F143" i="118"/>
  <c r="N143" i="118" s="1"/>
  <c r="F144" i="118"/>
  <c r="N144" i="118" s="1"/>
  <c r="AC135" i="118" l="1"/>
  <c r="AF135" i="118"/>
  <c r="Z144" i="118"/>
  <c r="Y144" i="118"/>
  <c r="L144" i="118"/>
  <c r="AA144" i="118" s="1"/>
  <c r="Y136" i="118"/>
  <c r="L141" i="118"/>
  <c r="N141" i="118" s="1"/>
  <c r="AA141" i="118" s="1"/>
  <c r="L143" i="118"/>
  <c r="AA143" i="118" s="1"/>
  <c r="N138" i="118"/>
  <c r="AA138" i="118" s="1"/>
  <c r="L142" i="118"/>
  <c r="N142" i="118" s="1"/>
  <c r="AA142" i="118" s="1"/>
  <c r="L137" i="118"/>
  <c r="N137" i="118" s="1"/>
  <c r="AA137" i="118" s="1"/>
  <c r="N136" i="118"/>
  <c r="AA136" i="118" s="1"/>
  <c r="L139" i="118"/>
  <c r="N139" i="118" s="1"/>
  <c r="AA139" i="118" s="1"/>
  <c r="L140" i="118"/>
  <c r="N140" i="118" s="1"/>
  <c r="AA140" i="118" s="1"/>
  <c r="Z143" i="118"/>
  <c r="Z142" i="118"/>
  <c r="Z139" i="118"/>
  <c r="X142" i="118"/>
  <c r="Y142" i="118"/>
  <c r="X143" i="118"/>
  <c r="Y143" i="118"/>
  <c r="Y138" i="118"/>
  <c r="Z141" i="118"/>
  <c r="Y140" i="118"/>
  <c r="Z137" i="118"/>
  <c r="Y141" i="118"/>
  <c r="Z140" i="118"/>
  <c r="Y139" i="118"/>
  <c r="Z138" i="118"/>
  <c r="Y137" i="118"/>
  <c r="Z136" i="118"/>
  <c r="K135" i="118" l="1"/>
  <c r="M135" i="118" s="1"/>
  <c r="K123" i="120"/>
  <c r="K122" i="120"/>
  <c r="M122" i="120" s="1"/>
  <c r="AF119" i="120"/>
  <c r="AF120" i="120"/>
  <c r="AF121" i="120"/>
  <c r="AF122" i="120"/>
  <c r="AF124" i="120"/>
  <c r="AF125" i="120"/>
  <c r="AF126" i="120"/>
  <c r="AF127" i="120"/>
  <c r="AF128" i="120"/>
  <c r="AE119" i="120"/>
  <c r="AE120" i="120"/>
  <c r="AE121" i="120"/>
  <c r="AE122" i="120"/>
  <c r="AE123" i="120"/>
  <c r="AE124" i="120"/>
  <c r="AE125" i="120"/>
  <c r="AE126" i="120"/>
  <c r="AE127" i="120"/>
  <c r="AE128" i="120"/>
  <c r="AD119" i="120"/>
  <c r="AD120" i="120"/>
  <c r="AD121" i="120"/>
  <c r="AD122" i="120"/>
  <c r="AD123" i="120"/>
  <c r="AC119" i="120"/>
  <c r="AC120" i="120"/>
  <c r="AC121" i="120"/>
  <c r="AC122" i="120"/>
  <c r="W120" i="120"/>
  <c r="W121" i="120"/>
  <c r="W122" i="120"/>
  <c r="W123" i="120"/>
  <c r="W124" i="120"/>
  <c r="W125" i="120"/>
  <c r="W126" i="120"/>
  <c r="W127" i="120"/>
  <c r="V121" i="120"/>
  <c r="V122" i="120"/>
  <c r="V123" i="120"/>
  <c r="V124" i="120"/>
  <c r="V125" i="120"/>
  <c r="V126" i="120"/>
  <c r="V127" i="120"/>
  <c r="U121" i="120"/>
  <c r="U122" i="120"/>
  <c r="X122" i="120" s="1"/>
  <c r="U123" i="120"/>
  <c r="X123" i="120" s="1"/>
  <c r="AC123" i="120" s="1"/>
  <c r="U124" i="120"/>
  <c r="U125" i="120"/>
  <c r="U126" i="120"/>
  <c r="U127" i="120"/>
  <c r="M123" i="120"/>
  <c r="M124" i="120"/>
  <c r="M125" i="120"/>
  <c r="M126" i="120"/>
  <c r="M127" i="120"/>
  <c r="M128" i="120"/>
  <c r="M129" i="120"/>
  <c r="F122" i="120"/>
  <c r="N122" i="120" s="1"/>
  <c r="F123" i="120"/>
  <c r="L123" i="120" s="1"/>
  <c r="F124" i="120"/>
  <c r="F125" i="120"/>
  <c r="F126" i="120"/>
  <c r="F127" i="120"/>
  <c r="N127" i="120" s="1"/>
  <c r="F128" i="120"/>
  <c r="N128" i="120" s="1"/>
  <c r="F129" i="120"/>
  <c r="N129" i="120" s="1"/>
  <c r="F130" i="120"/>
  <c r="F131" i="120"/>
  <c r="L131" i="120" s="1"/>
  <c r="N131" i="120" s="1"/>
  <c r="AA131" i="120" s="1"/>
  <c r="K162" i="124"/>
  <c r="M162" i="124" s="1"/>
  <c r="K164" i="124"/>
  <c r="M164" i="124" s="1"/>
  <c r="K165" i="124"/>
  <c r="K166" i="124"/>
  <c r="M166" i="124" s="1"/>
  <c r="K167" i="124"/>
  <c r="M167" i="124" s="1"/>
  <c r="W161" i="124"/>
  <c r="W162" i="124"/>
  <c r="W163" i="124"/>
  <c r="W164" i="124"/>
  <c r="W165" i="124"/>
  <c r="W166" i="124"/>
  <c r="W167" i="124"/>
  <c r="W168" i="124"/>
  <c r="W169" i="124"/>
  <c r="W170" i="124"/>
  <c r="W171" i="124"/>
  <c r="W172" i="124"/>
  <c r="W173" i="124"/>
  <c r="W174" i="124"/>
  <c r="V161" i="124"/>
  <c r="V162" i="124"/>
  <c r="V163" i="124"/>
  <c r="V164" i="124"/>
  <c r="V165" i="124"/>
  <c r="V166" i="124"/>
  <c r="V167" i="124"/>
  <c r="V168" i="124"/>
  <c r="V169" i="124"/>
  <c r="V170" i="124"/>
  <c r="V171" i="124"/>
  <c r="V172" i="124"/>
  <c r="V173" i="124"/>
  <c r="V174" i="124"/>
  <c r="U161" i="124"/>
  <c r="U162" i="124"/>
  <c r="X162" i="124" s="1"/>
  <c r="U163" i="124"/>
  <c r="X163" i="124" s="1"/>
  <c r="U164" i="124"/>
  <c r="X164" i="124" s="1"/>
  <c r="U165" i="124"/>
  <c r="X165" i="124" s="1"/>
  <c r="U166" i="124"/>
  <c r="X166" i="124" s="1"/>
  <c r="U167" i="124"/>
  <c r="X167" i="124" s="1"/>
  <c r="U168" i="124"/>
  <c r="X168" i="124" s="1"/>
  <c r="U169" i="124"/>
  <c r="X169" i="124" s="1"/>
  <c r="U170" i="124"/>
  <c r="X170" i="124" s="1"/>
  <c r="U171" i="124"/>
  <c r="U172" i="124"/>
  <c r="X172" i="124" s="1"/>
  <c r="AE172" i="124" s="1"/>
  <c r="U173" i="124"/>
  <c r="X173" i="124" s="1"/>
  <c r="AE173" i="124" s="1"/>
  <c r="U174" i="124"/>
  <c r="M163" i="124"/>
  <c r="M165" i="124"/>
  <c r="M169" i="124"/>
  <c r="M170" i="124"/>
  <c r="M171" i="124"/>
  <c r="M173" i="124"/>
  <c r="M174" i="124"/>
  <c r="M175" i="124"/>
  <c r="M176" i="124"/>
  <c r="M177" i="124"/>
  <c r="F162" i="124"/>
  <c r="N162" i="124" s="1"/>
  <c r="F163" i="124"/>
  <c r="L163" i="124" s="1"/>
  <c r="F164" i="124"/>
  <c r="F165" i="124"/>
  <c r="L165" i="124" s="1"/>
  <c r="F166" i="124"/>
  <c r="F167" i="124"/>
  <c r="N167" i="124" s="1"/>
  <c r="F168" i="124"/>
  <c r="N168" i="124" s="1"/>
  <c r="F169" i="124"/>
  <c r="N169" i="124" s="1"/>
  <c r="F170" i="124"/>
  <c r="F171" i="124"/>
  <c r="N171" i="124" s="1"/>
  <c r="F172" i="124"/>
  <c r="F173" i="124"/>
  <c r="F174" i="124"/>
  <c r="F175" i="124"/>
  <c r="F176" i="124"/>
  <c r="F177" i="124"/>
  <c r="N177" i="124" s="1"/>
  <c r="F178" i="124"/>
  <c r="N178" i="124" s="1"/>
  <c r="K130" i="125"/>
  <c r="M130" i="125" s="1"/>
  <c r="K110" i="122"/>
  <c r="AF108" i="119"/>
  <c r="AF109" i="119"/>
  <c r="AF110" i="119"/>
  <c r="AF111" i="119"/>
  <c r="AF112" i="119"/>
  <c r="AE108" i="119"/>
  <c r="AE109" i="119"/>
  <c r="AE110" i="119"/>
  <c r="AE111" i="119"/>
  <c r="AE112" i="119"/>
  <c r="AD108" i="119"/>
  <c r="AD109" i="119"/>
  <c r="AD110" i="119"/>
  <c r="AD111" i="119"/>
  <c r="AD112" i="119"/>
  <c r="AC108" i="119"/>
  <c r="AC109" i="119"/>
  <c r="AC110" i="119"/>
  <c r="AC111" i="119"/>
  <c r="AC112" i="119"/>
  <c r="V109" i="119"/>
  <c r="V110" i="119"/>
  <c r="V111" i="119"/>
  <c r="V112" i="119"/>
  <c r="U109" i="119"/>
  <c r="X109" i="119" s="1"/>
  <c r="U110" i="119"/>
  <c r="X110" i="119" s="1"/>
  <c r="U111" i="119"/>
  <c r="X111" i="119" s="1"/>
  <c r="U112" i="119"/>
  <c r="M110" i="119"/>
  <c r="M111" i="119"/>
  <c r="M112" i="119"/>
  <c r="M113" i="119"/>
  <c r="M114" i="119"/>
  <c r="M115" i="119"/>
  <c r="F110" i="119"/>
  <c r="N110" i="119" s="1"/>
  <c r="F111" i="119"/>
  <c r="F112" i="119"/>
  <c r="F113" i="119"/>
  <c r="F114" i="119"/>
  <c r="F115" i="119"/>
  <c r="L115" i="119" s="1"/>
  <c r="N115" i="119" s="1"/>
  <c r="AA115" i="119" s="1"/>
  <c r="F116" i="119"/>
  <c r="L162" i="124"/>
  <c r="W159" i="124"/>
  <c r="W160" i="124"/>
  <c r="V159" i="124"/>
  <c r="V160" i="124"/>
  <c r="U159" i="124"/>
  <c r="U160" i="124"/>
  <c r="X160" i="124" s="1"/>
  <c r="L153" i="116"/>
  <c r="U128" i="116"/>
  <c r="M156" i="124"/>
  <c r="M157" i="124"/>
  <c r="M158" i="124"/>
  <c r="M154" i="124"/>
  <c r="U143" i="124"/>
  <c r="K161" i="124"/>
  <c r="M161" i="124" s="1"/>
  <c r="K121" i="120"/>
  <c r="AF123" i="120" l="1"/>
  <c r="N153" i="116"/>
  <c r="AA153" i="116" s="1"/>
  <c r="L116" i="119"/>
  <c r="N116" i="119"/>
  <c r="Y129" i="120"/>
  <c r="Z129" i="120"/>
  <c r="Z124" i="120"/>
  <c r="Z128" i="120"/>
  <c r="Y128" i="120"/>
  <c r="X126" i="120"/>
  <c r="Z126" i="120"/>
  <c r="Y127" i="120"/>
  <c r="Z127" i="120"/>
  <c r="X125" i="120"/>
  <c r="Z125" i="120"/>
  <c r="N114" i="119"/>
  <c r="AA114" i="119" s="1"/>
  <c r="L114" i="119"/>
  <c r="Z130" i="125"/>
  <c r="Y130" i="125"/>
  <c r="L130" i="120"/>
  <c r="N130" i="120" s="1"/>
  <c r="AA130" i="120" s="1"/>
  <c r="L126" i="120"/>
  <c r="N126" i="120" s="1"/>
  <c r="AA126" i="120" s="1"/>
  <c r="Z113" i="119"/>
  <c r="Y113" i="119"/>
  <c r="L127" i="120"/>
  <c r="AA127" i="120" s="1"/>
  <c r="L128" i="120"/>
  <c r="AA128" i="120" s="1"/>
  <c r="Z115" i="119"/>
  <c r="Y115" i="119"/>
  <c r="L129" i="120"/>
  <c r="AA129" i="120" s="1"/>
  <c r="Z114" i="119"/>
  <c r="Y114" i="119"/>
  <c r="Y173" i="124"/>
  <c r="Z177" i="124"/>
  <c r="Y177" i="124"/>
  <c r="Y176" i="124"/>
  <c r="Z176" i="124"/>
  <c r="Z175" i="124"/>
  <c r="Y175" i="124"/>
  <c r="X174" i="124"/>
  <c r="Z174" i="124"/>
  <c r="AA177" i="124"/>
  <c r="L177" i="124"/>
  <c r="N174" i="124"/>
  <c r="AA174" i="124" s="1"/>
  <c r="L174" i="124"/>
  <c r="N125" i="120"/>
  <c r="AA125" i="120" s="1"/>
  <c r="L125" i="120"/>
  <c r="N175" i="124"/>
  <c r="AA175" i="124" s="1"/>
  <c r="L175" i="124"/>
  <c r="Z123" i="120"/>
  <c r="X127" i="120"/>
  <c r="L178" i="124"/>
  <c r="AA178" i="124" s="1"/>
  <c r="L176" i="124"/>
  <c r="N176" i="124" s="1"/>
  <c r="AA176" i="124" s="1"/>
  <c r="Z172" i="124"/>
  <c r="AA162" i="124"/>
  <c r="Y125" i="120"/>
  <c r="Z122" i="120"/>
  <c r="L171" i="124"/>
  <c r="AA171" i="124" s="1"/>
  <c r="L170" i="124"/>
  <c r="N170" i="124" s="1"/>
  <c r="AA170" i="124" s="1"/>
  <c r="L124" i="120"/>
  <c r="N124" i="120" s="1"/>
  <c r="AA124" i="120" s="1"/>
  <c r="Y135" i="118"/>
  <c r="Z135" i="118"/>
  <c r="Z170" i="124"/>
  <c r="Y174" i="124"/>
  <c r="L166" i="124"/>
  <c r="N166" i="124" s="1"/>
  <c r="AA166" i="124" s="1"/>
  <c r="L112" i="119"/>
  <c r="N112" i="119" s="1"/>
  <c r="AA112" i="119" s="1"/>
  <c r="L113" i="119"/>
  <c r="N113" i="119" s="1"/>
  <c r="AA113" i="119" s="1"/>
  <c r="L172" i="124"/>
  <c r="L164" i="124"/>
  <c r="N164" i="124" s="1"/>
  <c r="AA164" i="124" s="1"/>
  <c r="L168" i="124"/>
  <c r="AA168" i="124" s="1"/>
  <c r="Y126" i="120"/>
  <c r="L122" i="120"/>
  <c r="AA122" i="120" s="1"/>
  <c r="L173" i="124"/>
  <c r="N173" i="124" s="1"/>
  <c r="AA173" i="124" s="1"/>
  <c r="L169" i="124"/>
  <c r="AA169" i="124" s="1"/>
  <c r="N165" i="124"/>
  <c r="AA165" i="124" s="1"/>
  <c r="L167" i="124"/>
  <c r="AA167" i="124" s="1"/>
  <c r="N123" i="120"/>
  <c r="AA123" i="120" s="1"/>
  <c r="Z173" i="124"/>
  <c r="Y172" i="124"/>
  <c r="Y171" i="124"/>
  <c r="Z112" i="119"/>
  <c r="Z163" i="124"/>
  <c r="Z167" i="124"/>
  <c r="Z171" i="124"/>
  <c r="X171" i="124"/>
  <c r="X124" i="120"/>
  <c r="Y124" i="120"/>
  <c r="Y170" i="124"/>
  <c r="Y112" i="119"/>
  <c r="Z169" i="124"/>
  <c r="Z165" i="124"/>
  <c r="Z168" i="124"/>
  <c r="Y111" i="119"/>
  <c r="Z110" i="119"/>
  <c r="Z161" i="124"/>
  <c r="Z166" i="124"/>
  <c r="Z164" i="124"/>
  <c r="Y162" i="124"/>
  <c r="AA110" i="119"/>
  <c r="L110" i="119"/>
  <c r="X112" i="119"/>
  <c r="L111" i="119"/>
  <c r="N111" i="119" s="1"/>
  <c r="AA111" i="119" s="1"/>
  <c r="Y161" i="124"/>
  <c r="X161" i="124"/>
  <c r="X121" i="120"/>
  <c r="Y169" i="124"/>
  <c r="X159" i="124"/>
  <c r="Y123" i="120"/>
  <c r="Y122" i="120"/>
  <c r="Z162" i="124"/>
  <c r="N163" i="124"/>
  <c r="AA163" i="124" s="1"/>
  <c r="Y168" i="124"/>
  <c r="Y167" i="124"/>
  <c r="Y166" i="124"/>
  <c r="Y165" i="124"/>
  <c r="Y164" i="124"/>
  <c r="Y163" i="124"/>
  <c r="Z111" i="119"/>
  <c r="Y110" i="119"/>
  <c r="AA116" i="119" l="1"/>
  <c r="N172" i="124"/>
  <c r="AA172" i="124" s="1"/>
  <c r="K137" i="121"/>
  <c r="M137" i="121" s="1"/>
  <c r="K120" i="120"/>
  <c r="L103" i="123"/>
  <c r="Z137" i="121" l="1"/>
  <c r="Y137" i="121"/>
  <c r="K118" i="120"/>
  <c r="K148" i="116" l="1"/>
  <c r="K125" i="125"/>
  <c r="M125" i="125" s="1"/>
  <c r="K123" i="125"/>
  <c r="W121" i="125"/>
  <c r="W122" i="125"/>
  <c r="W123" i="125"/>
  <c r="W124" i="125"/>
  <c r="W125" i="125"/>
  <c r="W126" i="125"/>
  <c r="W127" i="125"/>
  <c r="W128" i="125"/>
  <c r="V121" i="125"/>
  <c r="V122" i="125"/>
  <c r="V123" i="125"/>
  <c r="V124" i="125"/>
  <c r="V125" i="125"/>
  <c r="V126" i="125"/>
  <c r="V127" i="125"/>
  <c r="V128" i="125"/>
  <c r="U121" i="125"/>
  <c r="U122" i="125"/>
  <c r="U123" i="125"/>
  <c r="X123" i="125" s="1"/>
  <c r="U124" i="125"/>
  <c r="X124" i="125" s="1"/>
  <c r="U125" i="125"/>
  <c r="X125" i="125" s="1"/>
  <c r="AC125" i="125" s="1"/>
  <c r="U126" i="125"/>
  <c r="X126" i="125" s="1"/>
  <c r="U127" i="125"/>
  <c r="X127" i="125" s="1"/>
  <c r="U128" i="125"/>
  <c r="M123" i="125"/>
  <c r="M124" i="125"/>
  <c r="M126" i="125"/>
  <c r="M127" i="125"/>
  <c r="M128" i="125"/>
  <c r="F123" i="125"/>
  <c r="N123" i="125" s="1"/>
  <c r="F124" i="125"/>
  <c r="L124" i="125" s="1"/>
  <c r="F125" i="125"/>
  <c r="N125" i="125" s="1"/>
  <c r="F126" i="125"/>
  <c r="N126" i="125" s="1"/>
  <c r="F127" i="125"/>
  <c r="N127" i="125" s="1"/>
  <c r="F128" i="125"/>
  <c r="N128" i="125" s="1"/>
  <c r="F129" i="125"/>
  <c r="N129" i="125" s="1"/>
  <c r="F130" i="125"/>
  <c r="N130" i="125" s="1"/>
  <c r="F131" i="125"/>
  <c r="N131" i="125" s="1"/>
  <c r="K205" i="117"/>
  <c r="K207" i="117"/>
  <c r="K130" i="118"/>
  <c r="K122" i="125"/>
  <c r="K106" i="119"/>
  <c r="K155" i="124"/>
  <c r="Z128" i="125" l="1"/>
  <c r="L131" i="125"/>
  <c r="AA131" i="125" s="1"/>
  <c r="L127" i="125"/>
  <c r="AA127" i="125" s="1"/>
  <c r="L132" i="125"/>
  <c r="AA132" i="125" s="1"/>
  <c r="L128" i="125"/>
  <c r="AA128" i="125" s="1"/>
  <c r="L129" i="125"/>
  <c r="AA129" i="125" s="1"/>
  <c r="L123" i="125"/>
  <c r="AA123" i="125" s="1"/>
  <c r="L125" i="125"/>
  <c r="AA125" i="125" s="1"/>
  <c r="L130" i="125"/>
  <c r="AA130" i="125" s="1"/>
  <c r="L126" i="125"/>
  <c r="AA126" i="125" s="1"/>
  <c r="N124" i="125"/>
  <c r="AA124" i="125" s="1"/>
  <c r="Y128" i="125"/>
  <c r="X128" i="125"/>
  <c r="Z126" i="125"/>
  <c r="Z124" i="125"/>
  <c r="Z127" i="125"/>
  <c r="Z125" i="125"/>
  <c r="Z123" i="125"/>
  <c r="X122" i="125"/>
  <c r="Y127" i="125"/>
  <c r="Y126" i="125"/>
  <c r="X121" i="125"/>
  <c r="Y125" i="125"/>
  <c r="Y124" i="125"/>
  <c r="Y123" i="125"/>
  <c r="K128" i="118"/>
  <c r="M128" i="118" s="1"/>
  <c r="V127" i="118"/>
  <c r="V128" i="118"/>
  <c r="V129" i="118"/>
  <c r="V130" i="118"/>
  <c r="V131" i="118"/>
  <c r="V132" i="118"/>
  <c r="V133" i="118"/>
  <c r="V134" i="118"/>
  <c r="U127" i="118"/>
  <c r="X127" i="118" s="1"/>
  <c r="U128" i="118"/>
  <c r="X128" i="118" s="1"/>
  <c r="U129" i="118"/>
  <c r="X129" i="118" s="1"/>
  <c r="U130" i="118"/>
  <c r="X130" i="118" s="1"/>
  <c r="U131" i="118"/>
  <c r="X131" i="118" s="1"/>
  <c r="U132" i="118"/>
  <c r="U133" i="118"/>
  <c r="U134" i="118"/>
  <c r="X134" i="118" s="1"/>
  <c r="M127" i="118"/>
  <c r="M129" i="118"/>
  <c r="M130" i="118"/>
  <c r="M131" i="118"/>
  <c r="M132" i="118"/>
  <c r="M133" i="118"/>
  <c r="M134" i="118"/>
  <c r="F127" i="118"/>
  <c r="F128" i="118"/>
  <c r="F129" i="118"/>
  <c r="L129" i="118" s="1"/>
  <c r="F130" i="118"/>
  <c r="N130" i="118" s="1"/>
  <c r="F131" i="118"/>
  <c r="F132" i="118"/>
  <c r="F133" i="118"/>
  <c r="F134" i="118"/>
  <c r="F135" i="118"/>
  <c r="L135" i="118" s="1"/>
  <c r="N135" i="118" s="1"/>
  <c r="AA135" i="118" s="1"/>
  <c r="L102" i="123"/>
  <c r="K153" i="124"/>
  <c r="K144" i="116"/>
  <c r="M144" i="116" s="1"/>
  <c r="L127" i="118" l="1"/>
  <c r="N127" i="118"/>
  <c r="L134" i="118"/>
  <c r="N134" i="118" s="1"/>
  <c r="AA134" i="118" s="1"/>
  <c r="L130" i="118"/>
  <c r="AA130" i="118" s="1"/>
  <c r="N129" i="118"/>
  <c r="AA129" i="118" s="1"/>
  <c r="L128" i="118"/>
  <c r="N128" i="118" s="1"/>
  <c r="AA128" i="118" s="1"/>
  <c r="L132" i="118"/>
  <c r="N132" i="118" s="1"/>
  <c r="AA132" i="118" s="1"/>
  <c r="L133" i="118"/>
  <c r="N133" i="118" s="1"/>
  <c r="AA133" i="118" s="1"/>
  <c r="L131" i="118"/>
  <c r="N131" i="118" s="1"/>
  <c r="AA131" i="118" s="1"/>
  <c r="AA127" i="118"/>
  <c r="Z134" i="118"/>
  <c r="Y134" i="118"/>
  <c r="Z133" i="118"/>
  <c r="Z132" i="118"/>
  <c r="Y132" i="118"/>
  <c r="Y133" i="118"/>
  <c r="X132" i="118"/>
  <c r="X133" i="118"/>
  <c r="Y131" i="118"/>
  <c r="Z130" i="118"/>
  <c r="Z131" i="118"/>
  <c r="Z127" i="118"/>
  <c r="Z129" i="118"/>
  <c r="Y130" i="118"/>
  <c r="Z128" i="118"/>
  <c r="Y129" i="118"/>
  <c r="Y128" i="118"/>
  <c r="Y127" i="118"/>
  <c r="K126" i="118"/>
  <c r="L101" i="123" l="1"/>
  <c r="K131" i="121" l="1"/>
  <c r="K125" i="118"/>
  <c r="K124" i="118"/>
  <c r="K150" i="124" l="1"/>
  <c r="K120" i="125"/>
  <c r="K117" i="120" l="1"/>
  <c r="C23" i="68" l="1"/>
  <c r="Y13" i="6"/>
  <c r="C16" i="68"/>
  <c r="C110" i="68" l="1"/>
  <c r="X13" i="6"/>
  <c r="Z13" i="6" s="1"/>
  <c r="Q12" i="168"/>
  <c r="K196" i="117" l="1"/>
  <c r="L104" i="120" l="1"/>
  <c r="K116" i="120" l="1"/>
  <c r="K116" i="125" l="1"/>
  <c r="K118" i="125"/>
  <c r="M56" i="117"/>
  <c r="K128" i="121"/>
  <c r="K129" i="121"/>
  <c r="AF134" i="116"/>
  <c r="AF135" i="116"/>
  <c r="AF136" i="116"/>
  <c r="AF137" i="116"/>
  <c r="AF138" i="116"/>
  <c r="AF139" i="116"/>
  <c r="AF140" i="116"/>
  <c r="AF141" i="116"/>
  <c r="AF142" i="116"/>
  <c r="AF143" i="116"/>
  <c r="AF144" i="116"/>
  <c r="AF146" i="116"/>
  <c r="AF147" i="116"/>
  <c r="AF148" i="116"/>
  <c r="AF149" i="116"/>
  <c r="AF150" i="116"/>
  <c r="AF151" i="116"/>
  <c r="AE134" i="116"/>
  <c r="AE135" i="116"/>
  <c r="AE136" i="116"/>
  <c r="AE137" i="116"/>
  <c r="AE138" i="116"/>
  <c r="AE139" i="116"/>
  <c r="AE140" i="116"/>
  <c r="AE141" i="116"/>
  <c r="AE142" i="116"/>
  <c r="AE143" i="116"/>
  <c r="AE144" i="116"/>
  <c r="AE146" i="116"/>
  <c r="AE147" i="116"/>
  <c r="AE148" i="116"/>
  <c r="AD134" i="116"/>
  <c r="AD135" i="116"/>
  <c r="AD136" i="116"/>
  <c r="AD137" i="116"/>
  <c r="AD138" i="116"/>
  <c r="AD139" i="116"/>
  <c r="AD140" i="116"/>
  <c r="AD141" i="116"/>
  <c r="AD142" i="116"/>
  <c r="AD143" i="116"/>
  <c r="AD144" i="116"/>
  <c r="AD145" i="116"/>
  <c r="AD146" i="116"/>
  <c r="AD147" i="116"/>
  <c r="AD148" i="116"/>
  <c r="AC134" i="116"/>
  <c r="AC135" i="116"/>
  <c r="AC136" i="116"/>
  <c r="AC137" i="116"/>
  <c r="AC139" i="116"/>
  <c r="AC140" i="116"/>
  <c r="AC141" i="116"/>
  <c r="AC144" i="116"/>
  <c r="AC146" i="116"/>
  <c r="AC147" i="116"/>
  <c r="AC148" i="116"/>
  <c r="V135" i="116"/>
  <c r="V136" i="116"/>
  <c r="V137" i="116"/>
  <c r="V138" i="116"/>
  <c r="V139" i="116"/>
  <c r="V140" i="116"/>
  <c r="V141" i="116"/>
  <c r="V142" i="116"/>
  <c r="V143" i="116"/>
  <c r="V144" i="116"/>
  <c r="V145" i="116"/>
  <c r="V146" i="116"/>
  <c r="V147" i="116"/>
  <c r="V148" i="116"/>
  <c r="U135" i="116"/>
  <c r="U136" i="116"/>
  <c r="U137" i="116"/>
  <c r="X137" i="116" s="1"/>
  <c r="U138" i="116"/>
  <c r="X138" i="116" s="1"/>
  <c r="AC138" i="116" s="1"/>
  <c r="U139" i="116"/>
  <c r="X139" i="116" s="1"/>
  <c r="U140" i="116"/>
  <c r="X140" i="116" s="1"/>
  <c r="U141" i="116"/>
  <c r="X141" i="116" s="1"/>
  <c r="U142" i="116"/>
  <c r="X142" i="116" s="1"/>
  <c r="AC142" i="116" s="1"/>
  <c r="U143" i="116"/>
  <c r="X143" i="116" s="1"/>
  <c r="AC143" i="116" s="1"/>
  <c r="U144" i="116"/>
  <c r="X144" i="116" s="1"/>
  <c r="U145" i="116"/>
  <c r="X145" i="116" s="1"/>
  <c r="AC145" i="116" s="1"/>
  <c r="U146" i="116"/>
  <c r="X146" i="116" s="1"/>
  <c r="U147" i="116"/>
  <c r="X147" i="116" s="1"/>
  <c r="U148" i="116"/>
  <c r="X148" i="116" s="1"/>
  <c r="M137" i="116"/>
  <c r="M138" i="116"/>
  <c r="M139" i="116"/>
  <c r="M140" i="116"/>
  <c r="M141" i="116"/>
  <c r="M142" i="116"/>
  <c r="M148" i="116"/>
  <c r="M149" i="116"/>
  <c r="M150" i="116"/>
  <c r="M151" i="116"/>
  <c r="F138" i="116"/>
  <c r="F139" i="116"/>
  <c r="F140" i="116"/>
  <c r="F141" i="116"/>
  <c r="F142" i="116"/>
  <c r="F143" i="116"/>
  <c r="F144" i="116"/>
  <c r="L144" i="116" s="1"/>
  <c r="N144" i="116" s="1"/>
  <c r="F145" i="116"/>
  <c r="L145" i="116" s="1"/>
  <c r="N145" i="116" s="1"/>
  <c r="F146" i="116"/>
  <c r="L146" i="116" s="1"/>
  <c r="N146" i="116" s="1"/>
  <c r="F147" i="116"/>
  <c r="F148" i="116"/>
  <c r="L148" i="116" s="1"/>
  <c r="N148" i="116" s="1"/>
  <c r="F149" i="116"/>
  <c r="F150" i="116"/>
  <c r="F151" i="116"/>
  <c r="F152" i="116"/>
  <c r="L152" i="116" s="1"/>
  <c r="N152" i="116" s="1"/>
  <c r="AA152" i="116" s="1"/>
  <c r="K187" i="117"/>
  <c r="K188" i="117"/>
  <c r="M188" i="117" s="1"/>
  <c r="K189" i="117"/>
  <c r="M189" i="117" s="1"/>
  <c r="K190" i="117"/>
  <c r="K192" i="117"/>
  <c r="AC167" i="117"/>
  <c r="AC168" i="117"/>
  <c r="AC169" i="117"/>
  <c r="AC170" i="117"/>
  <c r="AC171" i="117"/>
  <c r="AC172" i="117"/>
  <c r="AC173" i="117"/>
  <c r="AC174" i="117"/>
  <c r="AC175" i="117"/>
  <c r="AC176" i="117"/>
  <c r="AC177" i="117"/>
  <c r="AC178" i="117"/>
  <c r="AC179" i="117"/>
  <c r="AC180" i="117"/>
  <c r="AC181" i="117"/>
  <c r="AC182" i="117"/>
  <c r="AC183" i="117"/>
  <c r="AC185" i="117"/>
  <c r="AC186" i="117"/>
  <c r="AC187" i="117"/>
  <c r="AC188" i="117"/>
  <c r="AC189" i="117"/>
  <c r="AC190" i="117"/>
  <c r="AC191" i="117"/>
  <c r="AC192" i="117"/>
  <c r="AC193" i="117"/>
  <c r="AC194" i="117"/>
  <c r="AC195" i="117"/>
  <c r="AC196" i="117"/>
  <c r="AC197" i="117"/>
  <c r="AC199" i="117"/>
  <c r="AC200" i="117"/>
  <c r="AC203" i="117"/>
  <c r="AC204" i="117"/>
  <c r="AC205" i="117"/>
  <c r="AC206" i="117"/>
  <c r="AC207" i="117"/>
  <c r="AC208" i="117"/>
  <c r="AC209" i="117"/>
  <c r="W180" i="117"/>
  <c r="W181" i="117"/>
  <c r="W182" i="117"/>
  <c r="W183" i="117"/>
  <c r="W184" i="117"/>
  <c r="W185" i="117"/>
  <c r="W186" i="117"/>
  <c r="W187" i="117"/>
  <c r="W188" i="117"/>
  <c r="W189" i="117"/>
  <c r="W190" i="117"/>
  <c r="W191" i="117"/>
  <c r="W192" i="117"/>
  <c r="W193" i="117"/>
  <c r="W194" i="117"/>
  <c r="W195" i="117"/>
  <c r="W196" i="117"/>
  <c r="W197" i="117"/>
  <c r="W198" i="117"/>
  <c r="W199" i="117"/>
  <c r="W200" i="117"/>
  <c r="W201" i="117"/>
  <c r="W202" i="117"/>
  <c r="W203" i="117"/>
  <c r="W204" i="117"/>
  <c r="W205" i="117"/>
  <c r="W206" i="117"/>
  <c r="W207" i="117"/>
  <c r="W208" i="117"/>
  <c r="W209" i="117"/>
  <c r="V181" i="117"/>
  <c r="V182" i="117"/>
  <c r="V183" i="117"/>
  <c r="V184" i="117"/>
  <c r="V185" i="117"/>
  <c r="V186" i="117"/>
  <c r="V187" i="117"/>
  <c r="V188" i="117"/>
  <c r="V189" i="117"/>
  <c r="V190" i="117"/>
  <c r="V191" i="117"/>
  <c r="V192" i="117"/>
  <c r="V193" i="117"/>
  <c r="V194" i="117"/>
  <c r="V195" i="117"/>
  <c r="V196" i="117"/>
  <c r="V197" i="117"/>
  <c r="V198" i="117"/>
  <c r="V199" i="117"/>
  <c r="V200" i="117"/>
  <c r="V201" i="117"/>
  <c r="V202" i="117"/>
  <c r="V203" i="117"/>
  <c r="V204" i="117"/>
  <c r="V205" i="117"/>
  <c r="V206" i="117"/>
  <c r="V207" i="117"/>
  <c r="V208" i="117"/>
  <c r="V209" i="117"/>
  <c r="U181" i="117"/>
  <c r="U182" i="117"/>
  <c r="U183" i="117"/>
  <c r="U184" i="117"/>
  <c r="U185" i="117"/>
  <c r="U186" i="117"/>
  <c r="X186" i="117" s="1"/>
  <c r="U187" i="117"/>
  <c r="X187" i="117" s="1"/>
  <c r="AD187" i="117" s="1"/>
  <c r="U188" i="117"/>
  <c r="X188" i="117" s="1"/>
  <c r="U189" i="117"/>
  <c r="X189" i="117" s="1"/>
  <c r="U190" i="117"/>
  <c r="X190" i="117" s="1"/>
  <c r="U191" i="117"/>
  <c r="X191" i="117" s="1"/>
  <c r="U192" i="117"/>
  <c r="X192" i="117" s="1"/>
  <c r="U193" i="117"/>
  <c r="X193" i="117" s="1"/>
  <c r="U194" i="117"/>
  <c r="X194" i="117" s="1"/>
  <c r="U195" i="117"/>
  <c r="X195" i="117" s="1"/>
  <c r="U196" i="117"/>
  <c r="X196" i="117" s="1"/>
  <c r="U197" i="117"/>
  <c r="X197" i="117" s="1"/>
  <c r="U198" i="117"/>
  <c r="X198" i="117" s="1"/>
  <c r="AF198" i="117" s="1"/>
  <c r="U199" i="117"/>
  <c r="X199" i="117" s="1"/>
  <c r="U200" i="117"/>
  <c r="U201" i="117"/>
  <c r="X201" i="117" s="1"/>
  <c r="AF201" i="117" s="1"/>
  <c r="U202" i="117"/>
  <c r="X202" i="117" s="1"/>
  <c r="AF202" i="117" s="1"/>
  <c r="U203" i="117"/>
  <c r="X203" i="117" s="1"/>
  <c r="U204" i="117"/>
  <c r="X204" i="117" s="1"/>
  <c r="U205" i="117"/>
  <c r="X205" i="117" s="1"/>
  <c r="U206" i="117"/>
  <c r="X206" i="117" s="1"/>
  <c r="U207" i="117"/>
  <c r="X207" i="117" s="1"/>
  <c r="U208" i="117"/>
  <c r="X208" i="117" s="1"/>
  <c r="U209" i="117"/>
  <c r="M185" i="117"/>
  <c r="M187" i="117"/>
  <c r="M190" i="117"/>
  <c r="M191" i="117"/>
  <c r="M192" i="117"/>
  <c r="M193" i="117"/>
  <c r="M194" i="117"/>
  <c r="M195" i="117"/>
  <c r="M196" i="117"/>
  <c r="M197" i="117"/>
  <c r="M198" i="117"/>
  <c r="M199" i="117"/>
  <c r="M200" i="117"/>
  <c r="M201" i="117"/>
  <c r="M202" i="117"/>
  <c r="M205" i="117"/>
  <c r="M206" i="117"/>
  <c r="M207" i="117"/>
  <c r="M208" i="117"/>
  <c r="M209" i="117"/>
  <c r="M210" i="117"/>
  <c r="F186" i="117"/>
  <c r="F187" i="117"/>
  <c r="L187" i="117" s="1"/>
  <c r="F188" i="117"/>
  <c r="L188" i="117" s="1"/>
  <c r="F189" i="117"/>
  <c r="F190" i="117"/>
  <c r="L190" i="117" s="1"/>
  <c r="F191" i="117"/>
  <c r="L191" i="117" s="1"/>
  <c r="F192" i="117"/>
  <c r="F193" i="117"/>
  <c r="L193" i="117" s="1"/>
  <c r="F194" i="117"/>
  <c r="N194" i="117" s="1"/>
  <c r="F195" i="117"/>
  <c r="F196" i="117"/>
  <c r="F197" i="117"/>
  <c r="L197" i="117" s="1"/>
  <c r="N197" i="117" s="1"/>
  <c r="F198" i="117"/>
  <c r="L198" i="117" s="1"/>
  <c r="N198" i="117" s="1"/>
  <c r="F199" i="117"/>
  <c r="F200" i="117"/>
  <c r="F201" i="117"/>
  <c r="F202" i="117"/>
  <c r="F203" i="117"/>
  <c r="L203" i="117" s="1"/>
  <c r="N203" i="117" s="1"/>
  <c r="F204" i="117"/>
  <c r="F205" i="117"/>
  <c r="F206" i="117"/>
  <c r="F207" i="117"/>
  <c r="L207" i="117" s="1"/>
  <c r="N207" i="117" s="1"/>
  <c r="F208" i="117"/>
  <c r="N208" i="117" s="1"/>
  <c r="F209" i="117"/>
  <c r="N209" i="117" s="1"/>
  <c r="F210" i="117"/>
  <c r="AF115" i="120"/>
  <c r="AF116" i="120"/>
  <c r="AF117" i="120"/>
  <c r="AF118" i="120"/>
  <c r="AE115" i="120"/>
  <c r="AE116" i="120"/>
  <c r="AE117" i="120"/>
  <c r="AE118" i="120"/>
  <c r="AD115" i="120"/>
  <c r="AD116" i="120"/>
  <c r="AD117" i="120"/>
  <c r="AD118" i="120"/>
  <c r="AC115" i="120"/>
  <c r="AC116" i="120"/>
  <c r="AC117" i="120"/>
  <c r="AC118" i="120"/>
  <c r="W115" i="120"/>
  <c r="W116" i="120"/>
  <c r="W117" i="120"/>
  <c r="W118" i="120"/>
  <c r="W119" i="120"/>
  <c r="V115" i="120"/>
  <c r="V116" i="120"/>
  <c r="V117" i="120"/>
  <c r="V118" i="120"/>
  <c r="V119" i="120"/>
  <c r="V120" i="120"/>
  <c r="U115" i="120"/>
  <c r="U116" i="120"/>
  <c r="X116" i="120" s="1"/>
  <c r="U117" i="120"/>
  <c r="X117" i="120" s="1"/>
  <c r="U118" i="120"/>
  <c r="X118" i="120" s="1"/>
  <c r="U119" i="120"/>
  <c r="X119" i="120" s="1"/>
  <c r="U120" i="120"/>
  <c r="M116" i="120"/>
  <c r="M117" i="120"/>
  <c r="M118" i="120"/>
  <c r="M119" i="120"/>
  <c r="M120" i="120"/>
  <c r="M121" i="120"/>
  <c r="F116" i="120"/>
  <c r="N116" i="120" s="1"/>
  <c r="F117" i="120"/>
  <c r="N117" i="120" s="1"/>
  <c r="F118" i="120"/>
  <c r="F119" i="120"/>
  <c r="F120" i="120"/>
  <c r="N120" i="120" s="1"/>
  <c r="F121" i="120"/>
  <c r="N121" i="120" s="1"/>
  <c r="K115" i="120"/>
  <c r="M54" i="117"/>
  <c r="M182" i="117"/>
  <c r="V180" i="117"/>
  <c r="U180" i="117"/>
  <c r="W179" i="117"/>
  <c r="V179" i="117"/>
  <c r="U179" i="117"/>
  <c r="X179" i="117" s="1"/>
  <c r="W178" i="117"/>
  <c r="V178" i="117"/>
  <c r="U178" i="117"/>
  <c r="X178" i="117" s="1"/>
  <c r="W177" i="117"/>
  <c r="V177" i="117"/>
  <c r="U177" i="117"/>
  <c r="X177" i="117" s="1"/>
  <c r="W176" i="117"/>
  <c r="V176" i="117"/>
  <c r="U176" i="117"/>
  <c r="AA148" i="116" l="1"/>
  <c r="AF145" i="116"/>
  <c r="AC201" i="117"/>
  <c r="AE201" i="117"/>
  <c r="AA207" i="117"/>
  <c r="L151" i="116"/>
  <c r="N151" i="116"/>
  <c r="L147" i="116"/>
  <c r="N147" i="116"/>
  <c r="L143" i="116"/>
  <c r="N143" i="116"/>
  <c r="AA143" i="116" s="1"/>
  <c r="AE178" i="117"/>
  <c r="AF178" i="117"/>
  <c r="L150" i="116"/>
  <c r="N150" i="116"/>
  <c r="AA150" i="116" s="1"/>
  <c r="AE145" i="116"/>
  <c r="AC202" i="117"/>
  <c r="AE202" i="117"/>
  <c r="AC198" i="117"/>
  <c r="AE198" i="117"/>
  <c r="AD186" i="117"/>
  <c r="AF186" i="117"/>
  <c r="Y210" i="117"/>
  <c r="Z210" i="117"/>
  <c r="Y204" i="117"/>
  <c r="L210" i="117"/>
  <c r="N210" i="117" s="1"/>
  <c r="AA210" i="117" s="1"/>
  <c r="L211" i="117"/>
  <c r="AA211" i="117" s="1"/>
  <c r="L121" i="120"/>
  <c r="AA121" i="120" s="1"/>
  <c r="L117" i="120"/>
  <c r="AA117" i="120" s="1"/>
  <c r="L199" i="117"/>
  <c r="N199" i="117" s="1"/>
  <c r="AA199" i="117" s="1"/>
  <c r="N195" i="117"/>
  <c r="AA195" i="117" s="1"/>
  <c r="L195" i="117"/>
  <c r="L142" i="116"/>
  <c r="N142" i="116" s="1"/>
  <c r="AA142" i="116" s="1"/>
  <c r="N191" i="117"/>
  <c r="AA191" i="117" s="1"/>
  <c r="N187" i="117"/>
  <c r="AA187" i="117" s="1"/>
  <c r="L192" i="117"/>
  <c r="N192" i="117" s="1"/>
  <c r="AA192" i="117" s="1"/>
  <c r="L138" i="116"/>
  <c r="N138" i="116" s="1"/>
  <c r="AA138" i="116" s="1"/>
  <c r="L208" i="117"/>
  <c r="AA208" i="117" s="1"/>
  <c r="L200" i="117"/>
  <c r="N200" i="117" s="1"/>
  <c r="AA200" i="117" s="1"/>
  <c r="L139" i="116"/>
  <c r="N139" i="116" s="1"/>
  <c r="AA139" i="116" s="1"/>
  <c r="N119" i="120"/>
  <c r="AA119" i="120" s="1"/>
  <c r="L119" i="120"/>
  <c r="L209" i="117"/>
  <c r="AA209" i="117" s="1"/>
  <c r="L205" i="117"/>
  <c r="N205" i="117" s="1"/>
  <c r="AA205" i="117" s="1"/>
  <c r="L201" i="117"/>
  <c r="N201" i="117" s="1"/>
  <c r="AA201" i="117" s="1"/>
  <c r="L140" i="116"/>
  <c r="N140" i="116" s="1"/>
  <c r="AA140" i="116" s="1"/>
  <c r="N188" i="117"/>
  <c r="N193" i="117"/>
  <c r="AA193" i="117" s="1"/>
  <c r="L118" i="120"/>
  <c r="N118" i="120" s="1"/>
  <c r="AA118" i="120" s="1"/>
  <c r="L204" i="117"/>
  <c r="N204" i="117" s="1"/>
  <c r="AA204" i="117" s="1"/>
  <c r="L120" i="120"/>
  <c r="AA120" i="120" s="1"/>
  <c r="L116" i="120"/>
  <c r="AA116" i="120" s="1"/>
  <c r="L206" i="117"/>
  <c r="N206" i="117" s="1"/>
  <c r="AA206" i="117" s="1"/>
  <c r="L202" i="117"/>
  <c r="N202" i="117" s="1"/>
  <c r="AA202" i="117" s="1"/>
  <c r="L194" i="117"/>
  <c r="AA194" i="117" s="1"/>
  <c r="L149" i="116"/>
  <c r="N149" i="116" s="1"/>
  <c r="AA149" i="116" s="1"/>
  <c r="N141" i="116"/>
  <c r="AA141" i="116" s="1"/>
  <c r="L141" i="116"/>
  <c r="N190" i="117"/>
  <c r="AA190" i="117" s="1"/>
  <c r="L189" i="117"/>
  <c r="N189" i="117" s="1"/>
  <c r="AA189" i="117" s="1"/>
  <c r="Z208" i="117"/>
  <c r="Z145" i="116"/>
  <c r="Y209" i="117"/>
  <c r="Z140" i="116"/>
  <c r="Y141" i="116"/>
  <c r="Y148" i="116"/>
  <c r="Z121" i="120"/>
  <c r="Y121" i="120"/>
  <c r="Z151" i="116"/>
  <c r="Y151" i="116"/>
  <c r="Z150" i="116"/>
  <c r="Y150" i="116"/>
  <c r="Z149" i="116"/>
  <c r="Y149" i="116"/>
  <c r="Y120" i="120"/>
  <c r="Z120" i="120"/>
  <c r="X120" i="120"/>
  <c r="Y119" i="120"/>
  <c r="X209" i="117"/>
  <c r="Z209" i="117"/>
  <c r="Z196" i="117"/>
  <c r="Y146" i="116"/>
  <c r="Z138" i="116"/>
  <c r="Z147" i="116"/>
  <c r="Z143" i="116"/>
  <c r="Z139" i="116"/>
  <c r="AA146" i="116"/>
  <c r="Y142" i="116"/>
  <c r="AA147" i="116"/>
  <c r="AA197" i="117"/>
  <c r="Z118" i="120"/>
  <c r="Z203" i="117"/>
  <c r="Z116" i="120"/>
  <c r="Z201" i="117"/>
  <c r="Z205" i="117"/>
  <c r="Z202" i="117"/>
  <c r="Z189" i="117"/>
  <c r="Z207" i="117"/>
  <c r="Y144" i="116"/>
  <c r="Z206" i="117"/>
  <c r="Z117" i="120"/>
  <c r="Z191" i="117"/>
  <c r="Y188" i="117"/>
  <c r="AA145" i="116"/>
  <c r="Z119" i="120"/>
  <c r="Y118" i="120"/>
  <c r="Y208" i="117"/>
  <c r="Z148" i="116"/>
  <c r="Y147" i="116"/>
  <c r="AA203" i="117"/>
  <c r="Y207" i="117"/>
  <c r="Y206" i="117"/>
  <c r="Y205" i="117"/>
  <c r="AA144" i="116"/>
  <c r="AA188" i="117"/>
  <c r="Z204" i="117"/>
  <c r="AA198" i="117"/>
  <c r="Z198" i="117"/>
  <c r="Z195" i="117"/>
  <c r="Y203" i="117"/>
  <c r="Z146" i="116"/>
  <c r="Y145" i="116"/>
  <c r="Y202" i="117"/>
  <c r="Y201" i="117"/>
  <c r="Z200" i="117"/>
  <c r="Y192" i="117"/>
  <c r="Y185" i="117"/>
  <c r="X200" i="117"/>
  <c r="Y199" i="117"/>
  <c r="Z199" i="117"/>
  <c r="Y200" i="117"/>
  <c r="Z187" i="117"/>
  <c r="Y198" i="117"/>
  <c r="Y197" i="117"/>
  <c r="Z194" i="117"/>
  <c r="Z193" i="117"/>
  <c r="Y117" i="120"/>
  <c r="Y190" i="117"/>
  <c r="Z182" i="117"/>
  <c r="X115" i="120"/>
  <c r="X185" i="117"/>
  <c r="AD185" i="117" s="1"/>
  <c r="X183" i="117"/>
  <c r="X182" i="117"/>
  <c r="Y182" i="117"/>
  <c r="X184" i="117"/>
  <c r="AC184" i="117" s="1"/>
  <c r="X181" i="117"/>
  <c r="Z144" i="116"/>
  <c r="Y143" i="116"/>
  <c r="Z142" i="116"/>
  <c r="L196" i="117"/>
  <c r="N196" i="117" s="1"/>
  <c r="AA196" i="117" s="1"/>
  <c r="Z197" i="117"/>
  <c r="Y196" i="117"/>
  <c r="Z185" i="117"/>
  <c r="Y139" i="116"/>
  <c r="Z141" i="116"/>
  <c r="Y140" i="116"/>
  <c r="X136" i="116"/>
  <c r="Y137" i="116"/>
  <c r="Z137" i="116"/>
  <c r="X135" i="116"/>
  <c r="Y116" i="120"/>
  <c r="Y195" i="117"/>
  <c r="Y194" i="117"/>
  <c r="Y193" i="117"/>
  <c r="Y138" i="116"/>
  <c r="Z192" i="117"/>
  <c r="Y191" i="117"/>
  <c r="Z190" i="117"/>
  <c r="Y189" i="117"/>
  <c r="Z188" i="117"/>
  <c r="Y187" i="117"/>
  <c r="X176" i="117"/>
  <c r="X180" i="117"/>
  <c r="AA151" i="116" l="1"/>
  <c r="U175" i="117"/>
  <c r="U167" i="117" l="1"/>
  <c r="U168" i="117"/>
  <c r="U169" i="117"/>
  <c r="U170" i="117"/>
  <c r="U171" i="117"/>
  <c r="U172" i="117"/>
  <c r="U173" i="117"/>
  <c r="U174" i="117"/>
  <c r="AC110" i="125" l="1"/>
  <c r="AC111" i="125"/>
  <c r="AC112" i="125"/>
  <c r="AC113" i="125"/>
  <c r="AC114" i="125"/>
  <c r="AC116" i="125"/>
  <c r="AC118" i="125"/>
  <c r="AC119" i="125"/>
  <c r="W112" i="125"/>
  <c r="W113" i="125"/>
  <c r="W114" i="125"/>
  <c r="W115" i="125"/>
  <c r="W116" i="125"/>
  <c r="W117" i="125"/>
  <c r="W118" i="125"/>
  <c r="W119" i="125"/>
  <c r="W120" i="125"/>
  <c r="V112" i="125"/>
  <c r="V113" i="125"/>
  <c r="V114" i="125"/>
  <c r="V115" i="125"/>
  <c r="V116" i="125"/>
  <c r="V117" i="125"/>
  <c r="V118" i="125"/>
  <c r="V119" i="125"/>
  <c r="V120" i="125"/>
  <c r="U112" i="125"/>
  <c r="X112" i="125" s="1"/>
  <c r="U113" i="125"/>
  <c r="X113" i="125" s="1"/>
  <c r="U114" i="125"/>
  <c r="X114" i="125" s="1"/>
  <c r="U115" i="125"/>
  <c r="X115" i="125" s="1"/>
  <c r="AC115" i="125" s="1"/>
  <c r="U116" i="125"/>
  <c r="X116" i="125" s="1"/>
  <c r="U117" i="125"/>
  <c r="X117" i="125" s="1"/>
  <c r="U118" i="125"/>
  <c r="U119" i="125"/>
  <c r="U120" i="125"/>
  <c r="M112" i="125"/>
  <c r="M113" i="125"/>
  <c r="M114" i="125"/>
  <c r="M115" i="125"/>
  <c r="M116" i="125"/>
  <c r="M117" i="125"/>
  <c r="M118" i="125"/>
  <c r="M119" i="125"/>
  <c r="M120" i="125"/>
  <c r="M121" i="125"/>
  <c r="M122" i="125"/>
  <c r="F112" i="125"/>
  <c r="N112" i="125" s="1"/>
  <c r="F113" i="125"/>
  <c r="N113" i="125" s="1"/>
  <c r="F114" i="125"/>
  <c r="N114" i="125" s="1"/>
  <c r="F115" i="125"/>
  <c r="F116" i="125"/>
  <c r="N116" i="125" s="1"/>
  <c r="F117" i="125"/>
  <c r="F118" i="125"/>
  <c r="F119" i="125"/>
  <c r="N119" i="125" s="1"/>
  <c r="F120" i="125"/>
  <c r="N120" i="125" s="1"/>
  <c r="F121" i="125"/>
  <c r="N121" i="125" s="1"/>
  <c r="F122" i="125"/>
  <c r="K127" i="121"/>
  <c r="K183" i="117"/>
  <c r="M183" i="117" s="1"/>
  <c r="K184" i="117"/>
  <c r="M184" i="117" s="1"/>
  <c r="K186" i="117"/>
  <c r="M186" i="117" s="1"/>
  <c r="L186" i="117"/>
  <c r="N186" i="117" s="1"/>
  <c r="AA186" i="117" s="1"/>
  <c r="F185" i="117"/>
  <c r="L185" i="117" s="1"/>
  <c r="N185" i="117" s="1"/>
  <c r="AA185" i="117" s="1"/>
  <c r="F184" i="117"/>
  <c r="L184" i="117" s="1"/>
  <c r="N184" i="117" s="1"/>
  <c r="AA184" i="117" s="1"/>
  <c r="F183" i="117"/>
  <c r="L183" i="117" s="1"/>
  <c r="F182" i="117"/>
  <c r="K146" i="124"/>
  <c r="K145" i="124"/>
  <c r="M145" i="124" s="1"/>
  <c r="W145" i="124"/>
  <c r="W146" i="124"/>
  <c r="W147" i="124"/>
  <c r="W148" i="124"/>
  <c r="W149" i="124"/>
  <c r="W150" i="124"/>
  <c r="W151" i="124"/>
  <c r="W152" i="124"/>
  <c r="W153" i="124"/>
  <c r="W154" i="124"/>
  <c r="W155" i="124"/>
  <c r="W156" i="124"/>
  <c r="W157" i="124"/>
  <c r="W158" i="124"/>
  <c r="V145" i="124"/>
  <c r="V146" i="124"/>
  <c r="V147" i="124"/>
  <c r="V148" i="124"/>
  <c r="V149" i="124"/>
  <c r="V150" i="124"/>
  <c r="V151" i="124"/>
  <c r="V152" i="124"/>
  <c r="V153" i="124"/>
  <c r="V154" i="124"/>
  <c r="V155" i="124"/>
  <c r="V156" i="124"/>
  <c r="V157" i="124"/>
  <c r="V158" i="124"/>
  <c r="U145" i="124"/>
  <c r="X145" i="124" s="1"/>
  <c r="U146" i="124"/>
  <c r="X146" i="124" s="1"/>
  <c r="U147" i="124"/>
  <c r="U148" i="124"/>
  <c r="U149" i="124"/>
  <c r="U150" i="124"/>
  <c r="U151" i="124"/>
  <c r="X151" i="124" s="1"/>
  <c r="U152" i="124"/>
  <c r="X152" i="124" s="1"/>
  <c r="U153" i="124"/>
  <c r="U154" i="124"/>
  <c r="Z154" i="124" s="1"/>
  <c r="U155" i="124"/>
  <c r="U156" i="124"/>
  <c r="U157" i="124"/>
  <c r="U158" i="124"/>
  <c r="Z158" i="124" s="1"/>
  <c r="M146" i="124"/>
  <c r="M147" i="124"/>
  <c r="M148" i="124"/>
  <c r="M149" i="124"/>
  <c r="M150" i="124"/>
  <c r="M151" i="124"/>
  <c r="M152" i="124"/>
  <c r="M153" i="124"/>
  <c r="M155" i="124"/>
  <c r="M159" i="124"/>
  <c r="M160" i="124"/>
  <c r="F145" i="124"/>
  <c r="N145" i="124" s="1"/>
  <c r="F146" i="124"/>
  <c r="N146" i="124" s="1"/>
  <c r="F147" i="124"/>
  <c r="N147" i="124" s="1"/>
  <c r="F148" i="124"/>
  <c r="N148" i="124" s="1"/>
  <c r="F149" i="124"/>
  <c r="N149" i="124" s="1"/>
  <c r="F150" i="124"/>
  <c r="F151" i="124"/>
  <c r="F152" i="124"/>
  <c r="F153" i="124"/>
  <c r="F154" i="124"/>
  <c r="F155" i="124"/>
  <c r="N155" i="124" s="1"/>
  <c r="F156" i="124"/>
  <c r="F157" i="124"/>
  <c r="F158" i="124"/>
  <c r="F159" i="124"/>
  <c r="F160" i="124"/>
  <c r="F161" i="124"/>
  <c r="L161" i="124" s="1"/>
  <c r="N161" i="124" s="1"/>
  <c r="AA161" i="124" s="1"/>
  <c r="K175" i="117"/>
  <c r="F181" i="117"/>
  <c r="M181" i="117"/>
  <c r="F180" i="117"/>
  <c r="L180" i="117" s="1"/>
  <c r="M180" i="117"/>
  <c r="F179" i="117"/>
  <c r="L179" i="117" s="1"/>
  <c r="M179" i="117"/>
  <c r="F178" i="117"/>
  <c r="M178" i="117"/>
  <c r="F177" i="117"/>
  <c r="M177" i="117"/>
  <c r="F176" i="117"/>
  <c r="L176" i="117" s="1"/>
  <c r="M176" i="117"/>
  <c r="K100" i="123"/>
  <c r="K112" i="120"/>
  <c r="K114" i="120"/>
  <c r="K168" i="117"/>
  <c r="K169" i="117"/>
  <c r="K172" i="117"/>
  <c r="K173" i="117"/>
  <c r="F167" i="117"/>
  <c r="F168" i="117"/>
  <c r="F169" i="117"/>
  <c r="F170" i="117"/>
  <c r="L170" i="117" s="1"/>
  <c r="F171" i="117"/>
  <c r="F172" i="117"/>
  <c r="F173" i="117"/>
  <c r="F174" i="117"/>
  <c r="L174" i="117" s="1"/>
  <c r="F175" i="117"/>
  <c r="AC117" i="125" l="1"/>
  <c r="AF117" i="125"/>
  <c r="L177" i="117"/>
  <c r="N177" i="117"/>
  <c r="L172" i="117"/>
  <c r="N172" i="117"/>
  <c r="L175" i="117"/>
  <c r="N175" i="117"/>
  <c r="L171" i="117"/>
  <c r="N171" i="117"/>
  <c r="L167" i="117"/>
  <c r="N167" i="117"/>
  <c r="L168" i="117"/>
  <c r="N168" i="117"/>
  <c r="L173" i="117"/>
  <c r="N173" i="117"/>
  <c r="L169" i="117"/>
  <c r="N169" i="117"/>
  <c r="L182" i="117"/>
  <c r="N182" i="117"/>
  <c r="L119" i="125"/>
  <c r="AA119" i="125" s="1"/>
  <c r="L158" i="124"/>
  <c r="N158" i="124" s="1"/>
  <c r="AA158" i="124" s="1"/>
  <c r="L154" i="124"/>
  <c r="N154" i="124" s="1"/>
  <c r="AA154" i="124" s="1"/>
  <c r="L150" i="124"/>
  <c r="N150" i="124" s="1"/>
  <c r="AA150" i="124" s="1"/>
  <c r="Z186" i="117"/>
  <c r="Y186" i="117"/>
  <c r="N122" i="125"/>
  <c r="AA122" i="125" s="1"/>
  <c r="L122" i="125"/>
  <c r="L118" i="125"/>
  <c r="N118" i="125" s="1"/>
  <c r="AA118" i="125" s="1"/>
  <c r="AA114" i="125"/>
  <c r="L114" i="125"/>
  <c r="L155" i="124"/>
  <c r="AA155" i="124" s="1"/>
  <c r="L147" i="124"/>
  <c r="AA147" i="124" s="1"/>
  <c r="L160" i="124"/>
  <c r="N160" i="124" s="1"/>
  <c r="AA160" i="124" s="1"/>
  <c r="L156" i="124"/>
  <c r="N156" i="124" s="1"/>
  <c r="AA156" i="124" s="1"/>
  <c r="L152" i="124"/>
  <c r="N152" i="124" s="1"/>
  <c r="AA152" i="124" s="1"/>
  <c r="L148" i="124"/>
  <c r="AA148" i="124" s="1"/>
  <c r="Y183" i="117"/>
  <c r="Z183" i="117"/>
  <c r="L120" i="125"/>
  <c r="AA120" i="125" s="1"/>
  <c r="L116" i="125"/>
  <c r="AA116" i="125" s="1"/>
  <c r="AA112" i="125"/>
  <c r="L112" i="125"/>
  <c r="L159" i="124"/>
  <c r="N159" i="124" s="1"/>
  <c r="AA159" i="124" s="1"/>
  <c r="L151" i="124"/>
  <c r="N151" i="124" s="1"/>
  <c r="AA151" i="124" s="1"/>
  <c r="N183" i="117"/>
  <c r="AA183" i="117" s="1"/>
  <c r="L115" i="125"/>
  <c r="N115" i="125" s="1"/>
  <c r="AA115" i="125" s="1"/>
  <c r="L157" i="124"/>
  <c r="N157" i="124" s="1"/>
  <c r="AA157" i="124" s="1"/>
  <c r="L153" i="124"/>
  <c r="N153" i="124" s="1"/>
  <c r="AA153" i="124" s="1"/>
  <c r="L149" i="124"/>
  <c r="AA149" i="124" s="1"/>
  <c r="Y184" i="117"/>
  <c r="Z184" i="117"/>
  <c r="L121" i="125"/>
  <c r="AA121" i="125" s="1"/>
  <c r="L117" i="125"/>
  <c r="N117" i="125" s="1"/>
  <c r="AA117" i="125" s="1"/>
  <c r="L113" i="125"/>
  <c r="AA113" i="125" s="1"/>
  <c r="Z149" i="124"/>
  <c r="Y160" i="124"/>
  <c r="Z160" i="124"/>
  <c r="Y159" i="124"/>
  <c r="Z159" i="124"/>
  <c r="Z119" i="125"/>
  <c r="Z122" i="125"/>
  <c r="Y122" i="125"/>
  <c r="Z118" i="125"/>
  <c r="Z121" i="125"/>
  <c r="Y121" i="125"/>
  <c r="Y116" i="125"/>
  <c r="Z120" i="125"/>
  <c r="Z117" i="125"/>
  <c r="Z157" i="124"/>
  <c r="Z112" i="125"/>
  <c r="Z153" i="124"/>
  <c r="Z113" i="125"/>
  <c r="Z146" i="124"/>
  <c r="Z145" i="124"/>
  <c r="Z150" i="124"/>
  <c r="Y156" i="124"/>
  <c r="Y155" i="124"/>
  <c r="Y119" i="125"/>
  <c r="Z181" i="117"/>
  <c r="Y181" i="117"/>
  <c r="Y148" i="124"/>
  <c r="Y147" i="124"/>
  <c r="Y118" i="125"/>
  <c r="Z180" i="117"/>
  <c r="Y180" i="117"/>
  <c r="Y179" i="117"/>
  <c r="Z179" i="117"/>
  <c r="Y178" i="117"/>
  <c r="Z178" i="117"/>
  <c r="Z176" i="117"/>
  <c r="Y176" i="117"/>
  <c r="Z177" i="117"/>
  <c r="Y177" i="117"/>
  <c r="X156" i="124"/>
  <c r="X148" i="124"/>
  <c r="Y152" i="124"/>
  <c r="L146" i="124"/>
  <c r="AA146" i="124" s="1"/>
  <c r="L181" i="117"/>
  <c r="N181" i="117" s="1"/>
  <c r="AA181" i="117" s="1"/>
  <c r="L145" i="124"/>
  <c r="AA145" i="124" s="1"/>
  <c r="X155" i="124"/>
  <c r="X147" i="124"/>
  <c r="Y151" i="124"/>
  <c r="Y120" i="125"/>
  <c r="N176" i="117"/>
  <c r="AA176" i="117" s="1"/>
  <c r="N180" i="117"/>
  <c r="AA180" i="117" s="1"/>
  <c r="Z156" i="124"/>
  <c r="Z152" i="124"/>
  <c r="Z148" i="124"/>
  <c r="Y158" i="124"/>
  <c r="Y154" i="124"/>
  <c r="Y150" i="124"/>
  <c r="X119" i="125"/>
  <c r="L178" i="117"/>
  <c r="N178" i="117" s="1"/>
  <c r="AA178" i="117" s="1"/>
  <c r="Z155" i="124"/>
  <c r="Z151" i="124"/>
  <c r="Z147" i="124"/>
  <c r="Y157" i="124"/>
  <c r="Y153" i="124"/>
  <c r="Y149" i="124"/>
  <c r="X118" i="125"/>
  <c r="X158" i="124"/>
  <c r="X154" i="124"/>
  <c r="X150" i="124"/>
  <c r="Z115" i="125"/>
  <c r="X157" i="124"/>
  <c r="AC157" i="124" s="1"/>
  <c r="X153" i="124"/>
  <c r="AC153" i="124" s="1"/>
  <c r="X149" i="124"/>
  <c r="Z114" i="125"/>
  <c r="X120" i="125"/>
  <c r="AC120" i="125" s="1"/>
  <c r="Y117" i="125"/>
  <c r="Y115" i="125"/>
  <c r="Z116" i="125"/>
  <c r="Y114" i="125"/>
  <c r="Y113" i="125"/>
  <c r="Y112" i="125"/>
  <c r="Y146" i="124"/>
  <c r="Y145" i="124"/>
  <c r="N179" i="117"/>
  <c r="AA179" i="117" s="1"/>
  <c r="AA177" i="117"/>
  <c r="K135" i="116"/>
  <c r="AA182" i="117" l="1"/>
  <c r="F15" i="161"/>
  <c r="F14" i="161"/>
  <c r="D284" i="84"/>
  <c r="C284" i="84"/>
  <c r="E221" i="84"/>
  <c r="E222" i="84" s="1"/>
  <c r="E223" i="84" s="1"/>
  <c r="E224" i="84" s="1"/>
  <c r="E225" i="84" s="1"/>
  <c r="E226" i="84" s="1"/>
  <c r="E227" i="84" s="1"/>
  <c r="E228" i="84" s="1"/>
  <c r="E229" i="84" s="1"/>
  <c r="E230" i="84" s="1"/>
  <c r="E231" i="84" s="1"/>
  <c r="E232" i="84" s="1"/>
  <c r="E233" i="84" s="1"/>
  <c r="E234" i="84" s="1"/>
  <c r="E235" i="84" s="1"/>
  <c r="E236" i="84" s="1"/>
  <c r="E237" i="84" s="1"/>
  <c r="E238" i="84" s="1"/>
  <c r="E239" i="84" s="1"/>
  <c r="E240" i="84" s="1"/>
  <c r="E241" i="84" s="1"/>
  <c r="E242" i="84" s="1"/>
  <c r="E243" i="84" s="1"/>
  <c r="E244" i="84" s="1"/>
  <c r="E245" i="84" s="1"/>
  <c r="E246" i="84" s="1"/>
  <c r="E247" i="84" s="1"/>
  <c r="E248" i="84" s="1"/>
  <c r="E249" i="84" s="1"/>
  <c r="E250" i="84" s="1"/>
  <c r="E251" i="84" s="1"/>
  <c r="E252" i="84" s="1"/>
  <c r="E253" i="84" s="1"/>
  <c r="E254" i="84" s="1"/>
  <c r="E255" i="84" s="1"/>
  <c r="E256" i="84" s="1"/>
  <c r="E257" i="84" s="1"/>
  <c r="E258" i="84" s="1"/>
  <c r="E259" i="84" s="1"/>
  <c r="E260" i="84" s="1"/>
  <c r="E261" i="84" s="1"/>
  <c r="E262" i="84" s="1"/>
  <c r="E263" i="84" s="1"/>
  <c r="E264" i="84" s="1"/>
  <c r="E265" i="84" s="1"/>
  <c r="E266" i="84" s="1"/>
  <c r="E267" i="84" s="1"/>
  <c r="E268" i="84" s="1"/>
  <c r="E269" i="84" s="1"/>
  <c r="E270" i="84" s="1"/>
  <c r="E271" i="84" s="1"/>
  <c r="E272" i="84" s="1"/>
  <c r="E273" i="84" s="1"/>
  <c r="E274" i="84" s="1"/>
  <c r="E275" i="84" s="1"/>
  <c r="E276" i="84" s="1"/>
  <c r="E277" i="84" s="1"/>
  <c r="E278" i="84" s="1"/>
  <c r="E279" i="84" s="1"/>
  <c r="E280" i="84" s="1"/>
  <c r="E281" i="84" s="1"/>
  <c r="E282" i="84" s="1"/>
  <c r="E283" i="84" s="1"/>
  <c r="AF84" i="122"/>
  <c r="AF133" i="116"/>
  <c r="AE133" i="116"/>
  <c r="AD133" i="116"/>
  <c r="AC133" i="116"/>
  <c r="AF132" i="116"/>
  <c r="AE132" i="116"/>
  <c r="AD132" i="116"/>
  <c r="AC132" i="116"/>
  <c r="AF131" i="116"/>
  <c r="AE131" i="116"/>
  <c r="AD131" i="116"/>
  <c r="AC131" i="116"/>
  <c r="AF130" i="116"/>
  <c r="AE130" i="116"/>
  <c r="AD130" i="116"/>
  <c r="AC130" i="116"/>
  <c r="AF129" i="116"/>
  <c r="AE129" i="116"/>
  <c r="AD129" i="116"/>
  <c r="AC129" i="116"/>
  <c r="AF128" i="116"/>
  <c r="AE128" i="116"/>
  <c r="AD128" i="116"/>
  <c r="AC128" i="116"/>
  <c r="AF127" i="116"/>
  <c r="AE127" i="116"/>
  <c r="AD127" i="116"/>
  <c r="AC127" i="116"/>
  <c r="AF126" i="116"/>
  <c r="AE126" i="116"/>
  <c r="AD126" i="116"/>
  <c r="AC126" i="116"/>
  <c r="AF125" i="116"/>
  <c r="AE125" i="116"/>
  <c r="AD125" i="116"/>
  <c r="AC125" i="116"/>
  <c r="AF124" i="116"/>
  <c r="AE124" i="116"/>
  <c r="AD124" i="116"/>
  <c r="AC124" i="116"/>
  <c r="AF123" i="116"/>
  <c r="AE123" i="116"/>
  <c r="AD123" i="116"/>
  <c r="AC123" i="116"/>
  <c r="AF122" i="116"/>
  <c r="AE122" i="116"/>
  <c r="AD122" i="116"/>
  <c r="AC122" i="116"/>
  <c r="AF121" i="116"/>
  <c r="AE121" i="116"/>
  <c r="AD121" i="116"/>
  <c r="AC121" i="116"/>
  <c r="AF120" i="116"/>
  <c r="AE120" i="116"/>
  <c r="AD120" i="116"/>
  <c r="AC120" i="116"/>
  <c r="AF119" i="116"/>
  <c r="AE119" i="116"/>
  <c r="AD119" i="116"/>
  <c r="AC119" i="116"/>
  <c r="AF118" i="116"/>
  <c r="AE118" i="116"/>
  <c r="AD118" i="116"/>
  <c r="AC118" i="116"/>
  <c r="AF117" i="116"/>
  <c r="AE117" i="116"/>
  <c r="AD117" i="116"/>
  <c r="AC117" i="116"/>
  <c r="AF116" i="116"/>
  <c r="AE116" i="116"/>
  <c r="AD116" i="116"/>
  <c r="AC116" i="116"/>
  <c r="AF115" i="116"/>
  <c r="AE115" i="116"/>
  <c r="AD115" i="116"/>
  <c r="AC115" i="116"/>
  <c r="AF114" i="116"/>
  <c r="AE114" i="116"/>
  <c r="AD114" i="116"/>
  <c r="AC114" i="116"/>
  <c r="AF113" i="116"/>
  <c r="AE113" i="116"/>
  <c r="AD113" i="116"/>
  <c r="AC113" i="116"/>
  <c r="AF112" i="116"/>
  <c r="AE112" i="116"/>
  <c r="AD112" i="116"/>
  <c r="AC112" i="116"/>
  <c r="AF111" i="116"/>
  <c r="AE111" i="116"/>
  <c r="AD111" i="116"/>
  <c r="AC111" i="116"/>
  <c r="AF110" i="116"/>
  <c r="AE110" i="116"/>
  <c r="AD110" i="116"/>
  <c r="AC110" i="116"/>
  <c r="AF109" i="116"/>
  <c r="AE109" i="116"/>
  <c r="AD109" i="116"/>
  <c r="AC109" i="116"/>
  <c r="AF108" i="116"/>
  <c r="AE108" i="116"/>
  <c r="AD108" i="116"/>
  <c r="AC108" i="116"/>
  <c r="AF107" i="116"/>
  <c r="AE107" i="116"/>
  <c r="AD107" i="116"/>
  <c r="AC107" i="116"/>
  <c r="AF106" i="116"/>
  <c r="AE106" i="116"/>
  <c r="AD106" i="116"/>
  <c r="AC106" i="116"/>
  <c r="AD105" i="116"/>
  <c r="AC105" i="116"/>
  <c r="AF104" i="116"/>
  <c r="AE104" i="116"/>
  <c r="AD104" i="116"/>
  <c r="AC104" i="116"/>
  <c r="AF103" i="116"/>
  <c r="AE103" i="116"/>
  <c r="AD103" i="116"/>
  <c r="AC103" i="116"/>
  <c r="AF102" i="116"/>
  <c r="AE102" i="116"/>
  <c r="AD102" i="116"/>
  <c r="AC102" i="116"/>
  <c r="AF101" i="116"/>
  <c r="AE101" i="116"/>
  <c r="AD101" i="116"/>
  <c r="AC101" i="116"/>
  <c r="AF100" i="116"/>
  <c r="AE100" i="116"/>
  <c r="AD100" i="116"/>
  <c r="AC100" i="116"/>
  <c r="AF99" i="116"/>
  <c r="AE99" i="116"/>
  <c r="AD99" i="116"/>
  <c r="AC99" i="116"/>
  <c r="E284" i="84" l="1"/>
  <c r="H15" i="67" s="1"/>
  <c r="G14" i="70" s="1"/>
  <c r="G14" i="161" s="1"/>
  <c r="N73" i="13"/>
  <c r="O73" i="13"/>
  <c r="P73" i="13"/>
  <c r="Q73" i="13"/>
  <c r="F65" i="162" l="1"/>
  <c r="F56" i="69"/>
  <c r="D52" i="66"/>
  <c r="K142" i="124"/>
  <c r="K143" i="124"/>
  <c r="K144" i="124"/>
  <c r="F144" i="124"/>
  <c r="L144" i="124" s="1"/>
  <c r="K108" i="120"/>
  <c r="K102" i="119"/>
  <c r="K103" i="119"/>
  <c r="F143" i="124"/>
  <c r="L143" i="124" l="1"/>
  <c r="N143" i="124"/>
  <c r="K101" i="119"/>
  <c r="K100" i="119"/>
  <c r="M100" i="119" s="1"/>
  <c r="K141" i="124"/>
  <c r="F142" i="124"/>
  <c r="L142" i="124" s="1"/>
  <c r="F141" i="124"/>
  <c r="F140" i="124"/>
  <c r="F139" i="124"/>
  <c r="L139" i="124" s="1"/>
  <c r="AF97" i="119"/>
  <c r="AF98" i="119"/>
  <c r="AF99" i="119"/>
  <c r="AF100" i="119"/>
  <c r="AF101" i="119"/>
  <c r="AF102" i="119"/>
  <c r="AF103" i="119"/>
  <c r="AF104" i="119"/>
  <c r="AF106" i="119"/>
  <c r="AF107" i="119"/>
  <c r="AE97" i="119"/>
  <c r="AE98" i="119"/>
  <c r="AE99" i="119"/>
  <c r="AE100" i="119"/>
  <c r="AE101" i="119"/>
  <c r="AE102" i="119"/>
  <c r="AE103" i="119"/>
  <c r="AE104" i="119"/>
  <c r="AE106" i="119"/>
  <c r="AE107" i="119"/>
  <c r="AD97" i="119"/>
  <c r="AD98" i="119"/>
  <c r="AD99" i="119"/>
  <c r="AD100" i="119"/>
  <c r="AD101" i="119"/>
  <c r="AD102" i="119"/>
  <c r="AD103" i="119"/>
  <c r="AD104" i="119"/>
  <c r="AD105" i="119"/>
  <c r="AD106" i="119"/>
  <c r="AD107" i="119"/>
  <c r="AC97" i="119"/>
  <c r="AC98" i="119"/>
  <c r="AC99" i="119"/>
  <c r="AC100" i="119"/>
  <c r="AC101" i="119"/>
  <c r="AC102" i="119"/>
  <c r="AC103" i="119"/>
  <c r="AC104" i="119"/>
  <c r="AC105" i="119"/>
  <c r="AC106" i="119"/>
  <c r="AC107" i="119"/>
  <c r="V97" i="119"/>
  <c r="V98" i="119"/>
  <c r="V99" i="119"/>
  <c r="V100" i="119"/>
  <c r="V101" i="119"/>
  <c r="V102" i="119"/>
  <c r="V103" i="119"/>
  <c r="V104" i="119"/>
  <c r="V105" i="119"/>
  <c r="V106" i="119"/>
  <c r="V107" i="119"/>
  <c r="V108" i="119"/>
  <c r="U97" i="119"/>
  <c r="U98" i="119"/>
  <c r="U99" i="119"/>
  <c r="X99" i="119" s="1"/>
  <c r="U100" i="119"/>
  <c r="X100" i="119" s="1"/>
  <c r="U101" i="119"/>
  <c r="X101" i="119" s="1"/>
  <c r="U102" i="119"/>
  <c r="X102" i="119" s="1"/>
  <c r="U103" i="119"/>
  <c r="X103" i="119" s="1"/>
  <c r="U104" i="119"/>
  <c r="U105" i="119"/>
  <c r="U106" i="119"/>
  <c r="U107" i="119"/>
  <c r="Z107" i="119" s="1"/>
  <c r="U108" i="119"/>
  <c r="Z108" i="119" s="1"/>
  <c r="M99" i="119"/>
  <c r="M101" i="119"/>
  <c r="M102" i="119"/>
  <c r="M103" i="119"/>
  <c r="M104" i="119"/>
  <c r="M105" i="119"/>
  <c r="M106" i="119"/>
  <c r="F99" i="119"/>
  <c r="F100" i="119"/>
  <c r="F101" i="119"/>
  <c r="L101" i="119" s="1"/>
  <c r="F102" i="119"/>
  <c r="F103" i="119"/>
  <c r="F104" i="119"/>
  <c r="F105" i="119"/>
  <c r="F106" i="119"/>
  <c r="N106" i="119" s="1"/>
  <c r="F107" i="119"/>
  <c r="F108" i="119"/>
  <c r="F109" i="119"/>
  <c r="K102" i="122"/>
  <c r="AF101" i="122"/>
  <c r="AF102" i="122"/>
  <c r="AF103" i="122"/>
  <c r="AF104" i="122"/>
  <c r="AF105" i="122"/>
  <c r="AF106" i="122"/>
  <c r="AF107" i="122"/>
  <c r="AF108" i="122"/>
  <c r="AF109" i="122"/>
  <c r="AF110" i="122"/>
  <c r="AF111" i="122"/>
  <c r="AF112" i="122"/>
  <c r="AF113" i="122"/>
  <c r="AF114" i="122"/>
  <c r="AF115" i="122"/>
  <c r="AF116" i="122"/>
  <c r="AE101" i="122"/>
  <c r="AE102" i="122"/>
  <c r="AE103" i="122"/>
  <c r="AE104" i="122"/>
  <c r="AE105" i="122"/>
  <c r="AE106" i="122"/>
  <c r="AE107" i="122"/>
  <c r="AE108" i="122"/>
  <c r="AE109" i="122"/>
  <c r="AE110" i="122"/>
  <c r="AE111" i="122"/>
  <c r="AE112" i="122"/>
  <c r="AE113" i="122"/>
  <c r="AE114" i="122"/>
  <c r="AE115" i="122"/>
  <c r="AE116" i="122"/>
  <c r="AD101" i="122"/>
  <c r="AD102" i="122"/>
  <c r="AD103" i="122"/>
  <c r="AD104" i="122"/>
  <c r="AD105" i="122"/>
  <c r="AD106" i="122"/>
  <c r="AD107" i="122"/>
  <c r="AD108" i="122"/>
  <c r="AD109" i="122"/>
  <c r="AD110" i="122"/>
  <c r="AD111" i="122"/>
  <c r="AD112" i="122"/>
  <c r="AD113" i="122"/>
  <c r="AD114" i="122"/>
  <c r="AD115" i="122"/>
  <c r="AC102" i="122"/>
  <c r="AC103" i="122"/>
  <c r="AC104" i="122"/>
  <c r="AC105" i="122"/>
  <c r="AC106" i="122"/>
  <c r="AC108" i="122"/>
  <c r="AC109" i="122"/>
  <c r="AC110" i="122"/>
  <c r="AC111" i="122"/>
  <c r="AC112" i="122"/>
  <c r="AC113" i="122"/>
  <c r="AC114" i="122"/>
  <c r="AC115" i="122"/>
  <c r="W101" i="122"/>
  <c r="W102" i="122"/>
  <c r="W103" i="122"/>
  <c r="W104" i="122"/>
  <c r="W105" i="122"/>
  <c r="W106" i="122"/>
  <c r="W107" i="122"/>
  <c r="W108" i="122"/>
  <c r="W109" i="122"/>
  <c r="W110" i="122"/>
  <c r="W111" i="122"/>
  <c r="W112" i="122"/>
  <c r="W113" i="122"/>
  <c r="W114" i="122"/>
  <c r="V101" i="122"/>
  <c r="V102" i="122"/>
  <c r="V103" i="122"/>
  <c r="V104" i="122"/>
  <c r="V105" i="122"/>
  <c r="V106" i="122"/>
  <c r="V107" i="122"/>
  <c r="V108" i="122"/>
  <c r="V109" i="122"/>
  <c r="V110" i="122"/>
  <c r="V111" i="122"/>
  <c r="V112" i="122"/>
  <c r="V113" i="122"/>
  <c r="V114" i="122"/>
  <c r="U101" i="122"/>
  <c r="X101" i="122" s="1"/>
  <c r="AC101" i="122" s="1"/>
  <c r="U102" i="122"/>
  <c r="X102" i="122" s="1"/>
  <c r="U103" i="122"/>
  <c r="X103" i="122" s="1"/>
  <c r="U104" i="122"/>
  <c r="X104" i="122" s="1"/>
  <c r="U105" i="122"/>
  <c r="X105" i="122" s="1"/>
  <c r="U106" i="122"/>
  <c r="U107" i="122"/>
  <c r="U108" i="122"/>
  <c r="U109" i="122"/>
  <c r="U110" i="122"/>
  <c r="U111" i="122"/>
  <c r="U112" i="122"/>
  <c r="U113" i="122"/>
  <c r="U114" i="122"/>
  <c r="M101" i="122"/>
  <c r="M102" i="122"/>
  <c r="M103" i="122"/>
  <c r="M104" i="122"/>
  <c r="M105" i="122"/>
  <c r="M107" i="122"/>
  <c r="M108" i="122"/>
  <c r="M109" i="122"/>
  <c r="M110" i="122"/>
  <c r="M111" i="122"/>
  <c r="M112" i="122"/>
  <c r="M113" i="122"/>
  <c r="M114" i="122"/>
  <c r="F101" i="122"/>
  <c r="L101" i="122" s="1"/>
  <c r="F102" i="122"/>
  <c r="N102" i="122" s="1"/>
  <c r="F103" i="122"/>
  <c r="F104" i="122"/>
  <c r="N104" i="122" s="1"/>
  <c r="F105" i="122"/>
  <c r="F106" i="122"/>
  <c r="F107" i="122"/>
  <c r="N107" i="122" s="1"/>
  <c r="F108" i="122"/>
  <c r="F109" i="122"/>
  <c r="F110" i="122"/>
  <c r="F111" i="122"/>
  <c r="N111" i="122" s="1"/>
  <c r="F112" i="122"/>
  <c r="F113" i="122"/>
  <c r="F114" i="122"/>
  <c r="F115" i="122"/>
  <c r="F116" i="122"/>
  <c r="AF125" i="121"/>
  <c r="AF126" i="121"/>
  <c r="AF127" i="121"/>
  <c r="AF128" i="121"/>
  <c r="AF129" i="121"/>
  <c r="AF130" i="121"/>
  <c r="AF131" i="121"/>
  <c r="AE125" i="121"/>
  <c r="AE126" i="121"/>
  <c r="AE127" i="121"/>
  <c r="AE128" i="121"/>
  <c r="AE129" i="121"/>
  <c r="AE130" i="121"/>
  <c r="AD125" i="121"/>
  <c r="AD126" i="121"/>
  <c r="AD127" i="121"/>
  <c r="AD128" i="121"/>
  <c r="AD129" i="121"/>
  <c r="AD130" i="121"/>
  <c r="AD131" i="121"/>
  <c r="AD132" i="121"/>
  <c r="AC125" i="121"/>
  <c r="W125" i="121"/>
  <c r="W126" i="121"/>
  <c r="W127" i="121"/>
  <c r="W128" i="121"/>
  <c r="W129" i="121"/>
  <c r="W130" i="121"/>
  <c r="W131" i="121"/>
  <c r="W132" i="121"/>
  <c r="W133" i="121"/>
  <c r="W134" i="121"/>
  <c r="W135" i="121"/>
  <c r="V125" i="121"/>
  <c r="V126" i="121"/>
  <c r="V127" i="121"/>
  <c r="V128" i="121"/>
  <c r="V129" i="121"/>
  <c r="V130" i="121"/>
  <c r="V131" i="121"/>
  <c r="V132" i="121"/>
  <c r="V133" i="121"/>
  <c r="V134" i="121"/>
  <c r="V135" i="121"/>
  <c r="V136" i="121"/>
  <c r="U125" i="121"/>
  <c r="U126" i="121"/>
  <c r="U127" i="121"/>
  <c r="U128" i="121"/>
  <c r="X128" i="121" s="1"/>
  <c r="U129" i="121"/>
  <c r="U130" i="121"/>
  <c r="X130" i="121" s="1"/>
  <c r="U131" i="121"/>
  <c r="U132" i="121"/>
  <c r="X132" i="121" s="1"/>
  <c r="U133" i="121"/>
  <c r="Z133" i="121" s="1"/>
  <c r="U134" i="121"/>
  <c r="X134" i="121" s="1"/>
  <c r="U135" i="121"/>
  <c r="U136" i="121"/>
  <c r="X136" i="121" s="1"/>
  <c r="M125" i="121"/>
  <c r="M126" i="121"/>
  <c r="M127" i="121"/>
  <c r="M128" i="121"/>
  <c r="M129" i="121"/>
  <c r="M130" i="121"/>
  <c r="M131" i="121"/>
  <c r="M132" i="121"/>
  <c r="M134" i="121"/>
  <c r="M135" i="121"/>
  <c r="M136" i="121"/>
  <c r="F125" i="121"/>
  <c r="F126" i="121"/>
  <c r="N126" i="121" s="1"/>
  <c r="F127" i="121"/>
  <c r="N127" i="121" s="1"/>
  <c r="F128" i="121"/>
  <c r="F129" i="121"/>
  <c r="F130" i="121"/>
  <c r="F131" i="121"/>
  <c r="N131" i="121" s="1"/>
  <c r="F132" i="121"/>
  <c r="F133" i="121"/>
  <c r="F134" i="121"/>
  <c r="N134" i="121" s="1"/>
  <c r="F135" i="121"/>
  <c r="F136" i="121"/>
  <c r="F137" i="121"/>
  <c r="L137" i="121" s="1"/>
  <c r="N137" i="121" s="1"/>
  <c r="AA137" i="121" s="1"/>
  <c r="K107" i="120"/>
  <c r="AF99" i="123"/>
  <c r="AF100" i="123"/>
  <c r="AF101" i="123"/>
  <c r="AE99" i="123"/>
  <c r="AE100" i="123"/>
  <c r="AE101" i="123"/>
  <c r="AD99" i="123"/>
  <c r="AD100" i="123"/>
  <c r="AD101" i="123"/>
  <c r="AC99" i="123"/>
  <c r="AC100" i="123"/>
  <c r="AC101" i="123"/>
  <c r="V97" i="123"/>
  <c r="V98" i="123"/>
  <c r="V99" i="123"/>
  <c r="V100" i="123"/>
  <c r="V101" i="123"/>
  <c r="U97" i="123"/>
  <c r="U98" i="123"/>
  <c r="U99" i="123"/>
  <c r="X99" i="123" s="1"/>
  <c r="U100" i="123"/>
  <c r="U101" i="123"/>
  <c r="M99" i="123"/>
  <c r="M100" i="123"/>
  <c r="M101" i="123"/>
  <c r="M102" i="123"/>
  <c r="M103" i="123"/>
  <c r="F99" i="123"/>
  <c r="N101" i="123"/>
  <c r="AA102" i="123"/>
  <c r="N103" i="123"/>
  <c r="AA103" i="123" s="1"/>
  <c r="K106" i="120"/>
  <c r="K105" i="120"/>
  <c r="K40" i="124"/>
  <c r="K39" i="124"/>
  <c r="K38" i="124"/>
  <c r="L116" i="122" l="1"/>
  <c r="N116" i="122"/>
  <c r="L133" i="121"/>
  <c r="N133" i="121"/>
  <c r="Z101" i="122"/>
  <c r="L141" i="124"/>
  <c r="N141" i="124"/>
  <c r="L99" i="123"/>
  <c r="N99" i="123"/>
  <c r="AA99" i="123" s="1"/>
  <c r="L140" i="124"/>
  <c r="N140" i="124"/>
  <c r="Z114" i="122"/>
  <c r="L103" i="122"/>
  <c r="N103" i="122"/>
  <c r="L105" i="122"/>
  <c r="N105" i="122"/>
  <c r="Z101" i="119"/>
  <c r="Z105" i="119"/>
  <c r="Y100" i="119"/>
  <c r="Z104" i="119"/>
  <c r="L135" i="121"/>
  <c r="N135" i="121" s="1"/>
  <c r="AA135" i="121" s="1"/>
  <c r="AA131" i="121"/>
  <c r="L131" i="121"/>
  <c r="L114" i="122"/>
  <c r="N114" i="122" s="1"/>
  <c r="AA114" i="122" s="1"/>
  <c r="L110" i="122"/>
  <c r="N110" i="122" s="1"/>
  <c r="AA110" i="122" s="1"/>
  <c r="L104" i="119"/>
  <c r="N104" i="119" s="1"/>
  <c r="AA104" i="119" s="1"/>
  <c r="L136" i="121"/>
  <c r="N136" i="121" s="1"/>
  <c r="AA136" i="121" s="1"/>
  <c r="L128" i="121"/>
  <c r="N128" i="121" s="1"/>
  <c r="AA128" i="121" s="1"/>
  <c r="L129" i="121"/>
  <c r="N129" i="121" s="1"/>
  <c r="AA129" i="121" s="1"/>
  <c r="L112" i="122"/>
  <c r="N112" i="122" s="1"/>
  <c r="AA112" i="122" s="1"/>
  <c r="L108" i="122"/>
  <c r="N108" i="122" s="1"/>
  <c r="AA108" i="122" s="1"/>
  <c r="L106" i="119"/>
  <c r="AA106" i="119" s="1"/>
  <c r="Z106" i="119"/>
  <c r="Z102" i="119"/>
  <c r="L132" i="121"/>
  <c r="N132" i="121" s="1"/>
  <c r="AA132" i="121" s="1"/>
  <c r="L115" i="122"/>
  <c r="N115" i="122" s="1"/>
  <c r="AA115" i="122" s="1"/>
  <c r="L111" i="122"/>
  <c r="AA111" i="122" s="1"/>
  <c r="L107" i="122"/>
  <c r="AA107" i="122" s="1"/>
  <c r="L105" i="119"/>
  <c r="N105" i="119" s="1"/>
  <c r="AA105" i="119" s="1"/>
  <c r="L134" i="121"/>
  <c r="AA134" i="121" s="1"/>
  <c r="L130" i="121"/>
  <c r="N130" i="121" s="1"/>
  <c r="AA130" i="121" s="1"/>
  <c r="L113" i="122"/>
  <c r="N113" i="122" s="1"/>
  <c r="AA113" i="122" s="1"/>
  <c r="L109" i="122"/>
  <c r="N109" i="122" s="1"/>
  <c r="AA109" i="122" s="1"/>
  <c r="L107" i="119"/>
  <c r="N107" i="119" s="1"/>
  <c r="AA107" i="119" s="1"/>
  <c r="Z99" i="119"/>
  <c r="Z102" i="122"/>
  <c r="Z105" i="122"/>
  <c r="Z110" i="122"/>
  <c r="Z132" i="121"/>
  <c r="Z128" i="121"/>
  <c r="Y115" i="122"/>
  <c r="Z129" i="121"/>
  <c r="Z106" i="122"/>
  <c r="Z109" i="122"/>
  <c r="Z131" i="121"/>
  <c r="AA133" i="121"/>
  <c r="Z130" i="121"/>
  <c r="Z136" i="121"/>
  <c r="Z113" i="122"/>
  <c r="Z135" i="121"/>
  <c r="Z134" i="121"/>
  <c r="Z103" i="123"/>
  <c r="Y103" i="123"/>
  <c r="Z102" i="123"/>
  <c r="Y102" i="123"/>
  <c r="L109" i="119"/>
  <c r="N109" i="119" s="1"/>
  <c r="AA109" i="119" s="1"/>
  <c r="L108" i="119"/>
  <c r="N108" i="119" s="1"/>
  <c r="AA108" i="119" s="1"/>
  <c r="Z109" i="119"/>
  <c r="Y109" i="119"/>
  <c r="Y112" i="122"/>
  <c r="Y111" i="122"/>
  <c r="AA101" i="123"/>
  <c r="Z101" i="123"/>
  <c r="Z103" i="119"/>
  <c r="Y108" i="122"/>
  <c r="Y107" i="122"/>
  <c r="Z100" i="123"/>
  <c r="Y131" i="121"/>
  <c r="Y107" i="119"/>
  <c r="Y106" i="119"/>
  <c r="Z99" i="123"/>
  <c r="Y101" i="123"/>
  <c r="Y133" i="121"/>
  <c r="Y129" i="121"/>
  <c r="L106" i="122"/>
  <c r="N106" i="122" s="1"/>
  <c r="AA106" i="122" s="1"/>
  <c r="Z112" i="122"/>
  <c r="Z108" i="122"/>
  <c r="Y104" i="122"/>
  <c r="Y114" i="122"/>
  <c r="Y110" i="122"/>
  <c r="Y105" i="119"/>
  <c r="Y135" i="121"/>
  <c r="L100" i="123"/>
  <c r="AA100" i="123" s="1"/>
  <c r="Z111" i="122"/>
  <c r="Z107" i="122"/>
  <c r="Z103" i="122"/>
  <c r="Y113" i="122"/>
  <c r="Y109" i="122"/>
  <c r="Y108" i="119"/>
  <c r="Y104" i="119"/>
  <c r="L127" i="121"/>
  <c r="AA127" i="121" s="1"/>
  <c r="AA126" i="121"/>
  <c r="L126" i="121"/>
  <c r="L125" i="121"/>
  <c r="N125" i="121" s="1"/>
  <c r="AA125" i="121" s="1"/>
  <c r="Y106" i="122"/>
  <c r="Y100" i="123"/>
  <c r="L102" i="119"/>
  <c r="N102" i="119" s="1"/>
  <c r="AA102" i="119" s="1"/>
  <c r="X101" i="123"/>
  <c r="Z127" i="121"/>
  <c r="Z125" i="121"/>
  <c r="X135" i="121"/>
  <c r="X133" i="121"/>
  <c r="X131" i="121"/>
  <c r="X129" i="121"/>
  <c r="Y136" i="121"/>
  <c r="Y134" i="121"/>
  <c r="Y132" i="121"/>
  <c r="Y130" i="121"/>
  <c r="Y128" i="121"/>
  <c r="X113" i="122"/>
  <c r="X111" i="122"/>
  <c r="X109" i="122"/>
  <c r="X107" i="122"/>
  <c r="AC107" i="122" s="1"/>
  <c r="L102" i="122"/>
  <c r="AA102" i="122" s="1"/>
  <c r="X108" i="119"/>
  <c r="X106" i="119"/>
  <c r="X104" i="119"/>
  <c r="N103" i="119"/>
  <c r="AA103" i="119" s="1"/>
  <c r="L103" i="119"/>
  <c r="X100" i="123"/>
  <c r="Z126" i="121"/>
  <c r="AA105" i="122"/>
  <c r="AA103" i="122"/>
  <c r="N101" i="122"/>
  <c r="AA101" i="122" s="1"/>
  <c r="X114" i="122"/>
  <c r="X112" i="122"/>
  <c r="X110" i="122"/>
  <c r="X108" i="122"/>
  <c r="X106" i="122"/>
  <c r="L104" i="122"/>
  <c r="AA104" i="122" s="1"/>
  <c r="N101" i="119"/>
  <c r="AA101" i="119" s="1"/>
  <c r="X107" i="119"/>
  <c r="X105" i="119"/>
  <c r="L99" i="119"/>
  <c r="N99" i="119" s="1"/>
  <c r="AA99" i="119" s="1"/>
  <c r="L100" i="119"/>
  <c r="N100" i="119" s="1"/>
  <c r="AA100" i="119" s="1"/>
  <c r="X127" i="121"/>
  <c r="X125" i="121"/>
  <c r="Y127" i="121"/>
  <c r="Y125" i="121"/>
  <c r="X126" i="121"/>
  <c r="Y126" i="121"/>
  <c r="X98" i="123"/>
  <c r="Y103" i="119"/>
  <c r="Y102" i="119"/>
  <c r="X98" i="119"/>
  <c r="X97" i="123"/>
  <c r="X97" i="119"/>
  <c r="Y101" i="119"/>
  <c r="Z100" i="119"/>
  <c r="Y99" i="119"/>
  <c r="Y105" i="122"/>
  <c r="Z104" i="122"/>
  <c r="Y103" i="122"/>
  <c r="Y102" i="122"/>
  <c r="Y101" i="122"/>
  <c r="Y99" i="123"/>
  <c r="J7" i="19"/>
  <c r="AC135" i="121" l="1"/>
  <c r="AF135" i="121"/>
  <c r="AE105" i="119"/>
  <c r="AF105" i="119"/>
  <c r="AA116" i="122"/>
  <c r="AF97" i="120"/>
  <c r="AF99" i="120"/>
  <c r="AF100" i="120"/>
  <c r="AF102" i="120"/>
  <c r="AF103" i="120"/>
  <c r="AF105" i="120"/>
  <c r="AF106" i="120"/>
  <c r="AF107" i="120"/>
  <c r="AF109" i="120"/>
  <c r="AF110" i="120"/>
  <c r="AF111" i="120"/>
  <c r="AF112" i="120"/>
  <c r="AF113" i="120"/>
  <c r="AF114" i="120"/>
  <c r="AE97" i="120"/>
  <c r="AE98" i="120"/>
  <c r="AE99" i="120"/>
  <c r="AE100" i="120"/>
  <c r="AE101" i="120"/>
  <c r="AE102" i="120"/>
  <c r="AE103" i="120"/>
  <c r="AE104" i="120"/>
  <c r="AE105" i="120"/>
  <c r="AE106" i="120"/>
  <c r="AE107" i="120"/>
  <c r="AE108" i="120"/>
  <c r="AE109" i="120"/>
  <c r="AE110" i="120"/>
  <c r="AE111" i="120"/>
  <c r="AE112" i="120"/>
  <c r="AE113" i="120"/>
  <c r="AE114" i="120"/>
  <c r="AD97" i="120"/>
  <c r="AD98" i="120"/>
  <c r="AD99" i="120"/>
  <c r="AD100" i="120"/>
  <c r="AD101" i="120"/>
  <c r="AD102" i="120"/>
  <c r="AD103" i="120"/>
  <c r="AD104" i="120"/>
  <c r="AD105" i="120"/>
  <c r="AD106" i="120"/>
  <c r="AD107" i="120"/>
  <c r="AD108" i="120"/>
  <c r="AD109" i="120"/>
  <c r="AD110" i="120"/>
  <c r="AD111" i="120"/>
  <c r="AD112" i="120"/>
  <c r="AD113" i="120"/>
  <c r="AD114" i="120"/>
  <c r="AC103" i="120"/>
  <c r="AC105" i="120"/>
  <c r="AC106" i="120"/>
  <c r="AC107" i="120"/>
  <c r="AC108" i="120"/>
  <c r="AC109" i="120"/>
  <c r="AC110" i="120"/>
  <c r="AC111" i="120"/>
  <c r="AC112" i="120"/>
  <c r="AC113" i="120"/>
  <c r="AC114" i="120"/>
  <c r="W105" i="120"/>
  <c r="W106" i="120"/>
  <c r="W107" i="120"/>
  <c r="W108" i="120"/>
  <c r="W109" i="120"/>
  <c r="W110" i="120"/>
  <c r="W111" i="120"/>
  <c r="W112" i="120"/>
  <c r="W113" i="120"/>
  <c r="W114" i="120"/>
  <c r="V105" i="120"/>
  <c r="V106" i="120"/>
  <c r="V107" i="120"/>
  <c r="V108" i="120"/>
  <c r="V109" i="120"/>
  <c r="V110" i="120"/>
  <c r="V111" i="120"/>
  <c r="V112" i="120"/>
  <c r="V113" i="120"/>
  <c r="V114" i="120"/>
  <c r="U105" i="120"/>
  <c r="X105" i="120" s="1"/>
  <c r="U106" i="120"/>
  <c r="X106" i="120" s="1"/>
  <c r="U107" i="120"/>
  <c r="X107" i="120" s="1"/>
  <c r="U108" i="120"/>
  <c r="X108" i="120" s="1"/>
  <c r="AF108" i="120" s="1"/>
  <c r="U109" i="120"/>
  <c r="U110" i="120"/>
  <c r="U111" i="120"/>
  <c r="U112" i="120"/>
  <c r="U113" i="120"/>
  <c r="U114" i="120"/>
  <c r="M106" i="120"/>
  <c r="M107" i="120"/>
  <c r="M108" i="120"/>
  <c r="M109" i="120"/>
  <c r="M110" i="120"/>
  <c r="M111" i="120"/>
  <c r="M112" i="120"/>
  <c r="M113" i="120"/>
  <c r="M114" i="120"/>
  <c r="M115" i="120"/>
  <c r="F106" i="120"/>
  <c r="F107" i="120"/>
  <c r="F108" i="120"/>
  <c r="F109" i="120"/>
  <c r="N109" i="120" s="1"/>
  <c r="F110" i="120"/>
  <c r="N110" i="120" s="1"/>
  <c r="F111" i="120"/>
  <c r="F112" i="120"/>
  <c r="F113" i="120"/>
  <c r="N113" i="120" s="1"/>
  <c r="F114" i="120"/>
  <c r="N114" i="120" s="1"/>
  <c r="F115" i="120"/>
  <c r="K98" i="123"/>
  <c r="L115" i="120" l="1"/>
  <c r="N115" i="120" s="1"/>
  <c r="AA115" i="120" s="1"/>
  <c r="Y107" i="120"/>
  <c r="Z108" i="120"/>
  <c r="Z115" i="120"/>
  <c r="Y115" i="120"/>
  <c r="L111" i="120"/>
  <c r="N111" i="120" s="1"/>
  <c r="AA111" i="120" s="1"/>
  <c r="L110" i="120"/>
  <c r="AA110" i="120" s="1"/>
  <c r="L109" i="120"/>
  <c r="AA109" i="120" s="1"/>
  <c r="L114" i="120"/>
  <c r="AA114" i="120" s="1"/>
  <c r="L113" i="120"/>
  <c r="AA113" i="120" s="1"/>
  <c r="L112" i="120"/>
  <c r="N112" i="120" s="1"/>
  <c r="AA112" i="120" s="1"/>
  <c r="L108" i="120"/>
  <c r="N108" i="120" s="1"/>
  <c r="AA108" i="120" s="1"/>
  <c r="L106" i="120"/>
  <c r="N106" i="120" s="1"/>
  <c r="AA106" i="120" s="1"/>
  <c r="Z113" i="120"/>
  <c r="Z111" i="120"/>
  <c r="Z109" i="120"/>
  <c r="L107" i="120"/>
  <c r="N107" i="120" s="1"/>
  <c r="AA107" i="120" s="1"/>
  <c r="Y114" i="120"/>
  <c r="Y112" i="120"/>
  <c r="Y110" i="120"/>
  <c r="X114" i="120"/>
  <c r="X112" i="120"/>
  <c r="X110" i="120"/>
  <c r="Y113" i="120"/>
  <c r="Y111" i="120"/>
  <c r="Y109" i="120"/>
  <c r="Z114" i="120"/>
  <c r="Z112" i="120"/>
  <c r="Z110" i="120"/>
  <c r="X113" i="120"/>
  <c r="X111" i="120"/>
  <c r="X109" i="120"/>
  <c r="Z106" i="120"/>
  <c r="Y108" i="120"/>
  <c r="Z107" i="120"/>
  <c r="Y106" i="120"/>
  <c r="K124" i="121"/>
  <c r="K30" i="120" l="1"/>
  <c r="K29" i="120"/>
  <c r="K97" i="123"/>
  <c r="K135" i="124"/>
  <c r="K120" i="118"/>
  <c r="F138" i="124" l="1"/>
  <c r="L138" i="124" l="1"/>
  <c r="N138" i="124"/>
  <c r="F137" i="124"/>
  <c r="L137" i="124" s="1"/>
  <c r="K130" i="116"/>
  <c r="K132" i="116"/>
  <c r="K133" i="116"/>
  <c r="K96" i="123"/>
  <c r="K119" i="118"/>
  <c r="M119" i="118" s="1"/>
  <c r="V117" i="118"/>
  <c r="V118" i="118"/>
  <c r="V119" i="118"/>
  <c r="V120" i="118"/>
  <c r="V121" i="118"/>
  <c r="V122" i="118"/>
  <c r="V123" i="118"/>
  <c r="V124" i="118"/>
  <c r="V125" i="118"/>
  <c r="V126" i="118"/>
  <c r="U117" i="118"/>
  <c r="U118" i="118"/>
  <c r="U119" i="118"/>
  <c r="X119" i="118" s="1"/>
  <c r="U120" i="118"/>
  <c r="U121" i="118"/>
  <c r="X121" i="118" s="1"/>
  <c r="U122" i="118"/>
  <c r="U123" i="118"/>
  <c r="X123" i="118" s="1"/>
  <c r="U124" i="118"/>
  <c r="U125" i="118"/>
  <c r="X125" i="118" s="1"/>
  <c r="U126" i="118"/>
  <c r="M118" i="118"/>
  <c r="M120" i="118"/>
  <c r="M121" i="118"/>
  <c r="M122" i="118"/>
  <c r="M123" i="118"/>
  <c r="M124" i="118"/>
  <c r="M125" i="118"/>
  <c r="M126" i="118"/>
  <c r="F119" i="118"/>
  <c r="F120" i="118"/>
  <c r="F121" i="118"/>
  <c r="L121" i="118" s="1"/>
  <c r="N121" i="118" s="1"/>
  <c r="F122" i="118"/>
  <c r="N122" i="118" s="1"/>
  <c r="F123" i="118"/>
  <c r="N123" i="118" s="1"/>
  <c r="F124" i="118"/>
  <c r="N124" i="118" s="1"/>
  <c r="F125" i="118"/>
  <c r="N125" i="118" s="1"/>
  <c r="F126" i="118"/>
  <c r="N126" i="118" s="1"/>
  <c r="K95" i="123"/>
  <c r="L119" i="118" l="1"/>
  <c r="N119" i="118"/>
  <c r="L120" i="118"/>
  <c r="N120" i="118"/>
  <c r="AA120" i="118" s="1"/>
  <c r="L124" i="118"/>
  <c r="AA124" i="118" s="1"/>
  <c r="L125" i="118"/>
  <c r="AA125" i="118" s="1"/>
  <c r="L126" i="118"/>
  <c r="AA126" i="118" s="1"/>
  <c r="L122" i="118"/>
  <c r="AA122" i="118" s="1"/>
  <c r="L123" i="118"/>
  <c r="AA123" i="118" s="1"/>
  <c r="Z125" i="118"/>
  <c r="Z124" i="118"/>
  <c r="Z126" i="118"/>
  <c r="Z123" i="118"/>
  <c r="Z122" i="118"/>
  <c r="Y124" i="118"/>
  <c r="Y126" i="118"/>
  <c r="Y122" i="118"/>
  <c r="AA121" i="118"/>
  <c r="Y121" i="118"/>
  <c r="X126" i="118"/>
  <c r="X124" i="118"/>
  <c r="AC124" i="118" s="1"/>
  <c r="X122" i="118"/>
  <c r="Y125" i="118"/>
  <c r="Y123" i="118"/>
  <c r="Z121" i="118"/>
  <c r="AA119" i="118"/>
  <c r="Z119" i="118"/>
  <c r="Z120" i="118"/>
  <c r="Y118" i="118"/>
  <c r="X120" i="118"/>
  <c r="X118" i="118"/>
  <c r="Y120" i="118"/>
  <c r="Z118" i="118"/>
  <c r="X117" i="118"/>
  <c r="Y119" i="118"/>
  <c r="V129" i="116"/>
  <c r="V130" i="116"/>
  <c r="V131" i="116"/>
  <c r="V132" i="116"/>
  <c r="V133" i="116"/>
  <c r="V134" i="116"/>
  <c r="U129" i="116"/>
  <c r="X129" i="116" s="1"/>
  <c r="U130" i="116"/>
  <c r="X130" i="116" s="1"/>
  <c r="U131" i="116"/>
  <c r="X131" i="116" s="1"/>
  <c r="U132" i="116"/>
  <c r="X132" i="116" s="1"/>
  <c r="U133" i="116"/>
  <c r="X133" i="116" s="1"/>
  <c r="U134" i="116"/>
  <c r="M129" i="116"/>
  <c r="M130" i="116"/>
  <c r="M131" i="116"/>
  <c r="M132" i="116"/>
  <c r="M133" i="116"/>
  <c r="M134" i="116"/>
  <c r="M135" i="116"/>
  <c r="M136" i="116"/>
  <c r="F129" i="116"/>
  <c r="N129" i="116" s="1"/>
  <c r="F130" i="116"/>
  <c r="N130" i="116" s="1"/>
  <c r="F131" i="116"/>
  <c r="N131" i="116" s="1"/>
  <c r="F132" i="116"/>
  <c r="F133" i="116"/>
  <c r="N133" i="116" s="1"/>
  <c r="F134" i="116"/>
  <c r="F135" i="116"/>
  <c r="F136" i="116"/>
  <c r="N136" i="116" s="1"/>
  <c r="F137" i="116"/>
  <c r="N137" i="116" s="1"/>
  <c r="F136" i="124"/>
  <c r="F135" i="124"/>
  <c r="AE118" i="118" l="1"/>
  <c r="AF118" i="118"/>
  <c r="L136" i="124"/>
  <c r="N136" i="124"/>
  <c r="L135" i="124"/>
  <c r="N135" i="124"/>
  <c r="Z136" i="116"/>
  <c r="Y136" i="116"/>
  <c r="Z135" i="116"/>
  <c r="Y135" i="116"/>
  <c r="L136" i="116"/>
  <c r="AA136" i="116" s="1"/>
  <c r="L134" i="116"/>
  <c r="N134" i="116" s="1"/>
  <c r="AA134" i="116" s="1"/>
  <c r="L135" i="116"/>
  <c r="N135" i="116" s="1"/>
  <c r="AA135" i="116" s="1"/>
  <c r="Z134" i="116"/>
  <c r="Z132" i="116"/>
  <c r="Z130" i="116"/>
  <c r="L133" i="116"/>
  <c r="AA133" i="116" s="1"/>
  <c r="Y134" i="116"/>
  <c r="L129" i="116"/>
  <c r="AA129" i="116" s="1"/>
  <c r="L131" i="116"/>
  <c r="AA131" i="116" s="1"/>
  <c r="L130" i="116"/>
  <c r="AA130" i="116" s="1"/>
  <c r="L132" i="116"/>
  <c r="N132" i="116" s="1"/>
  <c r="AA132" i="116" s="1"/>
  <c r="Z133" i="116"/>
  <c r="Y131" i="116"/>
  <c r="Z129" i="116"/>
  <c r="X134" i="116"/>
  <c r="Y133" i="116"/>
  <c r="Z131" i="116"/>
  <c r="Y130" i="116"/>
  <c r="Y132" i="116"/>
  <c r="Y129" i="116"/>
  <c r="K115" i="118" l="1"/>
  <c r="K117" i="118"/>
  <c r="K118" i="121" l="1"/>
  <c r="K33" i="121"/>
  <c r="K34" i="121"/>
  <c r="K32" i="121"/>
  <c r="K31" i="121"/>
  <c r="K134" i="124"/>
  <c r="K133" i="124"/>
  <c r="F134" i="124"/>
  <c r="L134" i="124" l="1"/>
  <c r="N134" i="124"/>
  <c r="K115" i="121"/>
  <c r="K113" i="118"/>
  <c r="K114" i="118"/>
  <c r="M114" i="118" s="1"/>
  <c r="K112" i="118"/>
  <c r="M112" i="118" s="1"/>
  <c r="V112" i="118"/>
  <c r="V113" i="118"/>
  <c r="V114" i="118"/>
  <c r="V115" i="118"/>
  <c r="V116" i="118"/>
  <c r="U112" i="118"/>
  <c r="X112" i="118" s="1"/>
  <c r="U113" i="118"/>
  <c r="X113" i="118" s="1"/>
  <c r="U114" i="118"/>
  <c r="U115" i="118"/>
  <c r="U116" i="118"/>
  <c r="M113" i="118"/>
  <c r="M115" i="118"/>
  <c r="M116" i="118"/>
  <c r="M117" i="118"/>
  <c r="F112" i="118"/>
  <c r="F113" i="118"/>
  <c r="F114" i="118"/>
  <c r="N114" i="118" s="1"/>
  <c r="F115" i="118"/>
  <c r="N115" i="118" s="1"/>
  <c r="F116" i="118"/>
  <c r="N116" i="118" s="1"/>
  <c r="F117" i="118"/>
  <c r="N117" i="118" s="1"/>
  <c r="F118" i="118"/>
  <c r="L118" i="118" s="1"/>
  <c r="N118" i="118" s="1"/>
  <c r="AA118" i="118" s="1"/>
  <c r="V125" i="116"/>
  <c r="V126" i="116"/>
  <c r="V127" i="116"/>
  <c r="V128" i="116"/>
  <c r="U125" i="116"/>
  <c r="X125" i="116" s="1"/>
  <c r="U126" i="116"/>
  <c r="X126" i="116" s="1"/>
  <c r="U127" i="116"/>
  <c r="X127" i="116" s="1"/>
  <c r="X128" i="116"/>
  <c r="M125" i="116"/>
  <c r="Z125" i="116" s="1"/>
  <c r="M126" i="116"/>
  <c r="M127" i="116"/>
  <c r="Z127" i="116" s="1"/>
  <c r="M128" i="116"/>
  <c r="L137" i="116"/>
  <c r="AA137" i="116" s="1"/>
  <c r="F125" i="116"/>
  <c r="N125" i="116" s="1"/>
  <c r="F126" i="116"/>
  <c r="N126" i="116" s="1"/>
  <c r="F127" i="116"/>
  <c r="L127" i="116" s="1"/>
  <c r="N127" i="116" s="1"/>
  <c r="F128" i="116"/>
  <c r="N128" i="116" s="1"/>
  <c r="F133" i="124"/>
  <c r="AF133" i="124"/>
  <c r="AF134" i="124"/>
  <c r="AF135" i="124"/>
  <c r="AF136" i="124"/>
  <c r="AF137" i="124"/>
  <c r="AF138" i="124"/>
  <c r="AF139" i="124"/>
  <c r="AF140" i="124"/>
  <c r="AF141" i="124"/>
  <c r="AF142" i="124"/>
  <c r="AF143" i="124"/>
  <c r="AF144" i="124"/>
  <c r="AE133" i="124"/>
  <c r="AE134" i="124"/>
  <c r="AE135" i="124"/>
  <c r="AE136" i="124"/>
  <c r="AE137" i="124"/>
  <c r="AE138" i="124"/>
  <c r="AE139" i="124"/>
  <c r="AE140" i="124"/>
  <c r="AE141" i="124"/>
  <c r="AE142" i="124"/>
  <c r="AE143" i="124"/>
  <c r="AE144" i="124"/>
  <c r="AD133" i="124"/>
  <c r="AD134" i="124"/>
  <c r="AD135" i="124"/>
  <c r="AD136" i="124"/>
  <c r="AD137" i="124"/>
  <c r="AD138" i="124"/>
  <c r="AD139" i="124"/>
  <c r="AD140" i="124"/>
  <c r="AD141" i="124"/>
  <c r="AD142" i="124"/>
  <c r="AD143" i="124"/>
  <c r="AD144" i="124"/>
  <c r="AC133" i="124"/>
  <c r="AC134" i="124"/>
  <c r="AC135" i="124"/>
  <c r="AC136" i="124"/>
  <c r="AC137" i="124"/>
  <c r="AC138" i="124"/>
  <c r="AC140" i="124"/>
  <c r="AC141" i="124"/>
  <c r="AC143" i="124"/>
  <c r="W133" i="124"/>
  <c r="W134" i="124"/>
  <c r="W135" i="124"/>
  <c r="W136" i="124"/>
  <c r="W137" i="124"/>
  <c r="W138" i="124"/>
  <c r="W139" i="124"/>
  <c r="W140" i="124"/>
  <c r="W141" i="124"/>
  <c r="W142" i="124"/>
  <c r="W143" i="124"/>
  <c r="W144" i="124"/>
  <c r="V133" i="124"/>
  <c r="V134" i="124"/>
  <c r="V135" i="124"/>
  <c r="V136" i="124"/>
  <c r="V137" i="124"/>
  <c r="V138" i="124"/>
  <c r="V139" i="124"/>
  <c r="V140" i="124"/>
  <c r="V141" i="124"/>
  <c r="V142" i="124"/>
  <c r="V143" i="124"/>
  <c r="V144" i="124"/>
  <c r="U133" i="124"/>
  <c r="X133" i="124" s="1"/>
  <c r="U134" i="124"/>
  <c r="X134" i="124" s="1"/>
  <c r="U135" i="124"/>
  <c r="X135" i="124" s="1"/>
  <c r="U136" i="124"/>
  <c r="X136" i="124" s="1"/>
  <c r="U137" i="124"/>
  <c r="X137" i="124" s="1"/>
  <c r="U138" i="124"/>
  <c r="X138" i="124" s="1"/>
  <c r="U139" i="124"/>
  <c r="U140" i="124"/>
  <c r="U141" i="124"/>
  <c r="X141" i="124" s="1"/>
  <c r="U142" i="124"/>
  <c r="X142" i="124" s="1"/>
  <c r="AC142" i="124" s="1"/>
  <c r="X143" i="124"/>
  <c r="U144" i="124"/>
  <c r="X144" i="124" s="1"/>
  <c r="AC144" i="124" s="1"/>
  <c r="N137" i="124"/>
  <c r="N139" i="124"/>
  <c r="N142" i="124"/>
  <c r="N144" i="124"/>
  <c r="M133" i="124"/>
  <c r="M134" i="124"/>
  <c r="M135" i="124"/>
  <c r="M136" i="124"/>
  <c r="M137" i="124"/>
  <c r="M138" i="124"/>
  <c r="M139" i="124"/>
  <c r="M140" i="124"/>
  <c r="M141" i="124"/>
  <c r="M142" i="124"/>
  <c r="M143" i="124"/>
  <c r="M144" i="124"/>
  <c r="F113" i="121"/>
  <c r="L113" i="121" s="1"/>
  <c r="F114" i="121"/>
  <c r="F115" i="121"/>
  <c r="F116" i="121"/>
  <c r="F117" i="121"/>
  <c r="F118" i="121"/>
  <c r="F119" i="121"/>
  <c r="L119" i="121" s="1"/>
  <c r="F120" i="121"/>
  <c r="L120" i="121" s="1"/>
  <c r="F121" i="121"/>
  <c r="F122" i="121"/>
  <c r="F123" i="121"/>
  <c r="F124" i="121"/>
  <c r="L124" i="121" s="1"/>
  <c r="N124" i="121" s="1"/>
  <c r="AF114" i="121"/>
  <c r="AF115" i="121"/>
  <c r="AF116" i="121"/>
  <c r="AF117" i="121"/>
  <c r="AF118" i="121"/>
  <c r="AF119" i="121"/>
  <c r="AF120" i="121"/>
  <c r="AF121" i="121"/>
  <c r="AF122" i="121"/>
  <c r="AF123" i="121"/>
  <c r="AF124" i="121"/>
  <c r="AE114" i="121"/>
  <c r="AE115" i="121"/>
  <c r="AE116" i="121"/>
  <c r="AE117" i="121"/>
  <c r="AE118" i="121"/>
  <c r="AE119" i="121"/>
  <c r="AE120" i="121"/>
  <c r="AE121" i="121"/>
  <c r="AE122" i="121"/>
  <c r="AE123" i="121"/>
  <c r="AE124" i="121"/>
  <c r="AD114" i="121"/>
  <c r="AD115" i="121"/>
  <c r="AD116" i="121"/>
  <c r="AD117" i="121"/>
  <c r="AD118" i="121"/>
  <c r="AD119" i="121"/>
  <c r="AD120" i="121"/>
  <c r="AD121" i="121"/>
  <c r="AD122" i="121"/>
  <c r="AD123" i="121"/>
  <c r="AD124" i="121"/>
  <c r="AC114" i="121"/>
  <c r="AC115" i="121"/>
  <c r="AC116" i="121"/>
  <c r="AC117" i="121"/>
  <c r="AC118" i="121"/>
  <c r="AC119" i="121"/>
  <c r="AC120" i="121"/>
  <c r="AC121" i="121"/>
  <c r="AC122" i="121"/>
  <c r="AC123" i="121"/>
  <c r="AC124" i="121"/>
  <c r="W114" i="121"/>
  <c r="W115" i="121"/>
  <c r="W116" i="121"/>
  <c r="W117" i="121"/>
  <c r="W118" i="121"/>
  <c r="W119" i="121"/>
  <c r="W120" i="121"/>
  <c r="W121" i="121"/>
  <c r="W122" i="121"/>
  <c r="W123" i="121"/>
  <c r="W124" i="121"/>
  <c r="V114" i="121"/>
  <c r="V115" i="121"/>
  <c r="V116" i="121"/>
  <c r="V117" i="121"/>
  <c r="V118" i="121"/>
  <c r="V119" i="121"/>
  <c r="V120" i="121"/>
  <c r="V121" i="121"/>
  <c r="V122" i="121"/>
  <c r="V123" i="121"/>
  <c r="V124" i="121"/>
  <c r="U114" i="121"/>
  <c r="X114" i="121" s="1"/>
  <c r="U115" i="121"/>
  <c r="X115" i="121" s="1"/>
  <c r="U116" i="121"/>
  <c r="X116" i="121" s="1"/>
  <c r="U117" i="121"/>
  <c r="X117" i="121" s="1"/>
  <c r="U118" i="121"/>
  <c r="X118" i="121" s="1"/>
  <c r="U119" i="121"/>
  <c r="X119" i="121" s="1"/>
  <c r="U120" i="121"/>
  <c r="X120" i="121" s="1"/>
  <c r="U121" i="121"/>
  <c r="X121" i="121" s="1"/>
  <c r="U122" i="121"/>
  <c r="X122" i="121" s="1"/>
  <c r="U123" i="121"/>
  <c r="X123" i="121" s="1"/>
  <c r="U124" i="121"/>
  <c r="X124" i="121" s="1"/>
  <c r="N119" i="121"/>
  <c r="M114" i="121"/>
  <c r="M115" i="121"/>
  <c r="M116" i="121"/>
  <c r="M117" i="121"/>
  <c r="M118" i="121"/>
  <c r="M119" i="121"/>
  <c r="M120" i="121"/>
  <c r="M121" i="121"/>
  <c r="M122" i="121"/>
  <c r="M123" i="121"/>
  <c r="M124" i="121"/>
  <c r="N120" i="121" l="1"/>
  <c r="AA120" i="121" s="1"/>
  <c r="AE112" i="118"/>
  <c r="AF112" i="118"/>
  <c r="L121" i="121"/>
  <c r="N121" i="121"/>
  <c r="AA121" i="121" s="1"/>
  <c r="L133" i="124"/>
  <c r="N133" i="124"/>
  <c r="L122" i="121"/>
  <c r="N122" i="121"/>
  <c r="AA122" i="121" s="1"/>
  <c r="L118" i="121"/>
  <c r="N118" i="121"/>
  <c r="L114" i="121"/>
  <c r="N114" i="121"/>
  <c r="AA114" i="121" s="1"/>
  <c r="L117" i="121"/>
  <c r="N117" i="121"/>
  <c r="L123" i="121"/>
  <c r="N123" i="121"/>
  <c r="AA123" i="121" s="1"/>
  <c r="Z126" i="116"/>
  <c r="L116" i="121"/>
  <c r="N116" i="121"/>
  <c r="AA116" i="121" s="1"/>
  <c r="L113" i="118"/>
  <c r="N113" i="118"/>
  <c r="AA113" i="118" s="1"/>
  <c r="L115" i="121"/>
  <c r="N115" i="121"/>
  <c r="AA115" i="121" s="1"/>
  <c r="AA127" i="116"/>
  <c r="AA144" i="124"/>
  <c r="Z144" i="124"/>
  <c r="Z143" i="124"/>
  <c r="Z141" i="124"/>
  <c r="Z117" i="121"/>
  <c r="Z121" i="121"/>
  <c r="Z116" i="121"/>
  <c r="Y120" i="121"/>
  <c r="Y124" i="121"/>
  <c r="Z119" i="121"/>
  <c r="Z115" i="121"/>
  <c r="Z122" i="121"/>
  <c r="Z118" i="121"/>
  <c r="Z114" i="121"/>
  <c r="AA143" i="124"/>
  <c r="Y142" i="124"/>
  <c r="AA142" i="124"/>
  <c r="AA141" i="124"/>
  <c r="Z136" i="124"/>
  <c r="L116" i="118"/>
  <c r="AA116" i="118" s="1"/>
  <c r="L117" i="118"/>
  <c r="AA117" i="118" s="1"/>
  <c r="L115" i="118"/>
  <c r="AA115" i="118" s="1"/>
  <c r="L112" i="118"/>
  <c r="N112" i="118" s="1"/>
  <c r="AA112" i="118" s="1"/>
  <c r="L114" i="118"/>
  <c r="AA114" i="118" s="1"/>
  <c r="Z128" i="116"/>
  <c r="Z123" i="121"/>
  <c r="Z138" i="124"/>
  <c r="Y134" i="124"/>
  <c r="Y144" i="124"/>
  <c r="AA124" i="121"/>
  <c r="Y143" i="124"/>
  <c r="Z135" i="124"/>
  <c r="AA140" i="124"/>
  <c r="AA139" i="124"/>
  <c r="Z142" i="124"/>
  <c r="Y141" i="124"/>
  <c r="Z140" i="124"/>
  <c r="Z139" i="124"/>
  <c r="Y140" i="124"/>
  <c r="X140" i="124"/>
  <c r="AA138" i="124"/>
  <c r="Y123" i="121"/>
  <c r="Z124" i="121"/>
  <c r="AA137" i="124"/>
  <c r="Z137" i="124"/>
  <c r="AA135" i="124"/>
  <c r="AA136" i="124"/>
  <c r="AA119" i="121"/>
  <c r="Y117" i="118"/>
  <c r="Z117" i="118"/>
  <c r="X139" i="124"/>
  <c r="AC139" i="124" s="1"/>
  <c r="Y139" i="124"/>
  <c r="X115" i="118"/>
  <c r="Y115" i="118"/>
  <c r="Z115" i="118"/>
  <c r="X114" i="118"/>
  <c r="Z114" i="118"/>
  <c r="Z112" i="118"/>
  <c r="Y138" i="124"/>
  <c r="AA134" i="124"/>
  <c r="AA118" i="121"/>
  <c r="Y137" i="124"/>
  <c r="Y116" i="118"/>
  <c r="Z116" i="118"/>
  <c r="X116" i="118"/>
  <c r="Y122" i="121"/>
  <c r="AA117" i="121"/>
  <c r="Y121" i="121"/>
  <c r="Y135" i="124"/>
  <c r="Y136" i="124"/>
  <c r="Y119" i="121"/>
  <c r="Z120" i="121"/>
  <c r="AA133" i="124"/>
  <c r="Z133" i="124"/>
  <c r="Z113" i="118"/>
  <c r="L128" i="116"/>
  <c r="AA128" i="116" s="1"/>
  <c r="Y128" i="116"/>
  <c r="Y118" i="121"/>
  <c r="Z134" i="124"/>
  <c r="Y127" i="116"/>
  <c r="Y117" i="121"/>
  <c r="Y114" i="118"/>
  <c r="Y113" i="118"/>
  <c r="Y112" i="118"/>
  <c r="L126" i="116"/>
  <c r="AA126" i="116" s="1"/>
  <c r="Y126" i="116"/>
  <c r="L125" i="116"/>
  <c r="AA125" i="116" s="1"/>
  <c r="Y125" i="116"/>
  <c r="Y133" i="124"/>
  <c r="Y116" i="121"/>
  <c r="Y114" i="121"/>
  <c r="Y115" i="121"/>
  <c r="L95" i="119" l="1"/>
  <c r="L94" i="119"/>
  <c r="K94" i="119"/>
  <c r="K104" i="120"/>
  <c r="L103" i="120"/>
  <c r="K103" i="120"/>
  <c r="L90" i="123" l="1"/>
  <c r="M97" i="122"/>
  <c r="F96" i="122"/>
  <c r="F97" i="122"/>
  <c r="L97" i="122" s="1"/>
  <c r="N97" i="122" s="1"/>
  <c r="F98" i="122"/>
  <c r="L98" i="122" s="1"/>
  <c r="N98" i="122" s="1"/>
  <c r="F99" i="122"/>
  <c r="L99" i="122" s="1"/>
  <c r="F100" i="122"/>
  <c r="L100" i="122" s="1"/>
  <c r="K98" i="122"/>
  <c r="M98" i="122" s="1"/>
  <c r="L165" i="117"/>
  <c r="L166" i="117"/>
  <c r="K165" i="117"/>
  <c r="AC99" i="120"/>
  <c r="AC99" i="118"/>
  <c r="AC155" i="117"/>
  <c r="AC156" i="117"/>
  <c r="AC157" i="117"/>
  <c r="AC158" i="117"/>
  <c r="AC159" i="117"/>
  <c r="AC160" i="117"/>
  <c r="AC161" i="117"/>
  <c r="AC162" i="117"/>
  <c r="AC163" i="117"/>
  <c r="AC151" i="117"/>
  <c r="AC152" i="117"/>
  <c r="AC143" i="117"/>
  <c r="AC144" i="117"/>
  <c r="AC145" i="117"/>
  <c r="AC147" i="117"/>
  <c r="AC148" i="117"/>
  <c r="AC149" i="117"/>
  <c r="AC130" i="117"/>
  <c r="AC131" i="117"/>
  <c r="AC132" i="117"/>
  <c r="AC133" i="117"/>
  <c r="AC134" i="117"/>
  <c r="AC135" i="117"/>
  <c r="AC137" i="117"/>
  <c r="AC138" i="117"/>
  <c r="AC139" i="117"/>
  <c r="AC141" i="117"/>
  <c r="AC128" i="117"/>
  <c r="M121" i="116"/>
  <c r="M122" i="116"/>
  <c r="M123" i="116"/>
  <c r="M124" i="116"/>
  <c r="AC97" i="122"/>
  <c r="AD97" i="122"/>
  <c r="AE97" i="122"/>
  <c r="AF97" i="122"/>
  <c r="AC98" i="122"/>
  <c r="AD98" i="122"/>
  <c r="AE98" i="122"/>
  <c r="AF98" i="122"/>
  <c r="U97" i="122"/>
  <c r="V97" i="122"/>
  <c r="W97" i="122"/>
  <c r="U98" i="122"/>
  <c r="X98" i="122" s="1"/>
  <c r="V98" i="122"/>
  <c r="W98" i="122"/>
  <c r="Z97" i="122" l="1"/>
  <c r="AA97" i="122"/>
  <c r="AA98" i="122"/>
  <c r="Z98" i="122"/>
  <c r="Y98" i="122"/>
  <c r="Y97" i="122"/>
  <c r="X97" i="122"/>
  <c r="B28" i="71"/>
  <c r="C133" i="68"/>
  <c r="C117" i="68"/>
  <c r="C46" i="68"/>
  <c r="J28" i="169"/>
  <c r="J29" i="169" s="1"/>
  <c r="J30" i="169" s="1"/>
  <c r="I28" i="169"/>
  <c r="I29" i="169" s="1"/>
  <c r="I30" i="169" s="1"/>
  <c r="H28" i="169"/>
  <c r="H29" i="169" s="1"/>
  <c r="H30" i="169" s="1"/>
  <c r="G28" i="169"/>
  <c r="D46" i="68" s="1"/>
  <c r="F28" i="169"/>
  <c r="F29" i="169" s="1"/>
  <c r="F30" i="169" s="1"/>
  <c r="E28" i="169"/>
  <c r="K11" i="169"/>
  <c r="K12" i="169" s="1"/>
  <c r="K13" i="169" s="1"/>
  <c r="K14" i="169" s="1"/>
  <c r="N41" i="168"/>
  <c r="N42" i="168" s="1"/>
  <c r="N43" i="168" s="1"/>
  <c r="M41" i="168"/>
  <c r="M42" i="168" s="1"/>
  <c r="M43" i="168" s="1"/>
  <c r="L41" i="168"/>
  <c r="L42" i="168" s="1"/>
  <c r="L43" i="168" s="1"/>
  <c r="K41" i="168"/>
  <c r="K42" i="168" s="1"/>
  <c r="K43" i="168" s="1"/>
  <c r="J41" i="168"/>
  <c r="J42" i="168" s="1"/>
  <c r="J43" i="168" s="1"/>
  <c r="I41" i="168"/>
  <c r="I42" i="168" s="1"/>
  <c r="I43" i="168" s="1"/>
  <c r="H41" i="168"/>
  <c r="H42" i="168" s="1"/>
  <c r="H43" i="168" s="1"/>
  <c r="G41" i="168"/>
  <c r="G42" i="168" s="1"/>
  <c r="G43" i="168" s="1"/>
  <c r="F41" i="168"/>
  <c r="F42" i="168" s="1"/>
  <c r="F43" i="168" s="1"/>
  <c r="E41" i="168"/>
  <c r="E42" i="168" s="1"/>
  <c r="O12" i="168"/>
  <c r="O13" i="168" s="1"/>
  <c r="O14" i="168" s="1"/>
  <c r="O15" i="168" s="1"/>
  <c r="O16" i="168" s="1"/>
  <c r="O17" i="168" s="1"/>
  <c r="O18" i="168" s="1"/>
  <c r="O19" i="168" s="1"/>
  <c r="O20" i="168" s="1"/>
  <c r="O21" i="168" s="1"/>
  <c r="O22" i="168" s="1"/>
  <c r="O23" i="168" s="1"/>
  <c r="O24" i="168" s="1"/>
  <c r="O25" i="168" s="1"/>
  <c r="O26" i="168" s="1"/>
  <c r="O27" i="168" s="1"/>
  <c r="O28" i="168" s="1"/>
  <c r="O29" i="168" s="1"/>
  <c r="N28" i="71" l="1"/>
  <c r="C30" i="68"/>
  <c r="K15" i="169"/>
  <c r="K16" i="169" s="1"/>
  <c r="K17" i="169" s="1"/>
  <c r="K18" i="169" s="1"/>
  <c r="K19" i="169" s="1"/>
  <c r="K20" i="169" s="1"/>
  <c r="K21" i="169" s="1"/>
  <c r="K22" i="169" s="1"/>
  <c r="K23" i="169" s="1"/>
  <c r="K24" i="169" s="1"/>
  <c r="K25" i="169" s="1"/>
  <c r="K26" i="169" s="1"/>
  <c r="K27" i="169" s="1"/>
  <c r="K28" i="169"/>
  <c r="D117" i="68"/>
  <c r="E29" i="169"/>
  <c r="E30" i="169" s="1"/>
  <c r="G29" i="169"/>
  <c r="G30" i="169" s="1"/>
  <c r="M32" i="169" s="1"/>
  <c r="D30" i="68"/>
  <c r="D133" i="68"/>
  <c r="O35" i="168"/>
  <c r="O30" i="168"/>
  <c r="O42" i="168"/>
  <c r="E43" i="168"/>
  <c r="O43" i="168" s="1"/>
  <c r="F155" i="68" s="1"/>
  <c r="J28" i="71" s="1"/>
  <c r="O41" i="168"/>
  <c r="K29" i="169" l="1"/>
  <c r="K30" i="169"/>
  <c r="F169" i="68" s="1"/>
  <c r="D28" i="71" s="1"/>
  <c r="O31" i="168"/>
  <c r="O36" i="168"/>
  <c r="O32" i="168" l="1"/>
  <c r="O37" i="168"/>
  <c r="K110" i="121"/>
  <c r="K109" i="121"/>
  <c r="K163" i="117"/>
  <c r="O33" i="168" l="1"/>
  <c r="O34" i="168" s="1"/>
  <c r="O38" i="168"/>
  <c r="O39" i="168" s="1"/>
  <c r="O40" i="168" s="1"/>
  <c r="AF107" i="121"/>
  <c r="AF108" i="121"/>
  <c r="AF109" i="121"/>
  <c r="AF110" i="121"/>
  <c r="AF111" i="121"/>
  <c r="AF113" i="121"/>
  <c r="AE107" i="121"/>
  <c r="AE108" i="121"/>
  <c r="AE109" i="121"/>
  <c r="AE110" i="121"/>
  <c r="AE111" i="121"/>
  <c r="AE112" i="121"/>
  <c r="AE113" i="121"/>
  <c r="AD107" i="121"/>
  <c r="AD108" i="121"/>
  <c r="AD109" i="121"/>
  <c r="AD110" i="121"/>
  <c r="AD111" i="121"/>
  <c r="AD112" i="121"/>
  <c r="AD113" i="121"/>
  <c r="AC108" i="121"/>
  <c r="AC109" i="121"/>
  <c r="AC110" i="121"/>
  <c r="AC111" i="121"/>
  <c r="AC113" i="121"/>
  <c r="W107" i="121"/>
  <c r="W108" i="121"/>
  <c r="W109" i="121"/>
  <c r="W110" i="121"/>
  <c r="W111" i="121"/>
  <c r="W112" i="121"/>
  <c r="W113" i="121"/>
  <c r="V107" i="121"/>
  <c r="V108" i="121"/>
  <c r="V109" i="121"/>
  <c r="V110" i="121"/>
  <c r="V111" i="121"/>
  <c r="V112" i="121"/>
  <c r="V113" i="121"/>
  <c r="U107" i="121"/>
  <c r="U108" i="121"/>
  <c r="X108" i="121" s="1"/>
  <c r="U109" i="121"/>
  <c r="X109" i="121" s="1"/>
  <c r="U110" i="121"/>
  <c r="X110" i="121" s="1"/>
  <c r="U111" i="121"/>
  <c r="X111" i="121" s="1"/>
  <c r="U112" i="121"/>
  <c r="X112" i="121" s="1"/>
  <c r="AC112" i="121" s="1"/>
  <c r="U113" i="121"/>
  <c r="X113" i="121" s="1"/>
  <c r="M108" i="121"/>
  <c r="M109" i="121"/>
  <c r="M110" i="121"/>
  <c r="M111" i="121"/>
  <c r="M112" i="121"/>
  <c r="M113" i="121"/>
  <c r="F108" i="121"/>
  <c r="F109" i="121"/>
  <c r="F110" i="121"/>
  <c r="N110" i="121" s="1"/>
  <c r="F111" i="121"/>
  <c r="F112" i="121"/>
  <c r="N113" i="121"/>
  <c r="F104" i="125"/>
  <c r="F105" i="125"/>
  <c r="F106" i="125"/>
  <c r="N106" i="125" s="1"/>
  <c r="AF112" i="121" l="1"/>
  <c r="L105" i="125"/>
  <c r="N105" i="125"/>
  <c r="Z113" i="121"/>
  <c r="Z109" i="121"/>
  <c r="Y108" i="121"/>
  <c r="Y112" i="121"/>
  <c r="Z110" i="121"/>
  <c r="Z111" i="121"/>
  <c r="AA113" i="121"/>
  <c r="Y113" i="121"/>
  <c r="L111" i="121"/>
  <c r="N111" i="121" s="1"/>
  <c r="AA111" i="121" s="1"/>
  <c r="L110" i="121"/>
  <c r="AA110" i="121" s="1"/>
  <c r="L109" i="121"/>
  <c r="N109" i="121" s="1"/>
  <c r="AA109" i="121" s="1"/>
  <c r="X107" i="121"/>
  <c r="AC107" i="121" s="1"/>
  <c r="L112" i="121"/>
  <c r="N112" i="121" s="1"/>
  <c r="AA112" i="121" s="1"/>
  <c r="L108" i="121"/>
  <c r="N108" i="121" s="1"/>
  <c r="AA108" i="121" s="1"/>
  <c r="Z112" i="121"/>
  <c r="Y111" i="121"/>
  <c r="Y110" i="121"/>
  <c r="Y109" i="121"/>
  <c r="Z108" i="121"/>
  <c r="AF105" i="125" l="1"/>
  <c r="AE105" i="125"/>
  <c r="AD105" i="125"/>
  <c r="AD106" i="125"/>
  <c r="AD107" i="125"/>
  <c r="AD108" i="125"/>
  <c r="AD109" i="125"/>
  <c r="AC105" i="125"/>
  <c r="AC106" i="125"/>
  <c r="AC107" i="125"/>
  <c r="AC108" i="125"/>
  <c r="W105" i="125"/>
  <c r="W106" i="125"/>
  <c r="W107" i="125"/>
  <c r="W108" i="125"/>
  <c r="W109" i="125"/>
  <c r="W110" i="125"/>
  <c r="W111" i="125"/>
  <c r="V105" i="125"/>
  <c r="V106" i="125"/>
  <c r="V107" i="125"/>
  <c r="V108" i="125"/>
  <c r="V109" i="125"/>
  <c r="V110" i="125"/>
  <c r="V111" i="125"/>
  <c r="U105" i="125"/>
  <c r="X105" i="125" s="1"/>
  <c r="U106" i="125"/>
  <c r="X106" i="125" s="1"/>
  <c r="U107" i="125"/>
  <c r="X107" i="125" s="1"/>
  <c r="U108" i="125"/>
  <c r="X108" i="125" s="1"/>
  <c r="U109" i="125"/>
  <c r="X109" i="125" s="1"/>
  <c r="U110" i="125"/>
  <c r="X110" i="125" s="1"/>
  <c r="U111" i="125"/>
  <c r="X111" i="125" s="1"/>
  <c r="M105" i="125"/>
  <c r="M106" i="125"/>
  <c r="M107" i="125"/>
  <c r="M108" i="125"/>
  <c r="M109" i="125"/>
  <c r="M110" i="125"/>
  <c r="M111" i="125"/>
  <c r="F107" i="125"/>
  <c r="N107" i="125" s="1"/>
  <c r="F108" i="125"/>
  <c r="N108" i="125" s="1"/>
  <c r="F109" i="125"/>
  <c r="F110" i="125"/>
  <c r="N110" i="125" s="1"/>
  <c r="F111" i="125"/>
  <c r="N111" i="125" s="1"/>
  <c r="AC109" i="125" l="1"/>
  <c r="AF109" i="125"/>
  <c r="Z111" i="125"/>
  <c r="Z109" i="125"/>
  <c r="Y105" i="125"/>
  <c r="Y107" i="125"/>
  <c r="AA106" i="125"/>
  <c r="AA108" i="125"/>
  <c r="AA111" i="125"/>
  <c r="AA107" i="125"/>
  <c r="Z108" i="125"/>
  <c r="AA110" i="125"/>
  <c r="N109" i="125"/>
  <c r="AA109" i="125" s="1"/>
  <c r="AA105" i="125"/>
  <c r="Y110" i="125"/>
  <c r="Z106" i="125"/>
  <c r="Z110" i="125"/>
  <c r="Y111" i="125"/>
  <c r="Y109" i="125"/>
  <c r="Y108" i="125"/>
  <c r="Z107" i="125"/>
  <c r="Y106" i="125"/>
  <c r="Z105" i="125"/>
  <c r="U93" i="119" l="1"/>
  <c r="M104" i="121"/>
  <c r="M93" i="119"/>
  <c r="K110" i="118"/>
  <c r="K111" i="118"/>
  <c r="K161" i="117"/>
  <c r="K162" i="117"/>
  <c r="K160" i="117"/>
  <c r="M160" i="117" s="1"/>
  <c r="F160" i="117"/>
  <c r="L160" i="117" s="1"/>
  <c r="N160" i="117" s="1"/>
  <c r="F161" i="117"/>
  <c r="F162" i="117"/>
  <c r="F163" i="117"/>
  <c r="F164" i="117"/>
  <c r="N166" i="117"/>
  <c r="N170" i="117"/>
  <c r="N174" i="117"/>
  <c r="W160" i="117"/>
  <c r="W161" i="117"/>
  <c r="W162" i="117"/>
  <c r="W163" i="117"/>
  <c r="W164" i="117"/>
  <c r="W165" i="117"/>
  <c r="W166" i="117"/>
  <c r="W167" i="117"/>
  <c r="W168" i="117"/>
  <c r="W169" i="117"/>
  <c r="W170" i="117"/>
  <c r="W171" i="117"/>
  <c r="W172" i="117"/>
  <c r="W173" i="117"/>
  <c r="W174" i="117"/>
  <c r="W175" i="117"/>
  <c r="V160" i="117"/>
  <c r="V161" i="117"/>
  <c r="V162" i="117"/>
  <c r="V163" i="117"/>
  <c r="V164" i="117"/>
  <c r="V165" i="117"/>
  <c r="V166" i="117"/>
  <c r="V167" i="117"/>
  <c r="V168" i="117"/>
  <c r="V169" i="117"/>
  <c r="V170" i="117"/>
  <c r="V171" i="117"/>
  <c r="V172" i="117"/>
  <c r="V173" i="117"/>
  <c r="V174" i="117"/>
  <c r="V175" i="117"/>
  <c r="U160" i="117"/>
  <c r="X160" i="117" s="1"/>
  <c r="U161" i="117"/>
  <c r="X161" i="117" s="1"/>
  <c r="U162" i="117"/>
  <c r="X162" i="117" s="1"/>
  <c r="U163" i="117"/>
  <c r="X163" i="117" s="1"/>
  <c r="U164" i="117"/>
  <c r="X164" i="117" s="1"/>
  <c r="AC164" i="117" s="1"/>
  <c r="U165" i="117"/>
  <c r="X165" i="117" s="1"/>
  <c r="U166" i="117"/>
  <c r="X166" i="117" s="1"/>
  <c r="X168" i="117"/>
  <c r="X169" i="117"/>
  <c r="X170" i="117"/>
  <c r="X172" i="117"/>
  <c r="X173" i="117"/>
  <c r="X174" i="117"/>
  <c r="X175" i="117"/>
  <c r="N165" i="117"/>
  <c r="M161" i="117"/>
  <c r="M162" i="117"/>
  <c r="M163" i="117"/>
  <c r="M164" i="117"/>
  <c r="M165" i="117"/>
  <c r="M166" i="117"/>
  <c r="M167" i="117"/>
  <c r="Z167" i="117" s="1"/>
  <c r="M168" i="117"/>
  <c r="M169" i="117"/>
  <c r="M170" i="117"/>
  <c r="M171" i="117"/>
  <c r="M172" i="117"/>
  <c r="M173" i="117"/>
  <c r="Z173" i="117" s="1"/>
  <c r="M174" i="117"/>
  <c r="Z174" i="117" s="1"/>
  <c r="M175" i="117"/>
  <c r="Y175" i="117" s="1"/>
  <c r="V114" i="116"/>
  <c r="V115" i="116"/>
  <c r="V116" i="116"/>
  <c r="V117" i="116"/>
  <c r="V118" i="116"/>
  <c r="V119" i="116"/>
  <c r="V120" i="116"/>
  <c r="V121" i="116"/>
  <c r="V122" i="116"/>
  <c r="V123" i="116"/>
  <c r="V124" i="116"/>
  <c r="U115" i="116"/>
  <c r="U116" i="116"/>
  <c r="U117" i="116"/>
  <c r="X117" i="116" s="1"/>
  <c r="U118" i="116"/>
  <c r="X118" i="116" s="1"/>
  <c r="U119" i="116"/>
  <c r="X119" i="116" s="1"/>
  <c r="U120" i="116"/>
  <c r="X120" i="116" s="1"/>
  <c r="U121" i="116"/>
  <c r="X121" i="116" s="1"/>
  <c r="U122" i="116"/>
  <c r="X122" i="116" s="1"/>
  <c r="U123" i="116"/>
  <c r="X123" i="116" s="1"/>
  <c r="U124" i="116"/>
  <c r="M117" i="116"/>
  <c r="M118" i="116"/>
  <c r="M119" i="116"/>
  <c r="K120" i="116"/>
  <c r="M120" i="116" s="1"/>
  <c r="F117" i="116"/>
  <c r="F118" i="116"/>
  <c r="L118" i="116" s="1"/>
  <c r="N118" i="116" s="1"/>
  <c r="F119" i="116"/>
  <c r="N119" i="116" s="1"/>
  <c r="F120" i="116"/>
  <c r="N120" i="116" s="1"/>
  <c r="F121" i="116"/>
  <c r="N121" i="116" s="1"/>
  <c r="F122" i="116"/>
  <c r="F123" i="116"/>
  <c r="N123" i="116" s="1"/>
  <c r="F124" i="116"/>
  <c r="AE174" i="117" l="1"/>
  <c r="AF174" i="117"/>
  <c r="AC166" i="117"/>
  <c r="AE166" i="117"/>
  <c r="AC165" i="117"/>
  <c r="AD165" i="117"/>
  <c r="L164" i="117"/>
  <c r="N164" i="117"/>
  <c r="AA164" i="117" s="1"/>
  <c r="L124" i="116"/>
  <c r="N124" i="116"/>
  <c r="L162" i="117"/>
  <c r="N162" i="117"/>
  <c r="AA162" i="117" s="1"/>
  <c r="L161" i="117"/>
  <c r="N161" i="117"/>
  <c r="AA161" i="117" s="1"/>
  <c r="L122" i="116"/>
  <c r="N122" i="116"/>
  <c r="AA122" i="116" s="1"/>
  <c r="L163" i="117"/>
  <c r="N163" i="117"/>
  <c r="AA173" i="117"/>
  <c r="AA169" i="117"/>
  <c r="Z175" i="117"/>
  <c r="AA174" i="117"/>
  <c r="AA170" i="117"/>
  <c r="Y171" i="117"/>
  <c r="Y167" i="117"/>
  <c r="AA175" i="117"/>
  <c r="AA165" i="117"/>
  <c r="AA124" i="116"/>
  <c r="Z169" i="117"/>
  <c r="X167" i="117"/>
  <c r="X124" i="116"/>
  <c r="Z124" i="116"/>
  <c r="Z171" i="117"/>
  <c r="AA172" i="117"/>
  <c r="AA168" i="117"/>
  <c r="Z172" i="117"/>
  <c r="Z168" i="117"/>
  <c r="Z170" i="117"/>
  <c r="X171" i="117"/>
  <c r="AA171" i="117"/>
  <c r="AA167" i="117"/>
  <c r="Z123" i="116"/>
  <c r="AA166" i="117"/>
  <c r="Z166" i="117"/>
  <c r="Z165" i="117"/>
  <c r="Z121" i="116"/>
  <c r="Z117" i="116"/>
  <c r="Y163" i="117"/>
  <c r="Z119" i="116"/>
  <c r="AA163" i="117"/>
  <c r="Z122" i="116"/>
  <c r="Z118" i="116"/>
  <c r="AA160" i="117"/>
  <c r="Y174" i="117"/>
  <c r="Y170" i="117"/>
  <c r="Y166" i="117"/>
  <c r="Z162" i="117"/>
  <c r="Y173" i="117"/>
  <c r="Y169" i="117"/>
  <c r="Y165" i="117"/>
  <c r="Y172" i="117"/>
  <c r="Y168" i="117"/>
  <c r="Z164" i="117"/>
  <c r="Y124" i="116"/>
  <c r="Z120" i="116"/>
  <c r="Y164" i="117"/>
  <c r="L123" i="116"/>
  <c r="AA123" i="116" s="1"/>
  <c r="Y123" i="116"/>
  <c r="Y122" i="116"/>
  <c r="L121" i="116"/>
  <c r="AA121" i="116" s="1"/>
  <c r="Y121" i="116"/>
  <c r="Y161" i="117"/>
  <c r="Z160" i="117"/>
  <c r="AA118" i="116"/>
  <c r="Z163" i="117"/>
  <c r="Z93" i="119"/>
  <c r="Y93" i="119"/>
  <c r="Y162" i="117"/>
  <c r="Z161" i="117"/>
  <c r="Y160" i="117"/>
  <c r="Y120" i="116"/>
  <c r="L120" i="116"/>
  <c r="AA120" i="116" s="1"/>
  <c r="Y119" i="116"/>
  <c r="L119" i="116"/>
  <c r="AA119" i="116" s="1"/>
  <c r="Y118" i="116"/>
  <c r="Y117" i="116"/>
  <c r="L117" i="116"/>
  <c r="N117" i="116" s="1"/>
  <c r="AA117" i="116" s="1"/>
  <c r="K102" i="120"/>
  <c r="K101" i="120"/>
  <c r="AF96" i="125" l="1"/>
  <c r="AF97" i="125"/>
  <c r="AF98" i="125"/>
  <c r="AF99" i="125"/>
  <c r="AF100" i="125"/>
  <c r="AF103" i="125"/>
  <c r="AF104" i="125"/>
  <c r="AE96" i="125"/>
  <c r="AE97" i="125"/>
  <c r="AE98" i="125"/>
  <c r="AE99" i="125"/>
  <c r="AE100" i="125"/>
  <c r="AE101" i="125"/>
  <c r="AE102" i="125"/>
  <c r="AE103" i="125"/>
  <c r="AE104" i="125"/>
  <c r="AD96" i="125"/>
  <c r="AD97" i="125"/>
  <c r="AD98" i="125"/>
  <c r="AD99" i="125"/>
  <c r="AD100" i="125"/>
  <c r="AD101" i="125"/>
  <c r="AD102" i="125"/>
  <c r="AD103" i="125"/>
  <c r="AD104" i="125"/>
  <c r="AC96" i="125"/>
  <c r="AC97" i="125"/>
  <c r="AC98" i="125"/>
  <c r="AC99" i="125"/>
  <c r="AC100" i="125"/>
  <c r="AC103" i="125"/>
  <c r="AC104" i="125"/>
  <c r="AF102" i="124"/>
  <c r="AF103" i="124"/>
  <c r="AF104" i="124"/>
  <c r="AF105" i="124"/>
  <c r="AF106" i="124"/>
  <c r="AF109" i="124"/>
  <c r="AF110" i="124"/>
  <c r="AF111" i="124"/>
  <c r="AF112" i="124"/>
  <c r="AF114" i="124"/>
  <c r="AF115" i="124"/>
  <c r="AF116" i="124"/>
  <c r="AF117" i="124"/>
  <c r="AF118" i="124"/>
  <c r="AF119" i="124"/>
  <c r="AF120" i="124"/>
  <c r="AF121" i="124"/>
  <c r="AF123" i="124"/>
  <c r="AF124" i="124"/>
  <c r="AF125" i="124"/>
  <c r="AF126" i="124"/>
  <c r="AF128" i="124"/>
  <c r="AF129" i="124"/>
  <c r="AF130" i="124"/>
  <c r="AF131" i="124"/>
  <c r="AF132" i="124"/>
  <c r="AE102" i="124"/>
  <c r="AE103" i="124"/>
  <c r="AE104" i="124"/>
  <c r="AE105" i="124"/>
  <c r="AE106" i="124"/>
  <c r="AE107" i="124"/>
  <c r="AE108" i="124"/>
  <c r="AE109" i="124"/>
  <c r="AE110" i="124"/>
  <c r="AE111" i="124"/>
  <c r="AE112" i="124"/>
  <c r="AE113" i="124"/>
  <c r="AE114" i="124"/>
  <c r="AE115" i="124"/>
  <c r="AE116" i="124"/>
  <c r="AE117" i="124"/>
  <c r="AE118" i="124"/>
  <c r="AE119" i="124"/>
  <c r="AE120" i="124"/>
  <c r="AE121" i="124"/>
  <c r="AE122" i="124"/>
  <c r="AE123" i="124"/>
  <c r="AE124" i="124"/>
  <c r="AE125" i="124"/>
  <c r="AE126" i="124"/>
  <c r="AE127" i="124"/>
  <c r="AE128" i="124"/>
  <c r="AE129" i="124"/>
  <c r="AE130" i="124"/>
  <c r="AE131" i="124"/>
  <c r="AE132" i="124"/>
  <c r="AD102" i="124"/>
  <c r="AD103" i="124"/>
  <c r="AD104" i="124"/>
  <c r="AD105" i="124"/>
  <c r="AD106" i="124"/>
  <c r="AD107" i="124"/>
  <c r="AD109" i="124"/>
  <c r="AD110" i="124"/>
  <c r="AD111" i="124"/>
  <c r="AD112" i="124"/>
  <c r="AD114" i="124"/>
  <c r="AD115" i="124"/>
  <c r="AD116" i="124"/>
  <c r="AD117" i="124"/>
  <c r="AD118" i="124"/>
  <c r="AD119" i="124"/>
  <c r="AD120" i="124"/>
  <c r="AD123" i="124"/>
  <c r="AD124" i="124"/>
  <c r="AD125" i="124"/>
  <c r="AD126" i="124"/>
  <c r="AD127" i="124"/>
  <c r="AD128" i="124"/>
  <c r="AD129" i="124"/>
  <c r="AD130" i="124"/>
  <c r="AD131" i="124"/>
  <c r="AD132" i="124"/>
  <c r="AC102" i="124"/>
  <c r="AC103" i="124"/>
  <c r="AC104" i="124"/>
  <c r="AC105" i="124"/>
  <c r="AC106" i="124"/>
  <c r="AC109" i="124"/>
  <c r="AC110" i="124"/>
  <c r="AC111" i="124"/>
  <c r="AC112" i="124"/>
  <c r="AC114" i="124"/>
  <c r="AC117" i="124"/>
  <c r="AC118" i="124"/>
  <c r="AC119" i="124"/>
  <c r="AC120" i="124"/>
  <c r="AC123" i="124"/>
  <c r="AC124" i="124"/>
  <c r="AC125" i="124"/>
  <c r="AC126" i="124"/>
  <c r="AC128" i="124"/>
  <c r="AC129" i="124"/>
  <c r="AC130" i="124"/>
  <c r="AC131" i="124"/>
  <c r="AC132" i="124"/>
  <c r="U104" i="121" l="1"/>
  <c r="L104" i="125"/>
  <c r="Y104" i="121" l="1"/>
  <c r="Z104" i="121"/>
  <c r="F93" i="119" l="1"/>
  <c r="L93" i="119" s="1"/>
  <c r="N93" i="119" s="1"/>
  <c r="W125" i="124"/>
  <c r="W126" i="124"/>
  <c r="W127" i="124"/>
  <c r="W128" i="124"/>
  <c r="W129" i="124"/>
  <c r="W130" i="124"/>
  <c r="W131" i="124"/>
  <c r="W132" i="124"/>
  <c r="V125" i="124"/>
  <c r="V126" i="124"/>
  <c r="V127" i="124"/>
  <c r="V128" i="124"/>
  <c r="V129" i="124"/>
  <c r="V130" i="124"/>
  <c r="V131" i="124"/>
  <c r="V132" i="124"/>
  <c r="U125" i="124"/>
  <c r="X125" i="124" s="1"/>
  <c r="U126" i="124"/>
  <c r="X126" i="124" s="1"/>
  <c r="U127" i="124"/>
  <c r="X127" i="124" s="1"/>
  <c r="U128" i="124"/>
  <c r="X128" i="124" s="1"/>
  <c r="U129" i="124"/>
  <c r="X129" i="124" s="1"/>
  <c r="U130" i="124"/>
  <c r="X130" i="124" s="1"/>
  <c r="U131" i="124"/>
  <c r="X131" i="124" s="1"/>
  <c r="U132" i="124"/>
  <c r="X132" i="124" s="1"/>
  <c r="M125" i="124"/>
  <c r="M126" i="124"/>
  <c r="M127" i="124"/>
  <c r="M128" i="124"/>
  <c r="M129" i="124"/>
  <c r="M130" i="124"/>
  <c r="M131" i="124"/>
  <c r="M132" i="124"/>
  <c r="F125" i="124"/>
  <c r="L125" i="124" s="1"/>
  <c r="F126" i="124"/>
  <c r="F127" i="124"/>
  <c r="L127" i="124" s="1"/>
  <c r="F128" i="124"/>
  <c r="N128" i="124" s="1"/>
  <c r="F129" i="124"/>
  <c r="N129" i="124" s="1"/>
  <c r="F130" i="124"/>
  <c r="F131" i="124"/>
  <c r="F132" i="124"/>
  <c r="K99" i="120"/>
  <c r="M99" i="120" s="1"/>
  <c r="W99" i="120"/>
  <c r="W100" i="120"/>
  <c r="W101" i="120"/>
  <c r="W102" i="120"/>
  <c r="W103" i="120"/>
  <c r="W104" i="120"/>
  <c r="V99" i="120"/>
  <c r="V100" i="120"/>
  <c r="V101" i="120"/>
  <c r="V102" i="120"/>
  <c r="V103" i="120"/>
  <c r="V104" i="120"/>
  <c r="U99" i="120"/>
  <c r="X99" i="120" s="1"/>
  <c r="U100" i="120"/>
  <c r="X100" i="120" s="1"/>
  <c r="AC100" i="120" s="1"/>
  <c r="U101" i="120"/>
  <c r="X101" i="120" s="1"/>
  <c r="U102" i="120"/>
  <c r="X102" i="120" s="1"/>
  <c r="AC102" i="120" s="1"/>
  <c r="U103" i="120"/>
  <c r="U104" i="120"/>
  <c r="X104" i="120" s="1"/>
  <c r="M100" i="120"/>
  <c r="M101" i="120"/>
  <c r="M102" i="120"/>
  <c r="M103" i="120"/>
  <c r="M104" i="120"/>
  <c r="M105" i="120"/>
  <c r="F99" i="120"/>
  <c r="F100" i="120"/>
  <c r="F101" i="120"/>
  <c r="F102" i="120"/>
  <c r="N103" i="120"/>
  <c r="N104" i="120"/>
  <c r="F105" i="120"/>
  <c r="AC127" i="124" l="1"/>
  <c r="AF127" i="124"/>
  <c r="AC104" i="120"/>
  <c r="AF104" i="120"/>
  <c r="AC101" i="120"/>
  <c r="AF101" i="120"/>
  <c r="Y128" i="124"/>
  <c r="L126" i="124"/>
  <c r="N126" i="124"/>
  <c r="AA126" i="124" s="1"/>
  <c r="Z132" i="124"/>
  <c r="L105" i="120"/>
  <c r="N105" i="120" s="1"/>
  <c r="AA105" i="120" s="1"/>
  <c r="Z105" i="120"/>
  <c r="Y105" i="120"/>
  <c r="AA104" i="120"/>
  <c r="Z129" i="124"/>
  <c r="Z130" i="124"/>
  <c r="Z131" i="124"/>
  <c r="Z127" i="124"/>
  <c r="Z104" i="120"/>
  <c r="Y104" i="120"/>
  <c r="Z103" i="120"/>
  <c r="AA103" i="120"/>
  <c r="N130" i="124"/>
  <c r="AA130" i="124" s="1"/>
  <c r="L102" i="120"/>
  <c r="N102" i="120" s="1"/>
  <c r="AA102" i="120" s="1"/>
  <c r="L99" i="120"/>
  <c r="N99" i="120" s="1"/>
  <c r="AA99" i="120" s="1"/>
  <c r="AA129" i="124"/>
  <c r="N125" i="124"/>
  <c r="AA125" i="124" s="1"/>
  <c r="L101" i="120"/>
  <c r="N101" i="120" s="1"/>
  <c r="AA101" i="120" s="1"/>
  <c r="N132" i="124"/>
  <c r="AA132" i="124" s="1"/>
  <c r="AA128" i="124"/>
  <c r="L100" i="120"/>
  <c r="N100" i="120" s="1"/>
  <c r="AA100" i="120" s="1"/>
  <c r="N131" i="124"/>
  <c r="AA131" i="124" s="1"/>
  <c r="N127" i="124"/>
  <c r="AA127" i="124" s="1"/>
  <c r="Z101" i="120"/>
  <c r="Y130" i="124"/>
  <c r="Y132" i="124"/>
  <c r="Y131" i="124"/>
  <c r="Y129" i="124"/>
  <c r="Z126" i="124"/>
  <c r="X103" i="120"/>
  <c r="Y103" i="120"/>
  <c r="Y102" i="120"/>
  <c r="Z100" i="120"/>
  <c r="Z99" i="120"/>
  <c r="Z128" i="124"/>
  <c r="Z125" i="124"/>
  <c r="Z102" i="120"/>
  <c r="Y101" i="120"/>
  <c r="Y100" i="120"/>
  <c r="Y127" i="124"/>
  <c r="Y126" i="124"/>
  <c r="Y125" i="124"/>
  <c r="Y99" i="120"/>
  <c r="K54" i="117"/>
  <c r="K55" i="117"/>
  <c r="V93" i="119" l="1"/>
  <c r="M123" i="124"/>
  <c r="W122" i="124"/>
  <c r="W123" i="124"/>
  <c r="W124" i="124"/>
  <c r="V122" i="124"/>
  <c r="V123" i="124"/>
  <c r="V124" i="124"/>
  <c r="U122" i="124"/>
  <c r="U123" i="124"/>
  <c r="X123" i="124" s="1"/>
  <c r="U124" i="124"/>
  <c r="X124" i="124" s="1"/>
  <c r="M122" i="124"/>
  <c r="M124" i="124"/>
  <c r="F123" i="124"/>
  <c r="F124" i="124"/>
  <c r="L124" i="124" s="1"/>
  <c r="K99" i="125"/>
  <c r="M99" i="125" s="1"/>
  <c r="W98" i="125"/>
  <c r="W99" i="125"/>
  <c r="W100" i="125"/>
  <c r="W101" i="125"/>
  <c r="W102" i="125"/>
  <c r="W103" i="125"/>
  <c r="W104" i="125"/>
  <c r="V98" i="125"/>
  <c r="V99" i="125"/>
  <c r="V100" i="125"/>
  <c r="V101" i="125"/>
  <c r="V102" i="125"/>
  <c r="V103" i="125"/>
  <c r="V104" i="125"/>
  <c r="U98" i="125"/>
  <c r="X98" i="125" s="1"/>
  <c r="U99" i="125"/>
  <c r="X99" i="125" s="1"/>
  <c r="U100" i="125"/>
  <c r="X100" i="125" s="1"/>
  <c r="U101" i="125"/>
  <c r="X101" i="125" s="1"/>
  <c r="U102" i="125"/>
  <c r="X102" i="125" s="1"/>
  <c r="U103" i="125"/>
  <c r="X103" i="125" s="1"/>
  <c r="U104" i="125"/>
  <c r="X104" i="125" s="1"/>
  <c r="M98" i="125"/>
  <c r="M100" i="125"/>
  <c r="M101" i="125"/>
  <c r="M102" i="125"/>
  <c r="M103" i="125"/>
  <c r="M104" i="125"/>
  <c r="F98" i="125"/>
  <c r="N98" i="125" s="1"/>
  <c r="F99" i="125"/>
  <c r="N99" i="125" s="1"/>
  <c r="F100" i="125"/>
  <c r="F101" i="125"/>
  <c r="L101" i="125" s="1"/>
  <c r="F102" i="125"/>
  <c r="L102" i="125" s="1"/>
  <c r="F103" i="125"/>
  <c r="L103" i="125" s="1"/>
  <c r="N104" i="125"/>
  <c r="AC102" i="125" l="1"/>
  <c r="AF102" i="125"/>
  <c r="AC101" i="125"/>
  <c r="AF101" i="125"/>
  <c r="L100" i="125"/>
  <c r="N100" i="125"/>
  <c r="AA100" i="125" s="1"/>
  <c r="N124" i="124"/>
  <c r="AA124" i="124" s="1"/>
  <c r="N101" i="125"/>
  <c r="AA101" i="125" s="1"/>
  <c r="L98" i="125"/>
  <c r="AA98" i="125" s="1"/>
  <c r="L99" i="125"/>
  <c r="AA99" i="125" s="1"/>
  <c r="L123" i="124"/>
  <c r="N123" i="124" s="1"/>
  <c r="AA123" i="124" s="1"/>
  <c r="AA104" i="125"/>
  <c r="Z104" i="125"/>
  <c r="Z100" i="125"/>
  <c r="Z102" i="125"/>
  <c r="Z98" i="125"/>
  <c r="Z101" i="125"/>
  <c r="Z124" i="124"/>
  <c r="Y104" i="125"/>
  <c r="Y123" i="124"/>
  <c r="Z103" i="125"/>
  <c r="Z99" i="125"/>
  <c r="Y122" i="124"/>
  <c r="X122" i="124"/>
  <c r="AF122" i="124" s="1"/>
  <c r="Z122" i="124"/>
  <c r="Y124" i="124"/>
  <c r="Z123" i="124"/>
  <c r="N103" i="125"/>
  <c r="AA103" i="125" s="1"/>
  <c r="N102" i="125"/>
  <c r="AA102" i="125" s="1"/>
  <c r="Y103" i="125"/>
  <c r="Y102" i="125"/>
  <c r="Y101" i="125"/>
  <c r="Y100" i="125"/>
  <c r="Y99" i="125"/>
  <c r="Y98" i="125"/>
  <c r="K88" i="123"/>
  <c r="AC122" i="124" l="1"/>
  <c r="AD122" i="124"/>
  <c r="K105" i="118"/>
  <c r="K106" i="118"/>
  <c r="K158" i="117"/>
  <c r="U94" i="116" l="1"/>
  <c r="K113" i="116"/>
  <c r="K157" i="117"/>
  <c r="K154" i="117"/>
  <c r="X115" i="116"/>
  <c r="X116" i="116"/>
  <c r="W109" i="116"/>
  <c r="W110" i="116"/>
  <c r="W111" i="116"/>
  <c r="W112" i="116"/>
  <c r="W113" i="116"/>
  <c r="W114" i="116"/>
  <c r="W115" i="116"/>
  <c r="W116" i="116"/>
  <c r="V109" i="116"/>
  <c r="V110" i="116"/>
  <c r="V111" i="116"/>
  <c r="V112" i="116"/>
  <c r="V113" i="116"/>
  <c r="U109" i="116"/>
  <c r="X109" i="116" s="1"/>
  <c r="U110" i="116"/>
  <c r="X110" i="116" s="1"/>
  <c r="U111" i="116"/>
  <c r="X111" i="116" s="1"/>
  <c r="U112" i="116"/>
  <c r="X112" i="116" s="1"/>
  <c r="U113" i="116"/>
  <c r="X113" i="116" s="1"/>
  <c r="U114" i="116"/>
  <c r="M109" i="116"/>
  <c r="M110" i="116"/>
  <c r="M111" i="116"/>
  <c r="M112" i="116"/>
  <c r="M113" i="116"/>
  <c r="M114" i="116"/>
  <c r="M115" i="116"/>
  <c r="Z115" i="116" s="1"/>
  <c r="K116" i="116"/>
  <c r="M116" i="116" s="1"/>
  <c r="Z116" i="116" s="1"/>
  <c r="F109" i="116"/>
  <c r="N109" i="116" s="1"/>
  <c r="F110" i="116"/>
  <c r="L110" i="116" s="1"/>
  <c r="F111" i="116"/>
  <c r="F112" i="116"/>
  <c r="N112" i="116" s="1"/>
  <c r="F113" i="116"/>
  <c r="F114" i="116"/>
  <c r="N114" i="116" s="1"/>
  <c r="F115" i="116"/>
  <c r="N115" i="116" s="1"/>
  <c r="F116" i="116"/>
  <c r="AF100" i="121"/>
  <c r="AF101" i="121"/>
  <c r="AF102" i="121"/>
  <c r="AF103" i="121"/>
  <c r="AF104" i="121"/>
  <c r="AF105" i="121"/>
  <c r="AF106" i="121"/>
  <c r="AE100" i="121"/>
  <c r="AE101" i="121"/>
  <c r="AE102" i="121"/>
  <c r="AE103" i="121"/>
  <c r="AE104" i="121"/>
  <c r="AE105" i="121"/>
  <c r="AE106" i="121"/>
  <c r="AD100" i="121"/>
  <c r="AD101" i="121"/>
  <c r="AD102" i="121"/>
  <c r="AD103" i="121"/>
  <c r="AD104" i="121"/>
  <c r="AD105" i="121"/>
  <c r="AD106" i="121"/>
  <c r="AC102" i="121"/>
  <c r="AC103" i="121"/>
  <c r="AC104" i="121"/>
  <c r="AC105" i="121"/>
  <c r="AC106" i="121"/>
  <c r="W100" i="121"/>
  <c r="W101" i="121"/>
  <c r="W102" i="121"/>
  <c r="W103" i="121"/>
  <c r="W104" i="121"/>
  <c r="W105" i="121"/>
  <c r="W106" i="121"/>
  <c r="V100" i="121"/>
  <c r="V101" i="121"/>
  <c r="V102" i="121"/>
  <c r="V103" i="121"/>
  <c r="V104" i="121"/>
  <c r="V105" i="121"/>
  <c r="V106" i="121"/>
  <c r="U100" i="121"/>
  <c r="X100" i="121" s="1"/>
  <c r="AC100" i="121" s="1"/>
  <c r="U101" i="121"/>
  <c r="X101" i="121" s="1"/>
  <c r="AC101" i="121" s="1"/>
  <c r="U102" i="121"/>
  <c r="X102" i="121" s="1"/>
  <c r="U103" i="121"/>
  <c r="X103" i="121" s="1"/>
  <c r="X104" i="121"/>
  <c r="U105" i="121"/>
  <c r="U106" i="121"/>
  <c r="M101" i="121"/>
  <c r="M102" i="121"/>
  <c r="M103" i="121"/>
  <c r="M105" i="121"/>
  <c r="M106" i="121"/>
  <c r="M107" i="121"/>
  <c r="Z107" i="121" s="1"/>
  <c r="F102" i="121"/>
  <c r="F103" i="121"/>
  <c r="F104" i="121"/>
  <c r="F105" i="121"/>
  <c r="F106" i="121"/>
  <c r="F107" i="121"/>
  <c r="L107" i="121" s="1"/>
  <c r="N107" i="121" s="1"/>
  <c r="AA107" i="121" s="1"/>
  <c r="L105" i="121" l="1"/>
  <c r="N105" i="121"/>
  <c r="L104" i="121"/>
  <c r="N104" i="121"/>
  <c r="AA104" i="121" s="1"/>
  <c r="Y107" i="121"/>
  <c r="L109" i="116"/>
  <c r="AA109" i="116" s="1"/>
  <c r="L111" i="116"/>
  <c r="N111" i="116" s="1"/>
  <c r="AA111" i="116" s="1"/>
  <c r="L106" i="121"/>
  <c r="N106" i="121" s="1"/>
  <c r="N110" i="116"/>
  <c r="AA110" i="116" s="1"/>
  <c r="L112" i="116"/>
  <c r="AA112" i="116" s="1"/>
  <c r="L113" i="116"/>
  <c r="N113" i="116" s="1"/>
  <c r="AA113" i="116" s="1"/>
  <c r="Z110" i="116"/>
  <c r="Z102" i="121"/>
  <c r="Y103" i="121"/>
  <c r="Z101" i="121"/>
  <c r="Z112" i="116"/>
  <c r="Z111" i="116"/>
  <c r="Z109" i="116"/>
  <c r="Z106" i="121"/>
  <c r="AA105" i="121"/>
  <c r="Y105" i="121"/>
  <c r="Z113" i="116"/>
  <c r="Y116" i="116"/>
  <c r="Y115" i="116"/>
  <c r="Z114" i="116"/>
  <c r="X106" i="121"/>
  <c r="Y106" i="121"/>
  <c r="Z105" i="121"/>
  <c r="X105" i="121"/>
  <c r="Y114" i="116"/>
  <c r="X114" i="116"/>
  <c r="L102" i="121"/>
  <c r="N102" i="121" s="1"/>
  <c r="AA102" i="121" s="1"/>
  <c r="L103" i="121"/>
  <c r="N103" i="121" s="1"/>
  <c r="AA103" i="121" s="1"/>
  <c r="Y113" i="116"/>
  <c r="Y101" i="121"/>
  <c r="Y112" i="116"/>
  <c r="Y111" i="116"/>
  <c r="Y110" i="116"/>
  <c r="Y109" i="116"/>
  <c r="Z103" i="121"/>
  <c r="Y102" i="121"/>
  <c r="M27" i="165" l="1"/>
  <c r="F27" i="165"/>
  <c r="E27" i="165"/>
  <c r="D27" i="165"/>
  <c r="M26" i="165"/>
  <c r="F26" i="165"/>
  <c r="E26" i="165"/>
  <c r="D26" i="165"/>
  <c r="M25" i="165"/>
  <c r="F25" i="165"/>
  <c r="E25" i="165"/>
  <c r="D25" i="165"/>
  <c r="M24" i="165"/>
  <c r="F24" i="165"/>
  <c r="E24" i="165"/>
  <c r="D24" i="165"/>
  <c r="M23" i="165"/>
  <c r="F23" i="165"/>
  <c r="E23" i="165"/>
  <c r="D23" i="165"/>
  <c r="M22" i="165"/>
  <c r="F22" i="165"/>
  <c r="E22" i="165"/>
  <c r="D22" i="165"/>
  <c r="M21" i="165"/>
  <c r="F21" i="165"/>
  <c r="E21" i="165"/>
  <c r="D21" i="165"/>
  <c r="M20" i="165"/>
  <c r="F20" i="165"/>
  <c r="E20" i="165"/>
  <c r="D20" i="165"/>
  <c r="M19" i="165"/>
  <c r="F19" i="165"/>
  <c r="E19" i="165"/>
  <c r="D19" i="165"/>
  <c r="M18" i="165"/>
  <c r="F18" i="165"/>
  <c r="E18" i="165"/>
  <c r="D18" i="165"/>
  <c r="M17" i="165"/>
  <c r="F17" i="165"/>
  <c r="E17" i="165"/>
  <c r="D17" i="165"/>
  <c r="M16" i="165"/>
  <c r="F16" i="165"/>
  <c r="E16" i="165"/>
  <c r="D16" i="165"/>
  <c r="M15" i="165"/>
  <c r="F15" i="165"/>
  <c r="E15" i="165"/>
  <c r="D15" i="165"/>
  <c r="M14" i="165"/>
  <c r="F14" i="165"/>
  <c r="E14" i="165"/>
  <c r="D14" i="165"/>
  <c r="M13" i="165"/>
  <c r="F13" i="165"/>
  <c r="E13" i="165"/>
  <c r="D13" i="165"/>
  <c r="M12" i="165"/>
  <c r="F12" i="165"/>
  <c r="E12" i="165"/>
  <c r="D12" i="165"/>
  <c r="N11" i="87"/>
  <c r="B11" i="87"/>
  <c r="B12" i="91" s="1"/>
  <c r="C7" i="87"/>
  <c r="C7" i="90" s="1"/>
  <c r="C6" i="87"/>
  <c r="C6" i="91" s="1"/>
  <c r="C5" i="87"/>
  <c r="C5" i="165" s="1"/>
  <c r="B26" i="139"/>
  <c r="B25" i="139"/>
  <c r="B24" i="139"/>
  <c r="B23" i="139"/>
  <c r="B22" i="139"/>
  <c r="B21" i="139"/>
  <c r="B20" i="139"/>
  <c r="B19" i="139"/>
  <c r="B18" i="139"/>
  <c r="B17" i="139"/>
  <c r="B16" i="139"/>
  <c r="B15" i="139"/>
  <c r="B14" i="139"/>
  <c r="B13" i="139"/>
  <c r="B12" i="139"/>
  <c r="B11" i="139"/>
  <c r="B26" i="115"/>
  <c r="B25" i="115"/>
  <c r="B24" i="115"/>
  <c r="B23" i="115"/>
  <c r="B22" i="115"/>
  <c r="B21" i="115"/>
  <c r="B20" i="115"/>
  <c r="B19" i="115"/>
  <c r="B18" i="115"/>
  <c r="B17" i="115"/>
  <c r="B16" i="115"/>
  <c r="B15" i="115"/>
  <c r="B14" i="115"/>
  <c r="B13" i="115"/>
  <c r="B12" i="115"/>
  <c r="B11" i="115"/>
  <c r="D27" i="138"/>
  <c r="B27" i="138"/>
  <c r="D26" i="138"/>
  <c r="B26" i="138"/>
  <c r="D25" i="138"/>
  <c r="B25" i="138"/>
  <c r="D24" i="138"/>
  <c r="B24" i="138"/>
  <c r="D23" i="138"/>
  <c r="B23" i="138"/>
  <c r="D22" i="138"/>
  <c r="B22" i="138"/>
  <c r="D21" i="138"/>
  <c r="B21" i="138"/>
  <c r="D20" i="138"/>
  <c r="B20" i="138"/>
  <c r="D19" i="138"/>
  <c r="B19" i="138"/>
  <c r="D18" i="138"/>
  <c r="B18" i="138"/>
  <c r="D17" i="138"/>
  <c r="B17" i="138"/>
  <c r="D16" i="138"/>
  <c r="B16" i="138"/>
  <c r="D15" i="138"/>
  <c r="B15" i="138"/>
  <c r="D14" i="138"/>
  <c r="D13" i="139" s="1"/>
  <c r="B14" i="138"/>
  <c r="D13" i="138"/>
  <c r="B13" i="138"/>
  <c r="D12" i="138"/>
  <c r="B12" i="138"/>
  <c r="D27" i="114"/>
  <c r="D26" i="115" s="1"/>
  <c r="B27" i="114"/>
  <c r="D26" i="114"/>
  <c r="B26" i="114"/>
  <c r="D25" i="114"/>
  <c r="D24" i="115" s="1"/>
  <c r="B25" i="114"/>
  <c r="D24" i="114"/>
  <c r="B24" i="114"/>
  <c r="D23" i="114"/>
  <c r="D22" i="115" s="1"/>
  <c r="B23" i="114"/>
  <c r="D22" i="114"/>
  <c r="B22" i="114"/>
  <c r="D21" i="114"/>
  <c r="B21" i="114"/>
  <c r="D20" i="114"/>
  <c r="D19" i="115" s="1"/>
  <c r="B20" i="114"/>
  <c r="D19" i="114"/>
  <c r="B19" i="114"/>
  <c r="D18" i="114"/>
  <c r="D17" i="115" s="1"/>
  <c r="B18" i="114"/>
  <c r="D17" i="114"/>
  <c r="B17" i="114"/>
  <c r="D16" i="114"/>
  <c r="B16" i="114"/>
  <c r="D15" i="114"/>
  <c r="D14" i="115" s="1"/>
  <c r="B15" i="114"/>
  <c r="D14" i="114"/>
  <c r="B14" i="114"/>
  <c r="D13" i="114"/>
  <c r="D12" i="115" s="1"/>
  <c r="B13" i="114"/>
  <c r="D12" i="114"/>
  <c r="B12" i="114"/>
  <c r="A4" i="114"/>
  <c r="D103" i="155"/>
  <c r="T102" i="155"/>
  <c r="S102" i="155"/>
  <c r="R102" i="155"/>
  <c r="Q102" i="155"/>
  <c r="P102" i="155"/>
  <c r="O102" i="155"/>
  <c r="E102" i="155"/>
  <c r="D102" i="155"/>
  <c r="AF100" i="155"/>
  <c r="AE100" i="155"/>
  <c r="AD100" i="155"/>
  <c r="AC100" i="155"/>
  <c r="W100" i="155"/>
  <c r="V100" i="155"/>
  <c r="U100" i="155"/>
  <c r="X100" i="155" s="1"/>
  <c r="M100" i="155"/>
  <c r="F100" i="155"/>
  <c r="N100" i="155" s="1"/>
  <c r="AF99" i="155"/>
  <c r="AE99" i="155"/>
  <c r="AD99" i="155"/>
  <c r="AC99" i="155"/>
  <c r="W99" i="155"/>
  <c r="V99" i="155"/>
  <c r="U99" i="155"/>
  <c r="M99" i="155"/>
  <c r="F99" i="155"/>
  <c r="AF98" i="155"/>
  <c r="AE98" i="155"/>
  <c r="AD98" i="155"/>
  <c r="AC98" i="155"/>
  <c r="W98" i="155"/>
  <c r="V98" i="155"/>
  <c r="U98" i="155"/>
  <c r="M98" i="155"/>
  <c r="F98" i="155"/>
  <c r="AF97" i="155"/>
  <c r="AE97" i="155"/>
  <c r="AD97" i="155"/>
  <c r="AC97" i="155"/>
  <c r="W97" i="155"/>
  <c r="V97" i="155"/>
  <c r="U97" i="155"/>
  <c r="M97" i="155"/>
  <c r="F97" i="155"/>
  <c r="AF96" i="155"/>
  <c r="AE96" i="155"/>
  <c r="AD96" i="155"/>
  <c r="AC96" i="155"/>
  <c r="W96" i="155"/>
  <c r="V96" i="155"/>
  <c r="U96" i="155"/>
  <c r="M96" i="155"/>
  <c r="F96" i="155"/>
  <c r="N96" i="155" s="1"/>
  <c r="AF95" i="155"/>
  <c r="AE95" i="155"/>
  <c r="AD95" i="155"/>
  <c r="AC95" i="155"/>
  <c r="W95" i="155"/>
  <c r="V95" i="155"/>
  <c r="U95" i="155"/>
  <c r="M95" i="155"/>
  <c r="F95" i="155"/>
  <c r="AF94" i="155"/>
  <c r="AE94" i="155"/>
  <c r="AD94" i="155"/>
  <c r="AC94" i="155"/>
  <c r="W94" i="155"/>
  <c r="V94" i="155"/>
  <c r="U94" i="155"/>
  <c r="M94" i="155"/>
  <c r="F94" i="155"/>
  <c r="AF93" i="155"/>
  <c r="AE93" i="155"/>
  <c r="AD93" i="155"/>
  <c r="AC93" i="155"/>
  <c r="W93" i="155"/>
  <c r="V93" i="155"/>
  <c r="U93" i="155"/>
  <c r="M93" i="155"/>
  <c r="F93" i="155"/>
  <c r="AF92" i="155"/>
  <c r="AE92" i="155"/>
  <c r="AD92" i="155"/>
  <c r="AC92" i="155"/>
  <c r="W92" i="155"/>
  <c r="V92" i="155"/>
  <c r="U92" i="155"/>
  <c r="X92" i="155" s="1"/>
  <c r="M92" i="155"/>
  <c r="F92" i="155"/>
  <c r="N92" i="155" s="1"/>
  <c r="AF91" i="155"/>
  <c r="AE91" i="155"/>
  <c r="AD91" i="155"/>
  <c r="AC91" i="155"/>
  <c r="W91" i="155"/>
  <c r="V91" i="155"/>
  <c r="U91" i="155"/>
  <c r="M91" i="155"/>
  <c r="F91" i="155"/>
  <c r="AF90" i="155"/>
  <c r="AE90" i="155"/>
  <c r="AD90" i="155"/>
  <c r="AC90" i="155"/>
  <c r="W90" i="155"/>
  <c r="V90" i="155"/>
  <c r="U90" i="155"/>
  <c r="X90" i="155" s="1"/>
  <c r="M90" i="155"/>
  <c r="F90" i="155"/>
  <c r="AF89" i="155"/>
  <c r="AE89" i="155"/>
  <c r="AD89" i="155"/>
  <c r="AC89" i="155"/>
  <c r="W89" i="155"/>
  <c r="V89" i="155"/>
  <c r="U89" i="155"/>
  <c r="M89" i="155"/>
  <c r="F89" i="155"/>
  <c r="AF88" i="155"/>
  <c r="AE88" i="155"/>
  <c r="AD88" i="155"/>
  <c r="AC88" i="155"/>
  <c r="W88" i="155"/>
  <c r="V88" i="155"/>
  <c r="U88" i="155"/>
  <c r="X88" i="155" s="1"/>
  <c r="M88" i="155"/>
  <c r="F88" i="155"/>
  <c r="N88" i="155" s="1"/>
  <c r="AF87" i="155"/>
  <c r="AE87" i="155"/>
  <c r="AD87" i="155"/>
  <c r="AC87" i="155"/>
  <c r="W87" i="155"/>
  <c r="V87" i="155"/>
  <c r="U87" i="155"/>
  <c r="M87" i="155"/>
  <c r="F87" i="155"/>
  <c r="AF86" i="155"/>
  <c r="AE86" i="155"/>
  <c r="AD86" i="155"/>
  <c r="AC86" i="155"/>
  <c r="W86" i="155"/>
  <c r="V86" i="155"/>
  <c r="U86" i="155"/>
  <c r="X86" i="155" s="1"/>
  <c r="M86" i="155"/>
  <c r="F86" i="155"/>
  <c r="AF85" i="155"/>
  <c r="AE85" i="155"/>
  <c r="AD85" i="155"/>
  <c r="AC85" i="155"/>
  <c r="W85" i="155"/>
  <c r="V85" i="155"/>
  <c r="U85" i="155"/>
  <c r="M85" i="155"/>
  <c r="F85" i="155"/>
  <c r="AF84" i="155"/>
  <c r="AE84" i="155"/>
  <c r="AD84" i="155"/>
  <c r="AC84" i="155"/>
  <c r="W84" i="155"/>
  <c r="V84" i="155"/>
  <c r="U84" i="155"/>
  <c r="X84" i="155" s="1"/>
  <c r="M84" i="155"/>
  <c r="F84" i="155"/>
  <c r="N84" i="155" s="1"/>
  <c r="AF83" i="155"/>
  <c r="AE83" i="155"/>
  <c r="AD83" i="155"/>
  <c r="AC83" i="155"/>
  <c r="W83" i="155"/>
  <c r="V83" i="155"/>
  <c r="U83" i="155"/>
  <c r="M83" i="155"/>
  <c r="F83" i="155"/>
  <c r="AF82" i="155"/>
  <c r="AE82" i="155"/>
  <c r="AD82" i="155"/>
  <c r="AC82" i="155"/>
  <c r="W82" i="155"/>
  <c r="V82" i="155"/>
  <c r="U82" i="155"/>
  <c r="X82" i="155" s="1"/>
  <c r="M82" i="155"/>
  <c r="F82" i="155"/>
  <c r="AF81" i="155"/>
  <c r="AE81" i="155"/>
  <c r="AD81" i="155"/>
  <c r="AC81" i="155"/>
  <c r="W81" i="155"/>
  <c r="V81" i="155"/>
  <c r="U81" i="155"/>
  <c r="M81" i="155"/>
  <c r="F81" i="155"/>
  <c r="AF80" i="155"/>
  <c r="AE80" i="155"/>
  <c r="AD80" i="155"/>
  <c r="AC80" i="155"/>
  <c r="W80" i="155"/>
  <c r="V80" i="155"/>
  <c r="U80" i="155"/>
  <c r="X80" i="155" s="1"/>
  <c r="M80" i="155"/>
  <c r="F80" i="155"/>
  <c r="N80" i="155" s="1"/>
  <c r="AF79" i="155"/>
  <c r="AE79" i="155"/>
  <c r="AD79" i="155"/>
  <c r="AC79" i="155"/>
  <c r="W79" i="155"/>
  <c r="V79" i="155"/>
  <c r="U79" i="155"/>
  <c r="M79" i="155"/>
  <c r="F79" i="155"/>
  <c r="AF78" i="155"/>
  <c r="AE78" i="155"/>
  <c r="AD78" i="155"/>
  <c r="AC78" i="155"/>
  <c r="W78" i="155"/>
  <c r="V78" i="155"/>
  <c r="U78" i="155"/>
  <c r="M78" i="155"/>
  <c r="F78" i="155"/>
  <c r="AF77" i="155"/>
  <c r="AE77" i="155"/>
  <c r="AD77" i="155"/>
  <c r="AC77" i="155"/>
  <c r="W77" i="155"/>
  <c r="V77" i="155"/>
  <c r="U77" i="155"/>
  <c r="M77" i="155"/>
  <c r="F77" i="155"/>
  <c r="N77" i="155" s="1"/>
  <c r="AF76" i="155"/>
  <c r="AE76" i="155"/>
  <c r="AD76" i="155"/>
  <c r="AC76" i="155"/>
  <c r="W76" i="155"/>
  <c r="V76" i="155"/>
  <c r="U76" i="155"/>
  <c r="X76" i="155" s="1"/>
  <c r="M76" i="155"/>
  <c r="F76" i="155"/>
  <c r="N76" i="155" s="1"/>
  <c r="AF75" i="155"/>
  <c r="AE75" i="155"/>
  <c r="AD75" i="155"/>
  <c r="AC75" i="155"/>
  <c r="W75" i="155"/>
  <c r="V75" i="155"/>
  <c r="U75" i="155"/>
  <c r="M75" i="155"/>
  <c r="F75" i="155"/>
  <c r="AF74" i="155"/>
  <c r="AE74" i="155"/>
  <c r="AD74" i="155"/>
  <c r="AC74" i="155"/>
  <c r="W74" i="155"/>
  <c r="V74" i="155"/>
  <c r="U74" i="155"/>
  <c r="M74" i="155"/>
  <c r="F74" i="155"/>
  <c r="AF73" i="155"/>
  <c r="AE73" i="155"/>
  <c r="AD73" i="155"/>
  <c r="AC73" i="155"/>
  <c r="W73" i="155"/>
  <c r="V73" i="155"/>
  <c r="U73" i="155"/>
  <c r="M73" i="155"/>
  <c r="F73" i="155"/>
  <c r="AF72" i="155"/>
  <c r="AE72" i="155"/>
  <c r="AD72" i="155"/>
  <c r="AC72" i="155"/>
  <c r="W72" i="155"/>
  <c r="V72" i="155"/>
  <c r="U72" i="155"/>
  <c r="X72" i="155" s="1"/>
  <c r="M72" i="155"/>
  <c r="F72" i="155"/>
  <c r="N72" i="155" s="1"/>
  <c r="AF71" i="155"/>
  <c r="AE71" i="155"/>
  <c r="AD71" i="155"/>
  <c r="AC71" i="155"/>
  <c r="W71" i="155"/>
  <c r="V71" i="155"/>
  <c r="U71" i="155"/>
  <c r="X71" i="155" s="1"/>
  <c r="M71" i="155"/>
  <c r="F71" i="155"/>
  <c r="AF70" i="155"/>
  <c r="AE70" i="155"/>
  <c r="AD70" i="155"/>
  <c r="AC70" i="155"/>
  <c r="W70" i="155"/>
  <c r="V70" i="155"/>
  <c r="U70" i="155"/>
  <c r="M70" i="155"/>
  <c r="F70" i="155"/>
  <c r="N70" i="155" s="1"/>
  <c r="AF69" i="155"/>
  <c r="AE69" i="155"/>
  <c r="AD69" i="155"/>
  <c r="AC69" i="155"/>
  <c r="W69" i="155"/>
  <c r="V69" i="155"/>
  <c r="U69" i="155"/>
  <c r="M69" i="155"/>
  <c r="F69" i="155"/>
  <c r="AF68" i="155"/>
  <c r="AE68" i="155"/>
  <c r="AD68" i="155"/>
  <c r="AC68" i="155"/>
  <c r="W68" i="155"/>
  <c r="V68" i="155"/>
  <c r="U68" i="155"/>
  <c r="X68" i="155" s="1"/>
  <c r="M68" i="155"/>
  <c r="F68" i="155"/>
  <c r="AF67" i="155"/>
  <c r="AE67" i="155"/>
  <c r="AD67" i="155"/>
  <c r="AC67" i="155"/>
  <c r="W67" i="155"/>
  <c r="V67" i="155"/>
  <c r="U67" i="155"/>
  <c r="X67" i="155" s="1"/>
  <c r="M67" i="155"/>
  <c r="F67" i="155"/>
  <c r="AF66" i="155"/>
  <c r="AE66" i="155"/>
  <c r="AD66" i="155"/>
  <c r="AC66" i="155"/>
  <c r="W66" i="155"/>
  <c r="V66" i="155"/>
  <c r="U66" i="155"/>
  <c r="M66" i="155"/>
  <c r="F66" i="155"/>
  <c r="N66" i="155" s="1"/>
  <c r="E49" i="155"/>
  <c r="D49" i="155"/>
  <c r="T48" i="155"/>
  <c r="S48" i="155"/>
  <c r="R48" i="155"/>
  <c r="Q48" i="155"/>
  <c r="P48" i="155"/>
  <c r="O48" i="155"/>
  <c r="E48" i="155"/>
  <c r="D48" i="155"/>
  <c r="AF46" i="155"/>
  <c r="AE46" i="155"/>
  <c r="AD46" i="155"/>
  <c r="AC46" i="155"/>
  <c r="W46" i="155"/>
  <c r="V46" i="155"/>
  <c r="U46" i="155"/>
  <c r="X46" i="155" s="1"/>
  <c r="M46" i="155"/>
  <c r="F46" i="155"/>
  <c r="N46" i="155" s="1"/>
  <c r="AF45" i="155"/>
  <c r="AE45" i="155"/>
  <c r="AD45" i="155"/>
  <c r="AC45" i="155"/>
  <c r="W45" i="155"/>
  <c r="V45" i="155"/>
  <c r="U45" i="155"/>
  <c r="X45" i="155" s="1"/>
  <c r="M45" i="155"/>
  <c r="F45" i="155"/>
  <c r="N45" i="155" s="1"/>
  <c r="AF44" i="155"/>
  <c r="AE44" i="155"/>
  <c r="AD44" i="155"/>
  <c r="AC44" i="155"/>
  <c r="W44" i="155"/>
  <c r="V44" i="155"/>
  <c r="U44" i="155"/>
  <c r="X44" i="155" s="1"/>
  <c r="M44" i="155"/>
  <c r="F44" i="155"/>
  <c r="N44" i="155" s="1"/>
  <c r="AF43" i="155"/>
  <c r="AE43" i="155"/>
  <c r="AD43" i="155"/>
  <c r="AC43" i="155"/>
  <c r="W43" i="155"/>
  <c r="V43" i="155"/>
  <c r="U43" i="155"/>
  <c r="X43" i="155" s="1"/>
  <c r="M43" i="155"/>
  <c r="F43" i="155"/>
  <c r="N43" i="155" s="1"/>
  <c r="AF42" i="155"/>
  <c r="AE42" i="155"/>
  <c r="AD42" i="155"/>
  <c r="AC42" i="155"/>
  <c r="W42" i="155"/>
  <c r="V42" i="155"/>
  <c r="U42" i="155"/>
  <c r="M42" i="155"/>
  <c r="F42" i="155"/>
  <c r="N42" i="155" s="1"/>
  <c r="AF41" i="155"/>
  <c r="AE41" i="155"/>
  <c r="AD41" i="155"/>
  <c r="AC41" i="155"/>
  <c r="W41" i="155"/>
  <c r="V41" i="155"/>
  <c r="U41" i="155"/>
  <c r="X41" i="155" s="1"/>
  <c r="M41" i="155"/>
  <c r="F41" i="155"/>
  <c r="N41" i="155" s="1"/>
  <c r="AF40" i="155"/>
  <c r="AE40" i="155"/>
  <c r="AD40" i="155"/>
  <c r="AC40" i="155"/>
  <c r="W40" i="155"/>
  <c r="V40" i="155"/>
  <c r="U40" i="155"/>
  <c r="X40" i="155" s="1"/>
  <c r="M40" i="155"/>
  <c r="F40" i="155"/>
  <c r="N40" i="155" s="1"/>
  <c r="AF39" i="155"/>
  <c r="AE39" i="155"/>
  <c r="AD39" i="155"/>
  <c r="AC39" i="155"/>
  <c r="W39" i="155"/>
  <c r="V39" i="155"/>
  <c r="U39" i="155"/>
  <c r="X39" i="155" s="1"/>
  <c r="M39" i="155"/>
  <c r="F39" i="155"/>
  <c r="N39" i="155" s="1"/>
  <c r="AF38" i="155"/>
  <c r="AE38" i="155"/>
  <c r="AD38" i="155"/>
  <c r="AC38" i="155"/>
  <c r="W38" i="155"/>
  <c r="V38" i="155"/>
  <c r="U38" i="155"/>
  <c r="M38" i="155"/>
  <c r="F38" i="155"/>
  <c r="N38" i="155" s="1"/>
  <c r="AF37" i="155"/>
  <c r="AE37" i="155"/>
  <c r="AD37" i="155"/>
  <c r="AC37" i="155"/>
  <c r="W37" i="155"/>
  <c r="V37" i="155"/>
  <c r="U37" i="155"/>
  <c r="X37" i="155" s="1"/>
  <c r="M37" i="155"/>
  <c r="F37" i="155"/>
  <c r="N37" i="155" s="1"/>
  <c r="AF36" i="155"/>
  <c r="AE36" i="155"/>
  <c r="AD36" i="155"/>
  <c r="AC36" i="155"/>
  <c r="W36" i="155"/>
  <c r="V36" i="155"/>
  <c r="U36" i="155"/>
  <c r="X36" i="155" s="1"/>
  <c r="M36" i="155"/>
  <c r="F36" i="155"/>
  <c r="N36" i="155" s="1"/>
  <c r="AF35" i="155"/>
  <c r="AE35" i="155"/>
  <c r="AD35" i="155"/>
  <c r="AC35" i="155"/>
  <c r="W35" i="155"/>
  <c r="V35" i="155"/>
  <c r="U35" i="155"/>
  <c r="X35" i="155" s="1"/>
  <c r="M35" i="155"/>
  <c r="F35" i="155"/>
  <c r="N35" i="155" s="1"/>
  <c r="AF34" i="155"/>
  <c r="AE34" i="155"/>
  <c r="AD34" i="155"/>
  <c r="AC34" i="155"/>
  <c r="W34" i="155"/>
  <c r="V34" i="155"/>
  <c r="U34" i="155"/>
  <c r="X34" i="155" s="1"/>
  <c r="M34" i="155"/>
  <c r="F34" i="155"/>
  <c r="N34" i="155" s="1"/>
  <c r="AF33" i="155"/>
  <c r="AE33" i="155"/>
  <c r="AD33" i="155"/>
  <c r="AC33" i="155"/>
  <c r="W33" i="155"/>
  <c r="V33" i="155"/>
  <c r="U33" i="155"/>
  <c r="X33" i="155" s="1"/>
  <c r="M33" i="155"/>
  <c r="F33" i="155"/>
  <c r="N33" i="155" s="1"/>
  <c r="AF32" i="155"/>
  <c r="AE32" i="155"/>
  <c r="AD32" i="155"/>
  <c r="AC32" i="155"/>
  <c r="W32" i="155"/>
  <c r="V32" i="155"/>
  <c r="U32" i="155"/>
  <c r="X32" i="155" s="1"/>
  <c r="M32" i="155"/>
  <c r="F32" i="155"/>
  <c r="N32" i="155" s="1"/>
  <c r="AF31" i="155"/>
  <c r="AE31" i="155"/>
  <c r="AD31" i="155"/>
  <c r="AC31" i="155"/>
  <c r="W31" i="155"/>
  <c r="V31" i="155"/>
  <c r="U31" i="155"/>
  <c r="M31" i="155"/>
  <c r="F31" i="155"/>
  <c r="N31" i="155" s="1"/>
  <c r="AF30" i="155"/>
  <c r="AE30" i="155"/>
  <c r="AD30" i="155"/>
  <c r="AC30" i="155"/>
  <c r="W30" i="155"/>
  <c r="V30" i="155"/>
  <c r="U30" i="155"/>
  <c r="M30" i="155"/>
  <c r="F30" i="155"/>
  <c r="N30" i="155" s="1"/>
  <c r="AF29" i="155"/>
  <c r="AE29" i="155"/>
  <c r="AD29" i="155"/>
  <c r="AC29" i="155"/>
  <c r="W29" i="155"/>
  <c r="V29" i="155"/>
  <c r="U29" i="155"/>
  <c r="X29" i="155" s="1"/>
  <c r="M29" i="155"/>
  <c r="F29" i="155"/>
  <c r="N29" i="155" s="1"/>
  <c r="AF28" i="155"/>
  <c r="AE28" i="155"/>
  <c r="AD28" i="155"/>
  <c r="AC28" i="155"/>
  <c r="W28" i="155"/>
  <c r="V28" i="155"/>
  <c r="U28" i="155"/>
  <c r="M28" i="155"/>
  <c r="F28" i="155"/>
  <c r="AF27" i="155"/>
  <c r="AE27" i="155"/>
  <c r="AD27" i="155"/>
  <c r="AC27" i="155"/>
  <c r="W27" i="155"/>
  <c r="V27" i="155"/>
  <c r="U27" i="155"/>
  <c r="M27" i="155"/>
  <c r="F27" i="155"/>
  <c r="N27" i="155" s="1"/>
  <c r="AF26" i="155"/>
  <c r="AE26" i="155"/>
  <c r="AD26" i="155"/>
  <c r="AC26" i="155"/>
  <c r="W26" i="155"/>
  <c r="V26" i="155"/>
  <c r="U26" i="155"/>
  <c r="M26" i="155"/>
  <c r="F26" i="155"/>
  <c r="N26" i="155" s="1"/>
  <c r="AF25" i="155"/>
  <c r="AE25" i="155"/>
  <c r="AD25" i="155"/>
  <c r="AC25" i="155"/>
  <c r="W25" i="155"/>
  <c r="V25" i="155"/>
  <c r="U25" i="155"/>
  <c r="M25" i="155"/>
  <c r="F25" i="155"/>
  <c r="AF24" i="155"/>
  <c r="AE24" i="155"/>
  <c r="AD24" i="155"/>
  <c r="AC24" i="155"/>
  <c r="W24" i="155"/>
  <c r="V24" i="155"/>
  <c r="U24" i="155"/>
  <c r="M24" i="155"/>
  <c r="F24" i="155"/>
  <c r="AF23" i="155"/>
  <c r="AE23" i="155"/>
  <c r="AD23" i="155"/>
  <c r="AC23" i="155"/>
  <c r="W23" i="155"/>
  <c r="V23" i="155"/>
  <c r="U23" i="155"/>
  <c r="X23" i="155" s="1"/>
  <c r="M23" i="155"/>
  <c r="F23" i="155"/>
  <c r="N23" i="155" s="1"/>
  <c r="AF22" i="155"/>
  <c r="AE22" i="155"/>
  <c r="AD22" i="155"/>
  <c r="AC22" i="155"/>
  <c r="W22" i="155"/>
  <c r="V22" i="155"/>
  <c r="U22" i="155"/>
  <c r="X22" i="155" s="1"/>
  <c r="M22" i="155"/>
  <c r="F22" i="155"/>
  <c r="N22" i="155" s="1"/>
  <c r="AF21" i="155"/>
  <c r="AE21" i="155"/>
  <c r="AD21" i="155"/>
  <c r="AC21" i="155"/>
  <c r="W21" i="155"/>
  <c r="V21" i="155"/>
  <c r="U21" i="155"/>
  <c r="X21" i="155" s="1"/>
  <c r="M21" i="155"/>
  <c r="F21" i="155"/>
  <c r="N21" i="155" s="1"/>
  <c r="AF20" i="155"/>
  <c r="AE20" i="155"/>
  <c r="AD20" i="155"/>
  <c r="AC20" i="155"/>
  <c r="W20" i="155"/>
  <c r="V20" i="155"/>
  <c r="U20" i="155"/>
  <c r="M20" i="155"/>
  <c r="F20" i="155"/>
  <c r="AF19" i="155"/>
  <c r="AE19" i="155"/>
  <c r="AD19" i="155"/>
  <c r="AC19" i="155"/>
  <c r="W19" i="155"/>
  <c r="V19" i="155"/>
  <c r="U19" i="155"/>
  <c r="M19" i="155"/>
  <c r="F19" i="155"/>
  <c r="N19" i="155" s="1"/>
  <c r="AF18" i="155"/>
  <c r="AE18" i="155"/>
  <c r="AD18" i="155"/>
  <c r="AC18" i="155"/>
  <c r="W18" i="155"/>
  <c r="V18" i="155"/>
  <c r="U18" i="155"/>
  <c r="M18" i="155"/>
  <c r="F18" i="155"/>
  <c r="N18" i="155" s="1"/>
  <c r="AF17" i="155"/>
  <c r="AE17" i="155"/>
  <c r="AD17" i="155"/>
  <c r="AC17" i="155"/>
  <c r="W17" i="155"/>
  <c r="V17" i="155"/>
  <c r="U17" i="155"/>
  <c r="M17" i="155"/>
  <c r="F17" i="155"/>
  <c r="AF16" i="155"/>
  <c r="AE16" i="155"/>
  <c r="AD16" i="155"/>
  <c r="AC16" i="155"/>
  <c r="W16" i="155"/>
  <c r="V16" i="155"/>
  <c r="U16" i="155"/>
  <c r="M16" i="155"/>
  <c r="F16" i="155"/>
  <c r="N16" i="155" s="1"/>
  <c r="AF15" i="155"/>
  <c r="AE15" i="155"/>
  <c r="AD15" i="155"/>
  <c r="AC15" i="155"/>
  <c r="W15" i="155"/>
  <c r="V15" i="155"/>
  <c r="U15" i="155"/>
  <c r="X15" i="155" s="1"/>
  <c r="M15" i="155"/>
  <c r="F15" i="155"/>
  <c r="N15" i="155" s="1"/>
  <c r="AF14" i="155"/>
  <c r="AE14" i="155"/>
  <c r="AD14" i="155"/>
  <c r="AC14" i="155"/>
  <c r="W14" i="155"/>
  <c r="V14" i="155"/>
  <c r="U14" i="155"/>
  <c r="X14" i="155" s="1"/>
  <c r="M14" i="155"/>
  <c r="F14" i="155"/>
  <c r="N14" i="155" s="1"/>
  <c r="AF13" i="155"/>
  <c r="AE13" i="155"/>
  <c r="AD13" i="155"/>
  <c r="AC13" i="155"/>
  <c r="W13" i="155"/>
  <c r="V13" i="155"/>
  <c r="U13" i="155"/>
  <c r="M13" i="155"/>
  <c r="F13" i="155"/>
  <c r="N13" i="155" s="1"/>
  <c r="E5" i="155"/>
  <c r="A2" i="155"/>
  <c r="D103" i="154"/>
  <c r="T102" i="154"/>
  <c r="S102" i="154"/>
  <c r="R102" i="154"/>
  <c r="Q102" i="154"/>
  <c r="P102" i="154"/>
  <c r="O102" i="154"/>
  <c r="E102" i="154"/>
  <c r="D102" i="154"/>
  <c r="AF100" i="154"/>
  <c r="AE100" i="154"/>
  <c r="AD100" i="154"/>
  <c r="AC100" i="154"/>
  <c r="W100" i="154"/>
  <c r="V100" i="154"/>
  <c r="U100" i="154"/>
  <c r="M100" i="154"/>
  <c r="F100" i="154"/>
  <c r="N100" i="154" s="1"/>
  <c r="AF99" i="154"/>
  <c r="AE99" i="154"/>
  <c r="AD99" i="154"/>
  <c r="AC99" i="154"/>
  <c r="W99" i="154"/>
  <c r="V99" i="154"/>
  <c r="U99" i="154"/>
  <c r="M99" i="154"/>
  <c r="F99" i="154"/>
  <c r="AF98" i="154"/>
  <c r="AE98" i="154"/>
  <c r="AD98" i="154"/>
  <c r="AC98" i="154"/>
  <c r="W98" i="154"/>
  <c r="V98" i="154"/>
  <c r="U98" i="154"/>
  <c r="M98" i="154"/>
  <c r="F98" i="154"/>
  <c r="AF97" i="154"/>
  <c r="AE97" i="154"/>
  <c r="AD97" i="154"/>
  <c r="AC97" i="154"/>
  <c r="W97" i="154"/>
  <c r="V97" i="154"/>
  <c r="U97" i="154"/>
  <c r="M97" i="154"/>
  <c r="F97" i="154"/>
  <c r="AF96" i="154"/>
  <c r="AE96" i="154"/>
  <c r="AD96" i="154"/>
  <c r="AC96" i="154"/>
  <c r="W96" i="154"/>
  <c r="V96" i="154"/>
  <c r="U96" i="154"/>
  <c r="X96" i="154" s="1"/>
  <c r="M96" i="154"/>
  <c r="F96" i="154"/>
  <c r="AF95" i="154"/>
  <c r="AE95" i="154"/>
  <c r="AD95" i="154"/>
  <c r="AC95" i="154"/>
  <c r="W95" i="154"/>
  <c r="V95" i="154"/>
  <c r="U95" i="154"/>
  <c r="X95" i="154" s="1"/>
  <c r="M95" i="154"/>
  <c r="F95" i="154"/>
  <c r="N95" i="154" s="1"/>
  <c r="AF94" i="154"/>
  <c r="AE94" i="154"/>
  <c r="AD94" i="154"/>
  <c r="AC94" i="154"/>
  <c r="W94" i="154"/>
  <c r="V94" i="154"/>
  <c r="U94" i="154"/>
  <c r="M94" i="154"/>
  <c r="F94" i="154"/>
  <c r="N94" i="154" s="1"/>
  <c r="AF93" i="154"/>
  <c r="AE93" i="154"/>
  <c r="AD93" i="154"/>
  <c r="AC93" i="154"/>
  <c r="W93" i="154"/>
  <c r="V93" i="154"/>
  <c r="U93" i="154"/>
  <c r="M93" i="154"/>
  <c r="F93" i="154"/>
  <c r="N93" i="154" s="1"/>
  <c r="AF92" i="154"/>
  <c r="AE92" i="154"/>
  <c r="AD92" i="154"/>
  <c r="AC92" i="154"/>
  <c r="W92" i="154"/>
  <c r="V92" i="154"/>
  <c r="U92" i="154"/>
  <c r="X92" i="154" s="1"/>
  <c r="M92" i="154"/>
  <c r="F92" i="154"/>
  <c r="N92" i="154" s="1"/>
  <c r="AF91" i="154"/>
  <c r="AE91" i="154"/>
  <c r="AD91" i="154"/>
  <c r="AC91" i="154"/>
  <c r="W91" i="154"/>
  <c r="V91" i="154"/>
  <c r="U91" i="154"/>
  <c r="X91" i="154" s="1"/>
  <c r="M91" i="154"/>
  <c r="F91" i="154"/>
  <c r="AF90" i="154"/>
  <c r="AE90" i="154"/>
  <c r="AD90" i="154"/>
  <c r="AC90" i="154"/>
  <c r="W90" i="154"/>
  <c r="V90" i="154"/>
  <c r="U90" i="154"/>
  <c r="M90" i="154"/>
  <c r="F90" i="154"/>
  <c r="AF89" i="154"/>
  <c r="AE89" i="154"/>
  <c r="AD89" i="154"/>
  <c r="AC89" i="154"/>
  <c r="W89" i="154"/>
  <c r="V89" i="154"/>
  <c r="U89" i="154"/>
  <c r="M89" i="154"/>
  <c r="F89" i="154"/>
  <c r="AF88" i="154"/>
  <c r="AE88" i="154"/>
  <c r="AD88" i="154"/>
  <c r="AC88" i="154"/>
  <c r="W88" i="154"/>
  <c r="V88" i="154"/>
  <c r="U88" i="154"/>
  <c r="M88" i="154"/>
  <c r="F88" i="154"/>
  <c r="AF87" i="154"/>
  <c r="AE87" i="154"/>
  <c r="AD87" i="154"/>
  <c r="AC87" i="154"/>
  <c r="W87" i="154"/>
  <c r="V87" i="154"/>
  <c r="U87" i="154"/>
  <c r="M87" i="154"/>
  <c r="F87" i="154"/>
  <c r="N87" i="154" s="1"/>
  <c r="AF86" i="154"/>
  <c r="AE86" i="154"/>
  <c r="AD86" i="154"/>
  <c r="AC86" i="154"/>
  <c r="W86" i="154"/>
  <c r="V86" i="154"/>
  <c r="U86" i="154"/>
  <c r="X86" i="154" s="1"/>
  <c r="M86" i="154"/>
  <c r="F86" i="154"/>
  <c r="N86" i="154" s="1"/>
  <c r="AF85" i="154"/>
  <c r="AE85" i="154"/>
  <c r="AD85" i="154"/>
  <c r="AC85" i="154"/>
  <c r="W85" i="154"/>
  <c r="V85" i="154"/>
  <c r="U85" i="154"/>
  <c r="M85" i="154"/>
  <c r="F85" i="154"/>
  <c r="N85" i="154" s="1"/>
  <c r="AF84" i="154"/>
  <c r="AE84" i="154"/>
  <c r="AD84" i="154"/>
  <c r="AC84" i="154"/>
  <c r="W84" i="154"/>
  <c r="V84" i="154"/>
  <c r="U84" i="154"/>
  <c r="M84" i="154"/>
  <c r="F84" i="154"/>
  <c r="N84" i="154" s="1"/>
  <c r="AF83" i="154"/>
  <c r="AE83" i="154"/>
  <c r="AD83" i="154"/>
  <c r="AC83" i="154"/>
  <c r="W83" i="154"/>
  <c r="V83" i="154"/>
  <c r="U83" i="154"/>
  <c r="X83" i="154" s="1"/>
  <c r="M83" i="154"/>
  <c r="F83" i="154"/>
  <c r="AF82" i="154"/>
  <c r="AE82" i="154"/>
  <c r="AD82" i="154"/>
  <c r="AC82" i="154"/>
  <c r="W82" i="154"/>
  <c r="V82" i="154"/>
  <c r="U82" i="154"/>
  <c r="M82" i="154"/>
  <c r="F82" i="154"/>
  <c r="AF81" i="154"/>
  <c r="AE81" i="154"/>
  <c r="AD81" i="154"/>
  <c r="AC81" i="154"/>
  <c r="W81" i="154"/>
  <c r="V81" i="154"/>
  <c r="U81" i="154"/>
  <c r="M81" i="154"/>
  <c r="F81" i="154"/>
  <c r="AF80" i="154"/>
  <c r="AE80" i="154"/>
  <c r="AD80" i="154"/>
  <c r="AC80" i="154"/>
  <c r="W80" i="154"/>
  <c r="V80" i="154"/>
  <c r="U80" i="154"/>
  <c r="X80" i="154" s="1"/>
  <c r="M80" i="154"/>
  <c r="F80" i="154"/>
  <c r="AF79" i="154"/>
  <c r="AE79" i="154"/>
  <c r="AD79" i="154"/>
  <c r="AC79" i="154"/>
  <c r="W79" i="154"/>
  <c r="V79" i="154"/>
  <c r="U79" i="154"/>
  <c r="X79" i="154" s="1"/>
  <c r="M79" i="154"/>
  <c r="F79" i="154"/>
  <c r="AF78" i="154"/>
  <c r="AE78" i="154"/>
  <c r="AD78" i="154"/>
  <c r="AC78" i="154"/>
  <c r="W78" i="154"/>
  <c r="V78" i="154"/>
  <c r="U78" i="154"/>
  <c r="X78" i="154" s="1"/>
  <c r="M78" i="154"/>
  <c r="F78" i="154"/>
  <c r="AF77" i="154"/>
  <c r="AE77" i="154"/>
  <c r="AD77" i="154"/>
  <c r="AC77" i="154"/>
  <c r="W77" i="154"/>
  <c r="V77" i="154"/>
  <c r="U77" i="154"/>
  <c r="X77" i="154" s="1"/>
  <c r="M77" i="154"/>
  <c r="F77" i="154"/>
  <c r="N77" i="154" s="1"/>
  <c r="AF76" i="154"/>
  <c r="AE76" i="154"/>
  <c r="AD76" i="154"/>
  <c r="AC76" i="154"/>
  <c r="W76" i="154"/>
  <c r="V76" i="154"/>
  <c r="U76" i="154"/>
  <c r="X76" i="154" s="1"/>
  <c r="M76" i="154"/>
  <c r="F76" i="154"/>
  <c r="N76" i="154" s="1"/>
  <c r="AF75" i="154"/>
  <c r="AE75" i="154"/>
  <c r="AD75" i="154"/>
  <c r="AC75" i="154"/>
  <c r="W75" i="154"/>
  <c r="V75" i="154"/>
  <c r="U75" i="154"/>
  <c r="X75" i="154" s="1"/>
  <c r="M75" i="154"/>
  <c r="F75" i="154"/>
  <c r="N75" i="154" s="1"/>
  <c r="AF74" i="154"/>
  <c r="AE74" i="154"/>
  <c r="AD74" i="154"/>
  <c r="AC74" i="154"/>
  <c r="W74" i="154"/>
  <c r="V74" i="154"/>
  <c r="U74" i="154"/>
  <c r="X74" i="154" s="1"/>
  <c r="M74" i="154"/>
  <c r="F74" i="154"/>
  <c r="N74" i="154" s="1"/>
  <c r="AF73" i="154"/>
  <c r="AE73" i="154"/>
  <c r="AD73" i="154"/>
  <c r="AC73" i="154"/>
  <c r="W73" i="154"/>
  <c r="V73" i="154"/>
  <c r="U73" i="154"/>
  <c r="X73" i="154" s="1"/>
  <c r="M73" i="154"/>
  <c r="F73" i="154"/>
  <c r="N73" i="154" s="1"/>
  <c r="AF72" i="154"/>
  <c r="AE72" i="154"/>
  <c r="AD72" i="154"/>
  <c r="AC72" i="154"/>
  <c r="W72" i="154"/>
  <c r="V72" i="154"/>
  <c r="U72" i="154"/>
  <c r="M72" i="154"/>
  <c r="F72" i="154"/>
  <c r="AF71" i="154"/>
  <c r="AE71" i="154"/>
  <c r="AD71" i="154"/>
  <c r="AC71" i="154"/>
  <c r="W71" i="154"/>
  <c r="V71" i="154"/>
  <c r="U71" i="154"/>
  <c r="M71" i="154"/>
  <c r="F71" i="154"/>
  <c r="N71" i="154" s="1"/>
  <c r="AF70" i="154"/>
  <c r="AE70" i="154"/>
  <c r="AD70" i="154"/>
  <c r="AC70" i="154"/>
  <c r="W70" i="154"/>
  <c r="V70" i="154"/>
  <c r="U70" i="154"/>
  <c r="M70" i="154"/>
  <c r="F70" i="154"/>
  <c r="AF69" i="154"/>
  <c r="AE69" i="154"/>
  <c r="AD69" i="154"/>
  <c r="AC69" i="154"/>
  <c r="W69" i="154"/>
  <c r="V69" i="154"/>
  <c r="U69" i="154"/>
  <c r="M69" i="154"/>
  <c r="F69" i="154"/>
  <c r="N69" i="154" s="1"/>
  <c r="AF68" i="154"/>
  <c r="AE68" i="154"/>
  <c r="AD68" i="154"/>
  <c r="AC68" i="154"/>
  <c r="W68" i="154"/>
  <c r="V68" i="154"/>
  <c r="U68" i="154"/>
  <c r="M68" i="154"/>
  <c r="F68" i="154"/>
  <c r="N68" i="154" s="1"/>
  <c r="AF67" i="154"/>
  <c r="AE67" i="154"/>
  <c r="AD67" i="154"/>
  <c r="AC67" i="154"/>
  <c r="W67" i="154"/>
  <c r="V67" i="154"/>
  <c r="U67" i="154"/>
  <c r="M67" i="154"/>
  <c r="F67" i="154"/>
  <c r="AF66" i="154"/>
  <c r="AE66" i="154"/>
  <c r="AD66" i="154"/>
  <c r="AC66" i="154"/>
  <c r="W66" i="154"/>
  <c r="V66" i="154"/>
  <c r="U66" i="154"/>
  <c r="X66" i="154" s="1"/>
  <c r="M66" i="154"/>
  <c r="F66" i="154"/>
  <c r="E49" i="154"/>
  <c r="D49" i="154"/>
  <c r="T48" i="154"/>
  <c r="S48" i="154"/>
  <c r="R48" i="154"/>
  <c r="Q48" i="154"/>
  <c r="P48" i="154"/>
  <c r="O48" i="154"/>
  <c r="E48" i="154"/>
  <c r="D48" i="154"/>
  <c r="AF46" i="154"/>
  <c r="AE46" i="154"/>
  <c r="AD46" i="154"/>
  <c r="AC46" i="154"/>
  <c r="W46" i="154"/>
  <c r="V46" i="154"/>
  <c r="U46" i="154"/>
  <c r="M46" i="154"/>
  <c r="F46" i="154"/>
  <c r="AF45" i="154"/>
  <c r="AE45" i="154"/>
  <c r="AD45" i="154"/>
  <c r="AC45" i="154"/>
  <c r="W45" i="154"/>
  <c r="V45" i="154"/>
  <c r="U45" i="154"/>
  <c r="M45" i="154"/>
  <c r="F45" i="154"/>
  <c r="N45" i="154" s="1"/>
  <c r="AF44" i="154"/>
  <c r="AE44" i="154"/>
  <c r="AD44" i="154"/>
  <c r="AC44" i="154"/>
  <c r="W44" i="154"/>
  <c r="V44" i="154"/>
  <c r="U44" i="154"/>
  <c r="X44" i="154" s="1"/>
  <c r="M44" i="154"/>
  <c r="F44" i="154"/>
  <c r="N44" i="154" s="1"/>
  <c r="AF43" i="154"/>
  <c r="AE43" i="154"/>
  <c r="AD43" i="154"/>
  <c r="AC43" i="154"/>
  <c r="W43" i="154"/>
  <c r="V43" i="154"/>
  <c r="U43" i="154"/>
  <c r="M43" i="154"/>
  <c r="F43" i="154"/>
  <c r="AF42" i="154"/>
  <c r="AE42" i="154"/>
  <c r="AD42" i="154"/>
  <c r="AC42" i="154"/>
  <c r="W42" i="154"/>
  <c r="V42" i="154"/>
  <c r="U42" i="154"/>
  <c r="X42" i="154" s="1"/>
  <c r="M42" i="154"/>
  <c r="F42" i="154"/>
  <c r="AF41" i="154"/>
  <c r="AE41" i="154"/>
  <c r="AD41" i="154"/>
  <c r="AC41" i="154"/>
  <c r="W41" i="154"/>
  <c r="V41" i="154"/>
  <c r="U41" i="154"/>
  <c r="M41" i="154"/>
  <c r="F41" i="154"/>
  <c r="AF40" i="154"/>
  <c r="AE40" i="154"/>
  <c r="AD40" i="154"/>
  <c r="AC40" i="154"/>
  <c r="W40" i="154"/>
  <c r="V40" i="154"/>
  <c r="U40" i="154"/>
  <c r="M40" i="154"/>
  <c r="F40" i="154"/>
  <c r="AF39" i="154"/>
  <c r="AE39" i="154"/>
  <c r="AD39" i="154"/>
  <c r="AC39" i="154"/>
  <c r="W39" i="154"/>
  <c r="V39" i="154"/>
  <c r="U39" i="154"/>
  <c r="M39" i="154"/>
  <c r="F39" i="154"/>
  <c r="N39" i="154" s="1"/>
  <c r="AF38" i="154"/>
  <c r="AE38" i="154"/>
  <c r="AD38" i="154"/>
  <c r="AC38" i="154"/>
  <c r="W38" i="154"/>
  <c r="V38" i="154"/>
  <c r="U38" i="154"/>
  <c r="M38" i="154"/>
  <c r="F38" i="154"/>
  <c r="AF37" i="154"/>
  <c r="AE37" i="154"/>
  <c r="AD37" i="154"/>
  <c r="AC37" i="154"/>
  <c r="W37" i="154"/>
  <c r="V37" i="154"/>
  <c r="U37" i="154"/>
  <c r="M37" i="154"/>
  <c r="F37" i="154"/>
  <c r="AF36" i="154"/>
  <c r="AE36" i="154"/>
  <c r="AD36" i="154"/>
  <c r="AC36" i="154"/>
  <c r="W36" i="154"/>
  <c r="V36" i="154"/>
  <c r="U36" i="154"/>
  <c r="X36" i="154" s="1"/>
  <c r="M36" i="154"/>
  <c r="F36" i="154"/>
  <c r="N36" i="154" s="1"/>
  <c r="AF35" i="154"/>
  <c r="AE35" i="154"/>
  <c r="AD35" i="154"/>
  <c r="AC35" i="154"/>
  <c r="W35" i="154"/>
  <c r="V35" i="154"/>
  <c r="U35" i="154"/>
  <c r="X35" i="154" s="1"/>
  <c r="M35" i="154"/>
  <c r="F35" i="154"/>
  <c r="N35" i="154" s="1"/>
  <c r="AF34" i="154"/>
  <c r="AE34" i="154"/>
  <c r="AD34" i="154"/>
  <c r="AC34" i="154"/>
  <c r="W34" i="154"/>
  <c r="V34" i="154"/>
  <c r="U34" i="154"/>
  <c r="M34" i="154"/>
  <c r="F34" i="154"/>
  <c r="AF33" i="154"/>
  <c r="AE33" i="154"/>
  <c r="AD33" i="154"/>
  <c r="AC33" i="154"/>
  <c r="W33" i="154"/>
  <c r="V33" i="154"/>
  <c r="U33" i="154"/>
  <c r="X33" i="154" s="1"/>
  <c r="M33" i="154"/>
  <c r="F33" i="154"/>
  <c r="N33" i="154" s="1"/>
  <c r="AF32" i="154"/>
  <c r="AE32" i="154"/>
  <c r="AD32" i="154"/>
  <c r="AC32" i="154"/>
  <c r="W32" i="154"/>
  <c r="V32" i="154"/>
  <c r="U32" i="154"/>
  <c r="M32" i="154"/>
  <c r="F32" i="154"/>
  <c r="AF31" i="154"/>
  <c r="AE31" i="154"/>
  <c r="AD31" i="154"/>
  <c r="AC31" i="154"/>
  <c r="W31" i="154"/>
  <c r="V31" i="154"/>
  <c r="U31" i="154"/>
  <c r="X31" i="154" s="1"/>
  <c r="M31" i="154"/>
  <c r="F31" i="154"/>
  <c r="N31" i="154" s="1"/>
  <c r="AF30" i="154"/>
  <c r="AE30" i="154"/>
  <c r="AD30" i="154"/>
  <c r="AC30" i="154"/>
  <c r="W30" i="154"/>
  <c r="V30" i="154"/>
  <c r="U30" i="154"/>
  <c r="X30" i="154" s="1"/>
  <c r="M30" i="154"/>
  <c r="F30" i="154"/>
  <c r="AF29" i="154"/>
  <c r="AE29" i="154"/>
  <c r="AD29" i="154"/>
  <c r="AC29" i="154"/>
  <c r="W29" i="154"/>
  <c r="V29" i="154"/>
  <c r="U29" i="154"/>
  <c r="M29" i="154"/>
  <c r="F29" i="154"/>
  <c r="N29" i="154" s="1"/>
  <c r="AF28" i="154"/>
  <c r="AE28" i="154"/>
  <c r="AD28" i="154"/>
  <c r="AC28" i="154"/>
  <c r="W28" i="154"/>
  <c r="V28" i="154"/>
  <c r="U28" i="154"/>
  <c r="M28" i="154"/>
  <c r="F28" i="154"/>
  <c r="AF27" i="154"/>
  <c r="AE27" i="154"/>
  <c r="AD27" i="154"/>
  <c r="AC27" i="154"/>
  <c r="W27" i="154"/>
  <c r="V27" i="154"/>
  <c r="U27" i="154"/>
  <c r="X27" i="154" s="1"/>
  <c r="M27" i="154"/>
  <c r="F27" i="154"/>
  <c r="N27" i="154" s="1"/>
  <c r="AF26" i="154"/>
  <c r="AE26" i="154"/>
  <c r="AD26" i="154"/>
  <c r="AC26" i="154"/>
  <c r="W26" i="154"/>
  <c r="V26" i="154"/>
  <c r="U26" i="154"/>
  <c r="M26" i="154"/>
  <c r="F26" i="154"/>
  <c r="AF25" i="154"/>
  <c r="AE25" i="154"/>
  <c r="AD25" i="154"/>
  <c r="AC25" i="154"/>
  <c r="W25" i="154"/>
  <c r="V25" i="154"/>
  <c r="U25" i="154"/>
  <c r="X25" i="154" s="1"/>
  <c r="M25" i="154"/>
  <c r="F25" i="154"/>
  <c r="N25" i="154" s="1"/>
  <c r="AF24" i="154"/>
  <c r="AE24" i="154"/>
  <c r="AD24" i="154"/>
  <c r="AC24" i="154"/>
  <c r="W24" i="154"/>
  <c r="V24" i="154"/>
  <c r="U24" i="154"/>
  <c r="M24" i="154"/>
  <c r="F24" i="154"/>
  <c r="AF23" i="154"/>
  <c r="AE23" i="154"/>
  <c r="AD23" i="154"/>
  <c r="AC23" i="154"/>
  <c r="W23" i="154"/>
  <c r="V23" i="154"/>
  <c r="U23" i="154"/>
  <c r="M23" i="154"/>
  <c r="F23" i="154"/>
  <c r="N23" i="154" s="1"/>
  <c r="AF22" i="154"/>
  <c r="AE22" i="154"/>
  <c r="AD22" i="154"/>
  <c r="AC22" i="154"/>
  <c r="W22" i="154"/>
  <c r="V22" i="154"/>
  <c r="U22" i="154"/>
  <c r="M22" i="154"/>
  <c r="F22" i="154"/>
  <c r="AF21" i="154"/>
  <c r="AE21" i="154"/>
  <c r="AD21" i="154"/>
  <c r="AC21" i="154"/>
  <c r="W21" i="154"/>
  <c r="V21" i="154"/>
  <c r="U21" i="154"/>
  <c r="X21" i="154" s="1"/>
  <c r="M21" i="154"/>
  <c r="F21" i="154"/>
  <c r="N21" i="154" s="1"/>
  <c r="AF20" i="154"/>
  <c r="AE20" i="154"/>
  <c r="AD20" i="154"/>
  <c r="AC20" i="154"/>
  <c r="W20" i="154"/>
  <c r="V20" i="154"/>
  <c r="U20" i="154"/>
  <c r="M20" i="154"/>
  <c r="F20" i="154"/>
  <c r="AF19" i="154"/>
  <c r="AE19" i="154"/>
  <c r="AD19" i="154"/>
  <c r="AC19" i="154"/>
  <c r="W19" i="154"/>
  <c r="V19" i="154"/>
  <c r="U19" i="154"/>
  <c r="M19" i="154"/>
  <c r="F19" i="154"/>
  <c r="N19" i="154" s="1"/>
  <c r="AF18" i="154"/>
  <c r="AE18" i="154"/>
  <c r="AD18" i="154"/>
  <c r="AC18" i="154"/>
  <c r="W18" i="154"/>
  <c r="V18" i="154"/>
  <c r="U18" i="154"/>
  <c r="M18" i="154"/>
  <c r="F18" i="154"/>
  <c r="AF17" i="154"/>
  <c r="AE17" i="154"/>
  <c r="AD17" i="154"/>
  <c r="AC17" i="154"/>
  <c r="W17" i="154"/>
  <c r="V17" i="154"/>
  <c r="U17" i="154"/>
  <c r="M17" i="154"/>
  <c r="F17" i="154"/>
  <c r="N17" i="154" s="1"/>
  <c r="AF16" i="154"/>
  <c r="AE16" i="154"/>
  <c r="AD16" i="154"/>
  <c r="AC16" i="154"/>
  <c r="W16" i="154"/>
  <c r="V16" i="154"/>
  <c r="U16" i="154"/>
  <c r="M16" i="154"/>
  <c r="F16" i="154"/>
  <c r="AF15" i="154"/>
  <c r="AE15" i="154"/>
  <c r="AD15" i="154"/>
  <c r="AC15" i="154"/>
  <c r="W15" i="154"/>
  <c r="V15" i="154"/>
  <c r="U15" i="154"/>
  <c r="M15" i="154"/>
  <c r="F15" i="154"/>
  <c r="N15" i="154" s="1"/>
  <c r="AF14" i="154"/>
  <c r="AE14" i="154"/>
  <c r="AD14" i="154"/>
  <c r="AC14" i="154"/>
  <c r="W14" i="154"/>
  <c r="V14" i="154"/>
  <c r="U14" i="154"/>
  <c r="X14" i="154" s="1"/>
  <c r="M14" i="154"/>
  <c r="F14" i="154"/>
  <c r="AF13" i="154"/>
  <c r="AE13" i="154"/>
  <c r="AD13" i="154"/>
  <c r="AC13" i="154"/>
  <c r="W13" i="154"/>
  <c r="V13" i="154"/>
  <c r="U13" i="154"/>
  <c r="X13" i="154" s="1"/>
  <c r="M13" i="154"/>
  <c r="F13" i="154"/>
  <c r="N13" i="154" s="1"/>
  <c r="E5" i="154"/>
  <c r="A2" i="154"/>
  <c r="D103" i="153"/>
  <c r="T102" i="153"/>
  <c r="S102" i="153"/>
  <c r="R102" i="153"/>
  <c r="Q102" i="153"/>
  <c r="P102" i="153"/>
  <c r="O102" i="153"/>
  <c r="E102" i="153"/>
  <c r="D102" i="153"/>
  <c r="AF100" i="153"/>
  <c r="AE100" i="153"/>
  <c r="AD100" i="153"/>
  <c r="AC100" i="153"/>
  <c r="W100" i="153"/>
  <c r="V100" i="153"/>
  <c r="U100" i="153"/>
  <c r="X100" i="153" s="1"/>
  <c r="M100" i="153"/>
  <c r="F100" i="153"/>
  <c r="N100" i="153" s="1"/>
  <c r="AF99" i="153"/>
  <c r="AE99" i="153"/>
  <c r="AD99" i="153"/>
  <c r="AC99" i="153"/>
  <c r="W99" i="153"/>
  <c r="V99" i="153"/>
  <c r="U99" i="153"/>
  <c r="X99" i="153" s="1"/>
  <c r="M99" i="153"/>
  <c r="F99" i="153"/>
  <c r="AF98" i="153"/>
  <c r="AE98" i="153"/>
  <c r="AD98" i="153"/>
  <c r="AC98" i="153"/>
  <c r="W98" i="153"/>
  <c r="V98" i="153"/>
  <c r="U98" i="153"/>
  <c r="M98" i="153"/>
  <c r="F98" i="153"/>
  <c r="AF97" i="153"/>
  <c r="AE97" i="153"/>
  <c r="AD97" i="153"/>
  <c r="AC97" i="153"/>
  <c r="W97" i="153"/>
  <c r="V97" i="153"/>
  <c r="U97" i="153"/>
  <c r="X97" i="153" s="1"/>
  <c r="M97" i="153"/>
  <c r="F97" i="153"/>
  <c r="N97" i="153" s="1"/>
  <c r="AF96" i="153"/>
  <c r="AE96" i="153"/>
  <c r="AD96" i="153"/>
  <c r="AC96" i="153"/>
  <c r="W96" i="153"/>
  <c r="V96" i="153"/>
  <c r="U96" i="153"/>
  <c r="X96" i="153" s="1"/>
  <c r="M96" i="153"/>
  <c r="F96" i="153"/>
  <c r="AF95" i="153"/>
  <c r="AE95" i="153"/>
  <c r="AD95" i="153"/>
  <c r="AC95" i="153"/>
  <c r="W95" i="153"/>
  <c r="V95" i="153"/>
  <c r="U95" i="153"/>
  <c r="M95" i="153"/>
  <c r="F95" i="153"/>
  <c r="N95" i="153" s="1"/>
  <c r="AF94" i="153"/>
  <c r="AE94" i="153"/>
  <c r="AD94" i="153"/>
  <c r="AC94" i="153"/>
  <c r="W94" i="153"/>
  <c r="V94" i="153"/>
  <c r="U94" i="153"/>
  <c r="M94" i="153"/>
  <c r="F94" i="153"/>
  <c r="N94" i="153" s="1"/>
  <c r="AF93" i="153"/>
  <c r="AE93" i="153"/>
  <c r="AD93" i="153"/>
  <c r="AC93" i="153"/>
  <c r="W93" i="153"/>
  <c r="V93" i="153"/>
  <c r="U93" i="153"/>
  <c r="M93" i="153"/>
  <c r="F93" i="153"/>
  <c r="AF92" i="153"/>
  <c r="AE92" i="153"/>
  <c r="AD92" i="153"/>
  <c r="AC92" i="153"/>
  <c r="W92" i="153"/>
  <c r="V92" i="153"/>
  <c r="U92" i="153"/>
  <c r="M92" i="153"/>
  <c r="F92" i="153"/>
  <c r="N92" i="153" s="1"/>
  <c r="AF91" i="153"/>
  <c r="AE91" i="153"/>
  <c r="AD91" i="153"/>
  <c r="AC91" i="153"/>
  <c r="W91" i="153"/>
  <c r="V91" i="153"/>
  <c r="U91" i="153"/>
  <c r="X91" i="153" s="1"/>
  <c r="M91" i="153"/>
  <c r="F91" i="153"/>
  <c r="AF90" i="153"/>
  <c r="AE90" i="153"/>
  <c r="AD90" i="153"/>
  <c r="AC90" i="153"/>
  <c r="W90" i="153"/>
  <c r="V90" i="153"/>
  <c r="U90" i="153"/>
  <c r="M90" i="153"/>
  <c r="F90" i="153"/>
  <c r="AF89" i="153"/>
  <c r="AE89" i="153"/>
  <c r="AD89" i="153"/>
  <c r="AC89" i="153"/>
  <c r="W89" i="153"/>
  <c r="V89" i="153"/>
  <c r="U89" i="153"/>
  <c r="M89" i="153"/>
  <c r="F89" i="153"/>
  <c r="N89" i="153" s="1"/>
  <c r="AF88" i="153"/>
  <c r="AE88" i="153"/>
  <c r="AD88" i="153"/>
  <c r="AC88" i="153"/>
  <c r="W88" i="153"/>
  <c r="V88" i="153"/>
  <c r="U88" i="153"/>
  <c r="M88" i="153"/>
  <c r="F88" i="153"/>
  <c r="AF87" i="153"/>
  <c r="AE87" i="153"/>
  <c r="AD87" i="153"/>
  <c r="AC87" i="153"/>
  <c r="W87" i="153"/>
  <c r="V87" i="153"/>
  <c r="U87" i="153"/>
  <c r="X87" i="153" s="1"/>
  <c r="M87" i="153"/>
  <c r="F87" i="153"/>
  <c r="N87" i="153" s="1"/>
  <c r="AF86" i="153"/>
  <c r="AE86" i="153"/>
  <c r="AD86" i="153"/>
  <c r="AC86" i="153"/>
  <c r="W86" i="153"/>
  <c r="V86" i="153"/>
  <c r="U86" i="153"/>
  <c r="X86" i="153" s="1"/>
  <c r="M86" i="153"/>
  <c r="F86" i="153"/>
  <c r="N86" i="153" s="1"/>
  <c r="AF85" i="153"/>
  <c r="AE85" i="153"/>
  <c r="AD85" i="153"/>
  <c r="AC85" i="153"/>
  <c r="W85" i="153"/>
  <c r="V85" i="153"/>
  <c r="U85" i="153"/>
  <c r="X85" i="153" s="1"/>
  <c r="M85" i="153"/>
  <c r="F85" i="153"/>
  <c r="AF84" i="153"/>
  <c r="AE84" i="153"/>
  <c r="AD84" i="153"/>
  <c r="AC84" i="153"/>
  <c r="W84" i="153"/>
  <c r="V84" i="153"/>
  <c r="U84" i="153"/>
  <c r="X84" i="153" s="1"/>
  <c r="M84" i="153"/>
  <c r="F84" i="153"/>
  <c r="N84" i="153" s="1"/>
  <c r="AF83" i="153"/>
  <c r="AE83" i="153"/>
  <c r="AD83" i="153"/>
  <c r="AC83" i="153"/>
  <c r="W83" i="153"/>
  <c r="V83" i="153"/>
  <c r="U83" i="153"/>
  <c r="X83" i="153" s="1"/>
  <c r="M83" i="153"/>
  <c r="F83" i="153"/>
  <c r="AF82" i="153"/>
  <c r="AE82" i="153"/>
  <c r="AD82" i="153"/>
  <c r="AC82" i="153"/>
  <c r="W82" i="153"/>
  <c r="V82" i="153"/>
  <c r="U82" i="153"/>
  <c r="M82" i="153"/>
  <c r="F82" i="153"/>
  <c r="AF81" i="153"/>
  <c r="AE81" i="153"/>
  <c r="AD81" i="153"/>
  <c r="AC81" i="153"/>
  <c r="W81" i="153"/>
  <c r="V81" i="153"/>
  <c r="U81" i="153"/>
  <c r="M81" i="153"/>
  <c r="F81" i="153"/>
  <c r="N81" i="153" s="1"/>
  <c r="AF80" i="153"/>
  <c r="AE80" i="153"/>
  <c r="AD80" i="153"/>
  <c r="AC80" i="153"/>
  <c r="W80" i="153"/>
  <c r="V80" i="153"/>
  <c r="U80" i="153"/>
  <c r="M80" i="153"/>
  <c r="F80" i="153"/>
  <c r="AF79" i="153"/>
  <c r="AE79" i="153"/>
  <c r="AD79" i="153"/>
  <c r="AC79" i="153"/>
  <c r="W79" i="153"/>
  <c r="V79" i="153"/>
  <c r="U79" i="153"/>
  <c r="X79" i="153" s="1"/>
  <c r="M79" i="153"/>
  <c r="F79" i="153"/>
  <c r="N79" i="153" s="1"/>
  <c r="AF78" i="153"/>
  <c r="AE78" i="153"/>
  <c r="AD78" i="153"/>
  <c r="AC78" i="153"/>
  <c r="W78" i="153"/>
  <c r="V78" i="153"/>
  <c r="U78" i="153"/>
  <c r="M78" i="153"/>
  <c r="F78" i="153"/>
  <c r="N78" i="153" s="1"/>
  <c r="AF77" i="153"/>
  <c r="AE77" i="153"/>
  <c r="AD77" i="153"/>
  <c r="AC77" i="153"/>
  <c r="W77" i="153"/>
  <c r="V77" i="153"/>
  <c r="U77" i="153"/>
  <c r="X77" i="153" s="1"/>
  <c r="M77" i="153"/>
  <c r="F77" i="153"/>
  <c r="AF76" i="153"/>
  <c r="AE76" i="153"/>
  <c r="AD76" i="153"/>
  <c r="AC76" i="153"/>
  <c r="W76" i="153"/>
  <c r="V76" i="153"/>
  <c r="U76" i="153"/>
  <c r="X76" i="153" s="1"/>
  <c r="M76" i="153"/>
  <c r="F76" i="153"/>
  <c r="N76" i="153" s="1"/>
  <c r="AF75" i="153"/>
  <c r="AE75" i="153"/>
  <c r="AD75" i="153"/>
  <c r="AC75" i="153"/>
  <c r="W75" i="153"/>
  <c r="V75" i="153"/>
  <c r="U75" i="153"/>
  <c r="M75" i="153"/>
  <c r="F75" i="153"/>
  <c r="AF74" i="153"/>
  <c r="AE74" i="153"/>
  <c r="AD74" i="153"/>
  <c r="AC74" i="153"/>
  <c r="W74" i="153"/>
  <c r="V74" i="153"/>
  <c r="U74" i="153"/>
  <c r="M74" i="153"/>
  <c r="F74" i="153"/>
  <c r="AF73" i="153"/>
  <c r="AE73" i="153"/>
  <c r="AD73" i="153"/>
  <c r="AC73" i="153"/>
  <c r="W73" i="153"/>
  <c r="V73" i="153"/>
  <c r="U73" i="153"/>
  <c r="X73" i="153" s="1"/>
  <c r="M73" i="153"/>
  <c r="F73" i="153"/>
  <c r="AF72" i="153"/>
  <c r="AE72" i="153"/>
  <c r="AD72" i="153"/>
  <c r="AC72" i="153"/>
  <c r="W72" i="153"/>
  <c r="V72" i="153"/>
  <c r="U72" i="153"/>
  <c r="M72" i="153"/>
  <c r="F72" i="153"/>
  <c r="AF71" i="153"/>
  <c r="AE71" i="153"/>
  <c r="AD71" i="153"/>
  <c r="AC71" i="153"/>
  <c r="W71" i="153"/>
  <c r="V71" i="153"/>
  <c r="U71" i="153"/>
  <c r="X71" i="153" s="1"/>
  <c r="M71" i="153"/>
  <c r="F71" i="153"/>
  <c r="N71" i="153" s="1"/>
  <c r="AF70" i="153"/>
  <c r="AE70" i="153"/>
  <c r="AD70" i="153"/>
  <c r="AC70" i="153"/>
  <c r="W70" i="153"/>
  <c r="V70" i="153"/>
  <c r="U70" i="153"/>
  <c r="M70" i="153"/>
  <c r="F70" i="153"/>
  <c r="N70" i="153" s="1"/>
  <c r="AF69" i="153"/>
  <c r="AE69" i="153"/>
  <c r="AD69" i="153"/>
  <c r="AC69" i="153"/>
  <c r="W69" i="153"/>
  <c r="V69" i="153"/>
  <c r="U69" i="153"/>
  <c r="M69" i="153"/>
  <c r="F69" i="153"/>
  <c r="AF68" i="153"/>
  <c r="AE68" i="153"/>
  <c r="AD68" i="153"/>
  <c r="AC68" i="153"/>
  <c r="W68" i="153"/>
  <c r="V68" i="153"/>
  <c r="U68" i="153"/>
  <c r="X68" i="153" s="1"/>
  <c r="M68" i="153"/>
  <c r="F68" i="153"/>
  <c r="N68" i="153" s="1"/>
  <c r="AF67" i="153"/>
  <c r="AE67" i="153"/>
  <c r="AD67" i="153"/>
  <c r="AC67" i="153"/>
  <c r="W67" i="153"/>
  <c r="V67" i="153"/>
  <c r="U67" i="153"/>
  <c r="M67" i="153"/>
  <c r="F67" i="153"/>
  <c r="N67" i="153" s="1"/>
  <c r="AF66" i="153"/>
  <c r="AE66" i="153"/>
  <c r="AD66" i="153"/>
  <c r="AC66" i="153"/>
  <c r="W66" i="153"/>
  <c r="V66" i="153"/>
  <c r="U66" i="153"/>
  <c r="X66" i="153" s="1"/>
  <c r="M66" i="153"/>
  <c r="F66" i="153"/>
  <c r="N66" i="153" s="1"/>
  <c r="E49" i="153"/>
  <c r="D49" i="153"/>
  <c r="T48" i="153"/>
  <c r="S48" i="153"/>
  <c r="R48" i="153"/>
  <c r="Q48" i="153"/>
  <c r="P48" i="153"/>
  <c r="O48" i="153"/>
  <c r="E48" i="153"/>
  <c r="D48" i="153"/>
  <c r="AF46" i="153"/>
  <c r="AE46" i="153"/>
  <c r="AD46" i="153"/>
  <c r="AC46" i="153"/>
  <c r="W46" i="153"/>
  <c r="V46" i="153"/>
  <c r="U46" i="153"/>
  <c r="M46" i="153"/>
  <c r="F46" i="153"/>
  <c r="N46" i="153" s="1"/>
  <c r="AF45" i="153"/>
  <c r="AE45" i="153"/>
  <c r="AD45" i="153"/>
  <c r="AC45" i="153"/>
  <c r="W45" i="153"/>
  <c r="V45" i="153"/>
  <c r="U45" i="153"/>
  <c r="M45" i="153"/>
  <c r="F45" i="153"/>
  <c r="N45" i="153" s="1"/>
  <c r="AF44" i="153"/>
  <c r="AE44" i="153"/>
  <c r="AD44" i="153"/>
  <c r="AC44" i="153"/>
  <c r="W44" i="153"/>
  <c r="V44" i="153"/>
  <c r="U44" i="153"/>
  <c r="M44" i="153"/>
  <c r="F44" i="153"/>
  <c r="N44" i="153" s="1"/>
  <c r="AF43" i="153"/>
  <c r="AE43" i="153"/>
  <c r="AD43" i="153"/>
  <c r="AC43" i="153"/>
  <c r="W43" i="153"/>
  <c r="V43" i="153"/>
  <c r="U43" i="153"/>
  <c r="M43" i="153"/>
  <c r="F43" i="153"/>
  <c r="AF42" i="153"/>
  <c r="AE42" i="153"/>
  <c r="AD42" i="153"/>
  <c r="AC42" i="153"/>
  <c r="W42" i="153"/>
  <c r="V42" i="153"/>
  <c r="U42" i="153"/>
  <c r="M42" i="153"/>
  <c r="F42" i="153"/>
  <c r="AF41" i="153"/>
  <c r="AE41" i="153"/>
  <c r="AD41" i="153"/>
  <c r="AC41" i="153"/>
  <c r="W41" i="153"/>
  <c r="V41" i="153"/>
  <c r="U41" i="153"/>
  <c r="X41" i="153" s="1"/>
  <c r="M41" i="153"/>
  <c r="F41" i="153"/>
  <c r="N41" i="153" s="1"/>
  <c r="AF40" i="153"/>
  <c r="AE40" i="153"/>
  <c r="AD40" i="153"/>
  <c r="AC40" i="153"/>
  <c r="W40" i="153"/>
  <c r="V40" i="153"/>
  <c r="U40" i="153"/>
  <c r="M40" i="153"/>
  <c r="F40" i="153"/>
  <c r="AF39" i="153"/>
  <c r="AE39" i="153"/>
  <c r="AD39" i="153"/>
  <c r="AC39" i="153"/>
  <c r="W39" i="153"/>
  <c r="V39" i="153"/>
  <c r="U39" i="153"/>
  <c r="M39" i="153"/>
  <c r="F39" i="153"/>
  <c r="N39" i="153" s="1"/>
  <c r="AF38" i="153"/>
  <c r="AE38" i="153"/>
  <c r="AD38" i="153"/>
  <c r="AC38" i="153"/>
  <c r="W38" i="153"/>
  <c r="V38" i="153"/>
  <c r="U38" i="153"/>
  <c r="M38" i="153"/>
  <c r="F38" i="153"/>
  <c r="AF37" i="153"/>
  <c r="AE37" i="153"/>
  <c r="AD37" i="153"/>
  <c r="AC37" i="153"/>
  <c r="W37" i="153"/>
  <c r="V37" i="153"/>
  <c r="U37" i="153"/>
  <c r="M37" i="153"/>
  <c r="F37" i="153"/>
  <c r="AF36" i="153"/>
  <c r="AE36" i="153"/>
  <c r="AD36" i="153"/>
  <c r="AC36" i="153"/>
  <c r="W36" i="153"/>
  <c r="V36" i="153"/>
  <c r="U36" i="153"/>
  <c r="M36" i="153"/>
  <c r="F36" i="153"/>
  <c r="AF35" i="153"/>
  <c r="AE35" i="153"/>
  <c r="AD35" i="153"/>
  <c r="AC35" i="153"/>
  <c r="W35" i="153"/>
  <c r="V35" i="153"/>
  <c r="U35" i="153"/>
  <c r="X35" i="153" s="1"/>
  <c r="M35" i="153"/>
  <c r="F35" i="153"/>
  <c r="N35" i="153" s="1"/>
  <c r="AF34" i="153"/>
  <c r="AE34" i="153"/>
  <c r="AD34" i="153"/>
  <c r="AC34" i="153"/>
  <c r="W34" i="153"/>
  <c r="V34" i="153"/>
  <c r="U34" i="153"/>
  <c r="X34" i="153" s="1"/>
  <c r="M34" i="153"/>
  <c r="F34" i="153"/>
  <c r="N34" i="153" s="1"/>
  <c r="AF33" i="153"/>
  <c r="AE33" i="153"/>
  <c r="AD33" i="153"/>
  <c r="AC33" i="153"/>
  <c r="W33" i="153"/>
  <c r="V33" i="153"/>
  <c r="U33" i="153"/>
  <c r="X33" i="153" s="1"/>
  <c r="M33" i="153"/>
  <c r="F33" i="153"/>
  <c r="N33" i="153" s="1"/>
  <c r="AF32" i="153"/>
  <c r="AE32" i="153"/>
  <c r="AD32" i="153"/>
  <c r="AC32" i="153"/>
  <c r="W32" i="153"/>
  <c r="V32" i="153"/>
  <c r="U32" i="153"/>
  <c r="X32" i="153" s="1"/>
  <c r="M32" i="153"/>
  <c r="F32" i="153"/>
  <c r="N32" i="153" s="1"/>
  <c r="AF31" i="153"/>
  <c r="AE31" i="153"/>
  <c r="AD31" i="153"/>
  <c r="AC31" i="153"/>
  <c r="W31" i="153"/>
  <c r="V31" i="153"/>
  <c r="U31" i="153"/>
  <c r="X31" i="153" s="1"/>
  <c r="M31" i="153"/>
  <c r="F31" i="153"/>
  <c r="N31" i="153" s="1"/>
  <c r="AF30" i="153"/>
  <c r="AE30" i="153"/>
  <c r="AD30" i="153"/>
  <c r="AC30" i="153"/>
  <c r="W30" i="153"/>
  <c r="V30" i="153"/>
  <c r="U30" i="153"/>
  <c r="X30" i="153" s="1"/>
  <c r="M30" i="153"/>
  <c r="F30" i="153"/>
  <c r="N30" i="153" s="1"/>
  <c r="AF29" i="153"/>
  <c r="AE29" i="153"/>
  <c r="AD29" i="153"/>
  <c r="AC29" i="153"/>
  <c r="W29" i="153"/>
  <c r="V29" i="153"/>
  <c r="U29" i="153"/>
  <c r="M29" i="153"/>
  <c r="F29" i="153"/>
  <c r="AF28" i="153"/>
  <c r="AE28" i="153"/>
  <c r="AD28" i="153"/>
  <c r="AC28" i="153"/>
  <c r="W28" i="153"/>
  <c r="V28" i="153"/>
  <c r="U28" i="153"/>
  <c r="M28" i="153"/>
  <c r="F28" i="153"/>
  <c r="AF27" i="153"/>
  <c r="AE27" i="153"/>
  <c r="AD27" i="153"/>
  <c r="AC27" i="153"/>
  <c r="W27" i="153"/>
  <c r="V27" i="153"/>
  <c r="U27" i="153"/>
  <c r="M27" i="153"/>
  <c r="F27" i="153"/>
  <c r="AF26" i="153"/>
  <c r="AE26" i="153"/>
  <c r="AD26" i="153"/>
  <c r="AC26" i="153"/>
  <c r="W26" i="153"/>
  <c r="V26" i="153"/>
  <c r="U26" i="153"/>
  <c r="X26" i="153" s="1"/>
  <c r="M26" i="153"/>
  <c r="F26" i="153"/>
  <c r="AF25" i="153"/>
  <c r="AE25" i="153"/>
  <c r="AD25" i="153"/>
  <c r="AC25" i="153"/>
  <c r="W25" i="153"/>
  <c r="V25" i="153"/>
  <c r="U25" i="153"/>
  <c r="X25" i="153" s="1"/>
  <c r="M25" i="153"/>
  <c r="F25" i="153"/>
  <c r="N25" i="153" s="1"/>
  <c r="AF24" i="153"/>
  <c r="AE24" i="153"/>
  <c r="AD24" i="153"/>
  <c r="AC24" i="153"/>
  <c r="W24" i="153"/>
  <c r="V24" i="153"/>
  <c r="U24" i="153"/>
  <c r="M24" i="153"/>
  <c r="F24" i="153"/>
  <c r="N24" i="153" s="1"/>
  <c r="AF23" i="153"/>
  <c r="AE23" i="153"/>
  <c r="AD23" i="153"/>
  <c r="AC23" i="153"/>
  <c r="W23" i="153"/>
  <c r="V23" i="153"/>
  <c r="U23" i="153"/>
  <c r="M23" i="153"/>
  <c r="F23" i="153"/>
  <c r="N23" i="153" s="1"/>
  <c r="AF22" i="153"/>
  <c r="AE22" i="153"/>
  <c r="AD22" i="153"/>
  <c r="AC22" i="153"/>
  <c r="W22" i="153"/>
  <c r="V22" i="153"/>
  <c r="U22" i="153"/>
  <c r="M22" i="153"/>
  <c r="F22" i="153"/>
  <c r="N22" i="153" s="1"/>
  <c r="AF21" i="153"/>
  <c r="AE21" i="153"/>
  <c r="AD21" i="153"/>
  <c r="AC21" i="153"/>
  <c r="W21" i="153"/>
  <c r="V21" i="153"/>
  <c r="U21" i="153"/>
  <c r="M21" i="153"/>
  <c r="F21" i="153"/>
  <c r="N21" i="153" s="1"/>
  <c r="AF20" i="153"/>
  <c r="AE20" i="153"/>
  <c r="AD20" i="153"/>
  <c r="AC20" i="153"/>
  <c r="W20" i="153"/>
  <c r="V20" i="153"/>
  <c r="U20" i="153"/>
  <c r="M20" i="153"/>
  <c r="F20" i="153"/>
  <c r="N20" i="153" s="1"/>
  <c r="AF19" i="153"/>
  <c r="AE19" i="153"/>
  <c r="AD19" i="153"/>
  <c r="AC19" i="153"/>
  <c r="W19" i="153"/>
  <c r="V19" i="153"/>
  <c r="U19" i="153"/>
  <c r="X19" i="153" s="1"/>
  <c r="M19" i="153"/>
  <c r="F19" i="153"/>
  <c r="AF18" i="153"/>
  <c r="AE18" i="153"/>
  <c r="AD18" i="153"/>
  <c r="AC18" i="153"/>
  <c r="W18" i="153"/>
  <c r="V18" i="153"/>
  <c r="U18" i="153"/>
  <c r="M18" i="153"/>
  <c r="F18" i="153"/>
  <c r="N18" i="153" s="1"/>
  <c r="AF17" i="153"/>
  <c r="AE17" i="153"/>
  <c r="AD17" i="153"/>
  <c r="AC17" i="153"/>
  <c r="W17" i="153"/>
  <c r="V17" i="153"/>
  <c r="U17" i="153"/>
  <c r="M17" i="153"/>
  <c r="F17" i="153"/>
  <c r="AF16" i="153"/>
  <c r="AE16" i="153"/>
  <c r="AD16" i="153"/>
  <c r="AC16" i="153"/>
  <c r="W16" i="153"/>
  <c r="V16" i="153"/>
  <c r="U16" i="153"/>
  <c r="M16" i="153"/>
  <c r="F16" i="153"/>
  <c r="AF15" i="153"/>
  <c r="AE15" i="153"/>
  <c r="AD15" i="153"/>
  <c r="AC15" i="153"/>
  <c r="W15" i="153"/>
  <c r="V15" i="153"/>
  <c r="U15" i="153"/>
  <c r="M15" i="153"/>
  <c r="F15" i="153"/>
  <c r="AF14" i="153"/>
  <c r="AE14" i="153"/>
  <c r="AD14" i="153"/>
  <c r="AC14" i="153"/>
  <c r="W14" i="153"/>
  <c r="V14" i="153"/>
  <c r="U14" i="153"/>
  <c r="X14" i="153" s="1"/>
  <c r="M14" i="153"/>
  <c r="F14" i="153"/>
  <c r="AF13" i="153"/>
  <c r="AE13" i="153"/>
  <c r="AD13" i="153"/>
  <c r="AC13" i="153"/>
  <c r="W13" i="153"/>
  <c r="V13" i="153"/>
  <c r="U13" i="153"/>
  <c r="M13" i="153"/>
  <c r="F13" i="153"/>
  <c r="N13" i="153" s="1"/>
  <c r="E5" i="153"/>
  <c r="A2" i="153"/>
  <c r="D103" i="152"/>
  <c r="T102" i="152"/>
  <c r="S102" i="152"/>
  <c r="R102" i="152"/>
  <c r="Q102" i="152"/>
  <c r="P102" i="152"/>
  <c r="O102" i="152"/>
  <c r="E102" i="152"/>
  <c r="D102" i="152"/>
  <c r="AF100" i="152"/>
  <c r="AE100" i="152"/>
  <c r="AD100" i="152"/>
  <c r="AC100" i="152"/>
  <c r="W100" i="152"/>
  <c r="V100" i="152"/>
  <c r="U100" i="152"/>
  <c r="M100" i="152"/>
  <c r="F100" i="152"/>
  <c r="AF99" i="152"/>
  <c r="AE99" i="152"/>
  <c r="AD99" i="152"/>
  <c r="AC99" i="152"/>
  <c r="W99" i="152"/>
  <c r="V99" i="152"/>
  <c r="U99" i="152"/>
  <c r="M99" i="152"/>
  <c r="F99" i="152"/>
  <c r="AF98" i="152"/>
  <c r="AE98" i="152"/>
  <c r="AD98" i="152"/>
  <c r="AC98" i="152"/>
  <c r="W98" i="152"/>
  <c r="V98" i="152"/>
  <c r="U98" i="152"/>
  <c r="M98" i="152"/>
  <c r="F98" i="152"/>
  <c r="AF97" i="152"/>
  <c r="AE97" i="152"/>
  <c r="AD97" i="152"/>
  <c r="AC97" i="152"/>
  <c r="W97" i="152"/>
  <c r="V97" i="152"/>
  <c r="U97" i="152"/>
  <c r="X97" i="152" s="1"/>
  <c r="M97" i="152"/>
  <c r="F97" i="152"/>
  <c r="AF96" i="152"/>
  <c r="AE96" i="152"/>
  <c r="AD96" i="152"/>
  <c r="AC96" i="152"/>
  <c r="W96" i="152"/>
  <c r="V96" i="152"/>
  <c r="U96" i="152"/>
  <c r="M96" i="152"/>
  <c r="F96" i="152"/>
  <c r="AF95" i="152"/>
  <c r="AE95" i="152"/>
  <c r="AD95" i="152"/>
  <c r="AC95" i="152"/>
  <c r="W95" i="152"/>
  <c r="V95" i="152"/>
  <c r="U95" i="152"/>
  <c r="X95" i="152" s="1"/>
  <c r="M95" i="152"/>
  <c r="F95" i="152"/>
  <c r="AF94" i="152"/>
  <c r="AE94" i="152"/>
  <c r="AD94" i="152"/>
  <c r="AC94" i="152"/>
  <c r="W94" i="152"/>
  <c r="V94" i="152"/>
  <c r="U94" i="152"/>
  <c r="X94" i="152" s="1"/>
  <c r="M94" i="152"/>
  <c r="F94" i="152"/>
  <c r="AF93" i="152"/>
  <c r="AE93" i="152"/>
  <c r="AD93" i="152"/>
  <c r="AC93" i="152"/>
  <c r="W93" i="152"/>
  <c r="V93" i="152"/>
  <c r="U93" i="152"/>
  <c r="X93" i="152" s="1"/>
  <c r="M93" i="152"/>
  <c r="F93" i="152"/>
  <c r="AF92" i="152"/>
  <c r="AE92" i="152"/>
  <c r="AD92" i="152"/>
  <c r="AC92" i="152"/>
  <c r="W92" i="152"/>
  <c r="V92" i="152"/>
  <c r="U92" i="152"/>
  <c r="X92" i="152" s="1"/>
  <c r="M92" i="152"/>
  <c r="F92" i="152"/>
  <c r="AF91" i="152"/>
  <c r="AE91" i="152"/>
  <c r="AD91" i="152"/>
  <c r="AC91" i="152"/>
  <c r="W91" i="152"/>
  <c r="V91" i="152"/>
  <c r="U91" i="152"/>
  <c r="M91" i="152"/>
  <c r="F91" i="152"/>
  <c r="AF90" i="152"/>
  <c r="AE90" i="152"/>
  <c r="AD90" i="152"/>
  <c r="AC90" i="152"/>
  <c r="W90" i="152"/>
  <c r="V90" i="152"/>
  <c r="U90" i="152"/>
  <c r="M90" i="152"/>
  <c r="F90" i="152"/>
  <c r="AF89" i="152"/>
  <c r="AE89" i="152"/>
  <c r="AD89" i="152"/>
  <c r="AC89" i="152"/>
  <c r="W89" i="152"/>
  <c r="V89" i="152"/>
  <c r="U89" i="152"/>
  <c r="M89" i="152"/>
  <c r="F89" i="152"/>
  <c r="AF88" i="152"/>
  <c r="AE88" i="152"/>
  <c r="AD88" i="152"/>
  <c r="AC88" i="152"/>
  <c r="W88" i="152"/>
  <c r="V88" i="152"/>
  <c r="U88" i="152"/>
  <c r="M88" i="152"/>
  <c r="F88" i="152"/>
  <c r="AF87" i="152"/>
  <c r="AE87" i="152"/>
  <c r="AD87" i="152"/>
  <c r="AC87" i="152"/>
  <c r="W87" i="152"/>
  <c r="V87" i="152"/>
  <c r="U87" i="152"/>
  <c r="X87" i="152" s="1"/>
  <c r="M87" i="152"/>
  <c r="F87" i="152"/>
  <c r="AF86" i="152"/>
  <c r="AE86" i="152"/>
  <c r="AD86" i="152"/>
  <c r="AC86" i="152"/>
  <c r="W86" i="152"/>
  <c r="V86" i="152"/>
  <c r="U86" i="152"/>
  <c r="X86" i="152" s="1"/>
  <c r="M86" i="152"/>
  <c r="F86" i="152"/>
  <c r="AF85" i="152"/>
  <c r="AE85" i="152"/>
  <c r="AD85" i="152"/>
  <c r="AC85" i="152"/>
  <c r="W85" i="152"/>
  <c r="V85" i="152"/>
  <c r="U85" i="152"/>
  <c r="M85" i="152"/>
  <c r="F85" i="152"/>
  <c r="AF84" i="152"/>
  <c r="AE84" i="152"/>
  <c r="AD84" i="152"/>
  <c r="AC84" i="152"/>
  <c r="W84" i="152"/>
  <c r="V84" i="152"/>
  <c r="U84" i="152"/>
  <c r="M84" i="152"/>
  <c r="F84" i="152"/>
  <c r="AF83" i="152"/>
  <c r="AE83" i="152"/>
  <c r="AD83" i="152"/>
  <c r="AC83" i="152"/>
  <c r="W83" i="152"/>
  <c r="V83" i="152"/>
  <c r="U83" i="152"/>
  <c r="M83" i="152"/>
  <c r="F83" i="152"/>
  <c r="AF82" i="152"/>
  <c r="AE82" i="152"/>
  <c r="AD82" i="152"/>
  <c r="AC82" i="152"/>
  <c r="W82" i="152"/>
  <c r="V82" i="152"/>
  <c r="U82" i="152"/>
  <c r="M82" i="152"/>
  <c r="F82" i="152"/>
  <c r="AF81" i="152"/>
  <c r="AE81" i="152"/>
  <c r="AD81" i="152"/>
  <c r="AC81" i="152"/>
  <c r="W81" i="152"/>
  <c r="V81" i="152"/>
  <c r="U81" i="152"/>
  <c r="M81" i="152"/>
  <c r="F81" i="152"/>
  <c r="AF80" i="152"/>
  <c r="AE80" i="152"/>
  <c r="AD80" i="152"/>
  <c r="AC80" i="152"/>
  <c r="W80" i="152"/>
  <c r="V80" i="152"/>
  <c r="U80" i="152"/>
  <c r="M80" i="152"/>
  <c r="F80" i="152"/>
  <c r="AF79" i="152"/>
  <c r="AE79" i="152"/>
  <c r="AD79" i="152"/>
  <c r="AC79" i="152"/>
  <c r="W79" i="152"/>
  <c r="V79" i="152"/>
  <c r="U79" i="152"/>
  <c r="M79" i="152"/>
  <c r="F79" i="152"/>
  <c r="AF78" i="152"/>
  <c r="AE78" i="152"/>
  <c r="AD78" i="152"/>
  <c r="AC78" i="152"/>
  <c r="W78" i="152"/>
  <c r="V78" i="152"/>
  <c r="U78" i="152"/>
  <c r="M78" i="152"/>
  <c r="F78" i="152"/>
  <c r="N78" i="152" s="1"/>
  <c r="AF77" i="152"/>
  <c r="AE77" i="152"/>
  <c r="AD77" i="152"/>
  <c r="AC77" i="152"/>
  <c r="W77" i="152"/>
  <c r="V77" i="152"/>
  <c r="U77" i="152"/>
  <c r="M77" i="152"/>
  <c r="F77" i="152"/>
  <c r="AF76" i="152"/>
  <c r="AE76" i="152"/>
  <c r="AD76" i="152"/>
  <c r="AC76" i="152"/>
  <c r="W76" i="152"/>
  <c r="V76" i="152"/>
  <c r="U76" i="152"/>
  <c r="M76" i="152"/>
  <c r="F76" i="152"/>
  <c r="AF75" i="152"/>
  <c r="AE75" i="152"/>
  <c r="AD75" i="152"/>
  <c r="AC75" i="152"/>
  <c r="W75" i="152"/>
  <c r="V75" i="152"/>
  <c r="U75" i="152"/>
  <c r="X75" i="152" s="1"/>
  <c r="M75" i="152"/>
  <c r="F75" i="152"/>
  <c r="AF74" i="152"/>
  <c r="AE74" i="152"/>
  <c r="AD74" i="152"/>
  <c r="AC74" i="152"/>
  <c r="W74" i="152"/>
  <c r="V74" i="152"/>
  <c r="U74" i="152"/>
  <c r="M74" i="152"/>
  <c r="F74" i="152"/>
  <c r="AF73" i="152"/>
  <c r="AE73" i="152"/>
  <c r="AD73" i="152"/>
  <c r="AC73" i="152"/>
  <c r="W73" i="152"/>
  <c r="V73" i="152"/>
  <c r="U73" i="152"/>
  <c r="M73" i="152"/>
  <c r="F73" i="152"/>
  <c r="AF72" i="152"/>
  <c r="AE72" i="152"/>
  <c r="AD72" i="152"/>
  <c r="AC72" i="152"/>
  <c r="W72" i="152"/>
  <c r="V72" i="152"/>
  <c r="U72" i="152"/>
  <c r="M72" i="152"/>
  <c r="F72" i="152"/>
  <c r="AF71" i="152"/>
  <c r="AE71" i="152"/>
  <c r="AD71" i="152"/>
  <c r="AC71" i="152"/>
  <c r="W71" i="152"/>
  <c r="V71" i="152"/>
  <c r="U71" i="152"/>
  <c r="M71" i="152"/>
  <c r="F71" i="152"/>
  <c r="AF70" i="152"/>
  <c r="AE70" i="152"/>
  <c r="AD70" i="152"/>
  <c r="AC70" i="152"/>
  <c r="W70" i="152"/>
  <c r="V70" i="152"/>
  <c r="U70" i="152"/>
  <c r="X70" i="152" s="1"/>
  <c r="M70" i="152"/>
  <c r="F70" i="152"/>
  <c r="AF69" i="152"/>
  <c r="AE69" i="152"/>
  <c r="AD69" i="152"/>
  <c r="AC69" i="152"/>
  <c r="W69" i="152"/>
  <c r="V69" i="152"/>
  <c r="U69" i="152"/>
  <c r="M69" i="152"/>
  <c r="F69" i="152"/>
  <c r="AF68" i="152"/>
  <c r="AE68" i="152"/>
  <c r="AD68" i="152"/>
  <c r="AC68" i="152"/>
  <c r="W68" i="152"/>
  <c r="V68" i="152"/>
  <c r="U68" i="152"/>
  <c r="X68" i="152" s="1"/>
  <c r="M68" i="152"/>
  <c r="F68" i="152"/>
  <c r="AF67" i="152"/>
  <c r="AE67" i="152"/>
  <c r="AD67" i="152"/>
  <c r="AC67" i="152"/>
  <c r="W67" i="152"/>
  <c r="V67" i="152"/>
  <c r="U67" i="152"/>
  <c r="X67" i="152" s="1"/>
  <c r="M67" i="152"/>
  <c r="F67" i="152"/>
  <c r="AF66" i="152"/>
  <c r="AE66" i="152"/>
  <c r="AD66" i="152"/>
  <c r="AC66" i="152"/>
  <c r="W66" i="152"/>
  <c r="V66" i="152"/>
  <c r="U66" i="152"/>
  <c r="X66" i="152" s="1"/>
  <c r="M66" i="152"/>
  <c r="F66" i="152"/>
  <c r="N66" i="152" s="1"/>
  <c r="E49" i="152"/>
  <c r="D49" i="152"/>
  <c r="T48" i="152"/>
  <c r="S48" i="152"/>
  <c r="R48" i="152"/>
  <c r="Q48" i="152"/>
  <c r="P48" i="152"/>
  <c r="O48" i="152"/>
  <c r="E48" i="152"/>
  <c r="D48" i="152"/>
  <c r="AF46" i="152"/>
  <c r="AE46" i="152"/>
  <c r="AD46" i="152"/>
  <c r="AC46" i="152"/>
  <c r="W46" i="152"/>
  <c r="V46" i="152"/>
  <c r="U46" i="152"/>
  <c r="X46" i="152" s="1"/>
  <c r="M46" i="152"/>
  <c r="F46" i="152"/>
  <c r="AF45" i="152"/>
  <c r="AE45" i="152"/>
  <c r="AD45" i="152"/>
  <c r="AC45" i="152"/>
  <c r="W45" i="152"/>
  <c r="V45" i="152"/>
  <c r="U45" i="152"/>
  <c r="X45" i="152" s="1"/>
  <c r="M45" i="152"/>
  <c r="F45" i="152"/>
  <c r="AF44" i="152"/>
  <c r="AE44" i="152"/>
  <c r="AD44" i="152"/>
  <c r="AC44" i="152"/>
  <c r="W44" i="152"/>
  <c r="V44" i="152"/>
  <c r="U44" i="152"/>
  <c r="M44" i="152"/>
  <c r="F44" i="152"/>
  <c r="AF43" i="152"/>
  <c r="AE43" i="152"/>
  <c r="AD43" i="152"/>
  <c r="AC43" i="152"/>
  <c r="W43" i="152"/>
  <c r="V43" i="152"/>
  <c r="U43" i="152"/>
  <c r="X43" i="152" s="1"/>
  <c r="M43" i="152"/>
  <c r="F43" i="152"/>
  <c r="N43" i="152" s="1"/>
  <c r="AF42" i="152"/>
  <c r="AE42" i="152"/>
  <c r="AD42" i="152"/>
  <c r="AC42" i="152"/>
  <c r="W42" i="152"/>
  <c r="V42" i="152"/>
  <c r="U42" i="152"/>
  <c r="M42" i="152"/>
  <c r="F42" i="152"/>
  <c r="N42" i="152" s="1"/>
  <c r="AF41" i="152"/>
  <c r="AE41" i="152"/>
  <c r="AD41" i="152"/>
  <c r="AC41" i="152"/>
  <c r="W41" i="152"/>
  <c r="V41" i="152"/>
  <c r="U41" i="152"/>
  <c r="M41" i="152"/>
  <c r="F41" i="152"/>
  <c r="N41" i="152" s="1"/>
  <c r="AF40" i="152"/>
  <c r="AE40" i="152"/>
  <c r="AD40" i="152"/>
  <c r="AC40" i="152"/>
  <c r="W40" i="152"/>
  <c r="V40" i="152"/>
  <c r="U40" i="152"/>
  <c r="M40" i="152"/>
  <c r="F40" i="152"/>
  <c r="AF39" i="152"/>
  <c r="AE39" i="152"/>
  <c r="AD39" i="152"/>
  <c r="AC39" i="152"/>
  <c r="W39" i="152"/>
  <c r="V39" i="152"/>
  <c r="U39" i="152"/>
  <c r="M39" i="152"/>
  <c r="F39" i="152"/>
  <c r="AF38" i="152"/>
  <c r="AE38" i="152"/>
  <c r="AD38" i="152"/>
  <c r="AC38" i="152"/>
  <c r="W38" i="152"/>
  <c r="V38" i="152"/>
  <c r="U38" i="152"/>
  <c r="M38" i="152"/>
  <c r="F38" i="152"/>
  <c r="N38" i="152" s="1"/>
  <c r="AF37" i="152"/>
  <c r="AE37" i="152"/>
  <c r="AD37" i="152"/>
  <c r="AC37" i="152"/>
  <c r="W37" i="152"/>
  <c r="V37" i="152"/>
  <c r="U37" i="152"/>
  <c r="M37" i="152"/>
  <c r="F37" i="152"/>
  <c r="AF36" i="152"/>
  <c r="AE36" i="152"/>
  <c r="AD36" i="152"/>
  <c r="AC36" i="152"/>
  <c r="W36" i="152"/>
  <c r="V36" i="152"/>
  <c r="U36" i="152"/>
  <c r="M36" i="152"/>
  <c r="F36" i="152"/>
  <c r="N36" i="152" s="1"/>
  <c r="AF35" i="152"/>
  <c r="AE35" i="152"/>
  <c r="AD35" i="152"/>
  <c r="AC35" i="152"/>
  <c r="W35" i="152"/>
  <c r="V35" i="152"/>
  <c r="U35" i="152"/>
  <c r="M35" i="152"/>
  <c r="F35" i="152"/>
  <c r="AF34" i="152"/>
  <c r="AE34" i="152"/>
  <c r="AD34" i="152"/>
  <c r="AC34" i="152"/>
  <c r="W34" i="152"/>
  <c r="V34" i="152"/>
  <c r="U34" i="152"/>
  <c r="X34" i="152" s="1"/>
  <c r="M34" i="152"/>
  <c r="F34" i="152"/>
  <c r="AF33" i="152"/>
  <c r="AE33" i="152"/>
  <c r="AD33" i="152"/>
  <c r="AC33" i="152"/>
  <c r="W33" i="152"/>
  <c r="V33" i="152"/>
  <c r="U33" i="152"/>
  <c r="X33" i="152" s="1"/>
  <c r="M33" i="152"/>
  <c r="F33" i="152"/>
  <c r="N33" i="152" s="1"/>
  <c r="AF32" i="152"/>
  <c r="AE32" i="152"/>
  <c r="AD32" i="152"/>
  <c r="AC32" i="152"/>
  <c r="W32" i="152"/>
  <c r="V32" i="152"/>
  <c r="U32" i="152"/>
  <c r="M32" i="152"/>
  <c r="F32" i="152"/>
  <c r="N32" i="152" s="1"/>
  <c r="AF31" i="152"/>
  <c r="AE31" i="152"/>
  <c r="AD31" i="152"/>
  <c r="AC31" i="152"/>
  <c r="W31" i="152"/>
  <c r="V31" i="152"/>
  <c r="U31" i="152"/>
  <c r="X31" i="152" s="1"/>
  <c r="M31" i="152"/>
  <c r="F31" i="152"/>
  <c r="AF30" i="152"/>
  <c r="AE30" i="152"/>
  <c r="AD30" i="152"/>
  <c r="AC30" i="152"/>
  <c r="W30" i="152"/>
  <c r="V30" i="152"/>
  <c r="U30" i="152"/>
  <c r="M30" i="152"/>
  <c r="F30" i="152"/>
  <c r="N30" i="152" s="1"/>
  <c r="AF29" i="152"/>
  <c r="AE29" i="152"/>
  <c r="AD29" i="152"/>
  <c r="AC29" i="152"/>
  <c r="W29" i="152"/>
  <c r="V29" i="152"/>
  <c r="U29" i="152"/>
  <c r="M29" i="152"/>
  <c r="F29" i="152"/>
  <c r="AF28" i="152"/>
  <c r="AE28" i="152"/>
  <c r="AD28" i="152"/>
  <c r="AC28" i="152"/>
  <c r="W28" i="152"/>
  <c r="V28" i="152"/>
  <c r="U28" i="152"/>
  <c r="M28" i="152"/>
  <c r="F28" i="152"/>
  <c r="AF27" i="152"/>
  <c r="AE27" i="152"/>
  <c r="AD27" i="152"/>
  <c r="AC27" i="152"/>
  <c r="W27" i="152"/>
  <c r="V27" i="152"/>
  <c r="U27" i="152"/>
  <c r="M27" i="152"/>
  <c r="F27" i="152"/>
  <c r="AF26" i="152"/>
  <c r="AE26" i="152"/>
  <c r="AD26" i="152"/>
  <c r="AC26" i="152"/>
  <c r="W26" i="152"/>
  <c r="V26" i="152"/>
  <c r="U26" i="152"/>
  <c r="M26" i="152"/>
  <c r="F26" i="152"/>
  <c r="AF25" i="152"/>
  <c r="AE25" i="152"/>
  <c r="AD25" i="152"/>
  <c r="AC25" i="152"/>
  <c r="W25" i="152"/>
  <c r="V25" i="152"/>
  <c r="U25" i="152"/>
  <c r="M25" i="152"/>
  <c r="F25" i="152"/>
  <c r="AF24" i="152"/>
  <c r="AE24" i="152"/>
  <c r="AD24" i="152"/>
  <c r="AC24" i="152"/>
  <c r="W24" i="152"/>
  <c r="V24" i="152"/>
  <c r="U24" i="152"/>
  <c r="X24" i="152" s="1"/>
  <c r="M24" i="152"/>
  <c r="F24" i="152"/>
  <c r="AF23" i="152"/>
  <c r="AE23" i="152"/>
  <c r="AD23" i="152"/>
  <c r="AC23" i="152"/>
  <c r="W23" i="152"/>
  <c r="V23" i="152"/>
  <c r="U23" i="152"/>
  <c r="M23" i="152"/>
  <c r="F23" i="152"/>
  <c r="N23" i="152" s="1"/>
  <c r="AF22" i="152"/>
  <c r="AE22" i="152"/>
  <c r="AD22" i="152"/>
  <c r="AC22" i="152"/>
  <c r="W22" i="152"/>
  <c r="V22" i="152"/>
  <c r="U22" i="152"/>
  <c r="X22" i="152" s="1"/>
  <c r="M22" i="152"/>
  <c r="F22" i="152"/>
  <c r="N22" i="152" s="1"/>
  <c r="AF21" i="152"/>
  <c r="AE21" i="152"/>
  <c r="AD21" i="152"/>
  <c r="AC21" i="152"/>
  <c r="W21" i="152"/>
  <c r="V21" i="152"/>
  <c r="U21" i="152"/>
  <c r="M21" i="152"/>
  <c r="F21" i="152"/>
  <c r="AF20" i="152"/>
  <c r="AE20" i="152"/>
  <c r="AD20" i="152"/>
  <c r="AC20" i="152"/>
  <c r="W20" i="152"/>
  <c r="V20" i="152"/>
  <c r="U20" i="152"/>
  <c r="M20" i="152"/>
  <c r="F20" i="152"/>
  <c r="N20" i="152" s="1"/>
  <c r="AF19" i="152"/>
  <c r="AE19" i="152"/>
  <c r="AD19" i="152"/>
  <c r="AC19" i="152"/>
  <c r="W19" i="152"/>
  <c r="V19" i="152"/>
  <c r="U19" i="152"/>
  <c r="M19" i="152"/>
  <c r="F19" i="152"/>
  <c r="AF18" i="152"/>
  <c r="AE18" i="152"/>
  <c r="AD18" i="152"/>
  <c r="AC18" i="152"/>
  <c r="W18" i="152"/>
  <c r="V18" i="152"/>
  <c r="U18" i="152"/>
  <c r="M18" i="152"/>
  <c r="F18" i="152"/>
  <c r="AF17" i="152"/>
  <c r="AE17" i="152"/>
  <c r="AD17" i="152"/>
  <c r="AC17" i="152"/>
  <c r="W17" i="152"/>
  <c r="V17" i="152"/>
  <c r="U17" i="152"/>
  <c r="X17" i="152" s="1"/>
  <c r="M17" i="152"/>
  <c r="F17" i="152"/>
  <c r="N17" i="152" s="1"/>
  <c r="AF16" i="152"/>
  <c r="AE16" i="152"/>
  <c r="AD16" i="152"/>
  <c r="AC16" i="152"/>
  <c r="W16" i="152"/>
  <c r="V16" i="152"/>
  <c r="U16" i="152"/>
  <c r="M16" i="152"/>
  <c r="F16" i="152"/>
  <c r="N16" i="152" s="1"/>
  <c r="AF15" i="152"/>
  <c r="AE15" i="152"/>
  <c r="AD15" i="152"/>
  <c r="AC15" i="152"/>
  <c r="W15" i="152"/>
  <c r="V15" i="152"/>
  <c r="U15" i="152"/>
  <c r="X15" i="152" s="1"/>
  <c r="M15" i="152"/>
  <c r="F15" i="152"/>
  <c r="N15" i="152" s="1"/>
  <c r="AF14" i="152"/>
  <c r="AE14" i="152"/>
  <c r="AD14" i="152"/>
  <c r="AC14" i="152"/>
  <c r="W14" i="152"/>
  <c r="V14" i="152"/>
  <c r="U14" i="152"/>
  <c r="X14" i="152" s="1"/>
  <c r="M14" i="152"/>
  <c r="F14" i="152"/>
  <c r="AF13" i="152"/>
  <c r="AE13" i="152"/>
  <c r="AD13" i="152"/>
  <c r="AC13" i="152"/>
  <c r="W13" i="152"/>
  <c r="V13" i="152"/>
  <c r="U13" i="152"/>
  <c r="X13" i="152" s="1"/>
  <c r="M13" i="152"/>
  <c r="F13" i="152"/>
  <c r="N13" i="152" s="1"/>
  <c r="E5" i="152"/>
  <c r="A2" i="152"/>
  <c r="D103" i="151"/>
  <c r="T102" i="151"/>
  <c r="S102" i="151"/>
  <c r="R102" i="151"/>
  <c r="Q102" i="151"/>
  <c r="P102" i="151"/>
  <c r="O102" i="151"/>
  <c r="E102" i="151"/>
  <c r="D102" i="151"/>
  <c r="AF100" i="151"/>
  <c r="AE100" i="151"/>
  <c r="AD100" i="151"/>
  <c r="AC100" i="151"/>
  <c r="W100" i="151"/>
  <c r="V100" i="151"/>
  <c r="U100" i="151"/>
  <c r="M100" i="151"/>
  <c r="F100" i="151"/>
  <c r="N100" i="151" s="1"/>
  <c r="AF99" i="151"/>
  <c r="AE99" i="151"/>
  <c r="AD99" i="151"/>
  <c r="AC99" i="151"/>
  <c r="W99" i="151"/>
  <c r="V99" i="151"/>
  <c r="U99" i="151"/>
  <c r="M99" i="151"/>
  <c r="F99" i="151"/>
  <c r="N99" i="151" s="1"/>
  <c r="AF98" i="151"/>
  <c r="AE98" i="151"/>
  <c r="AD98" i="151"/>
  <c r="AC98" i="151"/>
  <c r="W98" i="151"/>
  <c r="V98" i="151"/>
  <c r="U98" i="151"/>
  <c r="M98" i="151"/>
  <c r="F98" i="151"/>
  <c r="AF97" i="151"/>
  <c r="AE97" i="151"/>
  <c r="AD97" i="151"/>
  <c r="AC97" i="151"/>
  <c r="W97" i="151"/>
  <c r="V97" i="151"/>
  <c r="U97" i="151"/>
  <c r="M97" i="151"/>
  <c r="F97" i="151"/>
  <c r="AF96" i="151"/>
  <c r="AE96" i="151"/>
  <c r="AD96" i="151"/>
  <c r="AC96" i="151"/>
  <c r="W96" i="151"/>
  <c r="V96" i="151"/>
  <c r="U96" i="151"/>
  <c r="M96" i="151"/>
  <c r="F96" i="151"/>
  <c r="AF95" i="151"/>
  <c r="AE95" i="151"/>
  <c r="AD95" i="151"/>
  <c r="AC95" i="151"/>
  <c r="W95" i="151"/>
  <c r="V95" i="151"/>
  <c r="U95" i="151"/>
  <c r="M95" i="151"/>
  <c r="F95" i="151"/>
  <c r="AF94" i="151"/>
  <c r="AE94" i="151"/>
  <c r="AD94" i="151"/>
  <c r="AC94" i="151"/>
  <c r="W94" i="151"/>
  <c r="V94" i="151"/>
  <c r="U94" i="151"/>
  <c r="M94" i="151"/>
  <c r="F94" i="151"/>
  <c r="N94" i="151" s="1"/>
  <c r="AF93" i="151"/>
  <c r="AE93" i="151"/>
  <c r="AD93" i="151"/>
  <c r="AC93" i="151"/>
  <c r="W93" i="151"/>
  <c r="V93" i="151"/>
  <c r="U93" i="151"/>
  <c r="X93" i="151" s="1"/>
  <c r="M93" i="151"/>
  <c r="F93" i="151"/>
  <c r="N93" i="151" s="1"/>
  <c r="AF92" i="151"/>
  <c r="AE92" i="151"/>
  <c r="AD92" i="151"/>
  <c r="AC92" i="151"/>
  <c r="W92" i="151"/>
  <c r="V92" i="151"/>
  <c r="U92" i="151"/>
  <c r="M92" i="151"/>
  <c r="F92" i="151"/>
  <c r="N92" i="151" s="1"/>
  <c r="AF91" i="151"/>
  <c r="AE91" i="151"/>
  <c r="AD91" i="151"/>
  <c r="AC91" i="151"/>
  <c r="W91" i="151"/>
  <c r="V91" i="151"/>
  <c r="U91" i="151"/>
  <c r="M91" i="151"/>
  <c r="F91" i="151"/>
  <c r="N91" i="151" s="1"/>
  <c r="AF90" i="151"/>
  <c r="AE90" i="151"/>
  <c r="AD90" i="151"/>
  <c r="AC90" i="151"/>
  <c r="W90" i="151"/>
  <c r="V90" i="151"/>
  <c r="U90" i="151"/>
  <c r="M90" i="151"/>
  <c r="F90" i="151"/>
  <c r="AF89" i="151"/>
  <c r="AE89" i="151"/>
  <c r="AD89" i="151"/>
  <c r="AC89" i="151"/>
  <c r="W89" i="151"/>
  <c r="V89" i="151"/>
  <c r="U89" i="151"/>
  <c r="M89" i="151"/>
  <c r="F89" i="151"/>
  <c r="AF88" i="151"/>
  <c r="AE88" i="151"/>
  <c r="AD88" i="151"/>
  <c r="AC88" i="151"/>
  <c r="W88" i="151"/>
  <c r="V88" i="151"/>
  <c r="U88" i="151"/>
  <c r="M88" i="151"/>
  <c r="F88" i="151"/>
  <c r="AF87" i="151"/>
  <c r="AE87" i="151"/>
  <c r="AD87" i="151"/>
  <c r="AC87" i="151"/>
  <c r="W87" i="151"/>
  <c r="V87" i="151"/>
  <c r="U87" i="151"/>
  <c r="X87" i="151" s="1"/>
  <c r="M87" i="151"/>
  <c r="F87" i="151"/>
  <c r="AF86" i="151"/>
  <c r="AE86" i="151"/>
  <c r="AD86" i="151"/>
  <c r="AC86" i="151"/>
  <c r="W86" i="151"/>
  <c r="V86" i="151"/>
  <c r="U86" i="151"/>
  <c r="X86" i="151" s="1"/>
  <c r="M86" i="151"/>
  <c r="F86" i="151"/>
  <c r="N86" i="151" s="1"/>
  <c r="AF85" i="151"/>
  <c r="AE85" i="151"/>
  <c r="AD85" i="151"/>
  <c r="AC85" i="151"/>
  <c r="W85" i="151"/>
  <c r="V85" i="151"/>
  <c r="U85" i="151"/>
  <c r="M85" i="151"/>
  <c r="F85" i="151"/>
  <c r="N85" i="151" s="1"/>
  <c r="AF84" i="151"/>
  <c r="AE84" i="151"/>
  <c r="AD84" i="151"/>
  <c r="AC84" i="151"/>
  <c r="W84" i="151"/>
  <c r="V84" i="151"/>
  <c r="U84" i="151"/>
  <c r="M84" i="151"/>
  <c r="F84" i="151"/>
  <c r="AF83" i="151"/>
  <c r="AE83" i="151"/>
  <c r="AD83" i="151"/>
  <c r="AC83" i="151"/>
  <c r="W83" i="151"/>
  <c r="V83" i="151"/>
  <c r="U83" i="151"/>
  <c r="M83" i="151"/>
  <c r="F83" i="151"/>
  <c r="N83" i="151" s="1"/>
  <c r="AF82" i="151"/>
  <c r="AE82" i="151"/>
  <c r="AD82" i="151"/>
  <c r="AC82" i="151"/>
  <c r="W82" i="151"/>
  <c r="V82" i="151"/>
  <c r="U82" i="151"/>
  <c r="M82" i="151"/>
  <c r="F82" i="151"/>
  <c r="AF81" i="151"/>
  <c r="AE81" i="151"/>
  <c r="AD81" i="151"/>
  <c r="AC81" i="151"/>
  <c r="W81" i="151"/>
  <c r="V81" i="151"/>
  <c r="U81" i="151"/>
  <c r="M81" i="151"/>
  <c r="F81" i="151"/>
  <c r="AF80" i="151"/>
  <c r="AE80" i="151"/>
  <c r="AD80" i="151"/>
  <c r="AC80" i="151"/>
  <c r="W80" i="151"/>
  <c r="V80" i="151"/>
  <c r="U80" i="151"/>
  <c r="M80" i="151"/>
  <c r="F80" i="151"/>
  <c r="AF79" i="151"/>
  <c r="AE79" i="151"/>
  <c r="AD79" i="151"/>
  <c r="AC79" i="151"/>
  <c r="W79" i="151"/>
  <c r="V79" i="151"/>
  <c r="U79" i="151"/>
  <c r="X79" i="151" s="1"/>
  <c r="M79" i="151"/>
  <c r="F79" i="151"/>
  <c r="AF78" i="151"/>
  <c r="AE78" i="151"/>
  <c r="AD78" i="151"/>
  <c r="AC78" i="151"/>
  <c r="W78" i="151"/>
  <c r="V78" i="151"/>
  <c r="U78" i="151"/>
  <c r="X78" i="151" s="1"/>
  <c r="M78" i="151"/>
  <c r="F78" i="151"/>
  <c r="N78" i="151" s="1"/>
  <c r="AF77" i="151"/>
  <c r="AE77" i="151"/>
  <c r="AD77" i="151"/>
  <c r="AC77" i="151"/>
  <c r="W77" i="151"/>
  <c r="V77" i="151"/>
  <c r="U77" i="151"/>
  <c r="X77" i="151" s="1"/>
  <c r="M77" i="151"/>
  <c r="F77" i="151"/>
  <c r="N77" i="151" s="1"/>
  <c r="AF76" i="151"/>
  <c r="AE76" i="151"/>
  <c r="AD76" i="151"/>
  <c r="AC76" i="151"/>
  <c r="W76" i="151"/>
  <c r="V76" i="151"/>
  <c r="U76" i="151"/>
  <c r="M76" i="151"/>
  <c r="F76" i="151"/>
  <c r="N76" i="151" s="1"/>
  <c r="AF75" i="151"/>
  <c r="AE75" i="151"/>
  <c r="AD75" i="151"/>
  <c r="AC75" i="151"/>
  <c r="W75" i="151"/>
  <c r="V75" i="151"/>
  <c r="U75" i="151"/>
  <c r="M75" i="151"/>
  <c r="F75" i="151"/>
  <c r="AF74" i="151"/>
  <c r="AE74" i="151"/>
  <c r="AD74" i="151"/>
  <c r="AC74" i="151"/>
  <c r="W74" i="151"/>
  <c r="V74" i="151"/>
  <c r="U74" i="151"/>
  <c r="M74" i="151"/>
  <c r="F74" i="151"/>
  <c r="AF73" i="151"/>
  <c r="AE73" i="151"/>
  <c r="AD73" i="151"/>
  <c r="AC73" i="151"/>
  <c r="W73" i="151"/>
  <c r="V73" i="151"/>
  <c r="U73" i="151"/>
  <c r="X73" i="151" s="1"/>
  <c r="M73" i="151"/>
  <c r="F73" i="151"/>
  <c r="N73" i="151" s="1"/>
  <c r="AF72" i="151"/>
  <c r="AE72" i="151"/>
  <c r="AD72" i="151"/>
  <c r="AC72" i="151"/>
  <c r="W72" i="151"/>
  <c r="V72" i="151"/>
  <c r="U72" i="151"/>
  <c r="X72" i="151" s="1"/>
  <c r="M72" i="151"/>
  <c r="F72" i="151"/>
  <c r="N72" i="151" s="1"/>
  <c r="AF71" i="151"/>
  <c r="AE71" i="151"/>
  <c r="AD71" i="151"/>
  <c r="AC71" i="151"/>
  <c r="W71" i="151"/>
  <c r="V71" i="151"/>
  <c r="U71" i="151"/>
  <c r="M71" i="151"/>
  <c r="F71" i="151"/>
  <c r="AF70" i="151"/>
  <c r="AE70" i="151"/>
  <c r="AD70" i="151"/>
  <c r="AC70" i="151"/>
  <c r="W70" i="151"/>
  <c r="V70" i="151"/>
  <c r="U70" i="151"/>
  <c r="M70" i="151"/>
  <c r="F70" i="151"/>
  <c r="AF69" i="151"/>
  <c r="AE69" i="151"/>
  <c r="AD69" i="151"/>
  <c r="AC69" i="151"/>
  <c r="W69" i="151"/>
  <c r="V69" i="151"/>
  <c r="U69" i="151"/>
  <c r="X69" i="151" s="1"/>
  <c r="M69" i="151"/>
  <c r="F69" i="151"/>
  <c r="AF68" i="151"/>
  <c r="AE68" i="151"/>
  <c r="AD68" i="151"/>
  <c r="AC68" i="151"/>
  <c r="W68" i="151"/>
  <c r="V68" i="151"/>
  <c r="U68" i="151"/>
  <c r="X68" i="151" s="1"/>
  <c r="M68" i="151"/>
  <c r="F68" i="151"/>
  <c r="N68" i="151" s="1"/>
  <c r="AF67" i="151"/>
  <c r="AE67" i="151"/>
  <c r="AD67" i="151"/>
  <c r="AC67" i="151"/>
  <c r="W67" i="151"/>
  <c r="V67" i="151"/>
  <c r="U67" i="151"/>
  <c r="M67" i="151"/>
  <c r="F67" i="151"/>
  <c r="AF66" i="151"/>
  <c r="AE66" i="151"/>
  <c r="AD66" i="151"/>
  <c r="AC66" i="151"/>
  <c r="W66" i="151"/>
  <c r="V66" i="151"/>
  <c r="U66" i="151"/>
  <c r="M66" i="151"/>
  <c r="F66" i="151"/>
  <c r="N66" i="151" s="1"/>
  <c r="E49" i="151"/>
  <c r="D49" i="151"/>
  <c r="T48" i="151"/>
  <c r="S48" i="151"/>
  <c r="R48" i="151"/>
  <c r="Q48" i="151"/>
  <c r="P48" i="151"/>
  <c r="O48" i="151"/>
  <c r="E48" i="151"/>
  <c r="D48" i="151"/>
  <c r="AF46" i="151"/>
  <c r="AE46" i="151"/>
  <c r="AD46" i="151"/>
  <c r="AC46" i="151"/>
  <c r="W46" i="151"/>
  <c r="V46" i="151"/>
  <c r="U46" i="151"/>
  <c r="M46" i="151"/>
  <c r="F46" i="151"/>
  <c r="N46" i="151" s="1"/>
  <c r="AF45" i="151"/>
  <c r="AE45" i="151"/>
  <c r="AD45" i="151"/>
  <c r="AC45" i="151"/>
  <c r="W45" i="151"/>
  <c r="V45" i="151"/>
  <c r="U45" i="151"/>
  <c r="M45" i="151"/>
  <c r="F45" i="151"/>
  <c r="AF44" i="151"/>
  <c r="AE44" i="151"/>
  <c r="AD44" i="151"/>
  <c r="AC44" i="151"/>
  <c r="W44" i="151"/>
  <c r="V44" i="151"/>
  <c r="U44" i="151"/>
  <c r="M44" i="151"/>
  <c r="F44" i="151"/>
  <c r="N44" i="151" s="1"/>
  <c r="AF43" i="151"/>
  <c r="AE43" i="151"/>
  <c r="AD43" i="151"/>
  <c r="AC43" i="151"/>
  <c r="W43" i="151"/>
  <c r="V43" i="151"/>
  <c r="U43" i="151"/>
  <c r="M43" i="151"/>
  <c r="F43" i="151"/>
  <c r="AF42" i="151"/>
  <c r="AE42" i="151"/>
  <c r="AD42" i="151"/>
  <c r="AC42" i="151"/>
  <c r="W42" i="151"/>
  <c r="V42" i="151"/>
  <c r="U42" i="151"/>
  <c r="M42" i="151"/>
  <c r="F42" i="151"/>
  <c r="AF41" i="151"/>
  <c r="AE41" i="151"/>
  <c r="AD41" i="151"/>
  <c r="AC41" i="151"/>
  <c r="W41" i="151"/>
  <c r="V41" i="151"/>
  <c r="U41" i="151"/>
  <c r="M41" i="151"/>
  <c r="F41" i="151"/>
  <c r="AF40" i="151"/>
  <c r="AE40" i="151"/>
  <c r="AD40" i="151"/>
  <c r="AC40" i="151"/>
  <c r="W40" i="151"/>
  <c r="V40" i="151"/>
  <c r="U40" i="151"/>
  <c r="X40" i="151" s="1"/>
  <c r="M40" i="151"/>
  <c r="F40" i="151"/>
  <c r="AF39" i="151"/>
  <c r="AE39" i="151"/>
  <c r="AD39" i="151"/>
  <c r="AC39" i="151"/>
  <c r="W39" i="151"/>
  <c r="V39" i="151"/>
  <c r="U39" i="151"/>
  <c r="M39" i="151"/>
  <c r="F39" i="151"/>
  <c r="N39" i="151" s="1"/>
  <c r="AF38" i="151"/>
  <c r="AE38" i="151"/>
  <c r="AD38" i="151"/>
  <c r="AC38" i="151"/>
  <c r="W38" i="151"/>
  <c r="V38" i="151"/>
  <c r="U38" i="151"/>
  <c r="M38" i="151"/>
  <c r="F38" i="151"/>
  <c r="N38" i="151" s="1"/>
  <c r="AF37" i="151"/>
  <c r="AE37" i="151"/>
  <c r="AD37" i="151"/>
  <c r="AC37" i="151"/>
  <c r="W37" i="151"/>
  <c r="V37" i="151"/>
  <c r="U37" i="151"/>
  <c r="M37" i="151"/>
  <c r="F37" i="151"/>
  <c r="N37" i="151" s="1"/>
  <c r="AF36" i="151"/>
  <c r="AE36" i="151"/>
  <c r="AD36" i="151"/>
  <c r="AC36" i="151"/>
  <c r="W36" i="151"/>
  <c r="V36" i="151"/>
  <c r="U36" i="151"/>
  <c r="M36" i="151"/>
  <c r="F36" i="151"/>
  <c r="AF35" i="151"/>
  <c r="AE35" i="151"/>
  <c r="AD35" i="151"/>
  <c r="AC35" i="151"/>
  <c r="W35" i="151"/>
  <c r="V35" i="151"/>
  <c r="U35" i="151"/>
  <c r="M35" i="151"/>
  <c r="F35" i="151"/>
  <c r="AF34" i="151"/>
  <c r="AE34" i="151"/>
  <c r="AD34" i="151"/>
  <c r="AC34" i="151"/>
  <c r="W34" i="151"/>
  <c r="V34" i="151"/>
  <c r="U34" i="151"/>
  <c r="M34" i="151"/>
  <c r="F34" i="151"/>
  <c r="AF33" i="151"/>
  <c r="AE33" i="151"/>
  <c r="AD33" i="151"/>
  <c r="AC33" i="151"/>
  <c r="W33" i="151"/>
  <c r="V33" i="151"/>
  <c r="U33" i="151"/>
  <c r="M33" i="151"/>
  <c r="F33" i="151"/>
  <c r="AF32" i="151"/>
  <c r="AE32" i="151"/>
  <c r="AD32" i="151"/>
  <c r="AC32" i="151"/>
  <c r="W32" i="151"/>
  <c r="V32" i="151"/>
  <c r="U32" i="151"/>
  <c r="X32" i="151" s="1"/>
  <c r="M32" i="151"/>
  <c r="F32" i="151"/>
  <c r="AF31" i="151"/>
  <c r="AE31" i="151"/>
  <c r="AD31" i="151"/>
  <c r="AC31" i="151"/>
  <c r="W31" i="151"/>
  <c r="V31" i="151"/>
  <c r="U31" i="151"/>
  <c r="X31" i="151" s="1"/>
  <c r="M31" i="151"/>
  <c r="F31" i="151"/>
  <c r="N31" i="151" s="1"/>
  <c r="AF30" i="151"/>
  <c r="AE30" i="151"/>
  <c r="AD30" i="151"/>
  <c r="AC30" i="151"/>
  <c r="W30" i="151"/>
  <c r="V30" i="151"/>
  <c r="U30" i="151"/>
  <c r="M30" i="151"/>
  <c r="F30" i="151"/>
  <c r="N30" i="151" s="1"/>
  <c r="AF29" i="151"/>
  <c r="AE29" i="151"/>
  <c r="AD29" i="151"/>
  <c r="AC29" i="151"/>
  <c r="W29" i="151"/>
  <c r="V29" i="151"/>
  <c r="U29" i="151"/>
  <c r="M29" i="151"/>
  <c r="F29" i="151"/>
  <c r="N29" i="151" s="1"/>
  <c r="AF28" i="151"/>
  <c r="AE28" i="151"/>
  <c r="AD28" i="151"/>
  <c r="AC28" i="151"/>
  <c r="W28" i="151"/>
  <c r="V28" i="151"/>
  <c r="U28" i="151"/>
  <c r="M28" i="151"/>
  <c r="F28" i="151"/>
  <c r="N28" i="151" s="1"/>
  <c r="AF27" i="151"/>
  <c r="AE27" i="151"/>
  <c r="AD27" i="151"/>
  <c r="AC27" i="151"/>
  <c r="W27" i="151"/>
  <c r="V27" i="151"/>
  <c r="U27" i="151"/>
  <c r="M27" i="151"/>
  <c r="F27" i="151"/>
  <c r="AF26" i="151"/>
  <c r="AE26" i="151"/>
  <c r="AD26" i="151"/>
  <c r="AC26" i="151"/>
  <c r="W26" i="151"/>
  <c r="V26" i="151"/>
  <c r="U26" i="151"/>
  <c r="M26" i="151"/>
  <c r="F26" i="151"/>
  <c r="AF25" i="151"/>
  <c r="AE25" i="151"/>
  <c r="AD25" i="151"/>
  <c r="AC25" i="151"/>
  <c r="W25" i="151"/>
  <c r="V25" i="151"/>
  <c r="U25" i="151"/>
  <c r="M25" i="151"/>
  <c r="F25" i="151"/>
  <c r="AF24" i="151"/>
  <c r="AE24" i="151"/>
  <c r="AD24" i="151"/>
  <c r="AC24" i="151"/>
  <c r="W24" i="151"/>
  <c r="V24" i="151"/>
  <c r="U24" i="151"/>
  <c r="M24" i="151"/>
  <c r="F24" i="151"/>
  <c r="AF23" i="151"/>
  <c r="AE23" i="151"/>
  <c r="AD23" i="151"/>
  <c r="AC23" i="151"/>
  <c r="W23" i="151"/>
  <c r="V23" i="151"/>
  <c r="U23" i="151"/>
  <c r="X23" i="151" s="1"/>
  <c r="M23" i="151"/>
  <c r="F23" i="151"/>
  <c r="N23" i="151" s="1"/>
  <c r="AF22" i="151"/>
  <c r="AE22" i="151"/>
  <c r="AD22" i="151"/>
  <c r="AC22" i="151"/>
  <c r="W22" i="151"/>
  <c r="V22" i="151"/>
  <c r="U22" i="151"/>
  <c r="M22" i="151"/>
  <c r="F22" i="151"/>
  <c r="N22" i="151" s="1"/>
  <c r="AF21" i="151"/>
  <c r="AE21" i="151"/>
  <c r="AD21" i="151"/>
  <c r="AC21" i="151"/>
  <c r="W21" i="151"/>
  <c r="V21" i="151"/>
  <c r="U21" i="151"/>
  <c r="X21" i="151" s="1"/>
  <c r="M21" i="151"/>
  <c r="F21" i="151"/>
  <c r="N21" i="151" s="1"/>
  <c r="AF20" i="151"/>
  <c r="AE20" i="151"/>
  <c r="AD20" i="151"/>
  <c r="AC20" i="151"/>
  <c r="W20" i="151"/>
  <c r="V20" i="151"/>
  <c r="U20" i="151"/>
  <c r="M20" i="151"/>
  <c r="F20" i="151"/>
  <c r="N20" i="151" s="1"/>
  <c r="AF19" i="151"/>
  <c r="AE19" i="151"/>
  <c r="AD19" i="151"/>
  <c r="AC19" i="151"/>
  <c r="W19" i="151"/>
  <c r="V19" i="151"/>
  <c r="U19" i="151"/>
  <c r="M19" i="151"/>
  <c r="F19" i="151"/>
  <c r="AF18" i="151"/>
  <c r="AE18" i="151"/>
  <c r="AD18" i="151"/>
  <c r="AC18" i="151"/>
  <c r="W18" i="151"/>
  <c r="V18" i="151"/>
  <c r="U18" i="151"/>
  <c r="M18" i="151"/>
  <c r="F18" i="151"/>
  <c r="AF17" i="151"/>
  <c r="AE17" i="151"/>
  <c r="AD17" i="151"/>
  <c r="AC17" i="151"/>
  <c r="W17" i="151"/>
  <c r="V17" i="151"/>
  <c r="U17" i="151"/>
  <c r="M17" i="151"/>
  <c r="F17" i="151"/>
  <c r="AF16" i="151"/>
  <c r="AE16" i="151"/>
  <c r="AD16" i="151"/>
  <c r="AC16" i="151"/>
  <c r="W16" i="151"/>
  <c r="V16" i="151"/>
  <c r="U16" i="151"/>
  <c r="M16" i="151"/>
  <c r="F16" i="151"/>
  <c r="AF15" i="151"/>
  <c r="AE15" i="151"/>
  <c r="AD15" i="151"/>
  <c r="AC15" i="151"/>
  <c r="W15" i="151"/>
  <c r="V15" i="151"/>
  <c r="U15" i="151"/>
  <c r="X15" i="151" s="1"/>
  <c r="M15" i="151"/>
  <c r="F15" i="151"/>
  <c r="N15" i="151" s="1"/>
  <c r="AF14" i="151"/>
  <c r="AE14" i="151"/>
  <c r="AD14" i="151"/>
  <c r="AC14" i="151"/>
  <c r="W14" i="151"/>
  <c r="V14" i="151"/>
  <c r="U14" i="151"/>
  <c r="M14" i="151"/>
  <c r="F14" i="151"/>
  <c r="N14" i="151" s="1"/>
  <c r="AF13" i="151"/>
  <c r="AE13" i="151"/>
  <c r="AD13" i="151"/>
  <c r="AC13" i="151"/>
  <c r="W13" i="151"/>
  <c r="V13" i="151"/>
  <c r="U13" i="151"/>
  <c r="M13" i="151"/>
  <c r="F13" i="151"/>
  <c r="N13" i="151" s="1"/>
  <c r="E5" i="151"/>
  <c r="E58" i="151" s="1"/>
  <c r="A2" i="151"/>
  <c r="D103" i="150"/>
  <c r="T102" i="150"/>
  <c r="S102" i="150"/>
  <c r="R102" i="150"/>
  <c r="Q102" i="150"/>
  <c r="P102" i="150"/>
  <c r="O102" i="150"/>
  <c r="E102" i="150"/>
  <c r="D102" i="150"/>
  <c r="AF100" i="150"/>
  <c r="AE100" i="150"/>
  <c r="AD100" i="150"/>
  <c r="AC100" i="150"/>
  <c r="W100" i="150"/>
  <c r="V100" i="150"/>
  <c r="U100" i="150"/>
  <c r="M100" i="150"/>
  <c r="F100" i="150"/>
  <c r="N100" i="150" s="1"/>
  <c r="AF99" i="150"/>
  <c r="AE99" i="150"/>
  <c r="AD99" i="150"/>
  <c r="AC99" i="150"/>
  <c r="W99" i="150"/>
  <c r="V99" i="150"/>
  <c r="U99" i="150"/>
  <c r="M99" i="150"/>
  <c r="F99" i="150"/>
  <c r="AF98" i="150"/>
  <c r="AE98" i="150"/>
  <c r="AD98" i="150"/>
  <c r="AC98" i="150"/>
  <c r="W98" i="150"/>
  <c r="V98" i="150"/>
  <c r="U98" i="150"/>
  <c r="M98" i="150"/>
  <c r="F98" i="150"/>
  <c r="AF97" i="150"/>
  <c r="AE97" i="150"/>
  <c r="AD97" i="150"/>
  <c r="AC97" i="150"/>
  <c r="W97" i="150"/>
  <c r="V97" i="150"/>
  <c r="U97" i="150"/>
  <c r="X97" i="150" s="1"/>
  <c r="M97" i="150"/>
  <c r="F97" i="150"/>
  <c r="N97" i="150" s="1"/>
  <c r="AF96" i="150"/>
  <c r="AE96" i="150"/>
  <c r="AD96" i="150"/>
  <c r="AC96" i="150"/>
  <c r="W96" i="150"/>
  <c r="V96" i="150"/>
  <c r="U96" i="150"/>
  <c r="M96" i="150"/>
  <c r="F96" i="150"/>
  <c r="N96" i="150" s="1"/>
  <c r="AF95" i="150"/>
  <c r="AE95" i="150"/>
  <c r="AD95" i="150"/>
  <c r="AC95" i="150"/>
  <c r="W95" i="150"/>
  <c r="V95" i="150"/>
  <c r="U95" i="150"/>
  <c r="M95" i="150"/>
  <c r="F95" i="150"/>
  <c r="AF94" i="150"/>
  <c r="AE94" i="150"/>
  <c r="AD94" i="150"/>
  <c r="AC94" i="150"/>
  <c r="W94" i="150"/>
  <c r="V94" i="150"/>
  <c r="U94" i="150"/>
  <c r="M94" i="150"/>
  <c r="F94" i="150"/>
  <c r="AF93" i="150"/>
  <c r="AE93" i="150"/>
  <c r="AD93" i="150"/>
  <c r="AC93" i="150"/>
  <c r="W93" i="150"/>
  <c r="V93" i="150"/>
  <c r="U93" i="150"/>
  <c r="X93" i="150" s="1"/>
  <c r="M93" i="150"/>
  <c r="F93" i="150"/>
  <c r="N93" i="150" s="1"/>
  <c r="AF92" i="150"/>
  <c r="AE92" i="150"/>
  <c r="AD92" i="150"/>
  <c r="AC92" i="150"/>
  <c r="W92" i="150"/>
  <c r="V92" i="150"/>
  <c r="U92" i="150"/>
  <c r="X92" i="150" s="1"/>
  <c r="M92" i="150"/>
  <c r="F92" i="150"/>
  <c r="N92" i="150" s="1"/>
  <c r="AF91" i="150"/>
  <c r="AE91" i="150"/>
  <c r="AD91" i="150"/>
  <c r="AC91" i="150"/>
  <c r="W91" i="150"/>
  <c r="V91" i="150"/>
  <c r="U91" i="150"/>
  <c r="M91" i="150"/>
  <c r="F91" i="150"/>
  <c r="AF90" i="150"/>
  <c r="AE90" i="150"/>
  <c r="AD90" i="150"/>
  <c r="AC90" i="150"/>
  <c r="W90" i="150"/>
  <c r="V90" i="150"/>
  <c r="U90" i="150"/>
  <c r="M90" i="150"/>
  <c r="F90" i="150"/>
  <c r="AF89" i="150"/>
  <c r="AE89" i="150"/>
  <c r="AD89" i="150"/>
  <c r="AC89" i="150"/>
  <c r="W89" i="150"/>
  <c r="V89" i="150"/>
  <c r="U89" i="150"/>
  <c r="X89" i="150" s="1"/>
  <c r="M89" i="150"/>
  <c r="F89" i="150"/>
  <c r="N89" i="150" s="1"/>
  <c r="AF88" i="150"/>
  <c r="AE88" i="150"/>
  <c r="AD88" i="150"/>
  <c r="AC88" i="150"/>
  <c r="W88" i="150"/>
  <c r="V88" i="150"/>
  <c r="U88" i="150"/>
  <c r="M88" i="150"/>
  <c r="F88" i="150"/>
  <c r="N88" i="150" s="1"/>
  <c r="AF87" i="150"/>
  <c r="AE87" i="150"/>
  <c r="AD87" i="150"/>
  <c r="AC87" i="150"/>
  <c r="W87" i="150"/>
  <c r="V87" i="150"/>
  <c r="U87" i="150"/>
  <c r="M87" i="150"/>
  <c r="F87" i="150"/>
  <c r="AF86" i="150"/>
  <c r="AE86" i="150"/>
  <c r="AD86" i="150"/>
  <c r="AC86" i="150"/>
  <c r="W86" i="150"/>
  <c r="V86" i="150"/>
  <c r="U86" i="150"/>
  <c r="M86" i="150"/>
  <c r="F86" i="150"/>
  <c r="AF85" i="150"/>
  <c r="AE85" i="150"/>
  <c r="AD85" i="150"/>
  <c r="AC85" i="150"/>
  <c r="W85" i="150"/>
  <c r="V85" i="150"/>
  <c r="U85" i="150"/>
  <c r="X85" i="150" s="1"/>
  <c r="M85" i="150"/>
  <c r="F85" i="150"/>
  <c r="N85" i="150" s="1"/>
  <c r="AF84" i="150"/>
  <c r="AE84" i="150"/>
  <c r="AD84" i="150"/>
  <c r="AC84" i="150"/>
  <c r="W84" i="150"/>
  <c r="V84" i="150"/>
  <c r="U84" i="150"/>
  <c r="X84" i="150" s="1"/>
  <c r="M84" i="150"/>
  <c r="F84" i="150"/>
  <c r="N84" i="150" s="1"/>
  <c r="AF83" i="150"/>
  <c r="AE83" i="150"/>
  <c r="AD83" i="150"/>
  <c r="AC83" i="150"/>
  <c r="W83" i="150"/>
  <c r="V83" i="150"/>
  <c r="U83" i="150"/>
  <c r="M83" i="150"/>
  <c r="F83" i="150"/>
  <c r="AF82" i="150"/>
  <c r="AE82" i="150"/>
  <c r="AD82" i="150"/>
  <c r="AC82" i="150"/>
  <c r="W82" i="150"/>
  <c r="V82" i="150"/>
  <c r="U82" i="150"/>
  <c r="M82" i="150"/>
  <c r="F82" i="150"/>
  <c r="AF81" i="150"/>
  <c r="AE81" i="150"/>
  <c r="AD81" i="150"/>
  <c r="AC81" i="150"/>
  <c r="W81" i="150"/>
  <c r="V81" i="150"/>
  <c r="U81" i="150"/>
  <c r="X81" i="150" s="1"/>
  <c r="M81" i="150"/>
  <c r="F81" i="150"/>
  <c r="N81" i="150" s="1"/>
  <c r="AF80" i="150"/>
  <c r="AE80" i="150"/>
  <c r="AD80" i="150"/>
  <c r="AC80" i="150"/>
  <c r="W80" i="150"/>
  <c r="V80" i="150"/>
  <c r="U80" i="150"/>
  <c r="X80" i="150" s="1"/>
  <c r="M80" i="150"/>
  <c r="F80" i="150"/>
  <c r="N80" i="150" s="1"/>
  <c r="AF79" i="150"/>
  <c r="AE79" i="150"/>
  <c r="AD79" i="150"/>
  <c r="AC79" i="150"/>
  <c r="W79" i="150"/>
  <c r="V79" i="150"/>
  <c r="U79" i="150"/>
  <c r="M79" i="150"/>
  <c r="F79" i="150"/>
  <c r="AF78" i="150"/>
  <c r="AE78" i="150"/>
  <c r="AD78" i="150"/>
  <c r="AC78" i="150"/>
  <c r="W78" i="150"/>
  <c r="V78" i="150"/>
  <c r="U78" i="150"/>
  <c r="M78" i="150"/>
  <c r="F78" i="150"/>
  <c r="AF77" i="150"/>
  <c r="AE77" i="150"/>
  <c r="AD77" i="150"/>
  <c r="AC77" i="150"/>
  <c r="W77" i="150"/>
  <c r="V77" i="150"/>
  <c r="U77" i="150"/>
  <c r="X77" i="150" s="1"/>
  <c r="M77" i="150"/>
  <c r="F77" i="150"/>
  <c r="N77" i="150" s="1"/>
  <c r="AF76" i="150"/>
  <c r="AE76" i="150"/>
  <c r="AD76" i="150"/>
  <c r="AC76" i="150"/>
  <c r="W76" i="150"/>
  <c r="V76" i="150"/>
  <c r="U76" i="150"/>
  <c r="M76" i="150"/>
  <c r="F76" i="150"/>
  <c r="N76" i="150" s="1"/>
  <c r="AF75" i="150"/>
  <c r="AE75" i="150"/>
  <c r="AD75" i="150"/>
  <c r="AC75" i="150"/>
  <c r="W75" i="150"/>
  <c r="V75" i="150"/>
  <c r="U75" i="150"/>
  <c r="M75" i="150"/>
  <c r="F75" i="150"/>
  <c r="AF74" i="150"/>
  <c r="AE74" i="150"/>
  <c r="AD74" i="150"/>
  <c r="AC74" i="150"/>
  <c r="W74" i="150"/>
  <c r="V74" i="150"/>
  <c r="U74" i="150"/>
  <c r="M74" i="150"/>
  <c r="F74" i="150"/>
  <c r="AF73" i="150"/>
  <c r="AE73" i="150"/>
  <c r="AD73" i="150"/>
  <c r="AC73" i="150"/>
  <c r="W73" i="150"/>
  <c r="V73" i="150"/>
  <c r="U73" i="150"/>
  <c r="X73" i="150" s="1"/>
  <c r="M73" i="150"/>
  <c r="F73" i="150"/>
  <c r="N73" i="150" s="1"/>
  <c r="AF72" i="150"/>
  <c r="AE72" i="150"/>
  <c r="AD72" i="150"/>
  <c r="AC72" i="150"/>
  <c r="W72" i="150"/>
  <c r="V72" i="150"/>
  <c r="U72" i="150"/>
  <c r="X72" i="150" s="1"/>
  <c r="M72" i="150"/>
  <c r="F72" i="150"/>
  <c r="N72" i="150" s="1"/>
  <c r="AF71" i="150"/>
  <c r="AE71" i="150"/>
  <c r="AD71" i="150"/>
  <c r="AC71" i="150"/>
  <c r="W71" i="150"/>
  <c r="V71" i="150"/>
  <c r="U71" i="150"/>
  <c r="M71" i="150"/>
  <c r="F71" i="150"/>
  <c r="AF70" i="150"/>
  <c r="AE70" i="150"/>
  <c r="AD70" i="150"/>
  <c r="AC70" i="150"/>
  <c r="W70" i="150"/>
  <c r="V70" i="150"/>
  <c r="U70" i="150"/>
  <c r="M70" i="150"/>
  <c r="F70" i="150"/>
  <c r="AF69" i="150"/>
  <c r="AE69" i="150"/>
  <c r="AD69" i="150"/>
  <c r="AC69" i="150"/>
  <c r="W69" i="150"/>
  <c r="V69" i="150"/>
  <c r="U69" i="150"/>
  <c r="M69" i="150"/>
  <c r="F69" i="150"/>
  <c r="N69" i="150" s="1"/>
  <c r="AF68" i="150"/>
  <c r="AE68" i="150"/>
  <c r="AD68" i="150"/>
  <c r="AC68" i="150"/>
  <c r="W68" i="150"/>
  <c r="V68" i="150"/>
  <c r="U68" i="150"/>
  <c r="X68" i="150" s="1"/>
  <c r="M68" i="150"/>
  <c r="F68" i="150"/>
  <c r="N68" i="150" s="1"/>
  <c r="AF67" i="150"/>
  <c r="AE67" i="150"/>
  <c r="AD67" i="150"/>
  <c r="AC67" i="150"/>
  <c r="W67" i="150"/>
  <c r="V67" i="150"/>
  <c r="U67" i="150"/>
  <c r="M67" i="150"/>
  <c r="F67" i="150"/>
  <c r="AF66" i="150"/>
  <c r="AE66" i="150"/>
  <c r="AD66" i="150"/>
  <c r="AC66" i="150"/>
  <c r="W66" i="150"/>
  <c r="V66" i="150"/>
  <c r="U66" i="150"/>
  <c r="M66" i="150"/>
  <c r="F66" i="150"/>
  <c r="N66" i="150" s="1"/>
  <c r="E49" i="150"/>
  <c r="D49" i="150"/>
  <c r="T48" i="150"/>
  <c r="S48" i="150"/>
  <c r="R48" i="150"/>
  <c r="Q48" i="150"/>
  <c r="P48" i="150"/>
  <c r="O48" i="150"/>
  <c r="E48" i="150"/>
  <c r="D48" i="150"/>
  <c r="AF46" i="150"/>
  <c r="AE46" i="150"/>
  <c r="AD46" i="150"/>
  <c r="AC46" i="150"/>
  <c r="W46" i="150"/>
  <c r="V46" i="150"/>
  <c r="U46" i="150"/>
  <c r="M46" i="150"/>
  <c r="F46" i="150"/>
  <c r="AF45" i="150"/>
  <c r="AE45" i="150"/>
  <c r="AD45" i="150"/>
  <c r="AC45" i="150"/>
  <c r="W45" i="150"/>
  <c r="V45" i="150"/>
  <c r="U45" i="150"/>
  <c r="M45" i="150"/>
  <c r="F45" i="150"/>
  <c r="AF44" i="150"/>
  <c r="AE44" i="150"/>
  <c r="AD44" i="150"/>
  <c r="AC44" i="150"/>
  <c r="W44" i="150"/>
  <c r="V44" i="150"/>
  <c r="U44" i="150"/>
  <c r="X44" i="150" s="1"/>
  <c r="M44" i="150"/>
  <c r="F44" i="150"/>
  <c r="AF43" i="150"/>
  <c r="AE43" i="150"/>
  <c r="AD43" i="150"/>
  <c r="AC43" i="150"/>
  <c r="W43" i="150"/>
  <c r="V43" i="150"/>
  <c r="U43" i="150"/>
  <c r="X43" i="150" s="1"/>
  <c r="M43" i="150"/>
  <c r="F43" i="150"/>
  <c r="N43" i="150" s="1"/>
  <c r="AF42" i="150"/>
  <c r="AE42" i="150"/>
  <c r="AD42" i="150"/>
  <c r="AC42" i="150"/>
  <c r="W42" i="150"/>
  <c r="V42" i="150"/>
  <c r="U42" i="150"/>
  <c r="X42" i="150" s="1"/>
  <c r="M42" i="150"/>
  <c r="F42" i="150"/>
  <c r="N42" i="150" s="1"/>
  <c r="AF41" i="150"/>
  <c r="AE41" i="150"/>
  <c r="AD41" i="150"/>
  <c r="AC41" i="150"/>
  <c r="W41" i="150"/>
  <c r="V41" i="150"/>
  <c r="U41" i="150"/>
  <c r="M41" i="150"/>
  <c r="F41" i="150"/>
  <c r="AF40" i="150"/>
  <c r="AE40" i="150"/>
  <c r="AD40" i="150"/>
  <c r="AC40" i="150"/>
  <c r="W40" i="150"/>
  <c r="V40" i="150"/>
  <c r="U40" i="150"/>
  <c r="M40" i="150"/>
  <c r="F40" i="150"/>
  <c r="N40" i="150" s="1"/>
  <c r="AF39" i="150"/>
  <c r="AE39" i="150"/>
  <c r="AD39" i="150"/>
  <c r="AC39" i="150"/>
  <c r="W39" i="150"/>
  <c r="V39" i="150"/>
  <c r="U39" i="150"/>
  <c r="M39" i="150"/>
  <c r="F39" i="150"/>
  <c r="AF38" i="150"/>
  <c r="AE38" i="150"/>
  <c r="AD38" i="150"/>
  <c r="AC38" i="150"/>
  <c r="W38" i="150"/>
  <c r="V38" i="150"/>
  <c r="U38" i="150"/>
  <c r="M38" i="150"/>
  <c r="F38" i="150"/>
  <c r="AF37" i="150"/>
  <c r="AE37" i="150"/>
  <c r="AD37" i="150"/>
  <c r="AC37" i="150"/>
  <c r="W37" i="150"/>
  <c r="V37" i="150"/>
  <c r="U37" i="150"/>
  <c r="M37" i="150"/>
  <c r="F37" i="150"/>
  <c r="AF36" i="150"/>
  <c r="AE36" i="150"/>
  <c r="AD36" i="150"/>
  <c r="AC36" i="150"/>
  <c r="W36" i="150"/>
  <c r="V36" i="150"/>
  <c r="U36" i="150"/>
  <c r="X36" i="150" s="1"/>
  <c r="M36" i="150"/>
  <c r="F36" i="150"/>
  <c r="AF35" i="150"/>
  <c r="AE35" i="150"/>
  <c r="AD35" i="150"/>
  <c r="AC35" i="150"/>
  <c r="W35" i="150"/>
  <c r="V35" i="150"/>
  <c r="U35" i="150"/>
  <c r="M35" i="150"/>
  <c r="F35" i="150"/>
  <c r="N35" i="150" s="1"/>
  <c r="AF34" i="150"/>
  <c r="AE34" i="150"/>
  <c r="AD34" i="150"/>
  <c r="AC34" i="150"/>
  <c r="W34" i="150"/>
  <c r="V34" i="150"/>
  <c r="U34" i="150"/>
  <c r="M34" i="150"/>
  <c r="F34" i="150"/>
  <c r="N34" i="150" s="1"/>
  <c r="AF33" i="150"/>
  <c r="AE33" i="150"/>
  <c r="AD33" i="150"/>
  <c r="AC33" i="150"/>
  <c r="W33" i="150"/>
  <c r="V33" i="150"/>
  <c r="U33" i="150"/>
  <c r="X33" i="150" s="1"/>
  <c r="M33" i="150"/>
  <c r="F33" i="150"/>
  <c r="N33" i="150" s="1"/>
  <c r="AF32" i="150"/>
  <c r="AE32" i="150"/>
  <c r="AD32" i="150"/>
  <c r="AC32" i="150"/>
  <c r="W32" i="150"/>
  <c r="V32" i="150"/>
  <c r="U32" i="150"/>
  <c r="M32" i="150"/>
  <c r="F32" i="150"/>
  <c r="AF31" i="150"/>
  <c r="AE31" i="150"/>
  <c r="AD31" i="150"/>
  <c r="AC31" i="150"/>
  <c r="W31" i="150"/>
  <c r="V31" i="150"/>
  <c r="U31" i="150"/>
  <c r="X31" i="150" s="1"/>
  <c r="M31" i="150"/>
  <c r="F31" i="150"/>
  <c r="AF30" i="150"/>
  <c r="AE30" i="150"/>
  <c r="AD30" i="150"/>
  <c r="AC30" i="150"/>
  <c r="W30" i="150"/>
  <c r="V30" i="150"/>
  <c r="U30" i="150"/>
  <c r="M30" i="150"/>
  <c r="F30" i="150"/>
  <c r="AF29" i="150"/>
  <c r="AE29" i="150"/>
  <c r="AD29" i="150"/>
  <c r="AC29" i="150"/>
  <c r="W29" i="150"/>
  <c r="V29" i="150"/>
  <c r="U29" i="150"/>
  <c r="M29" i="150"/>
  <c r="F29" i="150"/>
  <c r="AF28" i="150"/>
  <c r="AE28" i="150"/>
  <c r="AD28" i="150"/>
  <c r="AC28" i="150"/>
  <c r="W28" i="150"/>
  <c r="V28" i="150"/>
  <c r="U28" i="150"/>
  <c r="M28" i="150"/>
  <c r="F28" i="150"/>
  <c r="AF27" i="150"/>
  <c r="AE27" i="150"/>
  <c r="AD27" i="150"/>
  <c r="AC27" i="150"/>
  <c r="W27" i="150"/>
  <c r="V27" i="150"/>
  <c r="U27" i="150"/>
  <c r="X27" i="150" s="1"/>
  <c r="M27" i="150"/>
  <c r="F27" i="150"/>
  <c r="N27" i="150" s="1"/>
  <c r="AF26" i="150"/>
  <c r="AE26" i="150"/>
  <c r="AD26" i="150"/>
  <c r="AC26" i="150"/>
  <c r="W26" i="150"/>
  <c r="V26" i="150"/>
  <c r="U26" i="150"/>
  <c r="X26" i="150" s="1"/>
  <c r="M26" i="150"/>
  <c r="F26" i="150"/>
  <c r="N26" i="150" s="1"/>
  <c r="AF25" i="150"/>
  <c r="AE25" i="150"/>
  <c r="AD25" i="150"/>
  <c r="AC25" i="150"/>
  <c r="W25" i="150"/>
  <c r="V25" i="150"/>
  <c r="U25" i="150"/>
  <c r="M25" i="150"/>
  <c r="F25" i="150"/>
  <c r="AF24" i="150"/>
  <c r="AE24" i="150"/>
  <c r="AD24" i="150"/>
  <c r="AC24" i="150"/>
  <c r="W24" i="150"/>
  <c r="V24" i="150"/>
  <c r="U24" i="150"/>
  <c r="M24" i="150"/>
  <c r="F24" i="150"/>
  <c r="N24" i="150" s="1"/>
  <c r="AF23" i="150"/>
  <c r="AE23" i="150"/>
  <c r="AD23" i="150"/>
  <c r="AC23" i="150"/>
  <c r="W23" i="150"/>
  <c r="V23" i="150"/>
  <c r="U23" i="150"/>
  <c r="M23" i="150"/>
  <c r="F23" i="150"/>
  <c r="AF22" i="150"/>
  <c r="AE22" i="150"/>
  <c r="AD22" i="150"/>
  <c r="AC22" i="150"/>
  <c r="W22" i="150"/>
  <c r="V22" i="150"/>
  <c r="U22" i="150"/>
  <c r="M22" i="150"/>
  <c r="F22" i="150"/>
  <c r="AF21" i="150"/>
  <c r="AE21" i="150"/>
  <c r="AD21" i="150"/>
  <c r="AC21" i="150"/>
  <c r="W21" i="150"/>
  <c r="V21" i="150"/>
  <c r="U21" i="150"/>
  <c r="M21" i="150"/>
  <c r="F21" i="150"/>
  <c r="AF20" i="150"/>
  <c r="AE20" i="150"/>
  <c r="AD20" i="150"/>
  <c r="AC20" i="150"/>
  <c r="W20" i="150"/>
  <c r="V20" i="150"/>
  <c r="U20" i="150"/>
  <c r="X20" i="150" s="1"/>
  <c r="M20" i="150"/>
  <c r="F20" i="150"/>
  <c r="AF19" i="150"/>
  <c r="AE19" i="150"/>
  <c r="AD19" i="150"/>
  <c r="AC19" i="150"/>
  <c r="W19" i="150"/>
  <c r="V19" i="150"/>
  <c r="U19" i="150"/>
  <c r="M19" i="150"/>
  <c r="F19" i="150"/>
  <c r="N19" i="150" s="1"/>
  <c r="AF18" i="150"/>
  <c r="AE18" i="150"/>
  <c r="AD18" i="150"/>
  <c r="AC18" i="150"/>
  <c r="W18" i="150"/>
  <c r="V18" i="150"/>
  <c r="U18" i="150"/>
  <c r="X18" i="150" s="1"/>
  <c r="M18" i="150"/>
  <c r="F18" i="150"/>
  <c r="N18" i="150" s="1"/>
  <c r="AF17" i="150"/>
  <c r="AE17" i="150"/>
  <c r="AD17" i="150"/>
  <c r="AC17" i="150"/>
  <c r="W17" i="150"/>
  <c r="V17" i="150"/>
  <c r="U17" i="150"/>
  <c r="X17" i="150" s="1"/>
  <c r="M17" i="150"/>
  <c r="F17" i="150"/>
  <c r="N17" i="150" s="1"/>
  <c r="AF16" i="150"/>
  <c r="AE16" i="150"/>
  <c r="AD16" i="150"/>
  <c r="AC16" i="150"/>
  <c r="W16" i="150"/>
  <c r="V16" i="150"/>
  <c r="U16" i="150"/>
  <c r="M16" i="150"/>
  <c r="F16" i="150"/>
  <c r="AF15" i="150"/>
  <c r="AE15" i="150"/>
  <c r="AD15" i="150"/>
  <c r="AC15" i="150"/>
  <c r="W15" i="150"/>
  <c r="V15" i="150"/>
  <c r="U15" i="150"/>
  <c r="M15" i="150"/>
  <c r="F15" i="150"/>
  <c r="AF14" i="150"/>
  <c r="AE14" i="150"/>
  <c r="AD14" i="150"/>
  <c r="AC14" i="150"/>
  <c r="W14" i="150"/>
  <c r="V14" i="150"/>
  <c r="U14" i="150"/>
  <c r="M14" i="150"/>
  <c r="F14" i="150"/>
  <c r="AF13" i="150"/>
  <c r="AE13" i="150"/>
  <c r="AD13" i="150"/>
  <c r="AC13" i="150"/>
  <c r="W13" i="150"/>
  <c r="V13" i="150"/>
  <c r="U13" i="150"/>
  <c r="M13" i="150"/>
  <c r="F13" i="150"/>
  <c r="E5" i="150"/>
  <c r="A2" i="150"/>
  <c r="D103" i="149"/>
  <c r="T102" i="149"/>
  <c r="S102" i="149"/>
  <c r="R102" i="149"/>
  <c r="Q102" i="149"/>
  <c r="P102" i="149"/>
  <c r="O102" i="149"/>
  <c r="E102" i="149"/>
  <c r="D102" i="149"/>
  <c r="AF100" i="149"/>
  <c r="AE100" i="149"/>
  <c r="AD100" i="149"/>
  <c r="AC100" i="149"/>
  <c r="W100" i="149"/>
  <c r="V100" i="149"/>
  <c r="U100" i="149"/>
  <c r="M100" i="149"/>
  <c r="F100" i="149"/>
  <c r="AF99" i="149"/>
  <c r="AE99" i="149"/>
  <c r="AD99" i="149"/>
  <c r="AC99" i="149"/>
  <c r="W99" i="149"/>
  <c r="V99" i="149"/>
  <c r="U99" i="149"/>
  <c r="M99" i="149"/>
  <c r="F99" i="149"/>
  <c r="AF98" i="149"/>
  <c r="AE98" i="149"/>
  <c r="AD98" i="149"/>
  <c r="AC98" i="149"/>
  <c r="W98" i="149"/>
  <c r="V98" i="149"/>
  <c r="U98" i="149"/>
  <c r="M98" i="149"/>
  <c r="F98" i="149"/>
  <c r="N98" i="149" s="1"/>
  <c r="AF97" i="149"/>
  <c r="AE97" i="149"/>
  <c r="AD97" i="149"/>
  <c r="AC97" i="149"/>
  <c r="W97" i="149"/>
  <c r="V97" i="149"/>
  <c r="U97" i="149"/>
  <c r="X97" i="149" s="1"/>
  <c r="M97" i="149"/>
  <c r="F97" i="149"/>
  <c r="N97" i="149" s="1"/>
  <c r="AF96" i="149"/>
  <c r="AE96" i="149"/>
  <c r="AD96" i="149"/>
  <c r="AC96" i="149"/>
  <c r="W96" i="149"/>
  <c r="V96" i="149"/>
  <c r="U96" i="149"/>
  <c r="M96" i="149"/>
  <c r="F96" i="149"/>
  <c r="AF95" i="149"/>
  <c r="AE95" i="149"/>
  <c r="AD95" i="149"/>
  <c r="AC95" i="149"/>
  <c r="W95" i="149"/>
  <c r="V95" i="149"/>
  <c r="U95" i="149"/>
  <c r="M95" i="149"/>
  <c r="F95" i="149"/>
  <c r="AF94" i="149"/>
  <c r="AE94" i="149"/>
  <c r="AD94" i="149"/>
  <c r="AC94" i="149"/>
  <c r="W94" i="149"/>
  <c r="V94" i="149"/>
  <c r="U94" i="149"/>
  <c r="X94" i="149" s="1"/>
  <c r="M94" i="149"/>
  <c r="F94" i="149"/>
  <c r="N94" i="149" s="1"/>
  <c r="AF93" i="149"/>
  <c r="AE93" i="149"/>
  <c r="AD93" i="149"/>
  <c r="AC93" i="149"/>
  <c r="W93" i="149"/>
  <c r="V93" i="149"/>
  <c r="U93" i="149"/>
  <c r="X93" i="149" s="1"/>
  <c r="M93" i="149"/>
  <c r="F93" i="149"/>
  <c r="N93" i="149" s="1"/>
  <c r="AF92" i="149"/>
  <c r="AE92" i="149"/>
  <c r="AD92" i="149"/>
  <c r="AC92" i="149"/>
  <c r="W92" i="149"/>
  <c r="V92" i="149"/>
  <c r="U92" i="149"/>
  <c r="M92" i="149"/>
  <c r="F92" i="149"/>
  <c r="AF91" i="149"/>
  <c r="AE91" i="149"/>
  <c r="AD91" i="149"/>
  <c r="AC91" i="149"/>
  <c r="W91" i="149"/>
  <c r="V91" i="149"/>
  <c r="U91" i="149"/>
  <c r="M91" i="149"/>
  <c r="F91" i="149"/>
  <c r="AF90" i="149"/>
  <c r="AE90" i="149"/>
  <c r="AD90" i="149"/>
  <c r="AC90" i="149"/>
  <c r="W90" i="149"/>
  <c r="V90" i="149"/>
  <c r="U90" i="149"/>
  <c r="X90" i="149" s="1"/>
  <c r="M90" i="149"/>
  <c r="F90" i="149"/>
  <c r="N90" i="149" s="1"/>
  <c r="AF89" i="149"/>
  <c r="AE89" i="149"/>
  <c r="AD89" i="149"/>
  <c r="AC89" i="149"/>
  <c r="W89" i="149"/>
  <c r="V89" i="149"/>
  <c r="U89" i="149"/>
  <c r="X89" i="149" s="1"/>
  <c r="M89" i="149"/>
  <c r="F89" i="149"/>
  <c r="N89" i="149" s="1"/>
  <c r="AF88" i="149"/>
  <c r="AE88" i="149"/>
  <c r="AD88" i="149"/>
  <c r="AC88" i="149"/>
  <c r="W88" i="149"/>
  <c r="V88" i="149"/>
  <c r="U88" i="149"/>
  <c r="M88" i="149"/>
  <c r="F88" i="149"/>
  <c r="AF87" i="149"/>
  <c r="AE87" i="149"/>
  <c r="AD87" i="149"/>
  <c r="AC87" i="149"/>
  <c r="W87" i="149"/>
  <c r="V87" i="149"/>
  <c r="U87" i="149"/>
  <c r="M87" i="149"/>
  <c r="F87" i="149"/>
  <c r="AF86" i="149"/>
  <c r="AE86" i="149"/>
  <c r="AD86" i="149"/>
  <c r="AC86" i="149"/>
  <c r="W86" i="149"/>
  <c r="V86" i="149"/>
  <c r="U86" i="149"/>
  <c r="X86" i="149" s="1"/>
  <c r="M86" i="149"/>
  <c r="F86" i="149"/>
  <c r="N86" i="149" s="1"/>
  <c r="AF85" i="149"/>
  <c r="AE85" i="149"/>
  <c r="AD85" i="149"/>
  <c r="AC85" i="149"/>
  <c r="W85" i="149"/>
  <c r="V85" i="149"/>
  <c r="U85" i="149"/>
  <c r="X85" i="149" s="1"/>
  <c r="M85" i="149"/>
  <c r="F85" i="149"/>
  <c r="N85" i="149" s="1"/>
  <c r="AF84" i="149"/>
  <c r="AE84" i="149"/>
  <c r="AD84" i="149"/>
  <c r="AC84" i="149"/>
  <c r="W84" i="149"/>
  <c r="V84" i="149"/>
  <c r="U84" i="149"/>
  <c r="M84" i="149"/>
  <c r="F84" i="149"/>
  <c r="AF83" i="149"/>
  <c r="AE83" i="149"/>
  <c r="AD83" i="149"/>
  <c r="AC83" i="149"/>
  <c r="W83" i="149"/>
  <c r="V83" i="149"/>
  <c r="U83" i="149"/>
  <c r="M83" i="149"/>
  <c r="F83" i="149"/>
  <c r="AF82" i="149"/>
  <c r="AE82" i="149"/>
  <c r="AD82" i="149"/>
  <c r="AC82" i="149"/>
  <c r="W82" i="149"/>
  <c r="V82" i="149"/>
  <c r="U82" i="149"/>
  <c r="X82" i="149" s="1"/>
  <c r="M82" i="149"/>
  <c r="F82" i="149"/>
  <c r="N82" i="149" s="1"/>
  <c r="AF81" i="149"/>
  <c r="AE81" i="149"/>
  <c r="AD81" i="149"/>
  <c r="AC81" i="149"/>
  <c r="W81" i="149"/>
  <c r="V81" i="149"/>
  <c r="U81" i="149"/>
  <c r="M81" i="149"/>
  <c r="F81" i="149"/>
  <c r="N81" i="149" s="1"/>
  <c r="AF80" i="149"/>
  <c r="AE80" i="149"/>
  <c r="AD80" i="149"/>
  <c r="AC80" i="149"/>
  <c r="W80" i="149"/>
  <c r="V80" i="149"/>
  <c r="U80" i="149"/>
  <c r="M80" i="149"/>
  <c r="F80" i="149"/>
  <c r="AF79" i="149"/>
  <c r="AE79" i="149"/>
  <c r="AD79" i="149"/>
  <c r="AC79" i="149"/>
  <c r="W79" i="149"/>
  <c r="V79" i="149"/>
  <c r="U79" i="149"/>
  <c r="M79" i="149"/>
  <c r="F79" i="149"/>
  <c r="AF78" i="149"/>
  <c r="AE78" i="149"/>
  <c r="AD78" i="149"/>
  <c r="AC78" i="149"/>
  <c r="W78" i="149"/>
  <c r="V78" i="149"/>
  <c r="U78" i="149"/>
  <c r="M78" i="149"/>
  <c r="F78" i="149"/>
  <c r="N78" i="149" s="1"/>
  <c r="AF77" i="149"/>
  <c r="AE77" i="149"/>
  <c r="AD77" i="149"/>
  <c r="AC77" i="149"/>
  <c r="W77" i="149"/>
  <c r="V77" i="149"/>
  <c r="U77" i="149"/>
  <c r="X77" i="149" s="1"/>
  <c r="M77" i="149"/>
  <c r="F77" i="149"/>
  <c r="N77" i="149" s="1"/>
  <c r="AF76" i="149"/>
  <c r="AE76" i="149"/>
  <c r="AD76" i="149"/>
  <c r="AC76" i="149"/>
  <c r="W76" i="149"/>
  <c r="V76" i="149"/>
  <c r="U76" i="149"/>
  <c r="M76" i="149"/>
  <c r="F76" i="149"/>
  <c r="AF75" i="149"/>
  <c r="AE75" i="149"/>
  <c r="AD75" i="149"/>
  <c r="AC75" i="149"/>
  <c r="W75" i="149"/>
  <c r="V75" i="149"/>
  <c r="U75" i="149"/>
  <c r="M75" i="149"/>
  <c r="F75" i="149"/>
  <c r="AF74" i="149"/>
  <c r="AE74" i="149"/>
  <c r="AD74" i="149"/>
  <c r="AC74" i="149"/>
  <c r="W74" i="149"/>
  <c r="V74" i="149"/>
  <c r="U74" i="149"/>
  <c r="X74" i="149" s="1"/>
  <c r="M74" i="149"/>
  <c r="F74" i="149"/>
  <c r="N74" i="149" s="1"/>
  <c r="AF73" i="149"/>
  <c r="AE73" i="149"/>
  <c r="AD73" i="149"/>
  <c r="AC73" i="149"/>
  <c r="W73" i="149"/>
  <c r="V73" i="149"/>
  <c r="U73" i="149"/>
  <c r="X73" i="149" s="1"/>
  <c r="M73" i="149"/>
  <c r="F73" i="149"/>
  <c r="N73" i="149" s="1"/>
  <c r="AF72" i="149"/>
  <c r="AE72" i="149"/>
  <c r="AD72" i="149"/>
  <c r="AC72" i="149"/>
  <c r="W72" i="149"/>
  <c r="V72" i="149"/>
  <c r="U72" i="149"/>
  <c r="M72" i="149"/>
  <c r="F72" i="149"/>
  <c r="AF71" i="149"/>
  <c r="AE71" i="149"/>
  <c r="AD71" i="149"/>
  <c r="AC71" i="149"/>
  <c r="W71" i="149"/>
  <c r="V71" i="149"/>
  <c r="U71" i="149"/>
  <c r="M71" i="149"/>
  <c r="F71" i="149"/>
  <c r="AF70" i="149"/>
  <c r="AE70" i="149"/>
  <c r="AD70" i="149"/>
  <c r="AC70" i="149"/>
  <c r="W70" i="149"/>
  <c r="V70" i="149"/>
  <c r="U70" i="149"/>
  <c r="X70" i="149" s="1"/>
  <c r="M70" i="149"/>
  <c r="F70" i="149"/>
  <c r="N70" i="149" s="1"/>
  <c r="AF69" i="149"/>
  <c r="AE69" i="149"/>
  <c r="AD69" i="149"/>
  <c r="AC69" i="149"/>
  <c r="W69" i="149"/>
  <c r="V69" i="149"/>
  <c r="U69" i="149"/>
  <c r="M69" i="149"/>
  <c r="F69" i="149"/>
  <c r="N69" i="149" s="1"/>
  <c r="AF68" i="149"/>
  <c r="AE68" i="149"/>
  <c r="AD68" i="149"/>
  <c r="AC68" i="149"/>
  <c r="W68" i="149"/>
  <c r="V68" i="149"/>
  <c r="U68" i="149"/>
  <c r="M68" i="149"/>
  <c r="F68" i="149"/>
  <c r="AF67" i="149"/>
  <c r="AE67" i="149"/>
  <c r="AD67" i="149"/>
  <c r="AC67" i="149"/>
  <c r="W67" i="149"/>
  <c r="V67" i="149"/>
  <c r="U67" i="149"/>
  <c r="M67" i="149"/>
  <c r="F67" i="149"/>
  <c r="AF66" i="149"/>
  <c r="AE66" i="149"/>
  <c r="AD66" i="149"/>
  <c r="AC66" i="149"/>
  <c r="W66" i="149"/>
  <c r="V66" i="149"/>
  <c r="U66" i="149"/>
  <c r="X66" i="149" s="1"/>
  <c r="M66" i="149"/>
  <c r="F66" i="149"/>
  <c r="E49" i="149"/>
  <c r="D49" i="149"/>
  <c r="T48" i="149"/>
  <c r="S48" i="149"/>
  <c r="R48" i="149"/>
  <c r="Q48" i="149"/>
  <c r="P48" i="149"/>
  <c r="O48" i="149"/>
  <c r="E48" i="149"/>
  <c r="D48" i="149"/>
  <c r="AF46" i="149"/>
  <c r="AE46" i="149"/>
  <c r="AD46" i="149"/>
  <c r="AC46" i="149"/>
  <c r="W46" i="149"/>
  <c r="V46" i="149"/>
  <c r="U46" i="149"/>
  <c r="M46" i="149"/>
  <c r="F46" i="149"/>
  <c r="AF45" i="149"/>
  <c r="AE45" i="149"/>
  <c r="AD45" i="149"/>
  <c r="AC45" i="149"/>
  <c r="W45" i="149"/>
  <c r="V45" i="149"/>
  <c r="U45" i="149"/>
  <c r="M45" i="149"/>
  <c r="F45" i="149"/>
  <c r="AF44" i="149"/>
  <c r="AE44" i="149"/>
  <c r="AD44" i="149"/>
  <c r="AC44" i="149"/>
  <c r="W44" i="149"/>
  <c r="V44" i="149"/>
  <c r="U44" i="149"/>
  <c r="M44" i="149"/>
  <c r="F44" i="149"/>
  <c r="AF43" i="149"/>
  <c r="AE43" i="149"/>
  <c r="AD43" i="149"/>
  <c r="AC43" i="149"/>
  <c r="W43" i="149"/>
  <c r="V43" i="149"/>
  <c r="U43" i="149"/>
  <c r="M43" i="149"/>
  <c r="F43" i="149"/>
  <c r="AF42" i="149"/>
  <c r="AE42" i="149"/>
  <c r="AD42" i="149"/>
  <c r="AC42" i="149"/>
  <c r="W42" i="149"/>
  <c r="V42" i="149"/>
  <c r="U42" i="149"/>
  <c r="X42" i="149" s="1"/>
  <c r="M42" i="149"/>
  <c r="F42" i="149"/>
  <c r="AF41" i="149"/>
  <c r="AE41" i="149"/>
  <c r="AD41" i="149"/>
  <c r="AC41" i="149"/>
  <c r="W41" i="149"/>
  <c r="V41" i="149"/>
  <c r="U41" i="149"/>
  <c r="X41" i="149" s="1"/>
  <c r="M41" i="149"/>
  <c r="F41" i="149"/>
  <c r="N41" i="149" s="1"/>
  <c r="AF40" i="149"/>
  <c r="AE40" i="149"/>
  <c r="AD40" i="149"/>
  <c r="AC40" i="149"/>
  <c r="W40" i="149"/>
  <c r="V40" i="149"/>
  <c r="U40" i="149"/>
  <c r="M40" i="149"/>
  <c r="F40" i="149"/>
  <c r="N40" i="149" s="1"/>
  <c r="AF39" i="149"/>
  <c r="AE39" i="149"/>
  <c r="AD39" i="149"/>
  <c r="AC39" i="149"/>
  <c r="W39" i="149"/>
  <c r="V39" i="149"/>
  <c r="U39" i="149"/>
  <c r="M39" i="149"/>
  <c r="F39" i="149"/>
  <c r="N39" i="149" s="1"/>
  <c r="AF38" i="149"/>
  <c r="AE38" i="149"/>
  <c r="AD38" i="149"/>
  <c r="AC38" i="149"/>
  <c r="W38" i="149"/>
  <c r="V38" i="149"/>
  <c r="U38" i="149"/>
  <c r="M38" i="149"/>
  <c r="F38" i="149"/>
  <c r="N38" i="149" s="1"/>
  <c r="AF37" i="149"/>
  <c r="AE37" i="149"/>
  <c r="AD37" i="149"/>
  <c r="AC37" i="149"/>
  <c r="W37" i="149"/>
  <c r="V37" i="149"/>
  <c r="U37" i="149"/>
  <c r="M37" i="149"/>
  <c r="F37" i="149"/>
  <c r="AF36" i="149"/>
  <c r="AE36" i="149"/>
  <c r="AD36" i="149"/>
  <c r="AC36" i="149"/>
  <c r="W36" i="149"/>
  <c r="V36" i="149"/>
  <c r="U36" i="149"/>
  <c r="M36" i="149"/>
  <c r="F36" i="149"/>
  <c r="AF35" i="149"/>
  <c r="AE35" i="149"/>
  <c r="AD35" i="149"/>
  <c r="AC35" i="149"/>
  <c r="W35" i="149"/>
  <c r="V35" i="149"/>
  <c r="U35" i="149"/>
  <c r="M35" i="149"/>
  <c r="F35" i="149"/>
  <c r="AF34" i="149"/>
  <c r="AE34" i="149"/>
  <c r="AD34" i="149"/>
  <c r="AC34" i="149"/>
  <c r="W34" i="149"/>
  <c r="V34" i="149"/>
  <c r="U34" i="149"/>
  <c r="X34" i="149" s="1"/>
  <c r="M34" i="149"/>
  <c r="F34" i="149"/>
  <c r="AF33" i="149"/>
  <c r="AE33" i="149"/>
  <c r="AD33" i="149"/>
  <c r="AC33" i="149"/>
  <c r="W33" i="149"/>
  <c r="V33" i="149"/>
  <c r="U33" i="149"/>
  <c r="X33" i="149" s="1"/>
  <c r="M33" i="149"/>
  <c r="F33" i="149"/>
  <c r="N33" i="149" s="1"/>
  <c r="AF32" i="149"/>
  <c r="AE32" i="149"/>
  <c r="AD32" i="149"/>
  <c r="AC32" i="149"/>
  <c r="W32" i="149"/>
  <c r="V32" i="149"/>
  <c r="U32" i="149"/>
  <c r="M32" i="149"/>
  <c r="F32" i="149"/>
  <c r="N32" i="149" s="1"/>
  <c r="AF31" i="149"/>
  <c r="AE31" i="149"/>
  <c r="AD31" i="149"/>
  <c r="AC31" i="149"/>
  <c r="W31" i="149"/>
  <c r="V31" i="149"/>
  <c r="U31" i="149"/>
  <c r="X31" i="149" s="1"/>
  <c r="M31" i="149"/>
  <c r="F31" i="149"/>
  <c r="N31" i="149" s="1"/>
  <c r="AF30" i="149"/>
  <c r="AE30" i="149"/>
  <c r="AD30" i="149"/>
  <c r="AC30" i="149"/>
  <c r="W30" i="149"/>
  <c r="V30" i="149"/>
  <c r="U30" i="149"/>
  <c r="M30" i="149"/>
  <c r="F30" i="149"/>
  <c r="N30" i="149" s="1"/>
  <c r="AF29" i="149"/>
  <c r="AE29" i="149"/>
  <c r="AD29" i="149"/>
  <c r="AC29" i="149"/>
  <c r="W29" i="149"/>
  <c r="V29" i="149"/>
  <c r="U29" i="149"/>
  <c r="M29" i="149"/>
  <c r="F29" i="149"/>
  <c r="AF28" i="149"/>
  <c r="AE28" i="149"/>
  <c r="AD28" i="149"/>
  <c r="AC28" i="149"/>
  <c r="W28" i="149"/>
  <c r="V28" i="149"/>
  <c r="U28" i="149"/>
  <c r="M28" i="149"/>
  <c r="F28" i="149"/>
  <c r="AF27" i="149"/>
  <c r="AE27" i="149"/>
  <c r="AD27" i="149"/>
  <c r="AC27" i="149"/>
  <c r="W27" i="149"/>
  <c r="V27" i="149"/>
  <c r="U27" i="149"/>
  <c r="M27" i="149"/>
  <c r="F27" i="149"/>
  <c r="AF26" i="149"/>
  <c r="AE26" i="149"/>
  <c r="AD26" i="149"/>
  <c r="AC26" i="149"/>
  <c r="W26" i="149"/>
  <c r="V26" i="149"/>
  <c r="U26" i="149"/>
  <c r="M26" i="149"/>
  <c r="F26" i="149"/>
  <c r="N26" i="149" s="1"/>
  <c r="AF25" i="149"/>
  <c r="AE25" i="149"/>
  <c r="AD25" i="149"/>
  <c r="AC25" i="149"/>
  <c r="W25" i="149"/>
  <c r="V25" i="149"/>
  <c r="U25" i="149"/>
  <c r="M25" i="149"/>
  <c r="F25" i="149"/>
  <c r="AF24" i="149"/>
  <c r="AE24" i="149"/>
  <c r="AD24" i="149"/>
  <c r="AC24" i="149"/>
  <c r="W24" i="149"/>
  <c r="V24" i="149"/>
  <c r="U24" i="149"/>
  <c r="M24" i="149"/>
  <c r="F24" i="149"/>
  <c r="AF23" i="149"/>
  <c r="AE23" i="149"/>
  <c r="AD23" i="149"/>
  <c r="AC23" i="149"/>
  <c r="W23" i="149"/>
  <c r="V23" i="149"/>
  <c r="U23" i="149"/>
  <c r="M23" i="149"/>
  <c r="F23" i="149"/>
  <c r="AF22" i="149"/>
  <c r="AE22" i="149"/>
  <c r="AD22" i="149"/>
  <c r="AC22" i="149"/>
  <c r="W22" i="149"/>
  <c r="V22" i="149"/>
  <c r="U22" i="149"/>
  <c r="M22" i="149"/>
  <c r="F22" i="149"/>
  <c r="N22" i="149" s="1"/>
  <c r="AF21" i="149"/>
  <c r="AE21" i="149"/>
  <c r="AD21" i="149"/>
  <c r="AC21" i="149"/>
  <c r="W21" i="149"/>
  <c r="V21" i="149"/>
  <c r="U21" i="149"/>
  <c r="M21" i="149"/>
  <c r="F21" i="149"/>
  <c r="AF20" i="149"/>
  <c r="AE20" i="149"/>
  <c r="AD20" i="149"/>
  <c r="AC20" i="149"/>
  <c r="W20" i="149"/>
  <c r="V20" i="149"/>
  <c r="U20" i="149"/>
  <c r="M20" i="149"/>
  <c r="F20" i="149"/>
  <c r="AF19" i="149"/>
  <c r="AE19" i="149"/>
  <c r="AD19" i="149"/>
  <c r="AC19" i="149"/>
  <c r="W19" i="149"/>
  <c r="V19" i="149"/>
  <c r="U19" i="149"/>
  <c r="M19" i="149"/>
  <c r="F19" i="149"/>
  <c r="AF18" i="149"/>
  <c r="AE18" i="149"/>
  <c r="AD18" i="149"/>
  <c r="AC18" i="149"/>
  <c r="W18" i="149"/>
  <c r="V18" i="149"/>
  <c r="U18" i="149"/>
  <c r="X18" i="149" s="1"/>
  <c r="M18" i="149"/>
  <c r="F18" i="149"/>
  <c r="N18" i="149" s="1"/>
  <c r="AF17" i="149"/>
  <c r="AE17" i="149"/>
  <c r="AD17" i="149"/>
  <c r="AC17" i="149"/>
  <c r="W17" i="149"/>
  <c r="V17" i="149"/>
  <c r="U17" i="149"/>
  <c r="M17" i="149"/>
  <c r="F17" i="149"/>
  <c r="AF16" i="149"/>
  <c r="AE16" i="149"/>
  <c r="AD16" i="149"/>
  <c r="AC16" i="149"/>
  <c r="W16" i="149"/>
  <c r="V16" i="149"/>
  <c r="U16" i="149"/>
  <c r="M16" i="149"/>
  <c r="F16" i="149"/>
  <c r="AF15" i="149"/>
  <c r="AE15" i="149"/>
  <c r="AD15" i="149"/>
  <c r="AC15" i="149"/>
  <c r="W15" i="149"/>
  <c r="V15" i="149"/>
  <c r="U15" i="149"/>
  <c r="M15" i="149"/>
  <c r="F15" i="149"/>
  <c r="AF14" i="149"/>
  <c r="AE14" i="149"/>
  <c r="AD14" i="149"/>
  <c r="AC14" i="149"/>
  <c r="W14" i="149"/>
  <c r="V14" i="149"/>
  <c r="U14" i="149"/>
  <c r="X14" i="149" s="1"/>
  <c r="M14" i="149"/>
  <c r="F14" i="149"/>
  <c r="N14" i="149" s="1"/>
  <c r="AF13" i="149"/>
  <c r="AE13" i="149"/>
  <c r="AD13" i="149"/>
  <c r="AC13" i="149"/>
  <c r="W13" i="149"/>
  <c r="V13" i="149"/>
  <c r="U13" i="149"/>
  <c r="M13" i="149"/>
  <c r="F13" i="149"/>
  <c r="E5" i="149"/>
  <c r="A2" i="149"/>
  <c r="D103" i="148"/>
  <c r="T102" i="148"/>
  <c r="S102" i="148"/>
  <c r="R102" i="148"/>
  <c r="Q102" i="148"/>
  <c r="P102" i="148"/>
  <c r="O102" i="148"/>
  <c r="E102" i="148"/>
  <c r="D102" i="148"/>
  <c r="AF100" i="148"/>
  <c r="AE100" i="148"/>
  <c r="AD100" i="148"/>
  <c r="AC100" i="148"/>
  <c r="W100" i="148"/>
  <c r="V100" i="148"/>
  <c r="U100" i="148"/>
  <c r="M100" i="148"/>
  <c r="F100" i="148"/>
  <c r="AF99" i="148"/>
  <c r="AE99" i="148"/>
  <c r="AD99" i="148"/>
  <c r="AC99" i="148"/>
  <c r="W99" i="148"/>
  <c r="V99" i="148"/>
  <c r="U99" i="148"/>
  <c r="M99" i="148"/>
  <c r="F99" i="148"/>
  <c r="N99" i="148" s="1"/>
  <c r="AF98" i="148"/>
  <c r="AE98" i="148"/>
  <c r="AD98" i="148"/>
  <c r="AC98" i="148"/>
  <c r="W98" i="148"/>
  <c r="V98" i="148"/>
  <c r="U98" i="148"/>
  <c r="M98" i="148"/>
  <c r="F98" i="148"/>
  <c r="AF97" i="148"/>
  <c r="AE97" i="148"/>
  <c r="AD97" i="148"/>
  <c r="AC97" i="148"/>
  <c r="W97" i="148"/>
  <c r="V97" i="148"/>
  <c r="U97" i="148"/>
  <c r="M97" i="148"/>
  <c r="F97" i="148"/>
  <c r="AF96" i="148"/>
  <c r="AE96" i="148"/>
  <c r="AD96" i="148"/>
  <c r="AC96" i="148"/>
  <c r="W96" i="148"/>
  <c r="V96" i="148"/>
  <c r="U96" i="148"/>
  <c r="M96" i="148"/>
  <c r="F96" i="148"/>
  <c r="AF95" i="148"/>
  <c r="AE95" i="148"/>
  <c r="AD95" i="148"/>
  <c r="AC95" i="148"/>
  <c r="W95" i="148"/>
  <c r="V95" i="148"/>
  <c r="U95" i="148"/>
  <c r="X95" i="148" s="1"/>
  <c r="M95" i="148"/>
  <c r="F95" i="148"/>
  <c r="N95" i="148" s="1"/>
  <c r="AF94" i="148"/>
  <c r="AE94" i="148"/>
  <c r="AD94" i="148"/>
  <c r="AC94" i="148"/>
  <c r="W94" i="148"/>
  <c r="V94" i="148"/>
  <c r="U94" i="148"/>
  <c r="M94" i="148"/>
  <c r="F94" i="148"/>
  <c r="AF93" i="148"/>
  <c r="AE93" i="148"/>
  <c r="AD93" i="148"/>
  <c r="AC93" i="148"/>
  <c r="W93" i="148"/>
  <c r="V93" i="148"/>
  <c r="U93" i="148"/>
  <c r="X93" i="148" s="1"/>
  <c r="M93" i="148"/>
  <c r="F93" i="148"/>
  <c r="AF92" i="148"/>
  <c r="AE92" i="148"/>
  <c r="AD92" i="148"/>
  <c r="AC92" i="148"/>
  <c r="W92" i="148"/>
  <c r="V92" i="148"/>
  <c r="U92" i="148"/>
  <c r="M92" i="148"/>
  <c r="F92" i="148"/>
  <c r="AF91" i="148"/>
  <c r="AE91" i="148"/>
  <c r="AD91" i="148"/>
  <c r="AC91" i="148"/>
  <c r="W91" i="148"/>
  <c r="V91" i="148"/>
  <c r="U91" i="148"/>
  <c r="X91" i="148" s="1"/>
  <c r="M91" i="148"/>
  <c r="F91" i="148"/>
  <c r="N91" i="148" s="1"/>
  <c r="AF90" i="148"/>
  <c r="AE90" i="148"/>
  <c r="AD90" i="148"/>
  <c r="AC90" i="148"/>
  <c r="W90" i="148"/>
  <c r="V90" i="148"/>
  <c r="U90" i="148"/>
  <c r="X90" i="148" s="1"/>
  <c r="M90" i="148"/>
  <c r="F90" i="148"/>
  <c r="AF89" i="148"/>
  <c r="AE89" i="148"/>
  <c r="AD89" i="148"/>
  <c r="AC89" i="148"/>
  <c r="W89" i="148"/>
  <c r="V89" i="148"/>
  <c r="U89" i="148"/>
  <c r="X89" i="148" s="1"/>
  <c r="M89" i="148"/>
  <c r="F89" i="148"/>
  <c r="AF88" i="148"/>
  <c r="AE88" i="148"/>
  <c r="AD88" i="148"/>
  <c r="AC88" i="148"/>
  <c r="W88" i="148"/>
  <c r="V88" i="148"/>
  <c r="U88" i="148"/>
  <c r="M88" i="148"/>
  <c r="F88" i="148"/>
  <c r="AF87" i="148"/>
  <c r="AE87" i="148"/>
  <c r="AD87" i="148"/>
  <c r="AC87" i="148"/>
  <c r="W87" i="148"/>
  <c r="V87" i="148"/>
  <c r="U87" i="148"/>
  <c r="X87" i="148" s="1"/>
  <c r="M87" i="148"/>
  <c r="F87" i="148"/>
  <c r="N87" i="148" s="1"/>
  <c r="AF86" i="148"/>
  <c r="AE86" i="148"/>
  <c r="AD86" i="148"/>
  <c r="AC86" i="148"/>
  <c r="W86" i="148"/>
  <c r="V86" i="148"/>
  <c r="U86" i="148"/>
  <c r="X86" i="148" s="1"/>
  <c r="M86" i="148"/>
  <c r="F86" i="148"/>
  <c r="AF85" i="148"/>
  <c r="AE85" i="148"/>
  <c r="AD85" i="148"/>
  <c r="AC85" i="148"/>
  <c r="W85" i="148"/>
  <c r="V85" i="148"/>
  <c r="U85" i="148"/>
  <c r="M85" i="148"/>
  <c r="F85" i="148"/>
  <c r="AF84" i="148"/>
  <c r="AE84" i="148"/>
  <c r="AD84" i="148"/>
  <c r="AC84" i="148"/>
  <c r="W84" i="148"/>
  <c r="V84" i="148"/>
  <c r="U84" i="148"/>
  <c r="M84" i="148"/>
  <c r="F84" i="148"/>
  <c r="AF83" i="148"/>
  <c r="AE83" i="148"/>
  <c r="AD83" i="148"/>
  <c r="AC83" i="148"/>
  <c r="W83" i="148"/>
  <c r="V83" i="148"/>
  <c r="U83" i="148"/>
  <c r="X83" i="148" s="1"/>
  <c r="M83" i="148"/>
  <c r="F83" i="148"/>
  <c r="N83" i="148" s="1"/>
  <c r="AF82" i="148"/>
  <c r="AE82" i="148"/>
  <c r="AD82" i="148"/>
  <c r="AC82" i="148"/>
  <c r="W82" i="148"/>
  <c r="V82" i="148"/>
  <c r="U82" i="148"/>
  <c r="M82" i="148"/>
  <c r="F82" i="148"/>
  <c r="AF81" i="148"/>
  <c r="AE81" i="148"/>
  <c r="AD81" i="148"/>
  <c r="AC81" i="148"/>
  <c r="W81" i="148"/>
  <c r="V81" i="148"/>
  <c r="U81" i="148"/>
  <c r="M81" i="148"/>
  <c r="F81" i="148"/>
  <c r="AF80" i="148"/>
  <c r="AE80" i="148"/>
  <c r="AD80" i="148"/>
  <c r="AC80" i="148"/>
  <c r="W80" i="148"/>
  <c r="V80" i="148"/>
  <c r="U80" i="148"/>
  <c r="M80" i="148"/>
  <c r="F80" i="148"/>
  <c r="AF79" i="148"/>
  <c r="AE79" i="148"/>
  <c r="AD79" i="148"/>
  <c r="AC79" i="148"/>
  <c r="W79" i="148"/>
  <c r="V79" i="148"/>
  <c r="U79" i="148"/>
  <c r="X79" i="148" s="1"/>
  <c r="M79" i="148"/>
  <c r="F79" i="148"/>
  <c r="N79" i="148" s="1"/>
  <c r="AF78" i="148"/>
  <c r="AE78" i="148"/>
  <c r="AD78" i="148"/>
  <c r="AC78" i="148"/>
  <c r="W78" i="148"/>
  <c r="V78" i="148"/>
  <c r="U78" i="148"/>
  <c r="M78" i="148"/>
  <c r="F78" i="148"/>
  <c r="AF77" i="148"/>
  <c r="AE77" i="148"/>
  <c r="AD77" i="148"/>
  <c r="AC77" i="148"/>
  <c r="W77" i="148"/>
  <c r="V77" i="148"/>
  <c r="U77" i="148"/>
  <c r="M77" i="148"/>
  <c r="F77" i="148"/>
  <c r="AF76" i="148"/>
  <c r="AE76" i="148"/>
  <c r="AD76" i="148"/>
  <c r="AC76" i="148"/>
  <c r="W76" i="148"/>
  <c r="V76" i="148"/>
  <c r="U76" i="148"/>
  <c r="M76" i="148"/>
  <c r="F76" i="148"/>
  <c r="AF75" i="148"/>
  <c r="AE75" i="148"/>
  <c r="AD75" i="148"/>
  <c r="AC75" i="148"/>
  <c r="W75" i="148"/>
  <c r="V75" i="148"/>
  <c r="U75" i="148"/>
  <c r="X75" i="148" s="1"/>
  <c r="M75" i="148"/>
  <c r="F75" i="148"/>
  <c r="N75" i="148" s="1"/>
  <c r="AF74" i="148"/>
  <c r="AE74" i="148"/>
  <c r="AD74" i="148"/>
  <c r="AC74" i="148"/>
  <c r="W74" i="148"/>
  <c r="V74" i="148"/>
  <c r="U74" i="148"/>
  <c r="X74" i="148" s="1"/>
  <c r="M74" i="148"/>
  <c r="F74" i="148"/>
  <c r="N74" i="148" s="1"/>
  <c r="AF73" i="148"/>
  <c r="AE73" i="148"/>
  <c r="AD73" i="148"/>
  <c r="AC73" i="148"/>
  <c r="W73" i="148"/>
  <c r="V73" i="148"/>
  <c r="U73" i="148"/>
  <c r="X73" i="148" s="1"/>
  <c r="M73" i="148"/>
  <c r="F73" i="148"/>
  <c r="AF72" i="148"/>
  <c r="AE72" i="148"/>
  <c r="AD72" i="148"/>
  <c r="AC72" i="148"/>
  <c r="W72" i="148"/>
  <c r="V72" i="148"/>
  <c r="U72" i="148"/>
  <c r="M72" i="148"/>
  <c r="F72" i="148"/>
  <c r="AF71" i="148"/>
  <c r="AE71" i="148"/>
  <c r="AD71" i="148"/>
  <c r="AC71" i="148"/>
  <c r="W71" i="148"/>
  <c r="V71" i="148"/>
  <c r="U71" i="148"/>
  <c r="M71" i="148"/>
  <c r="F71" i="148"/>
  <c r="N71" i="148" s="1"/>
  <c r="AF70" i="148"/>
  <c r="AE70" i="148"/>
  <c r="AD70" i="148"/>
  <c r="AC70" i="148"/>
  <c r="W70" i="148"/>
  <c r="V70" i="148"/>
  <c r="U70" i="148"/>
  <c r="M70" i="148"/>
  <c r="F70" i="148"/>
  <c r="AF69" i="148"/>
  <c r="AE69" i="148"/>
  <c r="AD69" i="148"/>
  <c r="AC69" i="148"/>
  <c r="W69" i="148"/>
  <c r="V69" i="148"/>
  <c r="U69" i="148"/>
  <c r="M69" i="148"/>
  <c r="F69" i="148"/>
  <c r="AF68" i="148"/>
  <c r="AE68" i="148"/>
  <c r="AD68" i="148"/>
  <c r="AC68" i="148"/>
  <c r="W68" i="148"/>
  <c r="V68" i="148"/>
  <c r="U68" i="148"/>
  <c r="M68" i="148"/>
  <c r="F68" i="148"/>
  <c r="N68" i="148" s="1"/>
  <c r="AF67" i="148"/>
  <c r="AE67" i="148"/>
  <c r="AD67" i="148"/>
  <c r="AC67" i="148"/>
  <c r="W67" i="148"/>
  <c r="V67" i="148"/>
  <c r="U67" i="148"/>
  <c r="M67" i="148"/>
  <c r="F67" i="148"/>
  <c r="AF66" i="148"/>
  <c r="AE66" i="148"/>
  <c r="AD66" i="148"/>
  <c r="AC66" i="148"/>
  <c r="W66" i="148"/>
  <c r="V66" i="148"/>
  <c r="U66" i="148"/>
  <c r="X66" i="148" s="1"/>
  <c r="M66" i="148"/>
  <c r="F66" i="148"/>
  <c r="N66" i="148" s="1"/>
  <c r="E49" i="148"/>
  <c r="D49" i="148"/>
  <c r="T48" i="148"/>
  <c r="S48" i="148"/>
  <c r="R48" i="148"/>
  <c r="Q48" i="148"/>
  <c r="P48" i="148"/>
  <c r="O48" i="148"/>
  <c r="E48" i="148"/>
  <c r="D48" i="148"/>
  <c r="AF46" i="148"/>
  <c r="AE46" i="148"/>
  <c r="AD46" i="148"/>
  <c r="AC46" i="148"/>
  <c r="W46" i="148"/>
  <c r="V46" i="148"/>
  <c r="U46" i="148"/>
  <c r="M46" i="148"/>
  <c r="F46" i="148"/>
  <c r="AF45" i="148"/>
  <c r="AE45" i="148"/>
  <c r="AD45" i="148"/>
  <c r="AC45" i="148"/>
  <c r="W45" i="148"/>
  <c r="V45" i="148"/>
  <c r="U45" i="148"/>
  <c r="M45" i="148"/>
  <c r="F45" i="148"/>
  <c r="AF44" i="148"/>
  <c r="AE44" i="148"/>
  <c r="AD44" i="148"/>
  <c r="AC44" i="148"/>
  <c r="W44" i="148"/>
  <c r="V44" i="148"/>
  <c r="U44" i="148"/>
  <c r="X44" i="148" s="1"/>
  <c r="M44" i="148"/>
  <c r="F44" i="148"/>
  <c r="AF43" i="148"/>
  <c r="AE43" i="148"/>
  <c r="AD43" i="148"/>
  <c r="AC43" i="148"/>
  <c r="W43" i="148"/>
  <c r="V43" i="148"/>
  <c r="U43" i="148"/>
  <c r="X43" i="148" s="1"/>
  <c r="M43" i="148"/>
  <c r="F43" i="148"/>
  <c r="N43" i="148" s="1"/>
  <c r="AF42" i="148"/>
  <c r="AE42" i="148"/>
  <c r="AD42" i="148"/>
  <c r="AC42" i="148"/>
  <c r="W42" i="148"/>
  <c r="V42" i="148"/>
  <c r="U42" i="148"/>
  <c r="X42" i="148" s="1"/>
  <c r="M42" i="148"/>
  <c r="F42" i="148"/>
  <c r="AF41" i="148"/>
  <c r="AE41" i="148"/>
  <c r="AD41" i="148"/>
  <c r="AC41" i="148"/>
  <c r="W41" i="148"/>
  <c r="V41" i="148"/>
  <c r="U41" i="148"/>
  <c r="M41" i="148"/>
  <c r="F41" i="148"/>
  <c r="AF40" i="148"/>
  <c r="AE40" i="148"/>
  <c r="AD40" i="148"/>
  <c r="AC40" i="148"/>
  <c r="W40" i="148"/>
  <c r="V40" i="148"/>
  <c r="U40" i="148"/>
  <c r="M40" i="148"/>
  <c r="F40" i="148"/>
  <c r="AF39" i="148"/>
  <c r="AE39" i="148"/>
  <c r="AD39" i="148"/>
  <c r="AC39" i="148"/>
  <c r="W39" i="148"/>
  <c r="V39" i="148"/>
  <c r="U39" i="148"/>
  <c r="X39" i="148" s="1"/>
  <c r="M39" i="148"/>
  <c r="F39" i="148"/>
  <c r="N39" i="148" s="1"/>
  <c r="AF38" i="148"/>
  <c r="AE38" i="148"/>
  <c r="AD38" i="148"/>
  <c r="AC38" i="148"/>
  <c r="W38" i="148"/>
  <c r="V38" i="148"/>
  <c r="U38" i="148"/>
  <c r="X38" i="148" s="1"/>
  <c r="M38" i="148"/>
  <c r="F38" i="148"/>
  <c r="AF37" i="148"/>
  <c r="AE37" i="148"/>
  <c r="AD37" i="148"/>
  <c r="AC37" i="148"/>
  <c r="W37" i="148"/>
  <c r="V37" i="148"/>
  <c r="U37" i="148"/>
  <c r="X37" i="148" s="1"/>
  <c r="M37" i="148"/>
  <c r="F37" i="148"/>
  <c r="AF36" i="148"/>
  <c r="AE36" i="148"/>
  <c r="AD36" i="148"/>
  <c r="AC36" i="148"/>
  <c r="W36" i="148"/>
  <c r="V36" i="148"/>
  <c r="U36" i="148"/>
  <c r="X36" i="148" s="1"/>
  <c r="M36" i="148"/>
  <c r="F36" i="148"/>
  <c r="AF35" i="148"/>
  <c r="AE35" i="148"/>
  <c r="AD35" i="148"/>
  <c r="AC35" i="148"/>
  <c r="W35" i="148"/>
  <c r="V35" i="148"/>
  <c r="U35" i="148"/>
  <c r="X35" i="148" s="1"/>
  <c r="M35" i="148"/>
  <c r="F35" i="148"/>
  <c r="N35" i="148" s="1"/>
  <c r="AF34" i="148"/>
  <c r="AE34" i="148"/>
  <c r="AD34" i="148"/>
  <c r="AC34" i="148"/>
  <c r="W34" i="148"/>
  <c r="V34" i="148"/>
  <c r="U34" i="148"/>
  <c r="M34" i="148"/>
  <c r="F34" i="148"/>
  <c r="AF33" i="148"/>
  <c r="AE33" i="148"/>
  <c r="AD33" i="148"/>
  <c r="AC33" i="148"/>
  <c r="W33" i="148"/>
  <c r="V33" i="148"/>
  <c r="U33" i="148"/>
  <c r="M33" i="148"/>
  <c r="F33" i="148"/>
  <c r="AF32" i="148"/>
  <c r="AE32" i="148"/>
  <c r="AD32" i="148"/>
  <c r="AC32" i="148"/>
  <c r="W32" i="148"/>
  <c r="V32" i="148"/>
  <c r="U32" i="148"/>
  <c r="M32" i="148"/>
  <c r="F32" i="148"/>
  <c r="AF31" i="148"/>
  <c r="AE31" i="148"/>
  <c r="AD31" i="148"/>
  <c r="AC31" i="148"/>
  <c r="W31" i="148"/>
  <c r="V31" i="148"/>
  <c r="U31" i="148"/>
  <c r="X31" i="148" s="1"/>
  <c r="M31" i="148"/>
  <c r="F31" i="148"/>
  <c r="N31" i="148" s="1"/>
  <c r="AF30" i="148"/>
  <c r="AE30" i="148"/>
  <c r="AD30" i="148"/>
  <c r="AC30" i="148"/>
  <c r="W30" i="148"/>
  <c r="V30" i="148"/>
  <c r="U30" i="148"/>
  <c r="X30" i="148" s="1"/>
  <c r="M30" i="148"/>
  <c r="F30" i="148"/>
  <c r="AF29" i="148"/>
  <c r="AE29" i="148"/>
  <c r="AD29" i="148"/>
  <c r="AC29" i="148"/>
  <c r="W29" i="148"/>
  <c r="V29" i="148"/>
  <c r="U29" i="148"/>
  <c r="M29" i="148"/>
  <c r="F29" i="148"/>
  <c r="AF28" i="148"/>
  <c r="AE28" i="148"/>
  <c r="AD28" i="148"/>
  <c r="AC28" i="148"/>
  <c r="W28" i="148"/>
  <c r="V28" i="148"/>
  <c r="U28" i="148"/>
  <c r="M28" i="148"/>
  <c r="F28" i="148"/>
  <c r="AF27" i="148"/>
  <c r="AE27" i="148"/>
  <c r="AD27" i="148"/>
  <c r="AC27" i="148"/>
  <c r="W27" i="148"/>
  <c r="V27" i="148"/>
  <c r="U27" i="148"/>
  <c r="X27" i="148" s="1"/>
  <c r="M27" i="148"/>
  <c r="F27" i="148"/>
  <c r="N27" i="148" s="1"/>
  <c r="AF26" i="148"/>
  <c r="AE26" i="148"/>
  <c r="AD26" i="148"/>
  <c r="AC26" i="148"/>
  <c r="W26" i="148"/>
  <c r="V26" i="148"/>
  <c r="U26" i="148"/>
  <c r="M26" i="148"/>
  <c r="F26" i="148"/>
  <c r="AF25" i="148"/>
  <c r="AE25" i="148"/>
  <c r="AD25" i="148"/>
  <c r="AC25" i="148"/>
  <c r="W25" i="148"/>
  <c r="V25" i="148"/>
  <c r="U25" i="148"/>
  <c r="X25" i="148" s="1"/>
  <c r="M25" i="148"/>
  <c r="F25" i="148"/>
  <c r="AF24" i="148"/>
  <c r="AE24" i="148"/>
  <c r="AD24" i="148"/>
  <c r="AC24" i="148"/>
  <c r="W24" i="148"/>
  <c r="V24" i="148"/>
  <c r="U24" i="148"/>
  <c r="M24" i="148"/>
  <c r="F24" i="148"/>
  <c r="AF23" i="148"/>
  <c r="AE23" i="148"/>
  <c r="AD23" i="148"/>
  <c r="AC23" i="148"/>
  <c r="W23" i="148"/>
  <c r="V23" i="148"/>
  <c r="U23" i="148"/>
  <c r="M23" i="148"/>
  <c r="F23" i="148"/>
  <c r="N23" i="148" s="1"/>
  <c r="AF22" i="148"/>
  <c r="AE22" i="148"/>
  <c r="AD22" i="148"/>
  <c r="AC22" i="148"/>
  <c r="W22" i="148"/>
  <c r="V22" i="148"/>
  <c r="U22" i="148"/>
  <c r="M22" i="148"/>
  <c r="F22" i="148"/>
  <c r="AF21" i="148"/>
  <c r="AE21" i="148"/>
  <c r="AD21" i="148"/>
  <c r="AC21" i="148"/>
  <c r="W21" i="148"/>
  <c r="V21" i="148"/>
  <c r="U21" i="148"/>
  <c r="M21" i="148"/>
  <c r="F21" i="148"/>
  <c r="AF20" i="148"/>
  <c r="AE20" i="148"/>
  <c r="AD20" i="148"/>
  <c r="AC20" i="148"/>
  <c r="W20" i="148"/>
  <c r="V20" i="148"/>
  <c r="U20" i="148"/>
  <c r="M20" i="148"/>
  <c r="F20" i="148"/>
  <c r="AF19" i="148"/>
  <c r="AE19" i="148"/>
  <c r="AD19" i="148"/>
  <c r="AC19" i="148"/>
  <c r="W19" i="148"/>
  <c r="V19" i="148"/>
  <c r="U19" i="148"/>
  <c r="X19" i="148" s="1"/>
  <c r="M19" i="148"/>
  <c r="F19" i="148"/>
  <c r="N19" i="148" s="1"/>
  <c r="AF18" i="148"/>
  <c r="AE18" i="148"/>
  <c r="AD18" i="148"/>
  <c r="AC18" i="148"/>
  <c r="W18" i="148"/>
  <c r="V18" i="148"/>
  <c r="U18" i="148"/>
  <c r="M18" i="148"/>
  <c r="F18" i="148"/>
  <c r="AF17" i="148"/>
  <c r="AE17" i="148"/>
  <c r="AD17" i="148"/>
  <c r="AC17" i="148"/>
  <c r="W17" i="148"/>
  <c r="V17" i="148"/>
  <c r="U17" i="148"/>
  <c r="X17" i="148" s="1"/>
  <c r="M17" i="148"/>
  <c r="F17" i="148"/>
  <c r="N17" i="148" s="1"/>
  <c r="AF16" i="148"/>
  <c r="AE16" i="148"/>
  <c r="AD16" i="148"/>
  <c r="AC16" i="148"/>
  <c r="W16" i="148"/>
  <c r="V16" i="148"/>
  <c r="U16" i="148"/>
  <c r="X16" i="148" s="1"/>
  <c r="M16" i="148"/>
  <c r="F16" i="148"/>
  <c r="AF15" i="148"/>
  <c r="AE15" i="148"/>
  <c r="AD15" i="148"/>
  <c r="AC15" i="148"/>
  <c r="W15" i="148"/>
  <c r="V15" i="148"/>
  <c r="U15" i="148"/>
  <c r="X15" i="148" s="1"/>
  <c r="M15" i="148"/>
  <c r="F15" i="148"/>
  <c r="N15" i="148" s="1"/>
  <c r="AF14" i="148"/>
  <c r="AE14" i="148"/>
  <c r="AD14" i="148"/>
  <c r="AC14" i="148"/>
  <c r="W14" i="148"/>
  <c r="V14" i="148"/>
  <c r="U14" i="148"/>
  <c r="M14" i="148"/>
  <c r="F14" i="148"/>
  <c r="AF13" i="148"/>
  <c r="AE13" i="148"/>
  <c r="AD13" i="148"/>
  <c r="AC13" i="148"/>
  <c r="W13" i="148"/>
  <c r="V13" i="148"/>
  <c r="U13" i="148"/>
  <c r="M13" i="148"/>
  <c r="F13" i="148"/>
  <c r="E5" i="148"/>
  <c r="A2" i="148"/>
  <c r="D103" i="147"/>
  <c r="T102" i="147"/>
  <c r="S102" i="147"/>
  <c r="R102" i="147"/>
  <c r="Q102" i="147"/>
  <c r="P102" i="147"/>
  <c r="O102" i="147"/>
  <c r="E102" i="147"/>
  <c r="D102" i="147"/>
  <c r="AF100" i="147"/>
  <c r="AE100" i="147"/>
  <c r="AD100" i="147"/>
  <c r="AC100" i="147"/>
  <c r="W100" i="147"/>
  <c r="V100" i="147"/>
  <c r="U100" i="147"/>
  <c r="M100" i="147"/>
  <c r="F100" i="147"/>
  <c r="N100" i="147" s="1"/>
  <c r="AF99" i="147"/>
  <c r="AE99" i="147"/>
  <c r="AD99" i="147"/>
  <c r="AC99" i="147"/>
  <c r="W99" i="147"/>
  <c r="V99" i="147"/>
  <c r="U99" i="147"/>
  <c r="M99" i="147"/>
  <c r="F99" i="147"/>
  <c r="AF98" i="147"/>
  <c r="AE98" i="147"/>
  <c r="AD98" i="147"/>
  <c r="AC98" i="147"/>
  <c r="W98" i="147"/>
  <c r="V98" i="147"/>
  <c r="U98" i="147"/>
  <c r="M98" i="147"/>
  <c r="F98" i="147"/>
  <c r="N98" i="147" s="1"/>
  <c r="AF97" i="147"/>
  <c r="AE97" i="147"/>
  <c r="AD97" i="147"/>
  <c r="AC97" i="147"/>
  <c r="W97" i="147"/>
  <c r="V97" i="147"/>
  <c r="U97" i="147"/>
  <c r="X97" i="147" s="1"/>
  <c r="M97" i="147"/>
  <c r="F97" i="147"/>
  <c r="AF96" i="147"/>
  <c r="AE96" i="147"/>
  <c r="AD96" i="147"/>
  <c r="AC96" i="147"/>
  <c r="W96" i="147"/>
  <c r="V96" i="147"/>
  <c r="U96" i="147"/>
  <c r="X96" i="147" s="1"/>
  <c r="M96" i="147"/>
  <c r="F96" i="147"/>
  <c r="N96" i="147" s="1"/>
  <c r="AF95" i="147"/>
  <c r="AE95" i="147"/>
  <c r="AD95" i="147"/>
  <c r="AC95" i="147"/>
  <c r="W95" i="147"/>
  <c r="V95" i="147"/>
  <c r="U95" i="147"/>
  <c r="M95" i="147"/>
  <c r="F95" i="147"/>
  <c r="AF94" i="147"/>
  <c r="AE94" i="147"/>
  <c r="AD94" i="147"/>
  <c r="AC94" i="147"/>
  <c r="W94" i="147"/>
  <c r="V94" i="147"/>
  <c r="U94" i="147"/>
  <c r="X94" i="147" s="1"/>
  <c r="M94" i="147"/>
  <c r="F94" i="147"/>
  <c r="N94" i="147" s="1"/>
  <c r="AF93" i="147"/>
  <c r="AE93" i="147"/>
  <c r="AD93" i="147"/>
  <c r="AC93" i="147"/>
  <c r="W93" i="147"/>
  <c r="V93" i="147"/>
  <c r="U93" i="147"/>
  <c r="M93" i="147"/>
  <c r="F93" i="147"/>
  <c r="AF92" i="147"/>
  <c r="AE92" i="147"/>
  <c r="AD92" i="147"/>
  <c r="AC92" i="147"/>
  <c r="W92" i="147"/>
  <c r="V92" i="147"/>
  <c r="U92" i="147"/>
  <c r="X92" i="147" s="1"/>
  <c r="M92" i="147"/>
  <c r="F92" i="147"/>
  <c r="N92" i="147" s="1"/>
  <c r="AF91" i="147"/>
  <c r="AE91" i="147"/>
  <c r="AD91" i="147"/>
  <c r="AC91" i="147"/>
  <c r="W91" i="147"/>
  <c r="V91" i="147"/>
  <c r="U91" i="147"/>
  <c r="M91" i="147"/>
  <c r="F91" i="147"/>
  <c r="AF90" i="147"/>
  <c r="AE90" i="147"/>
  <c r="AD90" i="147"/>
  <c r="AC90" i="147"/>
  <c r="W90" i="147"/>
  <c r="V90" i="147"/>
  <c r="U90" i="147"/>
  <c r="X90" i="147" s="1"/>
  <c r="M90" i="147"/>
  <c r="F90" i="147"/>
  <c r="N90" i="147" s="1"/>
  <c r="AF89" i="147"/>
  <c r="AE89" i="147"/>
  <c r="AD89" i="147"/>
  <c r="AC89" i="147"/>
  <c r="W89" i="147"/>
  <c r="V89" i="147"/>
  <c r="U89" i="147"/>
  <c r="M89" i="147"/>
  <c r="F89" i="147"/>
  <c r="AF88" i="147"/>
  <c r="AE88" i="147"/>
  <c r="AD88" i="147"/>
  <c r="AC88" i="147"/>
  <c r="W88" i="147"/>
  <c r="V88" i="147"/>
  <c r="U88" i="147"/>
  <c r="X88" i="147" s="1"/>
  <c r="M88" i="147"/>
  <c r="F88" i="147"/>
  <c r="N88" i="147" s="1"/>
  <c r="AF87" i="147"/>
  <c r="AE87" i="147"/>
  <c r="AD87" i="147"/>
  <c r="AC87" i="147"/>
  <c r="W87" i="147"/>
  <c r="V87" i="147"/>
  <c r="U87" i="147"/>
  <c r="M87" i="147"/>
  <c r="F87" i="147"/>
  <c r="AF86" i="147"/>
  <c r="AE86" i="147"/>
  <c r="AD86" i="147"/>
  <c r="AC86" i="147"/>
  <c r="W86" i="147"/>
  <c r="V86" i="147"/>
  <c r="U86" i="147"/>
  <c r="X86" i="147" s="1"/>
  <c r="M86" i="147"/>
  <c r="F86" i="147"/>
  <c r="N86" i="147" s="1"/>
  <c r="AF85" i="147"/>
  <c r="AE85" i="147"/>
  <c r="AD85" i="147"/>
  <c r="AC85" i="147"/>
  <c r="W85" i="147"/>
  <c r="V85" i="147"/>
  <c r="U85" i="147"/>
  <c r="X85" i="147" s="1"/>
  <c r="M85" i="147"/>
  <c r="F85" i="147"/>
  <c r="AF84" i="147"/>
  <c r="AE84" i="147"/>
  <c r="AD84" i="147"/>
  <c r="AC84" i="147"/>
  <c r="W84" i="147"/>
  <c r="V84" i="147"/>
  <c r="U84" i="147"/>
  <c r="X84" i="147" s="1"/>
  <c r="M84" i="147"/>
  <c r="F84" i="147"/>
  <c r="N84" i="147" s="1"/>
  <c r="AF83" i="147"/>
  <c r="AE83" i="147"/>
  <c r="AD83" i="147"/>
  <c r="AC83" i="147"/>
  <c r="W83" i="147"/>
  <c r="V83" i="147"/>
  <c r="U83" i="147"/>
  <c r="M83" i="147"/>
  <c r="F83" i="147"/>
  <c r="AF82" i="147"/>
  <c r="AE82" i="147"/>
  <c r="AD82" i="147"/>
  <c r="AC82" i="147"/>
  <c r="W82" i="147"/>
  <c r="V82" i="147"/>
  <c r="U82" i="147"/>
  <c r="X82" i="147" s="1"/>
  <c r="M82" i="147"/>
  <c r="F82" i="147"/>
  <c r="N82" i="147" s="1"/>
  <c r="AF81" i="147"/>
  <c r="AE81" i="147"/>
  <c r="AD81" i="147"/>
  <c r="AC81" i="147"/>
  <c r="W81" i="147"/>
  <c r="V81" i="147"/>
  <c r="U81" i="147"/>
  <c r="M81" i="147"/>
  <c r="F81" i="147"/>
  <c r="AF80" i="147"/>
  <c r="AE80" i="147"/>
  <c r="AD80" i="147"/>
  <c r="AC80" i="147"/>
  <c r="W80" i="147"/>
  <c r="V80" i="147"/>
  <c r="U80" i="147"/>
  <c r="X80" i="147" s="1"/>
  <c r="M80" i="147"/>
  <c r="F80" i="147"/>
  <c r="N80" i="147" s="1"/>
  <c r="AF79" i="147"/>
  <c r="AE79" i="147"/>
  <c r="AD79" i="147"/>
  <c r="AC79" i="147"/>
  <c r="W79" i="147"/>
  <c r="V79" i="147"/>
  <c r="U79" i="147"/>
  <c r="M79" i="147"/>
  <c r="F79" i="147"/>
  <c r="AF78" i="147"/>
  <c r="AE78" i="147"/>
  <c r="AD78" i="147"/>
  <c r="AC78" i="147"/>
  <c r="W78" i="147"/>
  <c r="V78" i="147"/>
  <c r="U78" i="147"/>
  <c r="M78" i="147"/>
  <c r="F78" i="147"/>
  <c r="N78" i="147" s="1"/>
  <c r="AF77" i="147"/>
  <c r="AE77" i="147"/>
  <c r="AD77" i="147"/>
  <c r="AC77" i="147"/>
  <c r="W77" i="147"/>
  <c r="V77" i="147"/>
  <c r="U77" i="147"/>
  <c r="M77" i="147"/>
  <c r="F77" i="147"/>
  <c r="AF76" i="147"/>
  <c r="AE76" i="147"/>
  <c r="AD76" i="147"/>
  <c r="AC76" i="147"/>
  <c r="W76" i="147"/>
  <c r="V76" i="147"/>
  <c r="U76" i="147"/>
  <c r="X76" i="147" s="1"/>
  <c r="M76" i="147"/>
  <c r="F76" i="147"/>
  <c r="N76" i="147" s="1"/>
  <c r="AF75" i="147"/>
  <c r="AE75" i="147"/>
  <c r="AD75" i="147"/>
  <c r="AC75" i="147"/>
  <c r="W75" i="147"/>
  <c r="V75" i="147"/>
  <c r="U75" i="147"/>
  <c r="M75" i="147"/>
  <c r="F75" i="147"/>
  <c r="AF74" i="147"/>
  <c r="AE74" i="147"/>
  <c r="AD74" i="147"/>
  <c r="AC74" i="147"/>
  <c r="W74" i="147"/>
  <c r="V74" i="147"/>
  <c r="U74" i="147"/>
  <c r="X74" i="147" s="1"/>
  <c r="M74" i="147"/>
  <c r="F74" i="147"/>
  <c r="N74" i="147" s="1"/>
  <c r="AF73" i="147"/>
  <c r="AE73" i="147"/>
  <c r="AD73" i="147"/>
  <c r="AC73" i="147"/>
  <c r="W73" i="147"/>
  <c r="V73" i="147"/>
  <c r="U73" i="147"/>
  <c r="M73" i="147"/>
  <c r="F73" i="147"/>
  <c r="AF72" i="147"/>
  <c r="AE72" i="147"/>
  <c r="AD72" i="147"/>
  <c r="AC72" i="147"/>
  <c r="W72" i="147"/>
  <c r="V72" i="147"/>
  <c r="U72" i="147"/>
  <c r="X72" i="147" s="1"/>
  <c r="M72" i="147"/>
  <c r="F72" i="147"/>
  <c r="N72" i="147" s="1"/>
  <c r="AF71" i="147"/>
  <c r="AE71" i="147"/>
  <c r="AD71" i="147"/>
  <c r="AC71" i="147"/>
  <c r="W71" i="147"/>
  <c r="V71" i="147"/>
  <c r="U71" i="147"/>
  <c r="M71" i="147"/>
  <c r="F71" i="147"/>
  <c r="AF70" i="147"/>
  <c r="AE70" i="147"/>
  <c r="AD70" i="147"/>
  <c r="AC70" i="147"/>
  <c r="W70" i="147"/>
  <c r="V70" i="147"/>
  <c r="U70" i="147"/>
  <c r="X70" i="147" s="1"/>
  <c r="M70" i="147"/>
  <c r="F70" i="147"/>
  <c r="N70" i="147" s="1"/>
  <c r="AF69" i="147"/>
  <c r="AE69" i="147"/>
  <c r="AD69" i="147"/>
  <c r="AC69" i="147"/>
  <c r="W69" i="147"/>
  <c r="V69" i="147"/>
  <c r="U69" i="147"/>
  <c r="M69" i="147"/>
  <c r="F69" i="147"/>
  <c r="AF68" i="147"/>
  <c r="AE68" i="147"/>
  <c r="AD68" i="147"/>
  <c r="AC68" i="147"/>
  <c r="W68" i="147"/>
  <c r="V68" i="147"/>
  <c r="U68" i="147"/>
  <c r="M68" i="147"/>
  <c r="F68" i="147"/>
  <c r="N68" i="147" s="1"/>
  <c r="AF67" i="147"/>
  <c r="AE67" i="147"/>
  <c r="AD67" i="147"/>
  <c r="AC67" i="147"/>
  <c r="W67" i="147"/>
  <c r="V67" i="147"/>
  <c r="U67" i="147"/>
  <c r="M67" i="147"/>
  <c r="F67" i="147"/>
  <c r="AF66" i="147"/>
  <c r="AE66" i="147"/>
  <c r="AD66" i="147"/>
  <c r="AC66" i="147"/>
  <c r="W66" i="147"/>
  <c r="V66" i="147"/>
  <c r="U66" i="147"/>
  <c r="X66" i="147" s="1"/>
  <c r="M66" i="147"/>
  <c r="F66" i="147"/>
  <c r="E49" i="147"/>
  <c r="D49" i="147"/>
  <c r="T48" i="147"/>
  <c r="S48" i="147"/>
  <c r="R48" i="147"/>
  <c r="Q48" i="147"/>
  <c r="P48" i="147"/>
  <c r="O48" i="147"/>
  <c r="E48" i="147"/>
  <c r="D48" i="147"/>
  <c r="AF46" i="147"/>
  <c r="AE46" i="147"/>
  <c r="AD46" i="147"/>
  <c r="AC46" i="147"/>
  <c r="W46" i="147"/>
  <c r="V46" i="147"/>
  <c r="U46" i="147"/>
  <c r="X46" i="147" s="1"/>
  <c r="M46" i="147"/>
  <c r="F46" i="147"/>
  <c r="N46" i="147" s="1"/>
  <c r="AF45" i="147"/>
  <c r="AE45" i="147"/>
  <c r="AD45" i="147"/>
  <c r="AC45" i="147"/>
  <c r="W45" i="147"/>
  <c r="V45" i="147"/>
  <c r="U45" i="147"/>
  <c r="X45" i="147" s="1"/>
  <c r="M45" i="147"/>
  <c r="F45" i="147"/>
  <c r="AF44" i="147"/>
  <c r="AE44" i="147"/>
  <c r="AD44" i="147"/>
  <c r="AC44" i="147"/>
  <c r="W44" i="147"/>
  <c r="V44" i="147"/>
  <c r="U44" i="147"/>
  <c r="X44" i="147" s="1"/>
  <c r="M44" i="147"/>
  <c r="F44" i="147"/>
  <c r="N44" i="147" s="1"/>
  <c r="AF43" i="147"/>
  <c r="AE43" i="147"/>
  <c r="AD43" i="147"/>
  <c r="AC43" i="147"/>
  <c r="W43" i="147"/>
  <c r="V43" i="147"/>
  <c r="U43" i="147"/>
  <c r="X43" i="147" s="1"/>
  <c r="M43" i="147"/>
  <c r="F43" i="147"/>
  <c r="N43" i="147" s="1"/>
  <c r="AF42" i="147"/>
  <c r="AE42" i="147"/>
  <c r="AD42" i="147"/>
  <c r="AC42" i="147"/>
  <c r="W42" i="147"/>
  <c r="V42" i="147"/>
  <c r="U42" i="147"/>
  <c r="X42" i="147" s="1"/>
  <c r="M42" i="147"/>
  <c r="F42" i="147"/>
  <c r="N42" i="147" s="1"/>
  <c r="AF41" i="147"/>
  <c r="AE41" i="147"/>
  <c r="AD41" i="147"/>
  <c r="AC41" i="147"/>
  <c r="W41" i="147"/>
  <c r="V41" i="147"/>
  <c r="U41" i="147"/>
  <c r="M41" i="147"/>
  <c r="F41" i="147"/>
  <c r="AF40" i="147"/>
  <c r="AE40" i="147"/>
  <c r="AD40" i="147"/>
  <c r="AC40" i="147"/>
  <c r="W40" i="147"/>
  <c r="V40" i="147"/>
  <c r="U40" i="147"/>
  <c r="X40" i="147" s="1"/>
  <c r="M40" i="147"/>
  <c r="F40" i="147"/>
  <c r="N40" i="147" s="1"/>
  <c r="AF39" i="147"/>
  <c r="AE39" i="147"/>
  <c r="AD39" i="147"/>
  <c r="AC39" i="147"/>
  <c r="W39" i="147"/>
  <c r="V39" i="147"/>
  <c r="U39" i="147"/>
  <c r="X39" i="147" s="1"/>
  <c r="M39" i="147"/>
  <c r="F39" i="147"/>
  <c r="N39" i="147" s="1"/>
  <c r="AF38" i="147"/>
  <c r="AE38" i="147"/>
  <c r="AD38" i="147"/>
  <c r="AC38" i="147"/>
  <c r="W38" i="147"/>
  <c r="V38" i="147"/>
  <c r="U38" i="147"/>
  <c r="M38" i="147"/>
  <c r="F38" i="147"/>
  <c r="AF37" i="147"/>
  <c r="AE37" i="147"/>
  <c r="AD37" i="147"/>
  <c r="AC37" i="147"/>
  <c r="W37" i="147"/>
  <c r="V37" i="147"/>
  <c r="U37" i="147"/>
  <c r="M37" i="147"/>
  <c r="F37" i="147"/>
  <c r="AF36" i="147"/>
  <c r="AE36" i="147"/>
  <c r="AD36" i="147"/>
  <c r="AC36" i="147"/>
  <c r="W36" i="147"/>
  <c r="V36" i="147"/>
  <c r="U36" i="147"/>
  <c r="X36" i="147" s="1"/>
  <c r="M36" i="147"/>
  <c r="F36" i="147"/>
  <c r="N36" i="147" s="1"/>
  <c r="AF35" i="147"/>
  <c r="AE35" i="147"/>
  <c r="AD35" i="147"/>
  <c r="AC35" i="147"/>
  <c r="W35" i="147"/>
  <c r="V35" i="147"/>
  <c r="U35" i="147"/>
  <c r="X35" i="147" s="1"/>
  <c r="M35" i="147"/>
  <c r="F35" i="147"/>
  <c r="N35" i="147" s="1"/>
  <c r="AF34" i="147"/>
  <c r="AE34" i="147"/>
  <c r="AD34" i="147"/>
  <c r="AC34" i="147"/>
  <c r="W34" i="147"/>
  <c r="V34" i="147"/>
  <c r="U34" i="147"/>
  <c r="X34" i="147" s="1"/>
  <c r="M34" i="147"/>
  <c r="F34" i="147"/>
  <c r="N34" i="147" s="1"/>
  <c r="AF33" i="147"/>
  <c r="AE33" i="147"/>
  <c r="AD33" i="147"/>
  <c r="AC33" i="147"/>
  <c r="W33" i="147"/>
  <c r="V33" i="147"/>
  <c r="U33" i="147"/>
  <c r="X33" i="147" s="1"/>
  <c r="M33" i="147"/>
  <c r="F33" i="147"/>
  <c r="AF32" i="147"/>
  <c r="AE32" i="147"/>
  <c r="AD32" i="147"/>
  <c r="AC32" i="147"/>
  <c r="W32" i="147"/>
  <c r="V32" i="147"/>
  <c r="U32" i="147"/>
  <c r="M32" i="147"/>
  <c r="F32" i="147"/>
  <c r="N32" i="147" s="1"/>
  <c r="AF31" i="147"/>
  <c r="AE31" i="147"/>
  <c r="AD31" i="147"/>
  <c r="AC31" i="147"/>
  <c r="W31" i="147"/>
  <c r="V31" i="147"/>
  <c r="U31" i="147"/>
  <c r="X31" i="147" s="1"/>
  <c r="M31" i="147"/>
  <c r="F31" i="147"/>
  <c r="N31" i="147" s="1"/>
  <c r="AF30" i="147"/>
  <c r="AE30" i="147"/>
  <c r="AD30" i="147"/>
  <c r="AC30" i="147"/>
  <c r="W30" i="147"/>
  <c r="V30" i="147"/>
  <c r="U30" i="147"/>
  <c r="M30" i="147"/>
  <c r="F30" i="147"/>
  <c r="N30" i="147" s="1"/>
  <c r="AF29" i="147"/>
  <c r="AE29" i="147"/>
  <c r="AD29" i="147"/>
  <c r="AC29" i="147"/>
  <c r="W29" i="147"/>
  <c r="V29" i="147"/>
  <c r="U29" i="147"/>
  <c r="M29" i="147"/>
  <c r="F29" i="147"/>
  <c r="AF28" i="147"/>
  <c r="AE28" i="147"/>
  <c r="AD28" i="147"/>
  <c r="AC28" i="147"/>
  <c r="W28" i="147"/>
  <c r="V28" i="147"/>
  <c r="U28" i="147"/>
  <c r="X28" i="147" s="1"/>
  <c r="M28" i="147"/>
  <c r="F28" i="147"/>
  <c r="N28" i="147" s="1"/>
  <c r="AF27" i="147"/>
  <c r="AE27" i="147"/>
  <c r="AD27" i="147"/>
  <c r="AC27" i="147"/>
  <c r="W27" i="147"/>
  <c r="V27" i="147"/>
  <c r="U27" i="147"/>
  <c r="X27" i="147" s="1"/>
  <c r="M27" i="147"/>
  <c r="F27" i="147"/>
  <c r="N27" i="147" s="1"/>
  <c r="AF26" i="147"/>
  <c r="AE26" i="147"/>
  <c r="AD26" i="147"/>
  <c r="AC26" i="147"/>
  <c r="W26" i="147"/>
  <c r="V26" i="147"/>
  <c r="U26" i="147"/>
  <c r="X26" i="147" s="1"/>
  <c r="M26" i="147"/>
  <c r="F26" i="147"/>
  <c r="N26" i="147" s="1"/>
  <c r="AF25" i="147"/>
  <c r="AE25" i="147"/>
  <c r="AD25" i="147"/>
  <c r="AC25" i="147"/>
  <c r="W25" i="147"/>
  <c r="V25" i="147"/>
  <c r="U25" i="147"/>
  <c r="X25" i="147" s="1"/>
  <c r="M25" i="147"/>
  <c r="F25" i="147"/>
  <c r="AF24" i="147"/>
  <c r="AE24" i="147"/>
  <c r="AD24" i="147"/>
  <c r="AC24" i="147"/>
  <c r="W24" i="147"/>
  <c r="V24" i="147"/>
  <c r="U24" i="147"/>
  <c r="X24" i="147" s="1"/>
  <c r="M24" i="147"/>
  <c r="F24" i="147"/>
  <c r="N24" i="147" s="1"/>
  <c r="AF23" i="147"/>
  <c r="AE23" i="147"/>
  <c r="AD23" i="147"/>
  <c r="AC23" i="147"/>
  <c r="W23" i="147"/>
  <c r="V23" i="147"/>
  <c r="U23" i="147"/>
  <c r="M23" i="147"/>
  <c r="F23" i="147"/>
  <c r="N23" i="147" s="1"/>
  <c r="AF22" i="147"/>
  <c r="AE22" i="147"/>
  <c r="AD22" i="147"/>
  <c r="AC22" i="147"/>
  <c r="W22" i="147"/>
  <c r="V22" i="147"/>
  <c r="U22" i="147"/>
  <c r="X22" i="147" s="1"/>
  <c r="M22" i="147"/>
  <c r="F22" i="147"/>
  <c r="AF21" i="147"/>
  <c r="AE21" i="147"/>
  <c r="AD21" i="147"/>
  <c r="AC21" i="147"/>
  <c r="W21" i="147"/>
  <c r="V21" i="147"/>
  <c r="U21" i="147"/>
  <c r="M21" i="147"/>
  <c r="F21" i="147"/>
  <c r="AF20" i="147"/>
  <c r="AE20" i="147"/>
  <c r="AD20" i="147"/>
  <c r="AC20" i="147"/>
  <c r="W20" i="147"/>
  <c r="V20" i="147"/>
  <c r="U20" i="147"/>
  <c r="X20" i="147" s="1"/>
  <c r="M20" i="147"/>
  <c r="F20" i="147"/>
  <c r="N20" i="147" s="1"/>
  <c r="AF19" i="147"/>
  <c r="AE19" i="147"/>
  <c r="AD19" i="147"/>
  <c r="AC19" i="147"/>
  <c r="W19" i="147"/>
  <c r="V19" i="147"/>
  <c r="U19" i="147"/>
  <c r="X19" i="147" s="1"/>
  <c r="M19" i="147"/>
  <c r="F19" i="147"/>
  <c r="N19" i="147" s="1"/>
  <c r="AF18" i="147"/>
  <c r="AE18" i="147"/>
  <c r="AD18" i="147"/>
  <c r="AC18" i="147"/>
  <c r="W18" i="147"/>
  <c r="V18" i="147"/>
  <c r="U18" i="147"/>
  <c r="X18" i="147" s="1"/>
  <c r="M18" i="147"/>
  <c r="F18" i="147"/>
  <c r="N18" i="147" s="1"/>
  <c r="AF17" i="147"/>
  <c r="AE17" i="147"/>
  <c r="AD17" i="147"/>
  <c r="AC17" i="147"/>
  <c r="W17" i="147"/>
  <c r="V17" i="147"/>
  <c r="U17" i="147"/>
  <c r="X17" i="147" s="1"/>
  <c r="M17" i="147"/>
  <c r="F17" i="147"/>
  <c r="AF16" i="147"/>
  <c r="AE16" i="147"/>
  <c r="AD16" i="147"/>
  <c r="AC16" i="147"/>
  <c r="W16" i="147"/>
  <c r="V16" i="147"/>
  <c r="U16" i="147"/>
  <c r="X16" i="147" s="1"/>
  <c r="M16" i="147"/>
  <c r="F16" i="147"/>
  <c r="N16" i="147" s="1"/>
  <c r="AF15" i="147"/>
  <c r="AE15" i="147"/>
  <c r="AD15" i="147"/>
  <c r="AC15" i="147"/>
  <c r="W15" i="147"/>
  <c r="V15" i="147"/>
  <c r="U15" i="147"/>
  <c r="X15" i="147" s="1"/>
  <c r="M15" i="147"/>
  <c r="F15" i="147"/>
  <c r="N15" i="147" s="1"/>
  <c r="AF14" i="147"/>
  <c r="AE14" i="147"/>
  <c r="AD14" i="147"/>
  <c r="AC14" i="147"/>
  <c r="W14" i="147"/>
  <c r="V14" i="147"/>
  <c r="U14" i="147"/>
  <c r="X14" i="147" s="1"/>
  <c r="M14" i="147"/>
  <c r="F14" i="147"/>
  <c r="N14" i="147" s="1"/>
  <c r="AF13" i="147"/>
  <c r="AE13" i="147"/>
  <c r="AD13" i="147"/>
  <c r="AC13" i="147"/>
  <c r="W13" i="147"/>
  <c r="V13" i="147"/>
  <c r="U13" i="147"/>
  <c r="X13" i="147" s="1"/>
  <c r="M13" i="147"/>
  <c r="F13" i="147"/>
  <c r="N13" i="147" s="1"/>
  <c r="E5" i="147"/>
  <c r="E58" i="147" s="1"/>
  <c r="A2" i="147"/>
  <c r="D103" i="146"/>
  <c r="T102" i="146"/>
  <c r="S102" i="146"/>
  <c r="R102" i="146"/>
  <c r="Q102" i="146"/>
  <c r="P102" i="146"/>
  <c r="O102" i="146"/>
  <c r="E102" i="146"/>
  <c r="D102" i="146"/>
  <c r="AF100" i="146"/>
  <c r="AE100" i="146"/>
  <c r="AD100" i="146"/>
  <c r="AC100" i="146"/>
  <c r="W100" i="146"/>
  <c r="V100" i="146"/>
  <c r="U100" i="146"/>
  <c r="X100" i="146" s="1"/>
  <c r="M100" i="146"/>
  <c r="F100" i="146"/>
  <c r="N100" i="146" s="1"/>
  <c r="AF99" i="146"/>
  <c r="AE99" i="146"/>
  <c r="AD99" i="146"/>
  <c r="AC99" i="146"/>
  <c r="W99" i="146"/>
  <c r="V99" i="146"/>
  <c r="U99" i="146"/>
  <c r="X99" i="146" s="1"/>
  <c r="M99" i="146"/>
  <c r="F99" i="146"/>
  <c r="N99" i="146" s="1"/>
  <c r="AF98" i="146"/>
  <c r="AE98" i="146"/>
  <c r="AD98" i="146"/>
  <c r="AC98" i="146"/>
  <c r="W98" i="146"/>
  <c r="V98" i="146"/>
  <c r="U98" i="146"/>
  <c r="X98" i="146" s="1"/>
  <c r="M98" i="146"/>
  <c r="F98" i="146"/>
  <c r="N98" i="146" s="1"/>
  <c r="AF97" i="146"/>
  <c r="AE97" i="146"/>
  <c r="AD97" i="146"/>
  <c r="AC97" i="146"/>
  <c r="W97" i="146"/>
  <c r="V97" i="146"/>
  <c r="U97" i="146"/>
  <c r="M97" i="146"/>
  <c r="F97" i="146"/>
  <c r="AF96" i="146"/>
  <c r="AE96" i="146"/>
  <c r="AD96" i="146"/>
  <c r="AC96" i="146"/>
  <c r="W96" i="146"/>
  <c r="V96" i="146"/>
  <c r="U96" i="146"/>
  <c r="X96" i="146" s="1"/>
  <c r="M96" i="146"/>
  <c r="F96" i="146"/>
  <c r="N96" i="146" s="1"/>
  <c r="AF95" i="146"/>
  <c r="AE95" i="146"/>
  <c r="AD95" i="146"/>
  <c r="AC95" i="146"/>
  <c r="W95" i="146"/>
  <c r="V95" i="146"/>
  <c r="U95" i="146"/>
  <c r="X95" i="146" s="1"/>
  <c r="M95" i="146"/>
  <c r="F95" i="146"/>
  <c r="N95" i="146" s="1"/>
  <c r="AF94" i="146"/>
  <c r="AE94" i="146"/>
  <c r="AD94" i="146"/>
  <c r="AC94" i="146"/>
  <c r="W94" i="146"/>
  <c r="V94" i="146"/>
  <c r="U94" i="146"/>
  <c r="X94" i="146" s="1"/>
  <c r="M94" i="146"/>
  <c r="F94" i="146"/>
  <c r="N94" i="146" s="1"/>
  <c r="AF93" i="146"/>
  <c r="AE93" i="146"/>
  <c r="AD93" i="146"/>
  <c r="AC93" i="146"/>
  <c r="W93" i="146"/>
  <c r="V93" i="146"/>
  <c r="U93" i="146"/>
  <c r="X93" i="146" s="1"/>
  <c r="M93" i="146"/>
  <c r="F93" i="146"/>
  <c r="AF92" i="146"/>
  <c r="AE92" i="146"/>
  <c r="AD92" i="146"/>
  <c r="AC92" i="146"/>
  <c r="W92" i="146"/>
  <c r="V92" i="146"/>
  <c r="U92" i="146"/>
  <c r="X92" i="146" s="1"/>
  <c r="M92" i="146"/>
  <c r="F92" i="146"/>
  <c r="N92" i="146" s="1"/>
  <c r="AF91" i="146"/>
  <c r="AE91" i="146"/>
  <c r="AD91" i="146"/>
  <c r="AC91" i="146"/>
  <c r="W91" i="146"/>
  <c r="V91" i="146"/>
  <c r="U91" i="146"/>
  <c r="X91" i="146" s="1"/>
  <c r="M91" i="146"/>
  <c r="F91" i="146"/>
  <c r="N91" i="146" s="1"/>
  <c r="AF90" i="146"/>
  <c r="AE90" i="146"/>
  <c r="AD90" i="146"/>
  <c r="AC90" i="146"/>
  <c r="W90" i="146"/>
  <c r="V90" i="146"/>
  <c r="U90" i="146"/>
  <c r="M90" i="146"/>
  <c r="F90" i="146"/>
  <c r="N90" i="146" s="1"/>
  <c r="AF89" i="146"/>
  <c r="AE89" i="146"/>
  <c r="AD89" i="146"/>
  <c r="AC89" i="146"/>
  <c r="W89" i="146"/>
  <c r="V89" i="146"/>
  <c r="U89" i="146"/>
  <c r="M89" i="146"/>
  <c r="F89" i="146"/>
  <c r="AF88" i="146"/>
  <c r="AE88" i="146"/>
  <c r="AD88" i="146"/>
  <c r="AC88" i="146"/>
  <c r="W88" i="146"/>
  <c r="V88" i="146"/>
  <c r="U88" i="146"/>
  <c r="M88" i="146"/>
  <c r="F88" i="146"/>
  <c r="N88" i="146" s="1"/>
  <c r="AF87" i="146"/>
  <c r="AE87" i="146"/>
  <c r="AD87" i="146"/>
  <c r="AC87" i="146"/>
  <c r="W87" i="146"/>
  <c r="V87" i="146"/>
  <c r="U87" i="146"/>
  <c r="X87" i="146" s="1"/>
  <c r="M87" i="146"/>
  <c r="F87" i="146"/>
  <c r="N87" i="146" s="1"/>
  <c r="AF86" i="146"/>
  <c r="AE86" i="146"/>
  <c r="AD86" i="146"/>
  <c r="AC86" i="146"/>
  <c r="W86" i="146"/>
  <c r="V86" i="146"/>
  <c r="U86" i="146"/>
  <c r="M86" i="146"/>
  <c r="F86" i="146"/>
  <c r="AF85" i="146"/>
  <c r="AE85" i="146"/>
  <c r="AD85" i="146"/>
  <c r="AC85" i="146"/>
  <c r="W85" i="146"/>
  <c r="V85" i="146"/>
  <c r="U85" i="146"/>
  <c r="M85" i="146"/>
  <c r="F85" i="146"/>
  <c r="AF84" i="146"/>
  <c r="AE84" i="146"/>
  <c r="AD84" i="146"/>
  <c r="AC84" i="146"/>
  <c r="W84" i="146"/>
  <c r="V84" i="146"/>
  <c r="U84" i="146"/>
  <c r="X84" i="146" s="1"/>
  <c r="M84" i="146"/>
  <c r="F84" i="146"/>
  <c r="N84" i="146" s="1"/>
  <c r="AF83" i="146"/>
  <c r="AE83" i="146"/>
  <c r="AD83" i="146"/>
  <c r="AC83" i="146"/>
  <c r="W83" i="146"/>
  <c r="V83" i="146"/>
  <c r="U83" i="146"/>
  <c r="X83" i="146" s="1"/>
  <c r="M83" i="146"/>
  <c r="F83" i="146"/>
  <c r="N83" i="146" s="1"/>
  <c r="AF82" i="146"/>
  <c r="AE82" i="146"/>
  <c r="AD82" i="146"/>
  <c r="AC82" i="146"/>
  <c r="W82" i="146"/>
  <c r="V82" i="146"/>
  <c r="U82" i="146"/>
  <c r="X82" i="146" s="1"/>
  <c r="M82" i="146"/>
  <c r="F82" i="146"/>
  <c r="N82" i="146" s="1"/>
  <c r="AF81" i="146"/>
  <c r="AE81" i="146"/>
  <c r="AD81" i="146"/>
  <c r="AC81" i="146"/>
  <c r="W81" i="146"/>
  <c r="V81" i="146"/>
  <c r="U81" i="146"/>
  <c r="M81" i="146"/>
  <c r="F81" i="146"/>
  <c r="AF80" i="146"/>
  <c r="AE80" i="146"/>
  <c r="AD80" i="146"/>
  <c r="AC80" i="146"/>
  <c r="W80" i="146"/>
  <c r="V80" i="146"/>
  <c r="U80" i="146"/>
  <c r="X80" i="146" s="1"/>
  <c r="M80" i="146"/>
  <c r="F80" i="146"/>
  <c r="N80" i="146" s="1"/>
  <c r="AF79" i="146"/>
  <c r="AE79" i="146"/>
  <c r="AD79" i="146"/>
  <c r="AC79" i="146"/>
  <c r="W79" i="146"/>
  <c r="V79" i="146"/>
  <c r="U79" i="146"/>
  <c r="X79" i="146" s="1"/>
  <c r="M79" i="146"/>
  <c r="F79" i="146"/>
  <c r="N79" i="146" s="1"/>
  <c r="AF78" i="146"/>
  <c r="AE78" i="146"/>
  <c r="AD78" i="146"/>
  <c r="AC78" i="146"/>
  <c r="W78" i="146"/>
  <c r="V78" i="146"/>
  <c r="U78" i="146"/>
  <c r="M78" i="146"/>
  <c r="F78" i="146"/>
  <c r="AF77" i="146"/>
  <c r="AE77" i="146"/>
  <c r="AD77" i="146"/>
  <c r="AC77" i="146"/>
  <c r="W77" i="146"/>
  <c r="V77" i="146"/>
  <c r="U77" i="146"/>
  <c r="M77" i="146"/>
  <c r="F77" i="146"/>
  <c r="AF76" i="146"/>
  <c r="AE76" i="146"/>
  <c r="AD76" i="146"/>
  <c r="AC76" i="146"/>
  <c r="W76" i="146"/>
  <c r="V76" i="146"/>
  <c r="U76" i="146"/>
  <c r="M76" i="146"/>
  <c r="F76" i="146"/>
  <c r="N76" i="146" s="1"/>
  <c r="AF75" i="146"/>
  <c r="AE75" i="146"/>
  <c r="AD75" i="146"/>
  <c r="AC75" i="146"/>
  <c r="W75" i="146"/>
  <c r="V75" i="146"/>
  <c r="U75" i="146"/>
  <c r="M75" i="146"/>
  <c r="F75" i="146"/>
  <c r="N75" i="146" s="1"/>
  <c r="AF74" i="146"/>
  <c r="AE74" i="146"/>
  <c r="AD74" i="146"/>
  <c r="AC74" i="146"/>
  <c r="W74" i="146"/>
  <c r="V74" i="146"/>
  <c r="U74" i="146"/>
  <c r="X74" i="146" s="1"/>
  <c r="M74" i="146"/>
  <c r="F74" i="146"/>
  <c r="N74" i="146" s="1"/>
  <c r="AF73" i="146"/>
  <c r="AE73" i="146"/>
  <c r="AD73" i="146"/>
  <c r="AC73" i="146"/>
  <c r="W73" i="146"/>
  <c r="V73" i="146"/>
  <c r="U73" i="146"/>
  <c r="M73" i="146"/>
  <c r="F73" i="146"/>
  <c r="AF72" i="146"/>
  <c r="AE72" i="146"/>
  <c r="AD72" i="146"/>
  <c r="AC72" i="146"/>
  <c r="W72" i="146"/>
  <c r="V72" i="146"/>
  <c r="U72" i="146"/>
  <c r="X72" i="146" s="1"/>
  <c r="M72" i="146"/>
  <c r="F72" i="146"/>
  <c r="N72" i="146" s="1"/>
  <c r="AF71" i="146"/>
  <c r="AE71" i="146"/>
  <c r="AD71" i="146"/>
  <c r="AC71" i="146"/>
  <c r="W71" i="146"/>
  <c r="V71" i="146"/>
  <c r="U71" i="146"/>
  <c r="M71" i="146"/>
  <c r="F71" i="146"/>
  <c r="N71" i="146" s="1"/>
  <c r="AF70" i="146"/>
  <c r="AE70" i="146"/>
  <c r="AD70" i="146"/>
  <c r="AC70" i="146"/>
  <c r="W70" i="146"/>
  <c r="V70" i="146"/>
  <c r="U70" i="146"/>
  <c r="X70" i="146" s="1"/>
  <c r="M70" i="146"/>
  <c r="F70" i="146"/>
  <c r="AF69" i="146"/>
  <c r="AE69" i="146"/>
  <c r="AD69" i="146"/>
  <c r="AC69" i="146"/>
  <c r="W69" i="146"/>
  <c r="V69" i="146"/>
  <c r="U69" i="146"/>
  <c r="X69" i="146" s="1"/>
  <c r="M69" i="146"/>
  <c r="F69" i="146"/>
  <c r="AF68" i="146"/>
  <c r="AE68" i="146"/>
  <c r="AD68" i="146"/>
  <c r="AC68" i="146"/>
  <c r="W68" i="146"/>
  <c r="V68" i="146"/>
  <c r="U68" i="146"/>
  <c r="X68" i="146" s="1"/>
  <c r="M68" i="146"/>
  <c r="F68" i="146"/>
  <c r="N68" i="146" s="1"/>
  <c r="AF67" i="146"/>
  <c r="AE67" i="146"/>
  <c r="AD67" i="146"/>
  <c r="AC67" i="146"/>
  <c r="W67" i="146"/>
  <c r="V67" i="146"/>
  <c r="U67" i="146"/>
  <c r="M67" i="146"/>
  <c r="F67" i="146"/>
  <c r="N67" i="146" s="1"/>
  <c r="AF66" i="146"/>
  <c r="AE66" i="146"/>
  <c r="AD66" i="146"/>
  <c r="AC66" i="146"/>
  <c r="W66" i="146"/>
  <c r="V66" i="146"/>
  <c r="U66" i="146"/>
  <c r="M66" i="146"/>
  <c r="F66" i="146"/>
  <c r="E49" i="146"/>
  <c r="D49" i="146"/>
  <c r="T48" i="146"/>
  <c r="S48" i="146"/>
  <c r="R48" i="146"/>
  <c r="Q48" i="146"/>
  <c r="P48" i="146"/>
  <c r="O48" i="146"/>
  <c r="E48" i="146"/>
  <c r="D48" i="146"/>
  <c r="AF46" i="146"/>
  <c r="AE46" i="146"/>
  <c r="AD46" i="146"/>
  <c r="AC46" i="146"/>
  <c r="W46" i="146"/>
  <c r="V46" i="146"/>
  <c r="U46" i="146"/>
  <c r="X46" i="146" s="1"/>
  <c r="M46" i="146"/>
  <c r="F46" i="146"/>
  <c r="AF45" i="146"/>
  <c r="AE45" i="146"/>
  <c r="AD45" i="146"/>
  <c r="AC45" i="146"/>
  <c r="W45" i="146"/>
  <c r="V45" i="146"/>
  <c r="U45" i="146"/>
  <c r="X45" i="146" s="1"/>
  <c r="M45" i="146"/>
  <c r="F45" i="146"/>
  <c r="N45" i="146" s="1"/>
  <c r="AF44" i="146"/>
  <c r="AE44" i="146"/>
  <c r="AD44" i="146"/>
  <c r="AC44" i="146"/>
  <c r="W44" i="146"/>
  <c r="V44" i="146"/>
  <c r="U44" i="146"/>
  <c r="X44" i="146" s="1"/>
  <c r="M44" i="146"/>
  <c r="F44" i="146"/>
  <c r="N44" i="146" s="1"/>
  <c r="AF43" i="146"/>
  <c r="AE43" i="146"/>
  <c r="AD43" i="146"/>
  <c r="AC43" i="146"/>
  <c r="W43" i="146"/>
  <c r="V43" i="146"/>
  <c r="U43" i="146"/>
  <c r="X43" i="146" s="1"/>
  <c r="M43" i="146"/>
  <c r="F43" i="146"/>
  <c r="N43" i="146" s="1"/>
  <c r="AF42" i="146"/>
  <c r="AE42" i="146"/>
  <c r="AD42" i="146"/>
  <c r="AC42" i="146"/>
  <c r="W42" i="146"/>
  <c r="V42" i="146"/>
  <c r="U42" i="146"/>
  <c r="X42" i="146" s="1"/>
  <c r="M42" i="146"/>
  <c r="F42" i="146"/>
  <c r="N42" i="146" s="1"/>
  <c r="AF41" i="146"/>
  <c r="AE41" i="146"/>
  <c r="AD41" i="146"/>
  <c r="AC41" i="146"/>
  <c r="W41" i="146"/>
  <c r="V41" i="146"/>
  <c r="U41" i="146"/>
  <c r="X41" i="146" s="1"/>
  <c r="M41" i="146"/>
  <c r="F41" i="146"/>
  <c r="N41" i="146" s="1"/>
  <c r="AF40" i="146"/>
  <c r="AE40" i="146"/>
  <c r="AD40" i="146"/>
  <c r="AC40" i="146"/>
  <c r="W40" i="146"/>
  <c r="V40" i="146"/>
  <c r="U40" i="146"/>
  <c r="M40" i="146"/>
  <c r="F40" i="146"/>
  <c r="AF39" i="146"/>
  <c r="AE39" i="146"/>
  <c r="AD39" i="146"/>
  <c r="AC39" i="146"/>
  <c r="W39" i="146"/>
  <c r="V39" i="146"/>
  <c r="U39" i="146"/>
  <c r="X39" i="146" s="1"/>
  <c r="M39" i="146"/>
  <c r="F39" i="146"/>
  <c r="AF38" i="146"/>
  <c r="AE38" i="146"/>
  <c r="AD38" i="146"/>
  <c r="AC38" i="146"/>
  <c r="W38" i="146"/>
  <c r="V38" i="146"/>
  <c r="U38" i="146"/>
  <c r="M38" i="146"/>
  <c r="F38" i="146"/>
  <c r="AF37" i="146"/>
  <c r="AE37" i="146"/>
  <c r="AD37" i="146"/>
  <c r="AC37" i="146"/>
  <c r="W37" i="146"/>
  <c r="V37" i="146"/>
  <c r="U37" i="146"/>
  <c r="X37" i="146" s="1"/>
  <c r="M37" i="146"/>
  <c r="F37" i="146"/>
  <c r="AF36" i="146"/>
  <c r="AE36" i="146"/>
  <c r="AD36" i="146"/>
  <c r="AC36" i="146"/>
  <c r="W36" i="146"/>
  <c r="V36" i="146"/>
  <c r="U36" i="146"/>
  <c r="M36" i="146"/>
  <c r="F36" i="146"/>
  <c r="AF35" i="146"/>
  <c r="AE35" i="146"/>
  <c r="AD35" i="146"/>
  <c r="AC35" i="146"/>
  <c r="W35" i="146"/>
  <c r="V35" i="146"/>
  <c r="U35" i="146"/>
  <c r="X35" i="146" s="1"/>
  <c r="M35" i="146"/>
  <c r="F35" i="146"/>
  <c r="N35" i="146" s="1"/>
  <c r="AF34" i="146"/>
  <c r="AE34" i="146"/>
  <c r="AD34" i="146"/>
  <c r="AC34" i="146"/>
  <c r="W34" i="146"/>
  <c r="V34" i="146"/>
  <c r="U34" i="146"/>
  <c r="X34" i="146" s="1"/>
  <c r="M34" i="146"/>
  <c r="F34" i="146"/>
  <c r="N34" i="146" s="1"/>
  <c r="AF33" i="146"/>
  <c r="AE33" i="146"/>
  <c r="AD33" i="146"/>
  <c r="AC33" i="146"/>
  <c r="W33" i="146"/>
  <c r="V33" i="146"/>
  <c r="U33" i="146"/>
  <c r="X33" i="146" s="1"/>
  <c r="M33" i="146"/>
  <c r="F33" i="146"/>
  <c r="N33" i="146" s="1"/>
  <c r="AF32" i="146"/>
  <c r="AE32" i="146"/>
  <c r="AD32" i="146"/>
  <c r="AC32" i="146"/>
  <c r="W32" i="146"/>
  <c r="V32" i="146"/>
  <c r="U32" i="146"/>
  <c r="M32" i="146"/>
  <c r="F32" i="146"/>
  <c r="N32" i="146" s="1"/>
  <c r="AF31" i="146"/>
  <c r="AE31" i="146"/>
  <c r="AD31" i="146"/>
  <c r="AC31" i="146"/>
  <c r="W31" i="146"/>
  <c r="V31" i="146"/>
  <c r="U31" i="146"/>
  <c r="M31" i="146"/>
  <c r="F31" i="146"/>
  <c r="AF30" i="146"/>
  <c r="AE30" i="146"/>
  <c r="AD30" i="146"/>
  <c r="AC30" i="146"/>
  <c r="W30" i="146"/>
  <c r="V30" i="146"/>
  <c r="U30" i="146"/>
  <c r="X30" i="146" s="1"/>
  <c r="M30" i="146"/>
  <c r="F30" i="146"/>
  <c r="N30" i="146" s="1"/>
  <c r="AF29" i="146"/>
  <c r="AE29" i="146"/>
  <c r="AD29" i="146"/>
  <c r="AC29" i="146"/>
  <c r="W29" i="146"/>
  <c r="V29" i="146"/>
  <c r="U29" i="146"/>
  <c r="M29" i="146"/>
  <c r="F29" i="146"/>
  <c r="AF28" i="146"/>
  <c r="AE28" i="146"/>
  <c r="AD28" i="146"/>
  <c r="AC28" i="146"/>
  <c r="W28" i="146"/>
  <c r="V28" i="146"/>
  <c r="U28" i="146"/>
  <c r="M28" i="146"/>
  <c r="F28" i="146"/>
  <c r="N28" i="146" s="1"/>
  <c r="AF27" i="146"/>
  <c r="AE27" i="146"/>
  <c r="AD27" i="146"/>
  <c r="AC27" i="146"/>
  <c r="W27" i="146"/>
  <c r="V27" i="146"/>
  <c r="U27" i="146"/>
  <c r="M27" i="146"/>
  <c r="F27" i="146"/>
  <c r="AF26" i="146"/>
  <c r="AE26" i="146"/>
  <c r="AD26" i="146"/>
  <c r="AC26" i="146"/>
  <c r="W26" i="146"/>
  <c r="V26" i="146"/>
  <c r="U26" i="146"/>
  <c r="X26" i="146" s="1"/>
  <c r="M26" i="146"/>
  <c r="F26" i="146"/>
  <c r="AF25" i="146"/>
  <c r="AE25" i="146"/>
  <c r="AD25" i="146"/>
  <c r="AC25" i="146"/>
  <c r="W25" i="146"/>
  <c r="V25" i="146"/>
  <c r="U25" i="146"/>
  <c r="X25" i="146" s="1"/>
  <c r="M25" i="146"/>
  <c r="F25" i="146"/>
  <c r="N25" i="146" s="1"/>
  <c r="AF24" i="146"/>
  <c r="AE24" i="146"/>
  <c r="AD24" i="146"/>
  <c r="AC24" i="146"/>
  <c r="W24" i="146"/>
  <c r="V24" i="146"/>
  <c r="U24" i="146"/>
  <c r="X24" i="146" s="1"/>
  <c r="M24" i="146"/>
  <c r="F24" i="146"/>
  <c r="N24" i="146" s="1"/>
  <c r="AF23" i="146"/>
  <c r="AE23" i="146"/>
  <c r="AD23" i="146"/>
  <c r="AC23" i="146"/>
  <c r="W23" i="146"/>
  <c r="V23" i="146"/>
  <c r="U23" i="146"/>
  <c r="X23" i="146" s="1"/>
  <c r="M23" i="146"/>
  <c r="F23" i="146"/>
  <c r="N23" i="146" s="1"/>
  <c r="AF22" i="146"/>
  <c r="AE22" i="146"/>
  <c r="AD22" i="146"/>
  <c r="AC22" i="146"/>
  <c r="W22" i="146"/>
  <c r="V22" i="146"/>
  <c r="U22" i="146"/>
  <c r="X22" i="146" s="1"/>
  <c r="M22" i="146"/>
  <c r="F22" i="146"/>
  <c r="N22" i="146" s="1"/>
  <c r="AF21" i="146"/>
  <c r="AE21" i="146"/>
  <c r="AD21" i="146"/>
  <c r="AC21" i="146"/>
  <c r="W21" i="146"/>
  <c r="V21" i="146"/>
  <c r="U21" i="146"/>
  <c r="M21" i="146"/>
  <c r="F21" i="146"/>
  <c r="N21" i="146" s="1"/>
  <c r="AF20" i="146"/>
  <c r="AE20" i="146"/>
  <c r="AD20" i="146"/>
  <c r="AC20" i="146"/>
  <c r="W20" i="146"/>
  <c r="V20" i="146"/>
  <c r="U20" i="146"/>
  <c r="M20" i="146"/>
  <c r="F20" i="146"/>
  <c r="N20" i="146" s="1"/>
  <c r="AF19" i="146"/>
  <c r="AE19" i="146"/>
  <c r="AD19" i="146"/>
  <c r="AC19" i="146"/>
  <c r="W19" i="146"/>
  <c r="V19" i="146"/>
  <c r="U19" i="146"/>
  <c r="X19" i="146" s="1"/>
  <c r="M19" i="146"/>
  <c r="F19" i="146"/>
  <c r="N19" i="146" s="1"/>
  <c r="AF18" i="146"/>
  <c r="AE18" i="146"/>
  <c r="AD18" i="146"/>
  <c r="AC18" i="146"/>
  <c r="W18" i="146"/>
  <c r="V18" i="146"/>
  <c r="U18" i="146"/>
  <c r="M18" i="146"/>
  <c r="F18" i="146"/>
  <c r="AF17" i="146"/>
  <c r="AE17" i="146"/>
  <c r="AD17" i="146"/>
  <c r="AC17" i="146"/>
  <c r="W17" i="146"/>
  <c r="V17" i="146"/>
  <c r="U17" i="146"/>
  <c r="M17" i="146"/>
  <c r="F17" i="146"/>
  <c r="AF16" i="146"/>
  <c r="AE16" i="146"/>
  <c r="AD16" i="146"/>
  <c r="AC16" i="146"/>
  <c r="W16" i="146"/>
  <c r="V16" i="146"/>
  <c r="U16" i="146"/>
  <c r="X16" i="146" s="1"/>
  <c r="M16" i="146"/>
  <c r="F16" i="146"/>
  <c r="N16" i="146" s="1"/>
  <c r="AF15" i="146"/>
  <c r="AE15" i="146"/>
  <c r="AD15" i="146"/>
  <c r="AC15" i="146"/>
  <c r="W15" i="146"/>
  <c r="V15" i="146"/>
  <c r="U15" i="146"/>
  <c r="X15" i="146" s="1"/>
  <c r="M15" i="146"/>
  <c r="F15" i="146"/>
  <c r="N15" i="146" s="1"/>
  <c r="AF14" i="146"/>
  <c r="AE14" i="146"/>
  <c r="AD14" i="146"/>
  <c r="AC14" i="146"/>
  <c r="W14" i="146"/>
  <c r="V14" i="146"/>
  <c r="U14" i="146"/>
  <c r="X14" i="146" s="1"/>
  <c r="M14" i="146"/>
  <c r="F14" i="146"/>
  <c r="N14" i="146" s="1"/>
  <c r="AF13" i="146"/>
  <c r="AE13" i="146"/>
  <c r="AD13" i="146"/>
  <c r="AC13" i="146"/>
  <c r="W13" i="146"/>
  <c r="V13" i="146"/>
  <c r="U13" i="146"/>
  <c r="X13" i="146" s="1"/>
  <c r="M13" i="146"/>
  <c r="F13" i="146"/>
  <c r="E5" i="146"/>
  <c r="A2" i="146"/>
  <c r="D103" i="145"/>
  <c r="T102" i="145"/>
  <c r="S102" i="145"/>
  <c r="R102" i="145"/>
  <c r="Q102" i="145"/>
  <c r="P102" i="145"/>
  <c r="O102" i="145"/>
  <c r="E102" i="145"/>
  <c r="D102" i="145"/>
  <c r="AF100" i="145"/>
  <c r="AE100" i="145"/>
  <c r="AD100" i="145"/>
  <c r="AC100" i="145"/>
  <c r="W100" i="145"/>
  <c r="V100" i="145"/>
  <c r="U100" i="145"/>
  <c r="M100" i="145"/>
  <c r="F100" i="145"/>
  <c r="N100" i="145" s="1"/>
  <c r="AF99" i="145"/>
  <c r="AE99" i="145"/>
  <c r="AD99" i="145"/>
  <c r="AC99" i="145"/>
  <c r="W99" i="145"/>
  <c r="V99" i="145"/>
  <c r="U99" i="145"/>
  <c r="X99" i="145" s="1"/>
  <c r="M99" i="145"/>
  <c r="F99" i="145"/>
  <c r="N99" i="145" s="1"/>
  <c r="AF98" i="145"/>
  <c r="AE98" i="145"/>
  <c r="AD98" i="145"/>
  <c r="AC98" i="145"/>
  <c r="W98" i="145"/>
  <c r="V98" i="145"/>
  <c r="U98" i="145"/>
  <c r="M98" i="145"/>
  <c r="F98" i="145"/>
  <c r="AF97" i="145"/>
  <c r="AE97" i="145"/>
  <c r="AD97" i="145"/>
  <c r="AC97" i="145"/>
  <c r="W97" i="145"/>
  <c r="V97" i="145"/>
  <c r="U97" i="145"/>
  <c r="M97" i="145"/>
  <c r="F97" i="145"/>
  <c r="N97" i="145" s="1"/>
  <c r="AF96" i="145"/>
  <c r="AE96" i="145"/>
  <c r="AD96" i="145"/>
  <c r="AC96" i="145"/>
  <c r="W96" i="145"/>
  <c r="V96" i="145"/>
  <c r="U96" i="145"/>
  <c r="X96" i="145" s="1"/>
  <c r="M96" i="145"/>
  <c r="F96" i="145"/>
  <c r="N96" i="145" s="1"/>
  <c r="AF95" i="145"/>
  <c r="AE95" i="145"/>
  <c r="AD95" i="145"/>
  <c r="AC95" i="145"/>
  <c r="W95" i="145"/>
  <c r="V95" i="145"/>
  <c r="U95" i="145"/>
  <c r="M95" i="145"/>
  <c r="F95" i="145"/>
  <c r="AF94" i="145"/>
  <c r="AE94" i="145"/>
  <c r="AD94" i="145"/>
  <c r="AC94" i="145"/>
  <c r="W94" i="145"/>
  <c r="V94" i="145"/>
  <c r="U94" i="145"/>
  <c r="X94" i="145" s="1"/>
  <c r="M94" i="145"/>
  <c r="F94" i="145"/>
  <c r="AF93" i="145"/>
  <c r="AE93" i="145"/>
  <c r="AD93" i="145"/>
  <c r="AC93" i="145"/>
  <c r="W93" i="145"/>
  <c r="V93" i="145"/>
  <c r="U93" i="145"/>
  <c r="X93" i="145" s="1"/>
  <c r="M93" i="145"/>
  <c r="F93" i="145"/>
  <c r="N93" i="145" s="1"/>
  <c r="AF92" i="145"/>
  <c r="AE92" i="145"/>
  <c r="AD92" i="145"/>
  <c r="AC92" i="145"/>
  <c r="W92" i="145"/>
  <c r="V92" i="145"/>
  <c r="U92" i="145"/>
  <c r="X92" i="145" s="1"/>
  <c r="M92" i="145"/>
  <c r="F92" i="145"/>
  <c r="N92" i="145" s="1"/>
  <c r="AF91" i="145"/>
  <c r="AE91" i="145"/>
  <c r="AD91" i="145"/>
  <c r="AC91" i="145"/>
  <c r="W91" i="145"/>
  <c r="V91" i="145"/>
  <c r="U91" i="145"/>
  <c r="X91" i="145" s="1"/>
  <c r="M91" i="145"/>
  <c r="F91" i="145"/>
  <c r="N91" i="145" s="1"/>
  <c r="AF90" i="145"/>
  <c r="AE90" i="145"/>
  <c r="AD90" i="145"/>
  <c r="AC90" i="145"/>
  <c r="W90" i="145"/>
  <c r="V90" i="145"/>
  <c r="U90" i="145"/>
  <c r="M90" i="145"/>
  <c r="F90" i="145"/>
  <c r="AF89" i="145"/>
  <c r="AE89" i="145"/>
  <c r="AD89" i="145"/>
  <c r="AC89" i="145"/>
  <c r="W89" i="145"/>
  <c r="V89" i="145"/>
  <c r="U89" i="145"/>
  <c r="X89" i="145" s="1"/>
  <c r="M89" i="145"/>
  <c r="F89" i="145"/>
  <c r="N89" i="145" s="1"/>
  <c r="AF88" i="145"/>
  <c r="AE88" i="145"/>
  <c r="AD88" i="145"/>
  <c r="AC88" i="145"/>
  <c r="W88" i="145"/>
  <c r="V88" i="145"/>
  <c r="U88" i="145"/>
  <c r="M88" i="145"/>
  <c r="F88" i="145"/>
  <c r="N88" i="145" s="1"/>
  <c r="AF87" i="145"/>
  <c r="AE87" i="145"/>
  <c r="AD87" i="145"/>
  <c r="AC87" i="145"/>
  <c r="W87" i="145"/>
  <c r="V87" i="145"/>
  <c r="U87" i="145"/>
  <c r="M87" i="145"/>
  <c r="F87" i="145"/>
  <c r="AF86" i="145"/>
  <c r="AE86" i="145"/>
  <c r="AD86" i="145"/>
  <c r="AC86" i="145"/>
  <c r="W86" i="145"/>
  <c r="V86" i="145"/>
  <c r="U86" i="145"/>
  <c r="M86" i="145"/>
  <c r="F86" i="145"/>
  <c r="AF85" i="145"/>
  <c r="AE85" i="145"/>
  <c r="AD85" i="145"/>
  <c r="AC85" i="145"/>
  <c r="W85" i="145"/>
  <c r="V85" i="145"/>
  <c r="U85" i="145"/>
  <c r="X85" i="145" s="1"/>
  <c r="M85" i="145"/>
  <c r="F85" i="145"/>
  <c r="N85" i="145" s="1"/>
  <c r="AF84" i="145"/>
  <c r="AE84" i="145"/>
  <c r="AD84" i="145"/>
  <c r="AC84" i="145"/>
  <c r="W84" i="145"/>
  <c r="V84" i="145"/>
  <c r="U84" i="145"/>
  <c r="X84" i="145" s="1"/>
  <c r="M84" i="145"/>
  <c r="F84" i="145"/>
  <c r="N84" i="145" s="1"/>
  <c r="AF83" i="145"/>
  <c r="AE83" i="145"/>
  <c r="AD83" i="145"/>
  <c r="AC83" i="145"/>
  <c r="W83" i="145"/>
  <c r="V83" i="145"/>
  <c r="U83" i="145"/>
  <c r="X83" i="145" s="1"/>
  <c r="M83" i="145"/>
  <c r="F83" i="145"/>
  <c r="N83" i="145" s="1"/>
  <c r="AF82" i="145"/>
  <c r="AE82" i="145"/>
  <c r="AD82" i="145"/>
  <c r="AC82" i="145"/>
  <c r="W82" i="145"/>
  <c r="V82" i="145"/>
  <c r="U82" i="145"/>
  <c r="M82" i="145"/>
  <c r="F82" i="145"/>
  <c r="AF81" i="145"/>
  <c r="AE81" i="145"/>
  <c r="AD81" i="145"/>
  <c r="AC81" i="145"/>
  <c r="W81" i="145"/>
  <c r="V81" i="145"/>
  <c r="U81" i="145"/>
  <c r="X81" i="145" s="1"/>
  <c r="M81" i="145"/>
  <c r="F81" i="145"/>
  <c r="N81" i="145" s="1"/>
  <c r="AF80" i="145"/>
  <c r="AE80" i="145"/>
  <c r="AD80" i="145"/>
  <c r="AC80" i="145"/>
  <c r="W80" i="145"/>
  <c r="V80" i="145"/>
  <c r="U80" i="145"/>
  <c r="X80" i="145" s="1"/>
  <c r="M80" i="145"/>
  <c r="F80" i="145"/>
  <c r="N80" i="145" s="1"/>
  <c r="AF79" i="145"/>
  <c r="AE79" i="145"/>
  <c r="AD79" i="145"/>
  <c r="AC79" i="145"/>
  <c r="W79" i="145"/>
  <c r="V79" i="145"/>
  <c r="U79" i="145"/>
  <c r="X79" i="145" s="1"/>
  <c r="M79" i="145"/>
  <c r="F79" i="145"/>
  <c r="AF78" i="145"/>
  <c r="AE78" i="145"/>
  <c r="AD78" i="145"/>
  <c r="AC78" i="145"/>
  <c r="W78" i="145"/>
  <c r="V78" i="145"/>
  <c r="U78" i="145"/>
  <c r="M78" i="145"/>
  <c r="F78" i="145"/>
  <c r="AF77" i="145"/>
  <c r="AE77" i="145"/>
  <c r="AD77" i="145"/>
  <c r="AC77" i="145"/>
  <c r="W77" i="145"/>
  <c r="V77" i="145"/>
  <c r="U77" i="145"/>
  <c r="M77" i="145"/>
  <c r="F77" i="145"/>
  <c r="N77" i="145" s="1"/>
  <c r="AF76" i="145"/>
  <c r="AE76" i="145"/>
  <c r="AD76" i="145"/>
  <c r="AC76" i="145"/>
  <c r="W76" i="145"/>
  <c r="V76" i="145"/>
  <c r="U76" i="145"/>
  <c r="X76" i="145" s="1"/>
  <c r="M76" i="145"/>
  <c r="F76" i="145"/>
  <c r="N76" i="145" s="1"/>
  <c r="AF75" i="145"/>
  <c r="AE75" i="145"/>
  <c r="AD75" i="145"/>
  <c r="AC75" i="145"/>
  <c r="W75" i="145"/>
  <c r="V75" i="145"/>
  <c r="U75" i="145"/>
  <c r="X75" i="145" s="1"/>
  <c r="M75" i="145"/>
  <c r="F75" i="145"/>
  <c r="N75" i="145" s="1"/>
  <c r="AF74" i="145"/>
  <c r="AE74" i="145"/>
  <c r="AD74" i="145"/>
  <c r="AC74" i="145"/>
  <c r="W74" i="145"/>
  <c r="V74" i="145"/>
  <c r="U74" i="145"/>
  <c r="M74" i="145"/>
  <c r="F74" i="145"/>
  <c r="AF73" i="145"/>
  <c r="AE73" i="145"/>
  <c r="AD73" i="145"/>
  <c r="AC73" i="145"/>
  <c r="W73" i="145"/>
  <c r="V73" i="145"/>
  <c r="U73" i="145"/>
  <c r="X73" i="145" s="1"/>
  <c r="M73" i="145"/>
  <c r="F73" i="145"/>
  <c r="N73" i="145" s="1"/>
  <c r="AF72" i="145"/>
  <c r="AE72" i="145"/>
  <c r="AD72" i="145"/>
  <c r="AC72" i="145"/>
  <c r="W72" i="145"/>
  <c r="V72" i="145"/>
  <c r="U72" i="145"/>
  <c r="X72" i="145" s="1"/>
  <c r="M72" i="145"/>
  <c r="F72" i="145"/>
  <c r="N72" i="145" s="1"/>
  <c r="AF71" i="145"/>
  <c r="AE71" i="145"/>
  <c r="AD71" i="145"/>
  <c r="AC71" i="145"/>
  <c r="W71" i="145"/>
  <c r="V71" i="145"/>
  <c r="U71" i="145"/>
  <c r="X71" i="145" s="1"/>
  <c r="M71" i="145"/>
  <c r="F71" i="145"/>
  <c r="AF70" i="145"/>
  <c r="AE70" i="145"/>
  <c r="AD70" i="145"/>
  <c r="AC70" i="145"/>
  <c r="W70" i="145"/>
  <c r="V70" i="145"/>
  <c r="U70" i="145"/>
  <c r="M70" i="145"/>
  <c r="F70" i="145"/>
  <c r="AF69" i="145"/>
  <c r="AE69" i="145"/>
  <c r="AD69" i="145"/>
  <c r="AC69" i="145"/>
  <c r="W69" i="145"/>
  <c r="V69" i="145"/>
  <c r="U69" i="145"/>
  <c r="X69" i="145" s="1"/>
  <c r="M69" i="145"/>
  <c r="F69" i="145"/>
  <c r="N69" i="145" s="1"/>
  <c r="AF68" i="145"/>
  <c r="AE68" i="145"/>
  <c r="AD68" i="145"/>
  <c r="AC68" i="145"/>
  <c r="W68" i="145"/>
  <c r="V68" i="145"/>
  <c r="U68" i="145"/>
  <c r="X68" i="145" s="1"/>
  <c r="M68" i="145"/>
  <c r="F68" i="145"/>
  <c r="N68" i="145" s="1"/>
  <c r="AF67" i="145"/>
  <c r="AE67" i="145"/>
  <c r="AD67" i="145"/>
  <c r="AC67" i="145"/>
  <c r="W67" i="145"/>
  <c r="V67" i="145"/>
  <c r="U67" i="145"/>
  <c r="X67" i="145" s="1"/>
  <c r="M67" i="145"/>
  <c r="F67" i="145"/>
  <c r="AF66" i="145"/>
  <c r="AE66" i="145"/>
  <c r="AD66" i="145"/>
  <c r="AC66" i="145"/>
  <c r="W66" i="145"/>
  <c r="V66" i="145"/>
  <c r="U66" i="145"/>
  <c r="M66" i="145"/>
  <c r="F66" i="145"/>
  <c r="N66" i="145" s="1"/>
  <c r="E49" i="145"/>
  <c r="D49" i="145"/>
  <c r="T48" i="145"/>
  <c r="S48" i="145"/>
  <c r="R48" i="145"/>
  <c r="Q48" i="145"/>
  <c r="P48" i="145"/>
  <c r="O48" i="145"/>
  <c r="E48" i="145"/>
  <c r="D48" i="145"/>
  <c r="AF46" i="145"/>
  <c r="AE46" i="145"/>
  <c r="AD46" i="145"/>
  <c r="AC46" i="145"/>
  <c r="W46" i="145"/>
  <c r="V46" i="145"/>
  <c r="U46" i="145"/>
  <c r="M46" i="145"/>
  <c r="F46" i="145"/>
  <c r="AF45" i="145"/>
  <c r="AE45" i="145"/>
  <c r="AD45" i="145"/>
  <c r="AC45" i="145"/>
  <c r="W45" i="145"/>
  <c r="V45" i="145"/>
  <c r="U45" i="145"/>
  <c r="X45" i="145" s="1"/>
  <c r="M45" i="145"/>
  <c r="F45" i="145"/>
  <c r="N45" i="145" s="1"/>
  <c r="AF44" i="145"/>
  <c r="AE44" i="145"/>
  <c r="AD44" i="145"/>
  <c r="AC44" i="145"/>
  <c r="W44" i="145"/>
  <c r="V44" i="145"/>
  <c r="U44" i="145"/>
  <c r="X44" i="145" s="1"/>
  <c r="M44" i="145"/>
  <c r="F44" i="145"/>
  <c r="N44" i="145" s="1"/>
  <c r="AF43" i="145"/>
  <c r="AE43" i="145"/>
  <c r="AD43" i="145"/>
  <c r="AC43" i="145"/>
  <c r="W43" i="145"/>
  <c r="V43" i="145"/>
  <c r="U43" i="145"/>
  <c r="X43" i="145" s="1"/>
  <c r="M43" i="145"/>
  <c r="F43" i="145"/>
  <c r="N43" i="145" s="1"/>
  <c r="AF42" i="145"/>
  <c r="AE42" i="145"/>
  <c r="AD42" i="145"/>
  <c r="AC42" i="145"/>
  <c r="W42" i="145"/>
  <c r="V42" i="145"/>
  <c r="U42" i="145"/>
  <c r="X42" i="145" s="1"/>
  <c r="M42" i="145"/>
  <c r="F42" i="145"/>
  <c r="AF41" i="145"/>
  <c r="AE41" i="145"/>
  <c r="AD41" i="145"/>
  <c r="AC41" i="145"/>
  <c r="W41" i="145"/>
  <c r="V41" i="145"/>
  <c r="U41" i="145"/>
  <c r="X41" i="145" s="1"/>
  <c r="M41" i="145"/>
  <c r="F41" i="145"/>
  <c r="N41" i="145" s="1"/>
  <c r="AF40" i="145"/>
  <c r="AE40" i="145"/>
  <c r="AD40" i="145"/>
  <c r="AC40" i="145"/>
  <c r="W40" i="145"/>
  <c r="V40" i="145"/>
  <c r="U40" i="145"/>
  <c r="X40" i="145" s="1"/>
  <c r="M40" i="145"/>
  <c r="F40" i="145"/>
  <c r="N40" i="145" s="1"/>
  <c r="AF39" i="145"/>
  <c r="AE39" i="145"/>
  <c r="AD39" i="145"/>
  <c r="AC39" i="145"/>
  <c r="W39" i="145"/>
  <c r="V39" i="145"/>
  <c r="U39" i="145"/>
  <c r="X39" i="145" s="1"/>
  <c r="M39" i="145"/>
  <c r="F39" i="145"/>
  <c r="N39" i="145" s="1"/>
  <c r="AF38" i="145"/>
  <c r="AE38" i="145"/>
  <c r="AD38" i="145"/>
  <c r="AC38" i="145"/>
  <c r="W38" i="145"/>
  <c r="V38" i="145"/>
  <c r="U38" i="145"/>
  <c r="M38" i="145"/>
  <c r="F38" i="145"/>
  <c r="AF37" i="145"/>
  <c r="AE37" i="145"/>
  <c r="AD37" i="145"/>
  <c r="AC37" i="145"/>
  <c r="W37" i="145"/>
  <c r="V37" i="145"/>
  <c r="U37" i="145"/>
  <c r="X37" i="145" s="1"/>
  <c r="M37" i="145"/>
  <c r="F37" i="145"/>
  <c r="N37" i="145" s="1"/>
  <c r="AF36" i="145"/>
  <c r="AE36" i="145"/>
  <c r="AD36" i="145"/>
  <c r="AC36" i="145"/>
  <c r="W36" i="145"/>
  <c r="V36" i="145"/>
  <c r="U36" i="145"/>
  <c r="X36" i="145" s="1"/>
  <c r="M36" i="145"/>
  <c r="F36" i="145"/>
  <c r="N36" i="145" s="1"/>
  <c r="AF35" i="145"/>
  <c r="AE35" i="145"/>
  <c r="AD35" i="145"/>
  <c r="AC35" i="145"/>
  <c r="W35" i="145"/>
  <c r="V35" i="145"/>
  <c r="U35" i="145"/>
  <c r="M35" i="145"/>
  <c r="F35" i="145"/>
  <c r="AF34" i="145"/>
  <c r="AE34" i="145"/>
  <c r="AD34" i="145"/>
  <c r="AC34" i="145"/>
  <c r="W34" i="145"/>
  <c r="V34" i="145"/>
  <c r="U34" i="145"/>
  <c r="M34" i="145"/>
  <c r="F34" i="145"/>
  <c r="AF33" i="145"/>
  <c r="AE33" i="145"/>
  <c r="AD33" i="145"/>
  <c r="AC33" i="145"/>
  <c r="W33" i="145"/>
  <c r="V33" i="145"/>
  <c r="U33" i="145"/>
  <c r="X33" i="145" s="1"/>
  <c r="M33" i="145"/>
  <c r="F33" i="145"/>
  <c r="N33" i="145" s="1"/>
  <c r="AF32" i="145"/>
  <c r="AE32" i="145"/>
  <c r="AD32" i="145"/>
  <c r="AC32" i="145"/>
  <c r="W32" i="145"/>
  <c r="V32" i="145"/>
  <c r="U32" i="145"/>
  <c r="X32" i="145" s="1"/>
  <c r="M32" i="145"/>
  <c r="F32" i="145"/>
  <c r="N32" i="145" s="1"/>
  <c r="AF31" i="145"/>
  <c r="AE31" i="145"/>
  <c r="AD31" i="145"/>
  <c r="AC31" i="145"/>
  <c r="W31" i="145"/>
  <c r="V31" i="145"/>
  <c r="U31" i="145"/>
  <c r="X31" i="145" s="1"/>
  <c r="M31" i="145"/>
  <c r="F31" i="145"/>
  <c r="N31" i="145" s="1"/>
  <c r="AF30" i="145"/>
  <c r="AE30" i="145"/>
  <c r="AD30" i="145"/>
  <c r="AC30" i="145"/>
  <c r="W30" i="145"/>
  <c r="V30" i="145"/>
  <c r="U30" i="145"/>
  <c r="M30" i="145"/>
  <c r="F30" i="145"/>
  <c r="AF29" i="145"/>
  <c r="AE29" i="145"/>
  <c r="AD29" i="145"/>
  <c r="AC29" i="145"/>
  <c r="W29" i="145"/>
  <c r="V29" i="145"/>
  <c r="U29" i="145"/>
  <c r="X29" i="145" s="1"/>
  <c r="M29" i="145"/>
  <c r="F29" i="145"/>
  <c r="N29" i="145" s="1"/>
  <c r="AF28" i="145"/>
  <c r="AE28" i="145"/>
  <c r="AD28" i="145"/>
  <c r="AC28" i="145"/>
  <c r="W28" i="145"/>
  <c r="V28" i="145"/>
  <c r="U28" i="145"/>
  <c r="X28" i="145" s="1"/>
  <c r="M28" i="145"/>
  <c r="F28" i="145"/>
  <c r="N28" i="145" s="1"/>
  <c r="AF27" i="145"/>
  <c r="AE27" i="145"/>
  <c r="AD27" i="145"/>
  <c r="AC27" i="145"/>
  <c r="W27" i="145"/>
  <c r="V27" i="145"/>
  <c r="U27" i="145"/>
  <c r="X27" i="145" s="1"/>
  <c r="M27" i="145"/>
  <c r="F27" i="145"/>
  <c r="AF26" i="145"/>
  <c r="AE26" i="145"/>
  <c r="AD26" i="145"/>
  <c r="AC26" i="145"/>
  <c r="W26" i="145"/>
  <c r="V26" i="145"/>
  <c r="U26" i="145"/>
  <c r="M26" i="145"/>
  <c r="F26" i="145"/>
  <c r="AF25" i="145"/>
  <c r="AE25" i="145"/>
  <c r="AD25" i="145"/>
  <c r="AC25" i="145"/>
  <c r="W25" i="145"/>
  <c r="V25" i="145"/>
  <c r="U25" i="145"/>
  <c r="X25" i="145" s="1"/>
  <c r="M25" i="145"/>
  <c r="F25" i="145"/>
  <c r="N25" i="145" s="1"/>
  <c r="AF24" i="145"/>
  <c r="AE24" i="145"/>
  <c r="AD24" i="145"/>
  <c r="AC24" i="145"/>
  <c r="W24" i="145"/>
  <c r="V24" i="145"/>
  <c r="U24" i="145"/>
  <c r="X24" i="145" s="1"/>
  <c r="M24" i="145"/>
  <c r="F24" i="145"/>
  <c r="N24" i="145" s="1"/>
  <c r="AF23" i="145"/>
  <c r="AE23" i="145"/>
  <c r="AD23" i="145"/>
  <c r="AC23" i="145"/>
  <c r="W23" i="145"/>
  <c r="V23" i="145"/>
  <c r="U23" i="145"/>
  <c r="X23" i="145" s="1"/>
  <c r="M23" i="145"/>
  <c r="F23" i="145"/>
  <c r="N23" i="145" s="1"/>
  <c r="AF22" i="145"/>
  <c r="AE22" i="145"/>
  <c r="AD22" i="145"/>
  <c r="AC22" i="145"/>
  <c r="W22" i="145"/>
  <c r="V22" i="145"/>
  <c r="U22" i="145"/>
  <c r="M22" i="145"/>
  <c r="F22" i="145"/>
  <c r="AF21" i="145"/>
  <c r="AE21" i="145"/>
  <c r="AD21" i="145"/>
  <c r="AC21" i="145"/>
  <c r="W21" i="145"/>
  <c r="V21" i="145"/>
  <c r="U21" i="145"/>
  <c r="X21" i="145" s="1"/>
  <c r="M21" i="145"/>
  <c r="F21" i="145"/>
  <c r="N21" i="145" s="1"/>
  <c r="AF20" i="145"/>
  <c r="AE20" i="145"/>
  <c r="AD20" i="145"/>
  <c r="AC20" i="145"/>
  <c r="W20" i="145"/>
  <c r="V20" i="145"/>
  <c r="U20" i="145"/>
  <c r="X20" i="145" s="1"/>
  <c r="M20" i="145"/>
  <c r="F20" i="145"/>
  <c r="N20" i="145" s="1"/>
  <c r="AF19" i="145"/>
  <c r="AE19" i="145"/>
  <c r="AD19" i="145"/>
  <c r="AC19" i="145"/>
  <c r="W19" i="145"/>
  <c r="V19" i="145"/>
  <c r="U19" i="145"/>
  <c r="M19" i="145"/>
  <c r="F19" i="145"/>
  <c r="AF18" i="145"/>
  <c r="AE18" i="145"/>
  <c r="AD18" i="145"/>
  <c r="AC18" i="145"/>
  <c r="W18" i="145"/>
  <c r="V18" i="145"/>
  <c r="U18" i="145"/>
  <c r="M18" i="145"/>
  <c r="F18" i="145"/>
  <c r="AF17" i="145"/>
  <c r="AE17" i="145"/>
  <c r="AD17" i="145"/>
  <c r="AC17" i="145"/>
  <c r="W17" i="145"/>
  <c r="V17" i="145"/>
  <c r="U17" i="145"/>
  <c r="X17" i="145" s="1"/>
  <c r="M17" i="145"/>
  <c r="F17" i="145"/>
  <c r="N17" i="145" s="1"/>
  <c r="AF16" i="145"/>
  <c r="AE16" i="145"/>
  <c r="AD16" i="145"/>
  <c r="AC16" i="145"/>
  <c r="W16" i="145"/>
  <c r="V16" i="145"/>
  <c r="U16" i="145"/>
  <c r="X16" i="145" s="1"/>
  <c r="M16" i="145"/>
  <c r="F16" i="145"/>
  <c r="N16" i="145" s="1"/>
  <c r="AF15" i="145"/>
  <c r="AE15" i="145"/>
  <c r="AD15" i="145"/>
  <c r="AC15" i="145"/>
  <c r="W15" i="145"/>
  <c r="V15" i="145"/>
  <c r="U15" i="145"/>
  <c r="X15" i="145" s="1"/>
  <c r="M15" i="145"/>
  <c r="F15" i="145"/>
  <c r="N15" i="145" s="1"/>
  <c r="AF14" i="145"/>
  <c r="AE14" i="145"/>
  <c r="AD14" i="145"/>
  <c r="AC14" i="145"/>
  <c r="W14" i="145"/>
  <c r="V14" i="145"/>
  <c r="U14" i="145"/>
  <c r="M14" i="145"/>
  <c r="F14" i="145"/>
  <c r="N14" i="145" s="1"/>
  <c r="AF13" i="145"/>
  <c r="AE13" i="145"/>
  <c r="AD13" i="145"/>
  <c r="AC13" i="145"/>
  <c r="W13" i="145"/>
  <c r="V13" i="145"/>
  <c r="U13" i="145"/>
  <c r="X13" i="145" s="1"/>
  <c r="M13" i="145"/>
  <c r="F13" i="145"/>
  <c r="N13" i="145" s="1"/>
  <c r="E5" i="145"/>
  <c r="A2" i="145"/>
  <c r="D103" i="144"/>
  <c r="T102" i="144"/>
  <c r="S102" i="144"/>
  <c r="R102" i="144"/>
  <c r="Q102" i="144"/>
  <c r="P102" i="144"/>
  <c r="O102" i="144"/>
  <c r="E102" i="144"/>
  <c r="D102" i="144"/>
  <c r="AF100" i="144"/>
  <c r="AE100" i="144"/>
  <c r="AD100" i="144"/>
  <c r="AC100" i="144"/>
  <c r="W100" i="144"/>
  <c r="V100" i="144"/>
  <c r="U100" i="144"/>
  <c r="X100" i="144" s="1"/>
  <c r="M100" i="144"/>
  <c r="F100" i="144"/>
  <c r="N100" i="144" s="1"/>
  <c r="AF99" i="144"/>
  <c r="AE99" i="144"/>
  <c r="AD99" i="144"/>
  <c r="AC99" i="144"/>
  <c r="W99" i="144"/>
  <c r="V99" i="144"/>
  <c r="U99" i="144"/>
  <c r="M99" i="144"/>
  <c r="F99" i="144"/>
  <c r="N99" i="144" s="1"/>
  <c r="AF98" i="144"/>
  <c r="AE98" i="144"/>
  <c r="AD98" i="144"/>
  <c r="AC98" i="144"/>
  <c r="W98" i="144"/>
  <c r="V98" i="144"/>
  <c r="U98" i="144"/>
  <c r="X98" i="144" s="1"/>
  <c r="M98" i="144"/>
  <c r="F98" i="144"/>
  <c r="N98" i="144" s="1"/>
  <c r="AF97" i="144"/>
  <c r="AE97" i="144"/>
  <c r="AD97" i="144"/>
  <c r="AC97" i="144"/>
  <c r="W97" i="144"/>
  <c r="V97" i="144"/>
  <c r="U97" i="144"/>
  <c r="M97" i="144"/>
  <c r="F97" i="144"/>
  <c r="AF96" i="144"/>
  <c r="AE96" i="144"/>
  <c r="AD96" i="144"/>
  <c r="AC96" i="144"/>
  <c r="W96" i="144"/>
  <c r="V96" i="144"/>
  <c r="U96" i="144"/>
  <c r="X96" i="144" s="1"/>
  <c r="M96" i="144"/>
  <c r="F96" i="144"/>
  <c r="N96" i="144" s="1"/>
  <c r="AF95" i="144"/>
  <c r="AE95" i="144"/>
  <c r="AD95" i="144"/>
  <c r="AC95" i="144"/>
  <c r="W95" i="144"/>
  <c r="V95" i="144"/>
  <c r="U95" i="144"/>
  <c r="X95" i="144" s="1"/>
  <c r="M95" i="144"/>
  <c r="F95" i="144"/>
  <c r="N95" i="144" s="1"/>
  <c r="AF94" i="144"/>
  <c r="AE94" i="144"/>
  <c r="AD94" i="144"/>
  <c r="AC94" i="144"/>
  <c r="W94" i="144"/>
  <c r="V94" i="144"/>
  <c r="U94" i="144"/>
  <c r="X94" i="144" s="1"/>
  <c r="M94" i="144"/>
  <c r="F94" i="144"/>
  <c r="N94" i="144" s="1"/>
  <c r="AF93" i="144"/>
  <c r="AE93" i="144"/>
  <c r="AD93" i="144"/>
  <c r="AC93" i="144"/>
  <c r="W93" i="144"/>
  <c r="V93" i="144"/>
  <c r="U93" i="144"/>
  <c r="M93" i="144"/>
  <c r="F93" i="144"/>
  <c r="AF92" i="144"/>
  <c r="AE92" i="144"/>
  <c r="AD92" i="144"/>
  <c r="AC92" i="144"/>
  <c r="W92" i="144"/>
  <c r="V92" i="144"/>
  <c r="U92" i="144"/>
  <c r="X92" i="144" s="1"/>
  <c r="M92" i="144"/>
  <c r="F92" i="144"/>
  <c r="N92" i="144" s="1"/>
  <c r="AF91" i="144"/>
  <c r="AE91" i="144"/>
  <c r="AD91" i="144"/>
  <c r="AC91" i="144"/>
  <c r="W91" i="144"/>
  <c r="V91" i="144"/>
  <c r="U91" i="144"/>
  <c r="X91" i="144" s="1"/>
  <c r="M91" i="144"/>
  <c r="F91" i="144"/>
  <c r="N91" i="144" s="1"/>
  <c r="AF90" i="144"/>
  <c r="AE90" i="144"/>
  <c r="AD90" i="144"/>
  <c r="AC90" i="144"/>
  <c r="W90" i="144"/>
  <c r="V90" i="144"/>
  <c r="U90" i="144"/>
  <c r="M90" i="144"/>
  <c r="F90" i="144"/>
  <c r="N90" i="144" s="1"/>
  <c r="AF89" i="144"/>
  <c r="AE89" i="144"/>
  <c r="AD89" i="144"/>
  <c r="AC89" i="144"/>
  <c r="W89" i="144"/>
  <c r="V89" i="144"/>
  <c r="U89" i="144"/>
  <c r="M89" i="144"/>
  <c r="F89" i="144"/>
  <c r="AF88" i="144"/>
  <c r="AE88" i="144"/>
  <c r="AD88" i="144"/>
  <c r="AC88" i="144"/>
  <c r="W88" i="144"/>
  <c r="V88" i="144"/>
  <c r="U88" i="144"/>
  <c r="X88" i="144" s="1"/>
  <c r="M88" i="144"/>
  <c r="F88" i="144"/>
  <c r="N88" i="144" s="1"/>
  <c r="AF87" i="144"/>
  <c r="AE87" i="144"/>
  <c r="AD87" i="144"/>
  <c r="AC87" i="144"/>
  <c r="W87" i="144"/>
  <c r="V87" i="144"/>
  <c r="U87" i="144"/>
  <c r="X87" i="144" s="1"/>
  <c r="M87" i="144"/>
  <c r="F87" i="144"/>
  <c r="N87" i="144" s="1"/>
  <c r="AF86" i="144"/>
  <c r="AE86" i="144"/>
  <c r="AD86" i="144"/>
  <c r="AC86" i="144"/>
  <c r="W86" i="144"/>
  <c r="V86" i="144"/>
  <c r="U86" i="144"/>
  <c r="M86" i="144"/>
  <c r="F86" i="144"/>
  <c r="N86" i="144" s="1"/>
  <c r="AF85" i="144"/>
  <c r="AE85" i="144"/>
  <c r="AD85" i="144"/>
  <c r="AC85" i="144"/>
  <c r="W85" i="144"/>
  <c r="V85" i="144"/>
  <c r="U85" i="144"/>
  <c r="X85" i="144" s="1"/>
  <c r="M85" i="144"/>
  <c r="F85" i="144"/>
  <c r="AF84" i="144"/>
  <c r="AE84" i="144"/>
  <c r="AD84" i="144"/>
  <c r="AC84" i="144"/>
  <c r="W84" i="144"/>
  <c r="V84" i="144"/>
  <c r="U84" i="144"/>
  <c r="X84" i="144" s="1"/>
  <c r="M84" i="144"/>
  <c r="F84" i="144"/>
  <c r="N84" i="144" s="1"/>
  <c r="AF83" i="144"/>
  <c r="AE83" i="144"/>
  <c r="AD83" i="144"/>
  <c r="AC83" i="144"/>
  <c r="W83" i="144"/>
  <c r="V83" i="144"/>
  <c r="U83" i="144"/>
  <c r="X83" i="144" s="1"/>
  <c r="M83" i="144"/>
  <c r="F83" i="144"/>
  <c r="N83" i="144" s="1"/>
  <c r="AF82" i="144"/>
  <c r="AE82" i="144"/>
  <c r="AD82" i="144"/>
  <c r="AC82" i="144"/>
  <c r="W82" i="144"/>
  <c r="V82" i="144"/>
  <c r="U82" i="144"/>
  <c r="X82" i="144" s="1"/>
  <c r="M82" i="144"/>
  <c r="F82" i="144"/>
  <c r="N82" i="144" s="1"/>
  <c r="AF81" i="144"/>
  <c r="AE81" i="144"/>
  <c r="AD81" i="144"/>
  <c r="AC81" i="144"/>
  <c r="W81" i="144"/>
  <c r="V81" i="144"/>
  <c r="U81" i="144"/>
  <c r="M81" i="144"/>
  <c r="F81" i="144"/>
  <c r="AF80" i="144"/>
  <c r="AE80" i="144"/>
  <c r="AD80" i="144"/>
  <c r="AC80" i="144"/>
  <c r="W80" i="144"/>
  <c r="V80" i="144"/>
  <c r="U80" i="144"/>
  <c r="X80" i="144" s="1"/>
  <c r="M80" i="144"/>
  <c r="F80" i="144"/>
  <c r="N80" i="144" s="1"/>
  <c r="AF79" i="144"/>
  <c r="AE79" i="144"/>
  <c r="AD79" i="144"/>
  <c r="AC79" i="144"/>
  <c r="W79" i="144"/>
  <c r="V79" i="144"/>
  <c r="U79" i="144"/>
  <c r="X79" i="144" s="1"/>
  <c r="M79" i="144"/>
  <c r="F79" i="144"/>
  <c r="N79" i="144" s="1"/>
  <c r="AF78" i="144"/>
  <c r="AE78" i="144"/>
  <c r="AD78" i="144"/>
  <c r="AC78" i="144"/>
  <c r="W78" i="144"/>
  <c r="V78" i="144"/>
  <c r="U78" i="144"/>
  <c r="X78" i="144" s="1"/>
  <c r="M78" i="144"/>
  <c r="F78" i="144"/>
  <c r="N78" i="144" s="1"/>
  <c r="AF77" i="144"/>
  <c r="AE77" i="144"/>
  <c r="AD77" i="144"/>
  <c r="AC77" i="144"/>
  <c r="W77" i="144"/>
  <c r="V77" i="144"/>
  <c r="U77" i="144"/>
  <c r="M77" i="144"/>
  <c r="F77" i="144"/>
  <c r="AF76" i="144"/>
  <c r="AE76" i="144"/>
  <c r="AD76" i="144"/>
  <c r="AC76" i="144"/>
  <c r="W76" i="144"/>
  <c r="V76" i="144"/>
  <c r="U76" i="144"/>
  <c r="X76" i="144" s="1"/>
  <c r="M76" i="144"/>
  <c r="F76" i="144"/>
  <c r="N76" i="144" s="1"/>
  <c r="AF75" i="144"/>
  <c r="AE75" i="144"/>
  <c r="AD75" i="144"/>
  <c r="AC75" i="144"/>
  <c r="W75" i="144"/>
  <c r="V75" i="144"/>
  <c r="U75" i="144"/>
  <c r="M75" i="144"/>
  <c r="F75" i="144"/>
  <c r="N75" i="144" s="1"/>
  <c r="AF74" i="144"/>
  <c r="AE74" i="144"/>
  <c r="AD74" i="144"/>
  <c r="AC74" i="144"/>
  <c r="W74" i="144"/>
  <c r="V74" i="144"/>
  <c r="U74" i="144"/>
  <c r="X74" i="144" s="1"/>
  <c r="M74" i="144"/>
  <c r="F74" i="144"/>
  <c r="N74" i="144" s="1"/>
  <c r="AF73" i="144"/>
  <c r="AE73" i="144"/>
  <c r="AD73" i="144"/>
  <c r="AC73" i="144"/>
  <c r="W73" i="144"/>
  <c r="V73" i="144"/>
  <c r="U73" i="144"/>
  <c r="M73" i="144"/>
  <c r="F73" i="144"/>
  <c r="AF72" i="144"/>
  <c r="AE72" i="144"/>
  <c r="AD72" i="144"/>
  <c r="AC72" i="144"/>
  <c r="W72" i="144"/>
  <c r="V72" i="144"/>
  <c r="U72" i="144"/>
  <c r="X72" i="144" s="1"/>
  <c r="M72" i="144"/>
  <c r="F72" i="144"/>
  <c r="N72" i="144" s="1"/>
  <c r="AF71" i="144"/>
  <c r="AE71" i="144"/>
  <c r="AD71" i="144"/>
  <c r="AC71" i="144"/>
  <c r="W71" i="144"/>
  <c r="V71" i="144"/>
  <c r="U71" i="144"/>
  <c r="M71" i="144"/>
  <c r="F71" i="144"/>
  <c r="N71" i="144" s="1"/>
  <c r="AF70" i="144"/>
  <c r="AE70" i="144"/>
  <c r="AD70" i="144"/>
  <c r="AC70" i="144"/>
  <c r="W70" i="144"/>
  <c r="V70" i="144"/>
  <c r="U70" i="144"/>
  <c r="M70" i="144"/>
  <c r="F70" i="144"/>
  <c r="N70" i="144" s="1"/>
  <c r="AF69" i="144"/>
  <c r="AE69" i="144"/>
  <c r="AD69" i="144"/>
  <c r="AC69" i="144"/>
  <c r="W69" i="144"/>
  <c r="V69" i="144"/>
  <c r="U69" i="144"/>
  <c r="X69" i="144" s="1"/>
  <c r="M69" i="144"/>
  <c r="F69" i="144"/>
  <c r="N69" i="144" s="1"/>
  <c r="AF68" i="144"/>
  <c r="AE68" i="144"/>
  <c r="AD68" i="144"/>
  <c r="AC68" i="144"/>
  <c r="W68" i="144"/>
  <c r="V68" i="144"/>
  <c r="U68" i="144"/>
  <c r="X68" i="144" s="1"/>
  <c r="M68" i="144"/>
  <c r="F68" i="144"/>
  <c r="AF67" i="144"/>
  <c r="AE67" i="144"/>
  <c r="AD67" i="144"/>
  <c r="AC67" i="144"/>
  <c r="W67" i="144"/>
  <c r="V67" i="144"/>
  <c r="U67" i="144"/>
  <c r="M67" i="144"/>
  <c r="F67" i="144"/>
  <c r="N67" i="144" s="1"/>
  <c r="AF66" i="144"/>
  <c r="AE66" i="144"/>
  <c r="AD66" i="144"/>
  <c r="AC66" i="144"/>
  <c r="W66" i="144"/>
  <c r="V66" i="144"/>
  <c r="U66" i="144"/>
  <c r="X66" i="144" s="1"/>
  <c r="M66" i="144"/>
  <c r="F66" i="144"/>
  <c r="N66" i="144" s="1"/>
  <c r="E49" i="144"/>
  <c r="D49" i="144"/>
  <c r="T48" i="144"/>
  <c r="S48" i="144"/>
  <c r="R48" i="144"/>
  <c r="Q48" i="144"/>
  <c r="P48" i="144"/>
  <c r="O48" i="144"/>
  <c r="E48" i="144"/>
  <c r="D48" i="144"/>
  <c r="AF46" i="144"/>
  <c r="AE46" i="144"/>
  <c r="AD46" i="144"/>
  <c r="AC46" i="144"/>
  <c r="W46" i="144"/>
  <c r="V46" i="144"/>
  <c r="U46" i="144"/>
  <c r="X46" i="144" s="1"/>
  <c r="M46" i="144"/>
  <c r="F46" i="144"/>
  <c r="N46" i="144" s="1"/>
  <c r="AF45" i="144"/>
  <c r="AE45" i="144"/>
  <c r="AD45" i="144"/>
  <c r="AC45" i="144"/>
  <c r="W45" i="144"/>
  <c r="V45" i="144"/>
  <c r="U45" i="144"/>
  <c r="X45" i="144" s="1"/>
  <c r="M45" i="144"/>
  <c r="F45" i="144"/>
  <c r="N45" i="144" s="1"/>
  <c r="AF44" i="144"/>
  <c r="AE44" i="144"/>
  <c r="AD44" i="144"/>
  <c r="AC44" i="144"/>
  <c r="W44" i="144"/>
  <c r="V44" i="144"/>
  <c r="U44" i="144"/>
  <c r="X44" i="144" s="1"/>
  <c r="M44" i="144"/>
  <c r="F44" i="144"/>
  <c r="N44" i="144" s="1"/>
  <c r="AF43" i="144"/>
  <c r="AE43" i="144"/>
  <c r="AD43" i="144"/>
  <c r="AC43" i="144"/>
  <c r="W43" i="144"/>
  <c r="V43" i="144"/>
  <c r="U43" i="144"/>
  <c r="M43" i="144"/>
  <c r="F43" i="144"/>
  <c r="AF42" i="144"/>
  <c r="AE42" i="144"/>
  <c r="AD42" i="144"/>
  <c r="AC42" i="144"/>
  <c r="W42" i="144"/>
  <c r="V42" i="144"/>
  <c r="U42" i="144"/>
  <c r="X42" i="144" s="1"/>
  <c r="M42" i="144"/>
  <c r="F42" i="144"/>
  <c r="N42" i="144" s="1"/>
  <c r="AF41" i="144"/>
  <c r="AE41" i="144"/>
  <c r="AD41" i="144"/>
  <c r="AC41" i="144"/>
  <c r="W41" i="144"/>
  <c r="V41" i="144"/>
  <c r="U41" i="144"/>
  <c r="X41" i="144" s="1"/>
  <c r="M41" i="144"/>
  <c r="F41" i="144"/>
  <c r="N41" i="144" s="1"/>
  <c r="AF40" i="144"/>
  <c r="AE40" i="144"/>
  <c r="AD40" i="144"/>
  <c r="AC40" i="144"/>
  <c r="W40" i="144"/>
  <c r="V40" i="144"/>
  <c r="U40" i="144"/>
  <c r="X40" i="144" s="1"/>
  <c r="M40" i="144"/>
  <c r="F40" i="144"/>
  <c r="AF39" i="144"/>
  <c r="AE39" i="144"/>
  <c r="AD39" i="144"/>
  <c r="AC39" i="144"/>
  <c r="W39" i="144"/>
  <c r="V39" i="144"/>
  <c r="U39" i="144"/>
  <c r="X39" i="144" s="1"/>
  <c r="M39" i="144"/>
  <c r="F39" i="144"/>
  <c r="AF38" i="144"/>
  <c r="AE38" i="144"/>
  <c r="AD38" i="144"/>
  <c r="AC38" i="144"/>
  <c r="W38" i="144"/>
  <c r="V38" i="144"/>
  <c r="U38" i="144"/>
  <c r="X38" i="144" s="1"/>
  <c r="M38" i="144"/>
  <c r="F38" i="144"/>
  <c r="N38" i="144" s="1"/>
  <c r="AF37" i="144"/>
  <c r="AE37" i="144"/>
  <c r="AD37" i="144"/>
  <c r="AC37" i="144"/>
  <c r="W37" i="144"/>
  <c r="V37" i="144"/>
  <c r="U37" i="144"/>
  <c r="X37" i="144" s="1"/>
  <c r="M37" i="144"/>
  <c r="F37" i="144"/>
  <c r="N37" i="144" s="1"/>
  <c r="AF36" i="144"/>
  <c r="AE36" i="144"/>
  <c r="AD36" i="144"/>
  <c r="AC36" i="144"/>
  <c r="W36" i="144"/>
  <c r="V36" i="144"/>
  <c r="U36" i="144"/>
  <c r="X36" i="144" s="1"/>
  <c r="M36" i="144"/>
  <c r="F36" i="144"/>
  <c r="N36" i="144" s="1"/>
  <c r="AF35" i="144"/>
  <c r="AE35" i="144"/>
  <c r="AD35" i="144"/>
  <c r="AC35" i="144"/>
  <c r="W35" i="144"/>
  <c r="V35" i="144"/>
  <c r="U35" i="144"/>
  <c r="M35" i="144"/>
  <c r="F35" i="144"/>
  <c r="AF34" i="144"/>
  <c r="AE34" i="144"/>
  <c r="AD34" i="144"/>
  <c r="AC34" i="144"/>
  <c r="W34" i="144"/>
  <c r="V34" i="144"/>
  <c r="U34" i="144"/>
  <c r="X34" i="144" s="1"/>
  <c r="M34" i="144"/>
  <c r="F34" i="144"/>
  <c r="N34" i="144" s="1"/>
  <c r="AF33" i="144"/>
  <c r="AE33" i="144"/>
  <c r="AD33" i="144"/>
  <c r="AC33" i="144"/>
  <c r="W33" i="144"/>
  <c r="V33" i="144"/>
  <c r="U33" i="144"/>
  <c r="X33" i="144" s="1"/>
  <c r="M33" i="144"/>
  <c r="F33" i="144"/>
  <c r="N33" i="144" s="1"/>
  <c r="AF32" i="144"/>
  <c r="AE32" i="144"/>
  <c r="AD32" i="144"/>
  <c r="AC32" i="144"/>
  <c r="W32" i="144"/>
  <c r="V32" i="144"/>
  <c r="U32" i="144"/>
  <c r="M32" i="144"/>
  <c r="F32" i="144"/>
  <c r="AF31" i="144"/>
  <c r="AE31" i="144"/>
  <c r="AD31" i="144"/>
  <c r="AC31" i="144"/>
  <c r="W31" i="144"/>
  <c r="V31" i="144"/>
  <c r="U31" i="144"/>
  <c r="M31" i="144"/>
  <c r="F31" i="144"/>
  <c r="AF30" i="144"/>
  <c r="AE30" i="144"/>
  <c r="AD30" i="144"/>
  <c r="AC30" i="144"/>
  <c r="W30" i="144"/>
  <c r="V30" i="144"/>
  <c r="U30" i="144"/>
  <c r="X30" i="144" s="1"/>
  <c r="M30" i="144"/>
  <c r="F30" i="144"/>
  <c r="N30" i="144" s="1"/>
  <c r="AF29" i="144"/>
  <c r="AE29" i="144"/>
  <c r="AD29" i="144"/>
  <c r="AC29" i="144"/>
  <c r="W29" i="144"/>
  <c r="V29" i="144"/>
  <c r="U29" i="144"/>
  <c r="X29" i="144" s="1"/>
  <c r="M29" i="144"/>
  <c r="F29" i="144"/>
  <c r="N29" i="144" s="1"/>
  <c r="AF28" i="144"/>
  <c r="AE28" i="144"/>
  <c r="AD28" i="144"/>
  <c r="AC28" i="144"/>
  <c r="W28" i="144"/>
  <c r="V28" i="144"/>
  <c r="U28" i="144"/>
  <c r="X28" i="144" s="1"/>
  <c r="M28" i="144"/>
  <c r="F28" i="144"/>
  <c r="N28" i="144" s="1"/>
  <c r="AF27" i="144"/>
  <c r="AE27" i="144"/>
  <c r="AD27" i="144"/>
  <c r="AC27" i="144"/>
  <c r="W27" i="144"/>
  <c r="V27" i="144"/>
  <c r="U27" i="144"/>
  <c r="M27" i="144"/>
  <c r="F27" i="144"/>
  <c r="AF26" i="144"/>
  <c r="AE26" i="144"/>
  <c r="AD26" i="144"/>
  <c r="AC26" i="144"/>
  <c r="W26" i="144"/>
  <c r="V26" i="144"/>
  <c r="U26" i="144"/>
  <c r="X26" i="144" s="1"/>
  <c r="M26" i="144"/>
  <c r="F26" i="144"/>
  <c r="N26" i="144" s="1"/>
  <c r="AF25" i="144"/>
  <c r="AE25" i="144"/>
  <c r="AD25" i="144"/>
  <c r="AC25" i="144"/>
  <c r="W25" i="144"/>
  <c r="V25" i="144"/>
  <c r="U25" i="144"/>
  <c r="X25" i="144" s="1"/>
  <c r="M25" i="144"/>
  <c r="F25" i="144"/>
  <c r="N25" i="144" s="1"/>
  <c r="AF24" i="144"/>
  <c r="AE24" i="144"/>
  <c r="AD24" i="144"/>
  <c r="AC24" i="144"/>
  <c r="W24" i="144"/>
  <c r="V24" i="144"/>
  <c r="U24" i="144"/>
  <c r="X24" i="144" s="1"/>
  <c r="M24" i="144"/>
  <c r="F24" i="144"/>
  <c r="AF23" i="144"/>
  <c r="AE23" i="144"/>
  <c r="AD23" i="144"/>
  <c r="AC23" i="144"/>
  <c r="W23" i="144"/>
  <c r="V23" i="144"/>
  <c r="U23" i="144"/>
  <c r="X23" i="144" s="1"/>
  <c r="M23" i="144"/>
  <c r="F23" i="144"/>
  <c r="AF22" i="144"/>
  <c r="AE22" i="144"/>
  <c r="AD22" i="144"/>
  <c r="AC22" i="144"/>
  <c r="W22" i="144"/>
  <c r="V22" i="144"/>
  <c r="U22" i="144"/>
  <c r="X22" i="144" s="1"/>
  <c r="M22" i="144"/>
  <c r="F22" i="144"/>
  <c r="N22" i="144" s="1"/>
  <c r="AF21" i="144"/>
  <c r="AE21" i="144"/>
  <c r="AD21" i="144"/>
  <c r="AC21" i="144"/>
  <c r="W21" i="144"/>
  <c r="V21" i="144"/>
  <c r="U21" i="144"/>
  <c r="X21" i="144" s="1"/>
  <c r="M21" i="144"/>
  <c r="F21" i="144"/>
  <c r="N21" i="144" s="1"/>
  <c r="AF20" i="144"/>
  <c r="AE20" i="144"/>
  <c r="AD20" i="144"/>
  <c r="AC20" i="144"/>
  <c r="W20" i="144"/>
  <c r="V20" i="144"/>
  <c r="U20" i="144"/>
  <c r="X20" i="144" s="1"/>
  <c r="M20" i="144"/>
  <c r="F20" i="144"/>
  <c r="N20" i="144" s="1"/>
  <c r="AF19" i="144"/>
  <c r="AE19" i="144"/>
  <c r="AD19" i="144"/>
  <c r="AC19" i="144"/>
  <c r="W19" i="144"/>
  <c r="V19" i="144"/>
  <c r="U19" i="144"/>
  <c r="M19" i="144"/>
  <c r="F19" i="144"/>
  <c r="AF18" i="144"/>
  <c r="AE18" i="144"/>
  <c r="AD18" i="144"/>
  <c r="AC18" i="144"/>
  <c r="W18" i="144"/>
  <c r="V18" i="144"/>
  <c r="U18" i="144"/>
  <c r="X18" i="144" s="1"/>
  <c r="M18" i="144"/>
  <c r="F18" i="144"/>
  <c r="N18" i="144" s="1"/>
  <c r="AF17" i="144"/>
  <c r="AE17" i="144"/>
  <c r="AD17" i="144"/>
  <c r="AC17" i="144"/>
  <c r="W17" i="144"/>
  <c r="V17" i="144"/>
  <c r="U17" i="144"/>
  <c r="X17" i="144" s="1"/>
  <c r="M17" i="144"/>
  <c r="F17" i="144"/>
  <c r="N17" i="144" s="1"/>
  <c r="AF16" i="144"/>
  <c r="AE16" i="144"/>
  <c r="AD16" i="144"/>
  <c r="AC16" i="144"/>
  <c r="W16" i="144"/>
  <c r="V16" i="144"/>
  <c r="U16" i="144"/>
  <c r="M16" i="144"/>
  <c r="F16" i="144"/>
  <c r="AF15" i="144"/>
  <c r="AE15" i="144"/>
  <c r="AD15" i="144"/>
  <c r="AC15" i="144"/>
  <c r="W15" i="144"/>
  <c r="V15" i="144"/>
  <c r="U15" i="144"/>
  <c r="M15" i="144"/>
  <c r="F15" i="144"/>
  <c r="AF14" i="144"/>
  <c r="AE14" i="144"/>
  <c r="AD14" i="144"/>
  <c r="AC14" i="144"/>
  <c r="W14" i="144"/>
  <c r="V14" i="144"/>
  <c r="U14" i="144"/>
  <c r="X14" i="144" s="1"/>
  <c r="M14" i="144"/>
  <c r="F14" i="144"/>
  <c r="N14" i="144" s="1"/>
  <c r="AF13" i="144"/>
  <c r="AE13" i="144"/>
  <c r="AD13" i="144"/>
  <c r="AC13" i="144"/>
  <c r="W13" i="144"/>
  <c r="V13" i="144"/>
  <c r="U13" i="144"/>
  <c r="X13" i="144" s="1"/>
  <c r="M13" i="144"/>
  <c r="F13" i="144"/>
  <c r="N13" i="144" s="1"/>
  <c r="E5" i="144"/>
  <c r="E58" i="144" s="1"/>
  <c r="A2" i="144"/>
  <c r="D103" i="143"/>
  <c r="T102" i="143"/>
  <c r="S102" i="143"/>
  <c r="R102" i="143"/>
  <c r="Q102" i="143"/>
  <c r="P102" i="143"/>
  <c r="O102" i="143"/>
  <c r="E102" i="143"/>
  <c r="D102" i="143"/>
  <c r="AF100" i="143"/>
  <c r="AE100" i="143"/>
  <c r="AD100" i="143"/>
  <c r="AC100" i="143"/>
  <c r="W100" i="143"/>
  <c r="V100" i="143"/>
  <c r="U100" i="143"/>
  <c r="X100" i="143" s="1"/>
  <c r="M100" i="143"/>
  <c r="F100" i="143"/>
  <c r="N100" i="143" s="1"/>
  <c r="AF99" i="143"/>
  <c r="AE99" i="143"/>
  <c r="AD99" i="143"/>
  <c r="AC99" i="143"/>
  <c r="W99" i="143"/>
  <c r="V99" i="143"/>
  <c r="U99" i="143"/>
  <c r="M99" i="143"/>
  <c r="F99" i="143"/>
  <c r="AF98" i="143"/>
  <c r="AE98" i="143"/>
  <c r="AD98" i="143"/>
  <c r="AC98" i="143"/>
  <c r="W98" i="143"/>
  <c r="V98" i="143"/>
  <c r="U98" i="143"/>
  <c r="X98" i="143" s="1"/>
  <c r="M98" i="143"/>
  <c r="F98" i="143"/>
  <c r="N98" i="143" s="1"/>
  <c r="AF97" i="143"/>
  <c r="AE97" i="143"/>
  <c r="AD97" i="143"/>
  <c r="AC97" i="143"/>
  <c r="W97" i="143"/>
  <c r="V97" i="143"/>
  <c r="U97" i="143"/>
  <c r="X97" i="143" s="1"/>
  <c r="M97" i="143"/>
  <c r="F97" i="143"/>
  <c r="N97" i="143" s="1"/>
  <c r="AF96" i="143"/>
  <c r="AE96" i="143"/>
  <c r="AD96" i="143"/>
  <c r="AC96" i="143"/>
  <c r="W96" i="143"/>
  <c r="V96" i="143"/>
  <c r="U96" i="143"/>
  <c r="X96" i="143" s="1"/>
  <c r="M96" i="143"/>
  <c r="F96" i="143"/>
  <c r="N96" i="143" s="1"/>
  <c r="AF95" i="143"/>
  <c r="AE95" i="143"/>
  <c r="AD95" i="143"/>
  <c r="AC95" i="143"/>
  <c r="W95" i="143"/>
  <c r="V95" i="143"/>
  <c r="U95" i="143"/>
  <c r="X95" i="143" s="1"/>
  <c r="M95" i="143"/>
  <c r="F95" i="143"/>
  <c r="N95" i="143" s="1"/>
  <c r="AF94" i="143"/>
  <c r="AE94" i="143"/>
  <c r="AD94" i="143"/>
  <c r="AC94" i="143"/>
  <c r="W94" i="143"/>
  <c r="V94" i="143"/>
  <c r="U94" i="143"/>
  <c r="M94" i="143"/>
  <c r="F94" i="143"/>
  <c r="N94" i="143" s="1"/>
  <c r="AF93" i="143"/>
  <c r="AE93" i="143"/>
  <c r="AD93" i="143"/>
  <c r="AC93" i="143"/>
  <c r="W93" i="143"/>
  <c r="V93" i="143"/>
  <c r="U93" i="143"/>
  <c r="X93" i="143" s="1"/>
  <c r="M93" i="143"/>
  <c r="F93" i="143"/>
  <c r="N93" i="143" s="1"/>
  <c r="AF92" i="143"/>
  <c r="AE92" i="143"/>
  <c r="AD92" i="143"/>
  <c r="AC92" i="143"/>
  <c r="W92" i="143"/>
  <c r="V92" i="143"/>
  <c r="U92" i="143"/>
  <c r="X92" i="143" s="1"/>
  <c r="M92" i="143"/>
  <c r="F92" i="143"/>
  <c r="N92" i="143" s="1"/>
  <c r="AF91" i="143"/>
  <c r="AE91" i="143"/>
  <c r="AD91" i="143"/>
  <c r="AC91" i="143"/>
  <c r="W91" i="143"/>
  <c r="V91" i="143"/>
  <c r="U91" i="143"/>
  <c r="X91" i="143" s="1"/>
  <c r="M91" i="143"/>
  <c r="F91" i="143"/>
  <c r="AF90" i="143"/>
  <c r="AE90" i="143"/>
  <c r="AD90" i="143"/>
  <c r="AC90" i="143"/>
  <c r="W90" i="143"/>
  <c r="V90" i="143"/>
  <c r="U90" i="143"/>
  <c r="X90" i="143" s="1"/>
  <c r="M90" i="143"/>
  <c r="F90" i="143"/>
  <c r="N90" i="143" s="1"/>
  <c r="AF89" i="143"/>
  <c r="AE89" i="143"/>
  <c r="AD89" i="143"/>
  <c r="AC89" i="143"/>
  <c r="W89" i="143"/>
  <c r="V89" i="143"/>
  <c r="U89" i="143"/>
  <c r="X89" i="143" s="1"/>
  <c r="M89" i="143"/>
  <c r="F89" i="143"/>
  <c r="AF88" i="143"/>
  <c r="AE88" i="143"/>
  <c r="AD88" i="143"/>
  <c r="AC88" i="143"/>
  <c r="W88" i="143"/>
  <c r="V88" i="143"/>
  <c r="U88" i="143"/>
  <c r="X88" i="143" s="1"/>
  <c r="M88" i="143"/>
  <c r="F88" i="143"/>
  <c r="N88" i="143" s="1"/>
  <c r="AF87" i="143"/>
  <c r="AE87" i="143"/>
  <c r="AD87" i="143"/>
  <c r="AC87" i="143"/>
  <c r="W87" i="143"/>
  <c r="V87" i="143"/>
  <c r="U87" i="143"/>
  <c r="X87" i="143" s="1"/>
  <c r="M87" i="143"/>
  <c r="F87" i="143"/>
  <c r="N87" i="143" s="1"/>
  <c r="AF86" i="143"/>
  <c r="AE86" i="143"/>
  <c r="AD86" i="143"/>
  <c r="AC86" i="143"/>
  <c r="W86" i="143"/>
  <c r="V86" i="143"/>
  <c r="U86" i="143"/>
  <c r="X86" i="143" s="1"/>
  <c r="M86" i="143"/>
  <c r="F86" i="143"/>
  <c r="N86" i="143" s="1"/>
  <c r="AF85" i="143"/>
  <c r="AE85" i="143"/>
  <c r="AD85" i="143"/>
  <c r="AC85" i="143"/>
  <c r="W85" i="143"/>
  <c r="V85" i="143"/>
  <c r="U85" i="143"/>
  <c r="X85" i="143" s="1"/>
  <c r="M85" i="143"/>
  <c r="F85" i="143"/>
  <c r="N85" i="143" s="1"/>
  <c r="AF84" i="143"/>
  <c r="AE84" i="143"/>
  <c r="AD84" i="143"/>
  <c r="AC84" i="143"/>
  <c r="W84" i="143"/>
  <c r="V84" i="143"/>
  <c r="U84" i="143"/>
  <c r="X84" i="143" s="1"/>
  <c r="M84" i="143"/>
  <c r="F84" i="143"/>
  <c r="N84" i="143" s="1"/>
  <c r="AF83" i="143"/>
  <c r="AE83" i="143"/>
  <c r="AD83" i="143"/>
  <c r="AC83" i="143"/>
  <c r="W83" i="143"/>
  <c r="V83" i="143"/>
  <c r="U83" i="143"/>
  <c r="M83" i="143"/>
  <c r="F83" i="143"/>
  <c r="AF82" i="143"/>
  <c r="AE82" i="143"/>
  <c r="AD82" i="143"/>
  <c r="AC82" i="143"/>
  <c r="W82" i="143"/>
  <c r="V82" i="143"/>
  <c r="U82" i="143"/>
  <c r="X82" i="143" s="1"/>
  <c r="M82" i="143"/>
  <c r="F82" i="143"/>
  <c r="N82" i="143" s="1"/>
  <c r="AF81" i="143"/>
  <c r="AE81" i="143"/>
  <c r="AD81" i="143"/>
  <c r="AC81" i="143"/>
  <c r="W81" i="143"/>
  <c r="V81" i="143"/>
  <c r="U81" i="143"/>
  <c r="X81" i="143" s="1"/>
  <c r="M81" i="143"/>
  <c r="F81" i="143"/>
  <c r="N81" i="143" s="1"/>
  <c r="AF80" i="143"/>
  <c r="AE80" i="143"/>
  <c r="AD80" i="143"/>
  <c r="AC80" i="143"/>
  <c r="W80" i="143"/>
  <c r="V80" i="143"/>
  <c r="U80" i="143"/>
  <c r="X80" i="143" s="1"/>
  <c r="M80" i="143"/>
  <c r="F80" i="143"/>
  <c r="N80" i="143" s="1"/>
  <c r="AF79" i="143"/>
  <c r="AE79" i="143"/>
  <c r="AD79" i="143"/>
  <c r="AC79" i="143"/>
  <c r="W79" i="143"/>
  <c r="V79" i="143"/>
  <c r="U79" i="143"/>
  <c r="X79" i="143" s="1"/>
  <c r="M79" i="143"/>
  <c r="F79" i="143"/>
  <c r="N79" i="143" s="1"/>
  <c r="AF78" i="143"/>
  <c r="AE78" i="143"/>
  <c r="AD78" i="143"/>
  <c r="AC78" i="143"/>
  <c r="W78" i="143"/>
  <c r="V78" i="143"/>
  <c r="U78" i="143"/>
  <c r="X78" i="143" s="1"/>
  <c r="M78" i="143"/>
  <c r="F78" i="143"/>
  <c r="N78" i="143" s="1"/>
  <c r="AF77" i="143"/>
  <c r="AE77" i="143"/>
  <c r="AD77" i="143"/>
  <c r="AC77" i="143"/>
  <c r="W77" i="143"/>
  <c r="V77" i="143"/>
  <c r="U77" i="143"/>
  <c r="X77" i="143" s="1"/>
  <c r="M77" i="143"/>
  <c r="F77" i="143"/>
  <c r="N77" i="143" s="1"/>
  <c r="AF76" i="143"/>
  <c r="AE76" i="143"/>
  <c r="AD76" i="143"/>
  <c r="AC76" i="143"/>
  <c r="W76" i="143"/>
  <c r="V76" i="143"/>
  <c r="U76" i="143"/>
  <c r="M76" i="143"/>
  <c r="F76" i="143"/>
  <c r="N76" i="143" s="1"/>
  <c r="AF75" i="143"/>
  <c r="AE75" i="143"/>
  <c r="AD75" i="143"/>
  <c r="AC75" i="143"/>
  <c r="W75" i="143"/>
  <c r="V75" i="143"/>
  <c r="U75" i="143"/>
  <c r="M75" i="143"/>
  <c r="F75" i="143"/>
  <c r="AF74" i="143"/>
  <c r="AE74" i="143"/>
  <c r="AD74" i="143"/>
  <c r="AC74" i="143"/>
  <c r="W74" i="143"/>
  <c r="V74" i="143"/>
  <c r="U74" i="143"/>
  <c r="X74" i="143" s="1"/>
  <c r="M74" i="143"/>
  <c r="F74" i="143"/>
  <c r="N74" i="143" s="1"/>
  <c r="AF73" i="143"/>
  <c r="AE73" i="143"/>
  <c r="AD73" i="143"/>
  <c r="AC73" i="143"/>
  <c r="W73" i="143"/>
  <c r="V73" i="143"/>
  <c r="U73" i="143"/>
  <c r="X73" i="143" s="1"/>
  <c r="M73" i="143"/>
  <c r="F73" i="143"/>
  <c r="N73" i="143" s="1"/>
  <c r="AF72" i="143"/>
  <c r="AE72" i="143"/>
  <c r="AD72" i="143"/>
  <c r="AC72" i="143"/>
  <c r="W72" i="143"/>
  <c r="V72" i="143"/>
  <c r="U72" i="143"/>
  <c r="X72" i="143" s="1"/>
  <c r="M72" i="143"/>
  <c r="F72" i="143"/>
  <c r="N72" i="143" s="1"/>
  <c r="AF71" i="143"/>
  <c r="AE71" i="143"/>
  <c r="AD71" i="143"/>
  <c r="AC71" i="143"/>
  <c r="W71" i="143"/>
  <c r="V71" i="143"/>
  <c r="U71" i="143"/>
  <c r="X71" i="143" s="1"/>
  <c r="M71" i="143"/>
  <c r="F71" i="143"/>
  <c r="N71" i="143" s="1"/>
  <c r="AF70" i="143"/>
  <c r="AE70" i="143"/>
  <c r="AD70" i="143"/>
  <c r="AC70" i="143"/>
  <c r="W70" i="143"/>
  <c r="V70" i="143"/>
  <c r="U70" i="143"/>
  <c r="X70" i="143" s="1"/>
  <c r="M70" i="143"/>
  <c r="F70" i="143"/>
  <c r="N70" i="143" s="1"/>
  <c r="AF69" i="143"/>
  <c r="AE69" i="143"/>
  <c r="AD69" i="143"/>
  <c r="AC69" i="143"/>
  <c r="W69" i="143"/>
  <c r="V69" i="143"/>
  <c r="U69" i="143"/>
  <c r="X69" i="143" s="1"/>
  <c r="M69" i="143"/>
  <c r="F69" i="143"/>
  <c r="N69" i="143" s="1"/>
  <c r="AF68" i="143"/>
  <c r="AE68" i="143"/>
  <c r="AD68" i="143"/>
  <c r="AC68" i="143"/>
  <c r="W68" i="143"/>
  <c r="V68" i="143"/>
  <c r="U68" i="143"/>
  <c r="X68" i="143" s="1"/>
  <c r="M68" i="143"/>
  <c r="F68" i="143"/>
  <c r="N68" i="143" s="1"/>
  <c r="AF67" i="143"/>
  <c r="AE67" i="143"/>
  <c r="AD67" i="143"/>
  <c r="AC67" i="143"/>
  <c r="W67" i="143"/>
  <c r="V67" i="143"/>
  <c r="U67" i="143"/>
  <c r="X67" i="143" s="1"/>
  <c r="M67" i="143"/>
  <c r="F67" i="143"/>
  <c r="AF66" i="143"/>
  <c r="AE66" i="143"/>
  <c r="AD66" i="143"/>
  <c r="AC66" i="143"/>
  <c r="W66" i="143"/>
  <c r="V66" i="143"/>
  <c r="U66" i="143"/>
  <c r="X66" i="143" s="1"/>
  <c r="M66" i="143"/>
  <c r="F66" i="143"/>
  <c r="E49" i="143"/>
  <c r="D49" i="143"/>
  <c r="T48" i="143"/>
  <c r="S48" i="143"/>
  <c r="R48" i="143"/>
  <c r="Q48" i="143"/>
  <c r="P48" i="143"/>
  <c r="O48" i="143"/>
  <c r="E48" i="143"/>
  <c r="D48" i="143"/>
  <c r="AF46" i="143"/>
  <c r="AE46" i="143"/>
  <c r="AD46" i="143"/>
  <c r="AC46" i="143"/>
  <c r="W46" i="143"/>
  <c r="V46" i="143"/>
  <c r="U46" i="143"/>
  <c r="X46" i="143" s="1"/>
  <c r="M46" i="143"/>
  <c r="F46" i="143"/>
  <c r="N46" i="143" s="1"/>
  <c r="AF45" i="143"/>
  <c r="AE45" i="143"/>
  <c r="AD45" i="143"/>
  <c r="AC45" i="143"/>
  <c r="W45" i="143"/>
  <c r="V45" i="143"/>
  <c r="U45" i="143"/>
  <c r="X45" i="143" s="1"/>
  <c r="M45" i="143"/>
  <c r="F45" i="143"/>
  <c r="N45" i="143" s="1"/>
  <c r="AF44" i="143"/>
  <c r="AE44" i="143"/>
  <c r="AD44" i="143"/>
  <c r="AC44" i="143"/>
  <c r="W44" i="143"/>
  <c r="V44" i="143"/>
  <c r="U44" i="143"/>
  <c r="X44" i="143" s="1"/>
  <c r="M44" i="143"/>
  <c r="F44" i="143"/>
  <c r="N44" i="143" s="1"/>
  <c r="AF43" i="143"/>
  <c r="AE43" i="143"/>
  <c r="AD43" i="143"/>
  <c r="AC43" i="143"/>
  <c r="W43" i="143"/>
  <c r="V43" i="143"/>
  <c r="U43" i="143"/>
  <c r="M43" i="143"/>
  <c r="F43" i="143"/>
  <c r="AF42" i="143"/>
  <c r="AE42" i="143"/>
  <c r="AD42" i="143"/>
  <c r="AC42" i="143"/>
  <c r="W42" i="143"/>
  <c r="V42" i="143"/>
  <c r="U42" i="143"/>
  <c r="X42" i="143" s="1"/>
  <c r="M42" i="143"/>
  <c r="F42" i="143"/>
  <c r="N42" i="143" s="1"/>
  <c r="AF41" i="143"/>
  <c r="AE41" i="143"/>
  <c r="AD41" i="143"/>
  <c r="AC41" i="143"/>
  <c r="W41" i="143"/>
  <c r="V41" i="143"/>
  <c r="U41" i="143"/>
  <c r="X41" i="143" s="1"/>
  <c r="M41" i="143"/>
  <c r="F41" i="143"/>
  <c r="N41" i="143" s="1"/>
  <c r="AF40" i="143"/>
  <c r="AE40" i="143"/>
  <c r="AD40" i="143"/>
  <c r="AC40" i="143"/>
  <c r="W40" i="143"/>
  <c r="V40" i="143"/>
  <c r="U40" i="143"/>
  <c r="M40" i="143"/>
  <c r="F40" i="143"/>
  <c r="AF39" i="143"/>
  <c r="AE39" i="143"/>
  <c r="AD39" i="143"/>
  <c r="AC39" i="143"/>
  <c r="W39" i="143"/>
  <c r="V39" i="143"/>
  <c r="U39" i="143"/>
  <c r="M39" i="143"/>
  <c r="F39" i="143"/>
  <c r="AF38" i="143"/>
  <c r="AE38" i="143"/>
  <c r="AD38" i="143"/>
  <c r="AC38" i="143"/>
  <c r="W38" i="143"/>
  <c r="V38" i="143"/>
  <c r="U38" i="143"/>
  <c r="X38" i="143" s="1"/>
  <c r="M38" i="143"/>
  <c r="F38" i="143"/>
  <c r="N38" i="143" s="1"/>
  <c r="AF37" i="143"/>
  <c r="AE37" i="143"/>
  <c r="AD37" i="143"/>
  <c r="AC37" i="143"/>
  <c r="W37" i="143"/>
  <c r="V37" i="143"/>
  <c r="U37" i="143"/>
  <c r="X37" i="143" s="1"/>
  <c r="M37" i="143"/>
  <c r="F37" i="143"/>
  <c r="N37" i="143" s="1"/>
  <c r="AF36" i="143"/>
  <c r="AE36" i="143"/>
  <c r="AD36" i="143"/>
  <c r="AC36" i="143"/>
  <c r="W36" i="143"/>
  <c r="V36" i="143"/>
  <c r="U36" i="143"/>
  <c r="X36" i="143" s="1"/>
  <c r="M36" i="143"/>
  <c r="F36" i="143"/>
  <c r="N36" i="143" s="1"/>
  <c r="AF35" i="143"/>
  <c r="AE35" i="143"/>
  <c r="AD35" i="143"/>
  <c r="AC35" i="143"/>
  <c r="W35" i="143"/>
  <c r="V35" i="143"/>
  <c r="U35" i="143"/>
  <c r="M35" i="143"/>
  <c r="F35" i="143"/>
  <c r="AF34" i="143"/>
  <c r="AE34" i="143"/>
  <c r="AD34" i="143"/>
  <c r="AC34" i="143"/>
  <c r="W34" i="143"/>
  <c r="V34" i="143"/>
  <c r="U34" i="143"/>
  <c r="M34" i="143"/>
  <c r="F34" i="143"/>
  <c r="N34" i="143" s="1"/>
  <c r="AF33" i="143"/>
  <c r="AE33" i="143"/>
  <c r="AD33" i="143"/>
  <c r="AC33" i="143"/>
  <c r="W33" i="143"/>
  <c r="V33" i="143"/>
  <c r="U33" i="143"/>
  <c r="M33" i="143"/>
  <c r="F33" i="143"/>
  <c r="N33" i="143" s="1"/>
  <c r="AF32" i="143"/>
  <c r="AE32" i="143"/>
  <c r="AD32" i="143"/>
  <c r="AC32" i="143"/>
  <c r="W32" i="143"/>
  <c r="V32" i="143"/>
  <c r="U32" i="143"/>
  <c r="M32" i="143"/>
  <c r="F32" i="143"/>
  <c r="AF31" i="143"/>
  <c r="AE31" i="143"/>
  <c r="AD31" i="143"/>
  <c r="AC31" i="143"/>
  <c r="W31" i="143"/>
  <c r="V31" i="143"/>
  <c r="U31" i="143"/>
  <c r="X31" i="143" s="1"/>
  <c r="M31" i="143"/>
  <c r="F31" i="143"/>
  <c r="AF30" i="143"/>
  <c r="AE30" i="143"/>
  <c r="AD30" i="143"/>
  <c r="AC30" i="143"/>
  <c r="W30" i="143"/>
  <c r="V30" i="143"/>
  <c r="U30" i="143"/>
  <c r="M30" i="143"/>
  <c r="F30" i="143"/>
  <c r="N30" i="143" s="1"/>
  <c r="AF29" i="143"/>
  <c r="AE29" i="143"/>
  <c r="AD29" i="143"/>
  <c r="AC29" i="143"/>
  <c r="W29" i="143"/>
  <c r="V29" i="143"/>
  <c r="U29" i="143"/>
  <c r="M29" i="143"/>
  <c r="F29" i="143"/>
  <c r="N29" i="143" s="1"/>
  <c r="AF28" i="143"/>
  <c r="AE28" i="143"/>
  <c r="AD28" i="143"/>
  <c r="AC28" i="143"/>
  <c r="W28" i="143"/>
  <c r="V28" i="143"/>
  <c r="U28" i="143"/>
  <c r="M28" i="143"/>
  <c r="F28" i="143"/>
  <c r="N28" i="143" s="1"/>
  <c r="AF27" i="143"/>
  <c r="AE27" i="143"/>
  <c r="AD27" i="143"/>
  <c r="AC27" i="143"/>
  <c r="W27" i="143"/>
  <c r="V27" i="143"/>
  <c r="U27" i="143"/>
  <c r="M27" i="143"/>
  <c r="F27" i="143"/>
  <c r="AF26" i="143"/>
  <c r="AE26" i="143"/>
  <c r="AD26" i="143"/>
  <c r="AC26" i="143"/>
  <c r="W26" i="143"/>
  <c r="V26" i="143"/>
  <c r="U26" i="143"/>
  <c r="X26" i="143" s="1"/>
  <c r="M26" i="143"/>
  <c r="F26" i="143"/>
  <c r="N26" i="143" s="1"/>
  <c r="AF25" i="143"/>
  <c r="AE25" i="143"/>
  <c r="AD25" i="143"/>
  <c r="AC25" i="143"/>
  <c r="W25" i="143"/>
  <c r="V25" i="143"/>
  <c r="U25" i="143"/>
  <c r="M25" i="143"/>
  <c r="F25" i="143"/>
  <c r="N25" i="143" s="1"/>
  <c r="AF24" i="143"/>
  <c r="AE24" i="143"/>
  <c r="AD24" i="143"/>
  <c r="AC24" i="143"/>
  <c r="W24" i="143"/>
  <c r="V24" i="143"/>
  <c r="U24" i="143"/>
  <c r="M24" i="143"/>
  <c r="F24" i="143"/>
  <c r="AF23" i="143"/>
  <c r="AE23" i="143"/>
  <c r="AD23" i="143"/>
  <c r="AC23" i="143"/>
  <c r="W23" i="143"/>
  <c r="V23" i="143"/>
  <c r="U23" i="143"/>
  <c r="X23" i="143" s="1"/>
  <c r="M23" i="143"/>
  <c r="F23" i="143"/>
  <c r="AF22" i="143"/>
  <c r="AE22" i="143"/>
  <c r="AD22" i="143"/>
  <c r="AC22" i="143"/>
  <c r="W22" i="143"/>
  <c r="V22" i="143"/>
  <c r="U22" i="143"/>
  <c r="X22" i="143" s="1"/>
  <c r="M22" i="143"/>
  <c r="F22" i="143"/>
  <c r="N22" i="143" s="1"/>
  <c r="AF21" i="143"/>
  <c r="AE21" i="143"/>
  <c r="AD21" i="143"/>
  <c r="AC21" i="143"/>
  <c r="W21" i="143"/>
  <c r="V21" i="143"/>
  <c r="U21" i="143"/>
  <c r="M21" i="143"/>
  <c r="F21" i="143"/>
  <c r="N21" i="143" s="1"/>
  <c r="AF20" i="143"/>
  <c r="AE20" i="143"/>
  <c r="AD20" i="143"/>
  <c r="AC20" i="143"/>
  <c r="W20" i="143"/>
  <c r="V20" i="143"/>
  <c r="U20" i="143"/>
  <c r="X20" i="143" s="1"/>
  <c r="M20" i="143"/>
  <c r="F20" i="143"/>
  <c r="N20" i="143" s="1"/>
  <c r="AF19" i="143"/>
  <c r="AE19" i="143"/>
  <c r="AD19" i="143"/>
  <c r="AC19" i="143"/>
  <c r="W19" i="143"/>
  <c r="V19" i="143"/>
  <c r="U19" i="143"/>
  <c r="M19" i="143"/>
  <c r="F19" i="143"/>
  <c r="AF18" i="143"/>
  <c r="AE18" i="143"/>
  <c r="AD18" i="143"/>
  <c r="AC18" i="143"/>
  <c r="W18" i="143"/>
  <c r="V18" i="143"/>
  <c r="U18" i="143"/>
  <c r="M18" i="143"/>
  <c r="F18" i="143"/>
  <c r="N18" i="143" s="1"/>
  <c r="AF17" i="143"/>
  <c r="AE17" i="143"/>
  <c r="AD17" i="143"/>
  <c r="AC17" i="143"/>
  <c r="W17" i="143"/>
  <c r="V17" i="143"/>
  <c r="U17" i="143"/>
  <c r="M17" i="143"/>
  <c r="F17" i="143"/>
  <c r="N17" i="143" s="1"/>
  <c r="AF16" i="143"/>
  <c r="AE16" i="143"/>
  <c r="AD16" i="143"/>
  <c r="AC16" i="143"/>
  <c r="W16" i="143"/>
  <c r="V16" i="143"/>
  <c r="U16" i="143"/>
  <c r="M16" i="143"/>
  <c r="F16" i="143"/>
  <c r="N16" i="143" s="1"/>
  <c r="AF15" i="143"/>
  <c r="AE15" i="143"/>
  <c r="AD15" i="143"/>
  <c r="AC15" i="143"/>
  <c r="W15" i="143"/>
  <c r="V15" i="143"/>
  <c r="U15" i="143"/>
  <c r="X15" i="143" s="1"/>
  <c r="M15" i="143"/>
  <c r="F15" i="143"/>
  <c r="AF14" i="143"/>
  <c r="AE14" i="143"/>
  <c r="AD14" i="143"/>
  <c r="AC14" i="143"/>
  <c r="W14" i="143"/>
  <c r="V14" i="143"/>
  <c r="U14" i="143"/>
  <c r="X14" i="143" s="1"/>
  <c r="M14" i="143"/>
  <c r="F14" i="143"/>
  <c r="AF13" i="143"/>
  <c r="AE13" i="143"/>
  <c r="AD13" i="143"/>
  <c r="AC13" i="143"/>
  <c r="W13" i="143"/>
  <c r="V13" i="143"/>
  <c r="U13" i="143"/>
  <c r="X13" i="143" s="1"/>
  <c r="M13" i="143"/>
  <c r="F13" i="143"/>
  <c r="N13" i="143" s="1"/>
  <c r="E5" i="143"/>
  <c r="A2" i="143"/>
  <c r="D103" i="142"/>
  <c r="T102" i="142"/>
  <c r="S102" i="142"/>
  <c r="R102" i="142"/>
  <c r="Q102" i="142"/>
  <c r="P102" i="142"/>
  <c r="O102" i="142"/>
  <c r="E102" i="142"/>
  <c r="D102" i="142"/>
  <c r="AF100" i="142"/>
  <c r="AE100" i="142"/>
  <c r="AD100" i="142"/>
  <c r="AC100" i="142"/>
  <c r="W100" i="142"/>
  <c r="V100" i="142"/>
  <c r="U100" i="142"/>
  <c r="X100" i="142" s="1"/>
  <c r="M100" i="142"/>
  <c r="F100" i="142"/>
  <c r="N100" i="142" s="1"/>
  <c r="AF99" i="142"/>
  <c r="AE99" i="142"/>
  <c r="AD99" i="142"/>
  <c r="AC99" i="142"/>
  <c r="W99" i="142"/>
  <c r="V99" i="142"/>
  <c r="U99" i="142"/>
  <c r="X99" i="142" s="1"/>
  <c r="M99" i="142"/>
  <c r="F99" i="142"/>
  <c r="AF98" i="142"/>
  <c r="AE98" i="142"/>
  <c r="AD98" i="142"/>
  <c r="AC98" i="142"/>
  <c r="W98" i="142"/>
  <c r="V98" i="142"/>
  <c r="U98" i="142"/>
  <c r="X98" i="142" s="1"/>
  <c r="M98" i="142"/>
  <c r="F98" i="142"/>
  <c r="AF97" i="142"/>
  <c r="AE97" i="142"/>
  <c r="AD97" i="142"/>
  <c r="AC97" i="142"/>
  <c r="W97" i="142"/>
  <c r="V97" i="142"/>
  <c r="U97" i="142"/>
  <c r="X97" i="142" s="1"/>
  <c r="M97" i="142"/>
  <c r="F97" i="142"/>
  <c r="N97" i="142" s="1"/>
  <c r="AF96" i="142"/>
  <c r="AE96" i="142"/>
  <c r="AD96" i="142"/>
  <c r="AC96" i="142"/>
  <c r="W96" i="142"/>
  <c r="V96" i="142"/>
  <c r="U96" i="142"/>
  <c r="X96" i="142" s="1"/>
  <c r="M96" i="142"/>
  <c r="F96" i="142"/>
  <c r="N96" i="142" s="1"/>
  <c r="AF95" i="142"/>
  <c r="AE95" i="142"/>
  <c r="AD95" i="142"/>
  <c r="AC95" i="142"/>
  <c r="W95" i="142"/>
  <c r="V95" i="142"/>
  <c r="U95" i="142"/>
  <c r="X95" i="142" s="1"/>
  <c r="M95" i="142"/>
  <c r="F95" i="142"/>
  <c r="N95" i="142" s="1"/>
  <c r="AF94" i="142"/>
  <c r="AE94" i="142"/>
  <c r="AD94" i="142"/>
  <c r="AC94" i="142"/>
  <c r="W94" i="142"/>
  <c r="V94" i="142"/>
  <c r="U94" i="142"/>
  <c r="M94" i="142"/>
  <c r="F94" i="142"/>
  <c r="AF93" i="142"/>
  <c r="AE93" i="142"/>
  <c r="AD93" i="142"/>
  <c r="AC93" i="142"/>
  <c r="W93" i="142"/>
  <c r="V93" i="142"/>
  <c r="U93" i="142"/>
  <c r="X93" i="142" s="1"/>
  <c r="M93" i="142"/>
  <c r="F93" i="142"/>
  <c r="N93" i="142" s="1"/>
  <c r="AF92" i="142"/>
  <c r="AE92" i="142"/>
  <c r="AD92" i="142"/>
  <c r="AC92" i="142"/>
  <c r="W92" i="142"/>
  <c r="V92" i="142"/>
  <c r="U92" i="142"/>
  <c r="X92" i="142" s="1"/>
  <c r="M92" i="142"/>
  <c r="F92" i="142"/>
  <c r="N92" i="142" s="1"/>
  <c r="AF91" i="142"/>
  <c r="AE91" i="142"/>
  <c r="AD91" i="142"/>
  <c r="AC91" i="142"/>
  <c r="W91" i="142"/>
  <c r="V91" i="142"/>
  <c r="U91" i="142"/>
  <c r="X91" i="142" s="1"/>
  <c r="M91" i="142"/>
  <c r="F91" i="142"/>
  <c r="AF90" i="142"/>
  <c r="AE90" i="142"/>
  <c r="AD90" i="142"/>
  <c r="AC90" i="142"/>
  <c r="W90" i="142"/>
  <c r="V90" i="142"/>
  <c r="U90" i="142"/>
  <c r="X90" i="142" s="1"/>
  <c r="M90" i="142"/>
  <c r="F90" i="142"/>
  <c r="AF89" i="142"/>
  <c r="AE89" i="142"/>
  <c r="AD89" i="142"/>
  <c r="AC89" i="142"/>
  <c r="W89" i="142"/>
  <c r="V89" i="142"/>
  <c r="U89" i="142"/>
  <c r="X89" i="142" s="1"/>
  <c r="M89" i="142"/>
  <c r="F89" i="142"/>
  <c r="N89" i="142" s="1"/>
  <c r="AF88" i="142"/>
  <c r="AE88" i="142"/>
  <c r="AD88" i="142"/>
  <c r="AC88" i="142"/>
  <c r="W88" i="142"/>
  <c r="V88" i="142"/>
  <c r="U88" i="142"/>
  <c r="X88" i="142" s="1"/>
  <c r="M88" i="142"/>
  <c r="F88" i="142"/>
  <c r="N88" i="142" s="1"/>
  <c r="AF87" i="142"/>
  <c r="AE87" i="142"/>
  <c r="AD87" i="142"/>
  <c r="AC87" i="142"/>
  <c r="W87" i="142"/>
  <c r="V87" i="142"/>
  <c r="U87" i="142"/>
  <c r="M87" i="142"/>
  <c r="F87" i="142"/>
  <c r="N87" i="142" s="1"/>
  <c r="AF86" i="142"/>
  <c r="AE86" i="142"/>
  <c r="AD86" i="142"/>
  <c r="AC86" i="142"/>
  <c r="W86" i="142"/>
  <c r="V86" i="142"/>
  <c r="U86" i="142"/>
  <c r="M86" i="142"/>
  <c r="F86" i="142"/>
  <c r="AF85" i="142"/>
  <c r="AE85" i="142"/>
  <c r="AD85" i="142"/>
  <c r="AC85" i="142"/>
  <c r="W85" i="142"/>
  <c r="V85" i="142"/>
  <c r="U85" i="142"/>
  <c r="X85" i="142" s="1"/>
  <c r="M85" i="142"/>
  <c r="F85" i="142"/>
  <c r="N85" i="142" s="1"/>
  <c r="AF84" i="142"/>
  <c r="AE84" i="142"/>
  <c r="AD84" i="142"/>
  <c r="AC84" i="142"/>
  <c r="W84" i="142"/>
  <c r="V84" i="142"/>
  <c r="U84" i="142"/>
  <c r="M84" i="142"/>
  <c r="F84" i="142"/>
  <c r="N84" i="142" s="1"/>
  <c r="AF83" i="142"/>
  <c r="AE83" i="142"/>
  <c r="AD83" i="142"/>
  <c r="AC83" i="142"/>
  <c r="W83" i="142"/>
  <c r="V83" i="142"/>
  <c r="U83" i="142"/>
  <c r="X83" i="142" s="1"/>
  <c r="M83" i="142"/>
  <c r="F83" i="142"/>
  <c r="AF82" i="142"/>
  <c r="AE82" i="142"/>
  <c r="AD82" i="142"/>
  <c r="AC82" i="142"/>
  <c r="W82" i="142"/>
  <c r="V82" i="142"/>
  <c r="U82" i="142"/>
  <c r="X82" i="142" s="1"/>
  <c r="M82" i="142"/>
  <c r="F82" i="142"/>
  <c r="AF81" i="142"/>
  <c r="AE81" i="142"/>
  <c r="AD81" i="142"/>
  <c r="AC81" i="142"/>
  <c r="W81" i="142"/>
  <c r="V81" i="142"/>
  <c r="U81" i="142"/>
  <c r="X81" i="142" s="1"/>
  <c r="M81" i="142"/>
  <c r="F81" i="142"/>
  <c r="N81" i="142" s="1"/>
  <c r="AF80" i="142"/>
  <c r="AE80" i="142"/>
  <c r="AD80" i="142"/>
  <c r="AC80" i="142"/>
  <c r="W80" i="142"/>
  <c r="V80" i="142"/>
  <c r="U80" i="142"/>
  <c r="X80" i="142" s="1"/>
  <c r="M80" i="142"/>
  <c r="F80" i="142"/>
  <c r="N80" i="142" s="1"/>
  <c r="AF79" i="142"/>
  <c r="AE79" i="142"/>
  <c r="AD79" i="142"/>
  <c r="AC79" i="142"/>
  <c r="W79" i="142"/>
  <c r="V79" i="142"/>
  <c r="U79" i="142"/>
  <c r="X79" i="142" s="1"/>
  <c r="M79" i="142"/>
  <c r="F79" i="142"/>
  <c r="N79" i="142" s="1"/>
  <c r="AF78" i="142"/>
  <c r="AE78" i="142"/>
  <c r="AD78" i="142"/>
  <c r="AC78" i="142"/>
  <c r="W78" i="142"/>
  <c r="V78" i="142"/>
  <c r="U78" i="142"/>
  <c r="M78" i="142"/>
  <c r="F78" i="142"/>
  <c r="AF77" i="142"/>
  <c r="AE77" i="142"/>
  <c r="AD77" i="142"/>
  <c r="AC77" i="142"/>
  <c r="W77" i="142"/>
  <c r="V77" i="142"/>
  <c r="U77" i="142"/>
  <c r="M77" i="142"/>
  <c r="F77" i="142"/>
  <c r="N77" i="142" s="1"/>
  <c r="AF76" i="142"/>
  <c r="AE76" i="142"/>
  <c r="AD76" i="142"/>
  <c r="AC76" i="142"/>
  <c r="W76" i="142"/>
  <c r="V76" i="142"/>
  <c r="U76" i="142"/>
  <c r="X76" i="142" s="1"/>
  <c r="M76" i="142"/>
  <c r="F76" i="142"/>
  <c r="N76" i="142" s="1"/>
  <c r="AF75" i="142"/>
  <c r="AE75" i="142"/>
  <c r="AD75" i="142"/>
  <c r="AC75" i="142"/>
  <c r="W75" i="142"/>
  <c r="V75" i="142"/>
  <c r="U75" i="142"/>
  <c r="M75" i="142"/>
  <c r="F75" i="142"/>
  <c r="AF74" i="142"/>
  <c r="AE74" i="142"/>
  <c r="AD74" i="142"/>
  <c r="AC74" i="142"/>
  <c r="W74" i="142"/>
  <c r="V74" i="142"/>
  <c r="U74" i="142"/>
  <c r="M74" i="142"/>
  <c r="F74" i="142"/>
  <c r="AF73" i="142"/>
  <c r="AE73" i="142"/>
  <c r="AD73" i="142"/>
  <c r="AC73" i="142"/>
  <c r="W73" i="142"/>
  <c r="V73" i="142"/>
  <c r="U73" i="142"/>
  <c r="X73" i="142" s="1"/>
  <c r="M73" i="142"/>
  <c r="F73" i="142"/>
  <c r="N73" i="142" s="1"/>
  <c r="AF72" i="142"/>
  <c r="AE72" i="142"/>
  <c r="AD72" i="142"/>
  <c r="AC72" i="142"/>
  <c r="W72" i="142"/>
  <c r="V72" i="142"/>
  <c r="U72" i="142"/>
  <c r="X72" i="142" s="1"/>
  <c r="M72" i="142"/>
  <c r="F72" i="142"/>
  <c r="N72" i="142" s="1"/>
  <c r="AF71" i="142"/>
  <c r="AE71" i="142"/>
  <c r="AD71" i="142"/>
  <c r="AC71" i="142"/>
  <c r="W71" i="142"/>
  <c r="V71" i="142"/>
  <c r="U71" i="142"/>
  <c r="M71" i="142"/>
  <c r="F71" i="142"/>
  <c r="N71" i="142" s="1"/>
  <c r="AF70" i="142"/>
  <c r="AE70" i="142"/>
  <c r="AD70" i="142"/>
  <c r="AC70" i="142"/>
  <c r="W70" i="142"/>
  <c r="V70" i="142"/>
  <c r="U70" i="142"/>
  <c r="M70" i="142"/>
  <c r="F70" i="142"/>
  <c r="AF69" i="142"/>
  <c r="AE69" i="142"/>
  <c r="AD69" i="142"/>
  <c r="AC69" i="142"/>
  <c r="W69" i="142"/>
  <c r="V69" i="142"/>
  <c r="U69" i="142"/>
  <c r="X69" i="142" s="1"/>
  <c r="M69" i="142"/>
  <c r="F69" i="142"/>
  <c r="N69" i="142" s="1"/>
  <c r="AF68" i="142"/>
  <c r="AE68" i="142"/>
  <c r="AD68" i="142"/>
  <c r="AC68" i="142"/>
  <c r="W68" i="142"/>
  <c r="V68" i="142"/>
  <c r="U68" i="142"/>
  <c r="X68" i="142" s="1"/>
  <c r="M68" i="142"/>
  <c r="F68" i="142"/>
  <c r="N68" i="142" s="1"/>
  <c r="AF67" i="142"/>
  <c r="AE67" i="142"/>
  <c r="AD67" i="142"/>
  <c r="AC67" i="142"/>
  <c r="W67" i="142"/>
  <c r="V67" i="142"/>
  <c r="U67" i="142"/>
  <c r="X67" i="142" s="1"/>
  <c r="M67" i="142"/>
  <c r="F67" i="142"/>
  <c r="N67" i="142" s="1"/>
  <c r="AF66" i="142"/>
  <c r="AE66" i="142"/>
  <c r="AD66" i="142"/>
  <c r="AC66" i="142"/>
  <c r="W66" i="142"/>
  <c r="V66" i="142"/>
  <c r="U66" i="142"/>
  <c r="X66" i="142" s="1"/>
  <c r="M66" i="142"/>
  <c r="F66" i="142"/>
  <c r="E49" i="142"/>
  <c r="D49" i="142"/>
  <c r="T48" i="142"/>
  <c r="S48" i="142"/>
  <c r="R48" i="142"/>
  <c r="Q48" i="142"/>
  <c r="P48" i="142"/>
  <c r="O48" i="142"/>
  <c r="E48" i="142"/>
  <c r="D48" i="142"/>
  <c r="AF46" i="142"/>
  <c r="AE46" i="142"/>
  <c r="AD46" i="142"/>
  <c r="AC46" i="142"/>
  <c r="W46" i="142"/>
  <c r="V46" i="142"/>
  <c r="U46" i="142"/>
  <c r="X46" i="142" s="1"/>
  <c r="M46" i="142"/>
  <c r="F46" i="142"/>
  <c r="N46" i="142" s="1"/>
  <c r="AF45" i="142"/>
  <c r="AE45" i="142"/>
  <c r="AD45" i="142"/>
  <c r="AC45" i="142"/>
  <c r="W45" i="142"/>
  <c r="V45" i="142"/>
  <c r="U45" i="142"/>
  <c r="X45" i="142" s="1"/>
  <c r="M45" i="142"/>
  <c r="F45" i="142"/>
  <c r="N45" i="142" s="1"/>
  <c r="AF44" i="142"/>
  <c r="AE44" i="142"/>
  <c r="AD44" i="142"/>
  <c r="AC44" i="142"/>
  <c r="W44" i="142"/>
  <c r="V44" i="142"/>
  <c r="U44" i="142"/>
  <c r="X44" i="142" s="1"/>
  <c r="M44" i="142"/>
  <c r="F44" i="142"/>
  <c r="AF43" i="142"/>
  <c r="AE43" i="142"/>
  <c r="AD43" i="142"/>
  <c r="AC43" i="142"/>
  <c r="W43" i="142"/>
  <c r="V43" i="142"/>
  <c r="U43" i="142"/>
  <c r="X43" i="142" s="1"/>
  <c r="M43" i="142"/>
  <c r="F43" i="142"/>
  <c r="N43" i="142" s="1"/>
  <c r="AF42" i="142"/>
  <c r="AE42" i="142"/>
  <c r="AD42" i="142"/>
  <c r="AC42" i="142"/>
  <c r="W42" i="142"/>
  <c r="V42" i="142"/>
  <c r="U42" i="142"/>
  <c r="M42" i="142"/>
  <c r="F42" i="142"/>
  <c r="N42" i="142" s="1"/>
  <c r="AF41" i="142"/>
  <c r="AE41" i="142"/>
  <c r="AD41" i="142"/>
  <c r="AC41" i="142"/>
  <c r="W41" i="142"/>
  <c r="V41" i="142"/>
  <c r="U41" i="142"/>
  <c r="X41" i="142" s="1"/>
  <c r="M41" i="142"/>
  <c r="F41" i="142"/>
  <c r="N41" i="142" s="1"/>
  <c r="AF40" i="142"/>
  <c r="AE40" i="142"/>
  <c r="AD40" i="142"/>
  <c r="AC40" i="142"/>
  <c r="W40" i="142"/>
  <c r="V40" i="142"/>
  <c r="U40" i="142"/>
  <c r="M40" i="142"/>
  <c r="F40" i="142"/>
  <c r="AF39" i="142"/>
  <c r="AE39" i="142"/>
  <c r="AD39" i="142"/>
  <c r="AC39" i="142"/>
  <c r="W39" i="142"/>
  <c r="V39" i="142"/>
  <c r="U39" i="142"/>
  <c r="X39" i="142" s="1"/>
  <c r="M39" i="142"/>
  <c r="F39" i="142"/>
  <c r="N39" i="142" s="1"/>
  <c r="AF38" i="142"/>
  <c r="AE38" i="142"/>
  <c r="AD38" i="142"/>
  <c r="AC38" i="142"/>
  <c r="W38" i="142"/>
  <c r="V38" i="142"/>
  <c r="U38" i="142"/>
  <c r="X38" i="142" s="1"/>
  <c r="M38" i="142"/>
  <c r="F38" i="142"/>
  <c r="N38" i="142" s="1"/>
  <c r="AF37" i="142"/>
  <c r="AE37" i="142"/>
  <c r="AD37" i="142"/>
  <c r="AC37" i="142"/>
  <c r="W37" i="142"/>
  <c r="V37" i="142"/>
  <c r="U37" i="142"/>
  <c r="X37" i="142" s="1"/>
  <c r="M37" i="142"/>
  <c r="F37" i="142"/>
  <c r="N37" i="142" s="1"/>
  <c r="AF36" i="142"/>
  <c r="AE36" i="142"/>
  <c r="AD36" i="142"/>
  <c r="AC36" i="142"/>
  <c r="W36" i="142"/>
  <c r="V36" i="142"/>
  <c r="U36" i="142"/>
  <c r="M36" i="142"/>
  <c r="F36" i="142"/>
  <c r="AF35" i="142"/>
  <c r="AE35" i="142"/>
  <c r="AD35" i="142"/>
  <c r="AC35" i="142"/>
  <c r="W35" i="142"/>
  <c r="V35" i="142"/>
  <c r="U35" i="142"/>
  <c r="X35" i="142" s="1"/>
  <c r="M35" i="142"/>
  <c r="F35" i="142"/>
  <c r="N35" i="142" s="1"/>
  <c r="AF34" i="142"/>
  <c r="AE34" i="142"/>
  <c r="AD34" i="142"/>
  <c r="AC34" i="142"/>
  <c r="W34" i="142"/>
  <c r="V34" i="142"/>
  <c r="U34" i="142"/>
  <c r="X34" i="142" s="1"/>
  <c r="M34" i="142"/>
  <c r="F34" i="142"/>
  <c r="N34" i="142" s="1"/>
  <c r="AF33" i="142"/>
  <c r="AE33" i="142"/>
  <c r="AD33" i="142"/>
  <c r="AC33" i="142"/>
  <c r="W33" i="142"/>
  <c r="V33" i="142"/>
  <c r="U33" i="142"/>
  <c r="X33" i="142" s="1"/>
  <c r="M33" i="142"/>
  <c r="F33" i="142"/>
  <c r="N33" i="142" s="1"/>
  <c r="AF32" i="142"/>
  <c r="AE32" i="142"/>
  <c r="AD32" i="142"/>
  <c r="AC32" i="142"/>
  <c r="W32" i="142"/>
  <c r="V32" i="142"/>
  <c r="U32" i="142"/>
  <c r="M32" i="142"/>
  <c r="F32" i="142"/>
  <c r="AF31" i="142"/>
  <c r="AE31" i="142"/>
  <c r="AD31" i="142"/>
  <c r="AC31" i="142"/>
  <c r="W31" i="142"/>
  <c r="V31" i="142"/>
  <c r="U31" i="142"/>
  <c r="X31" i="142" s="1"/>
  <c r="M31" i="142"/>
  <c r="F31" i="142"/>
  <c r="N31" i="142" s="1"/>
  <c r="AF30" i="142"/>
  <c r="AE30" i="142"/>
  <c r="AD30" i="142"/>
  <c r="AC30" i="142"/>
  <c r="W30" i="142"/>
  <c r="V30" i="142"/>
  <c r="U30" i="142"/>
  <c r="X30" i="142" s="1"/>
  <c r="M30" i="142"/>
  <c r="F30" i="142"/>
  <c r="N30" i="142" s="1"/>
  <c r="AF29" i="142"/>
  <c r="AE29" i="142"/>
  <c r="AD29" i="142"/>
  <c r="AC29" i="142"/>
  <c r="W29" i="142"/>
  <c r="V29" i="142"/>
  <c r="U29" i="142"/>
  <c r="X29" i="142" s="1"/>
  <c r="M29" i="142"/>
  <c r="F29" i="142"/>
  <c r="N29" i="142" s="1"/>
  <c r="AF28" i="142"/>
  <c r="AE28" i="142"/>
  <c r="AD28" i="142"/>
  <c r="AC28" i="142"/>
  <c r="W28" i="142"/>
  <c r="V28" i="142"/>
  <c r="U28" i="142"/>
  <c r="M28" i="142"/>
  <c r="F28" i="142"/>
  <c r="AF27" i="142"/>
  <c r="AE27" i="142"/>
  <c r="AD27" i="142"/>
  <c r="AC27" i="142"/>
  <c r="W27" i="142"/>
  <c r="V27" i="142"/>
  <c r="U27" i="142"/>
  <c r="X27" i="142" s="1"/>
  <c r="M27" i="142"/>
  <c r="F27" i="142"/>
  <c r="N27" i="142" s="1"/>
  <c r="AF26" i="142"/>
  <c r="AE26" i="142"/>
  <c r="AD26" i="142"/>
  <c r="AC26" i="142"/>
  <c r="W26" i="142"/>
  <c r="V26" i="142"/>
  <c r="U26" i="142"/>
  <c r="X26" i="142" s="1"/>
  <c r="M26" i="142"/>
  <c r="F26" i="142"/>
  <c r="N26" i="142" s="1"/>
  <c r="AF25" i="142"/>
  <c r="AE25" i="142"/>
  <c r="AD25" i="142"/>
  <c r="AC25" i="142"/>
  <c r="W25" i="142"/>
  <c r="V25" i="142"/>
  <c r="U25" i="142"/>
  <c r="X25" i="142" s="1"/>
  <c r="M25" i="142"/>
  <c r="F25" i="142"/>
  <c r="N25" i="142" s="1"/>
  <c r="AF24" i="142"/>
  <c r="AE24" i="142"/>
  <c r="AD24" i="142"/>
  <c r="AC24" i="142"/>
  <c r="W24" i="142"/>
  <c r="V24" i="142"/>
  <c r="U24" i="142"/>
  <c r="M24" i="142"/>
  <c r="F24" i="142"/>
  <c r="AF23" i="142"/>
  <c r="AE23" i="142"/>
  <c r="AD23" i="142"/>
  <c r="AC23" i="142"/>
  <c r="W23" i="142"/>
  <c r="V23" i="142"/>
  <c r="U23" i="142"/>
  <c r="X23" i="142" s="1"/>
  <c r="M23" i="142"/>
  <c r="F23" i="142"/>
  <c r="N23" i="142" s="1"/>
  <c r="AF22" i="142"/>
  <c r="AE22" i="142"/>
  <c r="AD22" i="142"/>
  <c r="AC22" i="142"/>
  <c r="W22" i="142"/>
  <c r="V22" i="142"/>
  <c r="U22" i="142"/>
  <c r="X22" i="142" s="1"/>
  <c r="M22" i="142"/>
  <c r="F22" i="142"/>
  <c r="N22" i="142" s="1"/>
  <c r="AF21" i="142"/>
  <c r="AE21" i="142"/>
  <c r="AD21" i="142"/>
  <c r="AC21" i="142"/>
  <c r="W21" i="142"/>
  <c r="V21" i="142"/>
  <c r="U21" i="142"/>
  <c r="X21" i="142" s="1"/>
  <c r="M21" i="142"/>
  <c r="F21" i="142"/>
  <c r="N21" i="142" s="1"/>
  <c r="AF20" i="142"/>
  <c r="AE20" i="142"/>
  <c r="AD20" i="142"/>
  <c r="AC20" i="142"/>
  <c r="W20" i="142"/>
  <c r="V20" i="142"/>
  <c r="U20" i="142"/>
  <c r="M20" i="142"/>
  <c r="F20" i="142"/>
  <c r="AF19" i="142"/>
  <c r="AE19" i="142"/>
  <c r="AD19" i="142"/>
  <c r="AC19" i="142"/>
  <c r="W19" i="142"/>
  <c r="V19" i="142"/>
  <c r="U19" i="142"/>
  <c r="X19" i="142" s="1"/>
  <c r="M19" i="142"/>
  <c r="F19" i="142"/>
  <c r="N19" i="142" s="1"/>
  <c r="AF18" i="142"/>
  <c r="AE18" i="142"/>
  <c r="AD18" i="142"/>
  <c r="AC18" i="142"/>
  <c r="W18" i="142"/>
  <c r="V18" i="142"/>
  <c r="U18" i="142"/>
  <c r="X18" i="142" s="1"/>
  <c r="M18" i="142"/>
  <c r="F18" i="142"/>
  <c r="N18" i="142" s="1"/>
  <c r="AF17" i="142"/>
  <c r="AE17" i="142"/>
  <c r="AD17" i="142"/>
  <c r="AC17" i="142"/>
  <c r="W17" i="142"/>
  <c r="V17" i="142"/>
  <c r="U17" i="142"/>
  <c r="X17" i="142" s="1"/>
  <c r="M17" i="142"/>
  <c r="F17" i="142"/>
  <c r="N17" i="142" s="1"/>
  <c r="AF16" i="142"/>
  <c r="AE16" i="142"/>
  <c r="AD16" i="142"/>
  <c r="AC16" i="142"/>
  <c r="W16" i="142"/>
  <c r="V16" i="142"/>
  <c r="U16" i="142"/>
  <c r="M16" i="142"/>
  <c r="F16" i="142"/>
  <c r="N16" i="142" s="1"/>
  <c r="AF15" i="142"/>
  <c r="AE15" i="142"/>
  <c r="AD15" i="142"/>
  <c r="AC15" i="142"/>
  <c r="W15" i="142"/>
  <c r="V15" i="142"/>
  <c r="U15" i="142"/>
  <c r="X15" i="142" s="1"/>
  <c r="M15" i="142"/>
  <c r="F15" i="142"/>
  <c r="N15" i="142" s="1"/>
  <c r="AF14" i="142"/>
  <c r="AE14" i="142"/>
  <c r="AD14" i="142"/>
  <c r="AC14" i="142"/>
  <c r="W14" i="142"/>
  <c r="V14" i="142"/>
  <c r="U14" i="142"/>
  <c r="X14" i="142" s="1"/>
  <c r="M14" i="142"/>
  <c r="F14" i="142"/>
  <c r="N14" i="142" s="1"/>
  <c r="AF13" i="142"/>
  <c r="AE13" i="142"/>
  <c r="AD13" i="142"/>
  <c r="AC13" i="142"/>
  <c r="W13" i="142"/>
  <c r="V13" i="142"/>
  <c r="U13" i="142"/>
  <c r="M13" i="142"/>
  <c r="F13" i="142"/>
  <c r="N13" i="142" s="1"/>
  <c r="E5" i="142"/>
  <c r="A2" i="142"/>
  <c r="D103" i="141"/>
  <c r="T102" i="141"/>
  <c r="S102" i="141"/>
  <c r="R102" i="141"/>
  <c r="Q102" i="141"/>
  <c r="P102" i="141"/>
  <c r="O102" i="141"/>
  <c r="E102" i="141"/>
  <c r="D102" i="141"/>
  <c r="AF100" i="141"/>
  <c r="AE100" i="141"/>
  <c r="AD100" i="141"/>
  <c r="AC100" i="141"/>
  <c r="W100" i="141"/>
  <c r="V100" i="141"/>
  <c r="U100" i="141"/>
  <c r="X100" i="141" s="1"/>
  <c r="M100" i="141"/>
  <c r="F100" i="141"/>
  <c r="N100" i="141" s="1"/>
  <c r="AF99" i="141"/>
  <c r="AE99" i="141"/>
  <c r="AD99" i="141"/>
  <c r="AC99" i="141"/>
  <c r="W99" i="141"/>
  <c r="V99" i="141"/>
  <c r="U99" i="141"/>
  <c r="X99" i="141" s="1"/>
  <c r="M99" i="141"/>
  <c r="F99" i="141"/>
  <c r="N99" i="141" s="1"/>
  <c r="AF98" i="141"/>
  <c r="AE98" i="141"/>
  <c r="AD98" i="141"/>
  <c r="AC98" i="141"/>
  <c r="W98" i="141"/>
  <c r="V98" i="141"/>
  <c r="U98" i="141"/>
  <c r="M98" i="141"/>
  <c r="F98" i="141"/>
  <c r="AF97" i="141"/>
  <c r="AE97" i="141"/>
  <c r="AD97" i="141"/>
  <c r="AC97" i="141"/>
  <c r="W97" i="141"/>
  <c r="V97" i="141"/>
  <c r="U97" i="141"/>
  <c r="M97" i="141"/>
  <c r="F97" i="141"/>
  <c r="N97" i="141" s="1"/>
  <c r="AF96" i="141"/>
  <c r="AE96" i="141"/>
  <c r="AD96" i="141"/>
  <c r="AC96" i="141"/>
  <c r="W96" i="141"/>
  <c r="V96" i="141"/>
  <c r="U96" i="141"/>
  <c r="M96" i="141"/>
  <c r="F96" i="141"/>
  <c r="N96" i="141" s="1"/>
  <c r="AF95" i="141"/>
  <c r="AE95" i="141"/>
  <c r="AD95" i="141"/>
  <c r="AC95" i="141"/>
  <c r="W95" i="141"/>
  <c r="V95" i="141"/>
  <c r="U95" i="141"/>
  <c r="M95" i="141"/>
  <c r="F95" i="141"/>
  <c r="AF94" i="141"/>
  <c r="AE94" i="141"/>
  <c r="AD94" i="141"/>
  <c r="AC94" i="141"/>
  <c r="W94" i="141"/>
  <c r="V94" i="141"/>
  <c r="U94" i="141"/>
  <c r="M94" i="141"/>
  <c r="F94" i="141"/>
  <c r="AF93" i="141"/>
  <c r="AE93" i="141"/>
  <c r="AD93" i="141"/>
  <c r="AC93" i="141"/>
  <c r="W93" i="141"/>
  <c r="V93" i="141"/>
  <c r="U93" i="141"/>
  <c r="M93" i="141"/>
  <c r="F93" i="141"/>
  <c r="N93" i="141" s="1"/>
  <c r="AF92" i="141"/>
  <c r="AE92" i="141"/>
  <c r="AD92" i="141"/>
  <c r="AC92" i="141"/>
  <c r="W92" i="141"/>
  <c r="V92" i="141"/>
  <c r="U92" i="141"/>
  <c r="X92" i="141" s="1"/>
  <c r="M92" i="141"/>
  <c r="F92" i="141"/>
  <c r="N92" i="141" s="1"/>
  <c r="AF91" i="141"/>
  <c r="AE91" i="141"/>
  <c r="AD91" i="141"/>
  <c r="AC91" i="141"/>
  <c r="W91" i="141"/>
  <c r="V91" i="141"/>
  <c r="U91" i="141"/>
  <c r="X91" i="141" s="1"/>
  <c r="M91" i="141"/>
  <c r="F91" i="141"/>
  <c r="N91" i="141" s="1"/>
  <c r="AF90" i="141"/>
  <c r="AE90" i="141"/>
  <c r="AD90" i="141"/>
  <c r="AC90" i="141"/>
  <c r="W90" i="141"/>
  <c r="V90" i="141"/>
  <c r="U90" i="141"/>
  <c r="M90" i="141"/>
  <c r="F90" i="141"/>
  <c r="AF89" i="141"/>
  <c r="AE89" i="141"/>
  <c r="AD89" i="141"/>
  <c r="AC89" i="141"/>
  <c r="W89" i="141"/>
  <c r="V89" i="141"/>
  <c r="U89" i="141"/>
  <c r="X89" i="141" s="1"/>
  <c r="M89" i="141"/>
  <c r="F89" i="141"/>
  <c r="N89" i="141" s="1"/>
  <c r="AF88" i="141"/>
  <c r="AE88" i="141"/>
  <c r="AD88" i="141"/>
  <c r="AC88" i="141"/>
  <c r="W88" i="141"/>
  <c r="V88" i="141"/>
  <c r="U88" i="141"/>
  <c r="X88" i="141" s="1"/>
  <c r="M88" i="141"/>
  <c r="F88" i="141"/>
  <c r="N88" i="141" s="1"/>
  <c r="AF87" i="141"/>
  <c r="AE87" i="141"/>
  <c r="AD87" i="141"/>
  <c r="AC87" i="141"/>
  <c r="W87" i="141"/>
  <c r="V87" i="141"/>
  <c r="U87" i="141"/>
  <c r="X87" i="141" s="1"/>
  <c r="M87" i="141"/>
  <c r="F87" i="141"/>
  <c r="AF86" i="141"/>
  <c r="AE86" i="141"/>
  <c r="AD86" i="141"/>
  <c r="AC86" i="141"/>
  <c r="W86" i="141"/>
  <c r="V86" i="141"/>
  <c r="U86" i="141"/>
  <c r="X86" i="141" s="1"/>
  <c r="M86" i="141"/>
  <c r="F86" i="141"/>
  <c r="AF85" i="141"/>
  <c r="AE85" i="141"/>
  <c r="AD85" i="141"/>
  <c r="AC85" i="141"/>
  <c r="W85" i="141"/>
  <c r="V85" i="141"/>
  <c r="U85" i="141"/>
  <c r="X85" i="141" s="1"/>
  <c r="M85" i="141"/>
  <c r="F85" i="141"/>
  <c r="N85" i="141" s="1"/>
  <c r="AF84" i="141"/>
  <c r="AE84" i="141"/>
  <c r="AD84" i="141"/>
  <c r="AC84" i="141"/>
  <c r="W84" i="141"/>
  <c r="V84" i="141"/>
  <c r="U84" i="141"/>
  <c r="M84" i="141"/>
  <c r="F84" i="141"/>
  <c r="N84" i="141" s="1"/>
  <c r="AF83" i="141"/>
  <c r="AE83" i="141"/>
  <c r="AD83" i="141"/>
  <c r="AC83" i="141"/>
  <c r="W83" i="141"/>
  <c r="V83" i="141"/>
  <c r="U83" i="141"/>
  <c r="X83" i="141" s="1"/>
  <c r="M83" i="141"/>
  <c r="F83" i="141"/>
  <c r="N83" i="141" s="1"/>
  <c r="AF82" i="141"/>
  <c r="AE82" i="141"/>
  <c r="AD82" i="141"/>
  <c r="AC82" i="141"/>
  <c r="W82" i="141"/>
  <c r="V82" i="141"/>
  <c r="U82" i="141"/>
  <c r="M82" i="141"/>
  <c r="F82" i="141"/>
  <c r="AF81" i="141"/>
  <c r="AE81" i="141"/>
  <c r="AD81" i="141"/>
  <c r="AC81" i="141"/>
  <c r="W81" i="141"/>
  <c r="V81" i="141"/>
  <c r="U81" i="141"/>
  <c r="X81" i="141" s="1"/>
  <c r="M81" i="141"/>
  <c r="F81" i="141"/>
  <c r="N81" i="141" s="1"/>
  <c r="AF80" i="141"/>
  <c r="AE80" i="141"/>
  <c r="AD80" i="141"/>
  <c r="AC80" i="141"/>
  <c r="W80" i="141"/>
  <c r="V80" i="141"/>
  <c r="U80" i="141"/>
  <c r="X80" i="141" s="1"/>
  <c r="M80" i="141"/>
  <c r="F80" i="141"/>
  <c r="N80" i="141" s="1"/>
  <c r="AF79" i="141"/>
  <c r="AE79" i="141"/>
  <c r="AD79" i="141"/>
  <c r="AC79" i="141"/>
  <c r="W79" i="141"/>
  <c r="V79" i="141"/>
  <c r="U79" i="141"/>
  <c r="M79" i="141"/>
  <c r="F79" i="141"/>
  <c r="AF78" i="141"/>
  <c r="AE78" i="141"/>
  <c r="AD78" i="141"/>
  <c r="AC78" i="141"/>
  <c r="W78" i="141"/>
  <c r="V78" i="141"/>
  <c r="U78" i="141"/>
  <c r="M78" i="141"/>
  <c r="F78" i="141"/>
  <c r="AF77" i="141"/>
  <c r="AE77" i="141"/>
  <c r="AD77" i="141"/>
  <c r="AC77" i="141"/>
  <c r="W77" i="141"/>
  <c r="V77" i="141"/>
  <c r="U77" i="141"/>
  <c r="M77" i="141"/>
  <c r="F77" i="141"/>
  <c r="N77" i="141" s="1"/>
  <c r="AF76" i="141"/>
  <c r="AE76" i="141"/>
  <c r="AD76" i="141"/>
  <c r="AC76" i="141"/>
  <c r="W76" i="141"/>
  <c r="V76" i="141"/>
  <c r="U76" i="141"/>
  <c r="X76" i="141" s="1"/>
  <c r="M76" i="141"/>
  <c r="F76" i="141"/>
  <c r="N76" i="141" s="1"/>
  <c r="AF75" i="141"/>
  <c r="AE75" i="141"/>
  <c r="AD75" i="141"/>
  <c r="AC75" i="141"/>
  <c r="W75" i="141"/>
  <c r="V75" i="141"/>
  <c r="U75" i="141"/>
  <c r="X75" i="141" s="1"/>
  <c r="M75" i="141"/>
  <c r="F75" i="141"/>
  <c r="N75" i="141" s="1"/>
  <c r="AF74" i="141"/>
  <c r="AE74" i="141"/>
  <c r="AD74" i="141"/>
  <c r="AC74" i="141"/>
  <c r="W74" i="141"/>
  <c r="V74" i="141"/>
  <c r="U74" i="141"/>
  <c r="M74" i="141"/>
  <c r="F74" i="141"/>
  <c r="AF73" i="141"/>
  <c r="AE73" i="141"/>
  <c r="AD73" i="141"/>
  <c r="AC73" i="141"/>
  <c r="W73" i="141"/>
  <c r="V73" i="141"/>
  <c r="U73" i="141"/>
  <c r="X73" i="141" s="1"/>
  <c r="M73" i="141"/>
  <c r="F73" i="141"/>
  <c r="N73" i="141" s="1"/>
  <c r="AF72" i="141"/>
  <c r="AE72" i="141"/>
  <c r="AD72" i="141"/>
  <c r="AC72" i="141"/>
  <c r="W72" i="141"/>
  <c r="V72" i="141"/>
  <c r="U72" i="141"/>
  <c r="X72" i="141" s="1"/>
  <c r="M72" i="141"/>
  <c r="F72" i="141"/>
  <c r="N72" i="141" s="1"/>
  <c r="AF71" i="141"/>
  <c r="AE71" i="141"/>
  <c r="AD71" i="141"/>
  <c r="AC71" i="141"/>
  <c r="W71" i="141"/>
  <c r="V71" i="141"/>
  <c r="U71" i="141"/>
  <c r="X71" i="141" s="1"/>
  <c r="M71" i="141"/>
  <c r="F71" i="141"/>
  <c r="AF70" i="141"/>
  <c r="AE70" i="141"/>
  <c r="AD70" i="141"/>
  <c r="AC70" i="141"/>
  <c r="W70" i="141"/>
  <c r="V70" i="141"/>
  <c r="U70" i="141"/>
  <c r="X70" i="141" s="1"/>
  <c r="M70" i="141"/>
  <c r="F70" i="141"/>
  <c r="AF69" i="141"/>
  <c r="AE69" i="141"/>
  <c r="AD69" i="141"/>
  <c r="AC69" i="141"/>
  <c r="W69" i="141"/>
  <c r="V69" i="141"/>
  <c r="U69" i="141"/>
  <c r="X69" i="141" s="1"/>
  <c r="M69" i="141"/>
  <c r="F69" i="141"/>
  <c r="N69" i="141" s="1"/>
  <c r="AF68" i="141"/>
  <c r="AE68" i="141"/>
  <c r="AD68" i="141"/>
  <c r="AC68" i="141"/>
  <c r="W68" i="141"/>
  <c r="V68" i="141"/>
  <c r="U68" i="141"/>
  <c r="M68" i="141"/>
  <c r="F68" i="141"/>
  <c r="N68" i="141" s="1"/>
  <c r="AF67" i="141"/>
  <c r="AE67" i="141"/>
  <c r="AD67" i="141"/>
  <c r="AC67" i="141"/>
  <c r="W67" i="141"/>
  <c r="V67" i="141"/>
  <c r="U67" i="141"/>
  <c r="X67" i="141" s="1"/>
  <c r="M67" i="141"/>
  <c r="F67" i="141"/>
  <c r="N67" i="141" s="1"/>
  <c r="AF66" i="141"/>
  <c r="AE66" i="141"/>
  <c r="AD66" i="141"/>
  <c r="AC66" i="141"/>
  <c r="W66" i="141"/>
  <c r="V66" i="141"/>
  <c r="U66" i="141"/>
  <c r="X66" i="141" s="1"/>
  <c r="M66" i="141"/>
  <c r="F66" i="141"/>
  <c r="N66" i="141" s="1"/>
  <c r="E49" i="141"/>
  <c r="D49" i="141"/>
  <c r="T48" i="141"/>
  <c r="S48" i="141"/>
  <c r="R48" i="141"/>
  <c r="Q48" i="141"/>
  <c r="P48" i="141"/>
  <c r="O48" i="141"/>
  <c r="E48" i="141"/>
  <c r="D48" i="141"/>
  <c r="AF46" i="141"/>
  <c r="AE46" i="141"/>
  <c r="AD46" i="141"/>
  <c r="AC46" i="141"/>
  <c r="W46" i="141"/>
  <c r="V46" i="141"/>
  <c r="U46" i="141"/>
  <c r="X46" i="141" s="1"/>
  <c r="M46" i="141"/>
  <c r="F46" i="141"/>
  <c r="N46" i="141" s="1"/>
  <c r="AF45" i="141"/>
  <c r="AE45" i="141"/>
  <c r="AD45" i="141"/>
  <c r="AC45" i="141"/>
  <c r="W45" i="141"/>
  <c r="V45" i="141"/>
  <c r="U45" i="141"/>
  <c r="X45" i="141" s="1"/>
  <c r="M45" i="141"/>
  <c r="F45" i="141"/>
  <c r="N45" i="141" s="1"/>
  <c r="AF44" i="141"/>
  <c r="AE44" i="141"/>
  <c r="AD44" i="141"/>
  <c r="AC44" i="141"/>
  <c r="W44" i="141"/>
  <c r="V44" i="141"/>
  <c r="U44" i="141"/>
  <c r="M44" i="141"/>
  <c r="F44" i="141"/>
  <c r="AF43" i="141"/>
  <c r="AE43" i="141"/>
  <c r="AD43" i="141"/>
  <c r="AC43" i="141"/>
  <c r="W43" i="141"/>
  <c r="V43" i="141"/>
  <c r="U43" i="141"/>
  <c r="X43" i="141" s="1"/>
  <c r="M43" i="141"/>
  <c r="F43" i="141"/>
  <c r="N43" i="141" s="1"/>
  <c r="AF42" i="141"/>
  <c r="AE42" i="141"/>
  <c r="AD42" i="141"/>
  <c r="AC42" i="141"/>
  <c r="W42" i="141"/>
  <c r="V42" i="141"/>
  <c r="U42" i="141"/>
  <c r="M42" i="141"/>
  <c r="F42" i="141"/>
  <c r="N42" i="141" s="1"/>
  <c r="AF41" i="141"/>
  <c r="AE41" i="141"/>
  <c r="AD41" i="141"/>
  <c r="AC41" i="141"/>
  <c r="W41" i="141"/>
  <c r="V41" i="141"/>
  <c r="U41" i="141"/>
  <c r="X41" i="141" s="1"/>
  <c r="M41" i="141"/>
  <c r="F41" i="141"/>
  <c r="N41" i="141" s="1"/>
  <c r="AF40" i="141"/>
  <c r="AE40" i="141"/>
  <c r="AD40" i="141"/>
  <c r="AC40" i="141"/>
  <c r="W40" i="141"/>
  <c r="V40" i="141"/>
  <c r="U40" i="141"/>
  <c r="M40" i="141"/>
  <c r="F40" i="141"/>
  <c r="AF39" i="141"/>
  <c r="AE39" i="141"/>
  <c r="AD39" i="141"/>
  <c r="AC39" i="141"/>
  <c r="W39" i="141"/>
  <c r="V39" i="141"/>
  <c r="U39" i="141"/>
  <c r="X39" i="141" s="1"/>
  <c r="M39" i="141"/>
  <c r="F39" i="141"/>
  <c r="N39" i="141" s="1"/>
  <c r="AF38" i="141"/>
  <c r="AE38" i="141"/>
  <c r="AD38" i="141"/>
  <c r="AC38" i="141"/>
  <c r="W38" i="141"/>
  <c r="V38" i="141"/>
  <c r="U38" i="141"/>
  <c r="M38" i="141"/>
  <c r="F38" i="141"/>
  <c r="N38" i="141" s="1"/>
  <c r="AF37" i="141"/>
  <c r="AE37" i="141"/>
  <c r="AD37" i="141"/>
  <c r="AC37" i="141"/>
  <c r="W37" i="141"/>
  <c r="V37" i="141"/>
  <c r="U37" i="141"/>
  <c r="X37" i="141" s="1"/>
  <c r="M37" i="141"/>
  <c r="F37" i="141"/>
  <c r="N37" i="141" s="1"/>
  <c r="AF36" i="141"/>
  <c r="AE36" i="141"/>
  <c r="AD36" i="141"/>
  <c r="AC36" i="141"/>
  <c r="W36" i="141"/>
  <c r="V36" i="141"/>
  <c r="U36" i="141"/>
  <c r="M36" i="141"/>
  <c r="F36" i="141"/>
  <c r="AF35" i="141"/>
  <c r="AE35" i="141"/>
  <c r="AD35" i="141"/>
  <c r="AC35" i="141"/>
  <c r="W35" i="141"/>
  <c r="V35" i="141"/>
  <c r="U35" i="141"/>
  <c r="X35" i="141" s="1"/>
  <c r="M35" i="141"/>
  <c r="F35" i="141"/>
  <c r="N35" i="141" s="1"/>
  <c r="AF34" i="141"/>
  <c r="AE34" i="141"/>
  <c r="AD34" i="141"/>
  <c r="AC34" i="141"/>
  <c r="W34" i="141"/>
  <c r="V34" i="141"/>
  <c r="U34" i="141"/>
  <c r="X34" i="141" s="1"/>
  <c r="M34" i="141"/>
  <c r="F34" i="141"/>
  <c r="N34" i="141" s="1"/>
  <c r="AF33" i="141"/>
  <c r="AE33" i="141"/>
  <c r="AD33" i="141"/>
  <c r="AC33" i="141"/>
  <c r="W33" i="141"/>
  <c r="V33" i="141"/>
  <c r="U33" i="141"/>
  <c r="X33" i="141" s="1"/>
  <c r="M33" i="141"/>
  <c r="F33" i="141"/>
  <c r="AF32" i="141"/>
  <c r="AE32" i="141"/>
  <c r="AD32" i="141"/>
  <c r="AC32" i="141"/>
  <c r="W32" i="141"/>
  <c r="V32" i="141"/>
  <c r="U32" i="141"/>
  <c r="M32" i="141"/>
  <c r="F32" i="141"/>
  <c r="AF31" i="141"/>
  <c r="AE31" i="141"/>
  <c r="AD31" i="141"/>
  <c r="AC31" i="141"/>
  <c r="W31" i="141"/>
  <c r="V31" i="141"/>
  <c r="U31" i="141"/>
  <c r="M31" i="141"/>
  <c r="F31" i="141"/>
  <c r="N31" i="141" s="1"/>
  <c r="AF30" i="141"/>
  <c r="AE30" i="141"/>
  <c r="AD30" i="141"/>
  <c r="AC30" i="141"/>
  <c r="W30" i="141"/>
  <c r="V30" i="141"/>
  <c r="U30" i="141"/>
  <c r="X30" i="141" s="1"/>
  <c r="M30" i="141"/>
  <c r="F30" i="141"/>
  <c r="N30" i="141" s="1"/>
  <c r="AF29" i="141"/>
  <c r="AE29" i="141"/>
  <c r="AD29" i="141"/>
  <c r="AC29" i="141"/>
  <c r="W29" i="141"/>
  <c r="V29" i="141"/>
  <c r="U29" i="141"/>
  <c r="X29" i="141" s="1"/>
  <c r="M29" i="141"/>
  <c r="F29" i="141"/>
  <c r="N29" i="141" s="1"/>
  <c r="AF28" i="141"/>
  <c r="AE28" i="141"/>
  <c r="AD28" i="141"/>
  <c r="AC28" i="141"/>
  <c r="W28" i="141"/>
  <c r="V28" i="141"/>
  <c r="U28" i="141"/>
  <c r="M28" i="141"/>
  <c r="F28" i="141"/>
  <c r="AF27" i="141"/>
  <c r="AE27" i="141"/>
  <c r="AD27" i="141"/>
  <c r="AC27" i="141"/>
  <c r="W27" i="141"/>
  <c r="V27" i="141"/>
  <c r="U27" i="141"/>
  <c r="X27" i="141" s="1"/>
  <c r="M27" i="141"/>
  <c r="F27" i="141"/>
  <c r="N27" i="141" s="1"/>
  <c r="AF26" i="141"/>
  <c r="AE26" i="141"/>
  <c r="AD26" i="141"/>
  <c r="AC26" i="141"/>
  <c r="W26" i="141"/>
  <c r="V26" i="141"/>
  <c r="U26" i="141"/>
  <c r="X26" i="141" s="1"/>
  <c r="M26" i="141"/>
  <c r="F26" i="141"/>
  <c r="N26" i="141" s="1"/>
  <c r="AF25" i="141"/>
  <c r="AE25" i="141"/>
  <c r="AD25" i="141"/>
  <c r="AC25" i="141"/>
  <c r="W25" i="141"/>
  <c r="V25" i="141"/>
  <c r="U25" i="141"/>
  <c r="X25" i="141" s="1"/>
  <c r="M25" i="141"/>
  <c r="F25" i="141"/>
  <c r="AF24" i="141"/>
  <c r="AE24" i="141"/>
  <c r="AD24" i="141"/>
  <c r="AC24" i="141"/>
  <c r="W24" i="141"/>
  <c r="V24" i="141"/>
  <c r="U24" i="141"/>
  <c r="M24" i="141"/>
  <c r="F24" i="141"/>
  <c r="AF23" i="141"/>
  <c r="AE23" i="141"/>
  <c r="AD23" i="141"/>
  <c r="AC23" i="141"/>
  <c r="W23" i="141"/>
  <c r="V23" i="141"/>
  <c r="U23" i="141"/>
  <c r="X23" i="141" s="1"/>
  <c r="M23" i="141"/>
  <c r="F23" i="141"/>
  <c r="N23" i="141" s="1"/>
  <c r="AF22" i="141"/>
  <c r="AE22" i="141"/>
  <c r="AD22" i="141"/>
  <c r="AC22" i="141"/>
  <c r="W22" i="141"/>
  <c r="V22" i="141"/>
  <c r="U22" i="141"/>
  <c r="X22" i="141" s="1"/>
  <c r="M22" i="141"/>
  <c r="F22" i="141"/>
  <c r="N22" i="141" s="1"/>
  <c r="AF21" i="141"/>
  <c r="AE21" i="141"/>
  <c r="AD21" i="141"/>
  <c r="AC21" i="141"/>
  <c r="W21" i="141"/>
  <c r="V21" i="141"/>
  <c r="U21" i="141"/>
  <c r="X21" i="141" s="1"/>
  <c r="M21" i="141"/>
  <c r="F21" i="141"/>
  <c r="N21" i="141" s="1"/>
  <c r="AF20" i="141"/>
  <c r="AE20" i="141"/>
  <c r="AD20" i="141"/>
  <c r="AC20" i="141"/>
  <c r="W20" i="141"/>
  <c r="V20" i="141"/>
  <c r="U20" i="141"/>
  <c r="M20" i="141"/>
  <c r="F20" i="141"/>
  <c r="AF19" i="141"/>
  <c r="AE19" i="141"/>
  <c r="AD19" i="141"/>
  <c r="AC19" i="141"/>
  <c r="W19" i="141"/>
  <c r="V19" i="141"/>
  <c r="U19" i="141"/>
  <c r="X19" i="141" s="1"/>
  <c r="M19" i="141"/>
  <c r="F19" i="141"/>
  <c r="N19" i="141" s="1"/>
  <c r="AF18" i="141"/>
  <c r="AE18" i="141"/>
  <c r="AD18" i="141"/>
  <c r="AC18" i="141"/>
  <c r="W18" i="141"/>
  <c r="V18" i="141"/>
  <c r="U18" i="141"/>
  <c r="M18" i="141"/>
  <c r="F18" i="141"/>
  <c r="N18" i="141" s="1"/>
  <c r="AF17" i="141"/>
  <c r="AE17" i="141"/>
  <c r="AD17" i="141"/>
  <c r="AC17" i="141"/>
  <c r="W17" i="141"/>
  <c r="V17" i="141"/>
  <c r="U17" i="141"/>
  <c r="M17" i="141"/>
  <c r="F17" i="141"/>
  <c r="AF16" i="141"/>
  <c r="AE16" i="141"/>
  <c r="AD16" i="141"/>
  <c r="AC16" i="141"/>
  <c r="W16" i="141"/>
  <c r="V16" i="141"/>
  <c r="U16" i="141"/>
  <c r="M16" i="141"/>
  <c r="F16" i="141"/>
  <c r="AF15" i="141"/>
  <c r="AE15" i="141"/>
  <c r="AD15" i="141"/>
  <c r="AC15" i="141"/>
  <c r="W15" i="141"/>
  <c r="V15" i="141"/>
  <c r="U15" i="141"/>
  <c r="X15" i="141" s="1"/>
  <c r="M15" i="141"/>
  <c r="F15" i="141"/>
  <c r="N15" i="141" s="1"/>
  <c r="AF14" i="141"/>
  <c r="AE14" i="141"/>
  <c r="AD14" i="141"/>
  <c r="AC14" i="141"/>
  <c r="W14" i="141"/>
  <c r="V14" i="141"/>
  <c r="U14" i="141"/>
  <c r="M14" i="141"/>
  <c r="F14" i="141"/>
  <c r="N14" i="141" s="1"/>
  <c r="AF13" i="141"/>
  <c r="AE13" i="141"/>
  <c r="AD13" i="141"/>
  <c r="AC13" i="141"/>
  <c r="W13" i="141"/>
  <c r="V13" i="141"/>
  <c r="U13" i="141"/>
  <c r="M13" i="141"/>
  <c r="F13" i="141"/>
  <c r="E5" i="141"/>
  <c r="A2" i="141"/>
  <c r="D103" i="140"/>
  <c r="T102" i="140"/>
  <c r="S102" i="140"/>
  <c r="R102" i="140"/>
  <c r="Q102" i="140"/>
  <c r="P102" i="140"/>
  <c r="O102" i="140"/>
  <c r="E102" i="140"/>
  <c r="D102" i="140"/>
  <c r="AF100" i="140"/>
  <c r="AE100" i="140"/>
  <c r="AD100" i="140"/>
  <c r="AC100" i="140"/>
  <c r="W100" i="140"/>
  <c r="V100" i="140"/>
  <c r="U100" i="140"/>
  <c r="M100" i="140"/>
  <c r="F100" i="140"/>
  <c r="N100" i="140" s="1"/>
  <c r="AF99" i="140"/>
  <c r="AE99" i="140"/>
  <c r="AD99" i="140"/>
  <c r="AC99" i="140"/>
  <c r="W99" i="140"/>
  <c r="V99" i="140"/>
  <c r="U99" i="140"/>
  <c r="M99" i="140"/>
  <c r="F99" i="140"/>
  <c r="N99" i="140" s="1"/>
  <c r="AF98" i="140"/>
  <c r="AE98" i="140"/>
  <c r="AD98" i="140"/>
  <c r="AC98" i="140"/>
  <c r="W98" i="140"/>
  <c r="V98" i="140"/>
  <c r="U98" i="140"/>
  <c r="X98" i="140" s="1"/>
  <c r="M98" i="140"/>
  <c r="F98" i="140"/>
  <c r="N98" i="140" s="1"/>
  <c r="AF97" i="140"/>
  <c r="AE97" i="140"/>
  <c r="AD97" i="140"/>
  <c r="AC97" i="140"/>
  <c r="W97" i="140"/>
  <c r="V97" i="140"/>
  <c r="U97" i="140"/>
  <c r="X97" i="140" s="1"/>
  <c r="M97" i="140"/>
  <c r="F97" i="140"/>
  <c r="AF96" i="140"/>
  <c r="AE96" i="140"/>
  <c r="AD96" i="140"/>
  <c r="AC96" i="140"/>
  <c r="W96" i="140"/>
  <c r="V96" i="140"/>
  <c r="U96" i="140"/>
  <c r="M96" i="140"/>
  <c r="F96" i="140"/>
  <c r="N96" i="140" s="1"/>
  <c r="AF95" i="140"/>
  <c r="AE95" i="140"/>
  <c r="AD95" i="140"/>
  <c r="AC95" i="140"/>
  <c r="W95" i="140"/>
  <c r="V95" i="140"/>
  <c r="U95" i="140"/>
  <c r="X95" i="140" s="1"/>
  <c r="M95" i="140"/>
  <c r="F95" i="140"/>
  <c r="N95" i="140" s="1"/>
  <c r="AF94" i="140"/>
  <c r="AE94" i="140"/>
  <c r="AD94" i="140"/>
  <c r="AC94" i="140"/>
  <c r="W94" i="140"/>
  <c r="V94" i="140"/>
  <c r="U94" i="140"/>
  <c r="X94" i="140" s="1"/>
  <c r="M94" i="140"/>
  <c r="F94" i="140"/>
  <c r="N94" i="140" s="1"/>
  <c r="AF93" i="140"/>
  <c r="AE93" i="140"/>
  <c r="AD93" i="140"/>
  <c r="AC93" i="140"/>
  <c r="W93" i="140"/>
  <c r="V93" i="140"/>
  <c r="U93" i="140"/>
  <c r="M93" i="140"/>
  <c r="F93" i="140"/>
  <c r="AF92" i="140"/>
  <c r="AE92" i="140"/>
  <c r="AD92" i="140"/>
  <c r="AC92" i="140"/>
  <c r="W92" i="140"/>
  <c r="V92" i="140"/>
  <c r="U92" i="140"/>
  <c r="M92" i="140"/>
  <c r="F92" i="140"/>
  <c r="N92" i="140" s="1"/>
  <c r="AF91" i="140"/>
  <c r="AE91" i="140"/>
  <c r="AD91" i="140"/>
  <c r="AC91" i="140"/>
  <c r="W91" i="140"/>
  <c r="V91" i="140"/>
  <c r="U91" i="140"/>
  <c r="X91" i="140" s="1"/>
  <c r="M91" i="140"/>
  <c r="F91" i="140"/>
  <c r="N91" i="140" s="1"/>
  <c r="AF90" i="140"/>
  <c r="AE90" i="140"/>
  <c r="AD90" i="140"/>
  <c r="AC90" i="140"/>
  <c r="W90" i="140"/>
  <c r="V90" i="140"/>
  <c r="U90" i="140"/>
  <c r="X90" i="140" s="1"/>
  <c r="M90" i="140"/>
  <c r="F90" i="140"/>
  <c r="N90" i="140" s="1"/>
  <c r="AF89" i="140"/>
  <c r="AE89" i="140"/>
  <c r="AD89" i="140"/>
  <c r="AC89" i="140"/>
  <c r="W89" i="140"/>
  <c r="V89" i="140"/>
  <c r="U89" i="140"/>
  <c r="M89" i="140"/>
  <c r="F89" i="140"/>
  <c r="AF88" i="140"/>
  <c r="AE88" i="140"/>
  <c r="AD88" i="140"/>
  <c r="AC88" i="140"/>
  <c r="W88" i="140"/>
  <c r="V88" i="140"/>
  <c r="U88" i="140"/>
  <c r="X88" i="140" s="1"/>
  <c r="M88" i="140"/>
  <c r="F88" i="140"/>
  <c r="N88" i="140" s="1"/>
  <c r="AF87" i="140"/>
  <c r="AE87" i="140"/>
  <c r="AD87" i="140"/>
  <c r="AC87" i="140"/>
  <c r="W87" i="140"/>
  <c r="V87" i="140"/>
  <c r="U87" i="140"/>
  <c r="X87" i="140" s="1"/>
  <c r="M87" i="140"/>
  <c r="F87" i="140"/>
  <c r="N87" i="140" s="1"/>
  <c r="AF86" i="140"/>
  <c r="AE86" i="140"/>
  <c r="AD86" i="140"/>
  <c r="AC86" i="140"/>
  <c r="W86" i="140"/>
  <c r="V86" i="140"/>
  <c r="U86" i="140"/>
  <c r="X86" i="140" s="1"/>
  <c r="M86" i="140"/>
  <c r="F86" i="140"/>
  <c r="N86" i="140" s="1"/>
  <c r="AF85" i="140"/>
  <c r="AE85" i="140"/>
  <c r="AD85" i="140"/>
  <c r="AC85" i="140"/>
  <c r="W85" i="140"/>
  <c r="V85" i="140"/>
  <c r="U85" i="140"/>
  <c r="M85" i="140"/>
  <c r="F85" i="140"/>
  <c r="AF84" i="140"/>
  <c r="AE84" i="140"/>
  <c r="AD84" i="140"/>
  <c r="AC84" i="140"/>
  <c r="W84" i="140"/>
  <c r="V84" i="140"/>
  <c r="U84" i="140"/>
  <c r="M84" i="140"/>
  <c r="F84" i="140"/>
  <c r="N84" i="140" s="1"/>
  <c r="AF83" i="140"/>
  <c r="AE83" i="140"/>
  <c r="AD83" i="140"/>
  <c r="AC83" i="140"/>
  <c r="W83" i="140"/>
  <c r="V83" i="140"/>
  <c r="U83" i="140"/>
  <c r="X83" i="140" s="1"/>
  <c r="M83" i="140"/>
  <c r="F83" i="140"/>
  <c r="N83" i="140" s="1"/>
  <c r="AF82" i="140"/>
  <c r="AE82" i="140"/>
  <c r="AD82" i="140"/>
  <c r="AC82" i="140"/>
  <c r="W82" i="140"/>
  <c r="V82" i="140"/>
  <c r="U82" i="140"/>
  <c r="X82" i="140" s="1"/>
  <c r="M82" i="140"/>
  <c r="F82" i="140"/>
  <c r="N82" i="140" s="1"/>
  <c r="AF81" i="140"/>
  <c r="AE81" i="140"/>
  <c r="AD81" i="140"/>
  <c r="AC81" i="140"/>
  <c r="W81" i="140"/>
  <c r="V81" i="140"/>
  <c r="U81" i="140"/>
  <c r="M81" i="140"/>
  <c r="F81" i="140"/>
  <c r="AF80" i="140"/>
  <c r="AE80" i="140"/>
  <c r="AD80" i="140"/>
  <c r="AC80" i="140"/>
  <c r="W80" i="140"/>
  <c r="V80" i="140"/>
  <c r="U80" i="140"/>
  <c r="X80" i="140" s="1"/>
  <c r="M80" i="140"/>
  <c r="F80" i="140"/>
  <c r="N80" i="140" s="1"/>
  <c r="AF79" i="140"/>
  <c r="AE79" i="140"/>
  <c r="AD79" i="140"/>
  <c r="AC79" i="140"/>
  <c r="W79" i="140"/>
  <c r="V79" i="140"/>
  <c r="U79" i="140"/>
  <c r="X79" i="140" s="1"/>
  <c r="M79" i="140"/>
  <c r="F79" i="140"/>
  <c r="N79" i="140" s="1"/>
  <c r="AF78" i="140"/>
  <c r="AE78" i="140"/>
  <c r="AD78" i="140"/>
  <c r="AC78" i="140"/>
  <c r="W78" i="140"/>
  <c r="V78" i="140"/>
  <c r="U78" i="140"/>
  <c r="X78" i="140" s="1"/>
  <c r="M78" i="140"/>
  <c r="F78" i="140"/>
  <c r="N78" i="140" s="1"/>
  <c r="AF77" i="140"/>
  <c r="AE77" i="140"/>
  <c r="AD77" i="140"/>
  <c r="AC77" i="140"/>
  <c r="W77" i="140"/>
  <c r="V77" i="140"/>
  <c r="U77" i="140"/>
  <c r="M77" i="140"/>
  <c r="F77" i="140"/>
  <c r="AF76" i="140"/>
  <c r="AE76" i="140"/>
  <c r="AD76" i="140"/>
  <c r="AC76" i="140"/>
  <c r="W76" i="140"/>
  <c r="V76" i="140"/>
  <c r="U76" i="140"/>
  <c r="X76" i="140" s="1"/>
  <c r="M76" i="140"/>
  <c r="F76" i="140"/>
  <c r="N76" i="140" s="1"/>
  <c r="AF75" i="140"/>
  <c r="AE75" i="140"/>
  <c r="AD75" i="140"/>
  <c r="AC75" i="140"/>
  <c r="W75" i="140"/>
  <c r="V75" i="140"/>
  <c r="U75" i="140"/>
  <c r="X75" i="140" s="1"/>
  <c r="M75" i="140"/>
  <c r="F75" i="140"/>
  <c r="N75" i="140" s="1"/>
  <c r="AF74" i="140"/>
  <c r="AE74" i="140"/>
  <c r="AD74" i="140"/>
  <c r="AC74" i="140"/>
  <c r="W74" i="140"/>
  <c r="V74" i="140"/>
  <c r="U74" i="140"/>
  <c r="X74" i="140" s="1"/>
  <c r="M74" i="140"/>
  <c r="F74" i="140"/>
  <c r="N74" i="140" s="1"/>
  <c r="AF73" i="140"/>
  <c r="AE73" i="140"/>
  <c r="AD73" i="140"/>
  <c r="AC73" i="140"/>
  <c r="W73" i="140"/>
  <c r="V73" i="140"/>
  <c r="U73" i="140"/>
  <c r="M73" i="140"/>
  <c r="F73" i="140"/>
  <c r="AF72" i="140"/>
  <c r="AE72" i="140"/>
  <c r="AD72" i="140"/>
  <c r="AC72" i="140"/>
  <c r="W72" i="140"/>
  <c r="V72" i="140"/>
  <c r="U72" i="140"/>
  <c r="X72" i="140" s="1"/>
  <c r="M72" i="140"/>
  <c r="F72" i="140"/>
  <c r="N72" i="140" s="1"/>
  <c r="AF71" i="140"/>
  <c r="AE71" i="140"/>
  <c r="AD71" i="140"/>
  <c r="AC71" i="140"/>
  <c r="W71" i="140"/>
  <c r="V71" i="140"/>
  <c r="U71" i="140"/>
  <c r="X71" i="140" s="1"/>
  <c r="M71" i="140"/>
  <c r="F71" i="140"/>
  <c r="N71" i="140" s="1"/>
  <c r="AF70" i="140"/>
  <c r="AE70" i="140"/>
  <c r="AD70" i="140"/>
  <c r="AC70" i="140"/>
  <c r="W70" i="140"/>
  <c r="V70" i="140"/>
  <c r="U70" i="140"/>
  <c r="X70" i="140" s="1"/>
  <c r="M70" i="140"/>
  <c r="F70" i="140"/>
  <c r="N70" i="140" s="1"/>
  <c r="AF69" i="140"/>
  <c r="AE69" i="140"/>
  <c r="AD69" i="140"/>
  <c r="AC69" i="140"/>
  <c r="W69" i="140"/>
  <c r="V69" i="140"/>
  <c r="U69" i="140"/>
  <c r="M69" i="140"/>
  <c r="F69" i="140"/>
  <c r="N69" i="140" s="1"/>
  <c r="AF68" i="140"/>
  <c r="AE68" i="140"/>
  <c r="AD68" i="140"/>
  <c r="AC68" i="140"/>
  <c r="W68" i="140"/>
  <c r="V68" i="140"/>
  <c r="U68" i="140"/>
  <c r="M68" i="140"/>
  <c r="F68" i="140"/>
  <c r="N68" i="140" s="1"/>
  <c r="AF67" i="140"/>
  <c r="AE67" i="140"/>
  <c r="AD67" i="140"/>
  <c r="AC67" i="140"/>
  <c r="W67" i="140"/>
  <c r="V67" i="140"/>
  <c r="U67" i="140"/>
  <c r="X67" i="140" s="1"/>
  <c r="M67" i="140"/>
  <c r="F67" i="140"/>
  <c r="N67" i="140" s="1"/>
  <c r="AF66" i="140"/>
  <c r="AE66" i="140"/>
  <c r="AD66" i="140"/>
  <c r="AC66" i="140"/>
  <c r="W66" i="140"/>
  <c r="V66" i="140"/>
  <c r="U66" i="140"/>
  <c r="M66" i="140"/>
  <c r="F66" i="140"/>
  <c r="N66" i="140" s="1"/>
  <c r="E49" i="140"/>
  <c r="D49" i="140"/>
  <c r="T48" i="140"/>
  <c r="S48" i="140"/>
  <c r="R48" i="140"/>
  <c r="Q48" i="140"/>
  <c r="P48" i="140"/>
  <c r="O48" i="140"/>
  <c r="E48" i="140"/>
  <c r="D48" i="140"/>
  <c r="AF46" i="140"/>
  <c r="AE46" i="140"/>
  <c r="AD46" i="140"/>
  <c r="AC46" i="140"/>
  <c r="W46" i="140"/>
  <c r="V46" i="140"/>
  <c r="U46" i="140"/>
  <c r="X46" i="140" s="1"/>
  <c r="M46" i="140"/>
  <c r="F46" i="140"/>
  <c r="N46" i="140" s="1"/>
  <c r="AF45" i="140"/>
  <c r="AE45" i="140"/>
  <c r="AD45" i="140"/>
  <c r="AC45" i="140"/>
  <c r="W45" i="140"/>
  <c r="V45" i="140"/>
  <c r="U45" i="140"/>
  <c r="M45" i="140"/>
  <c r="F45" i="140"/>
  <c r="N45" i="140" s="1"/>
  <c r="AF44" i="140"/>
  <c r="AE44" i="140"/>
  <c r="AD44" i="140"/>
  <c r="AC44" i="140"/>
  <c r="W44" i="140"/>
  <c r="V44" i="140"/>
  <c r="U44" i="140"/>
  <c r="X44" i="140" s="1"/>
  <c r="M44" i="140"/>
  <c r="F44" i="140"/>
  <c r="AF43" i="140"/>
  <c r="AE43" i="140"/>
  <c r="AD43" i="140"/>
  <c r="AC43" i="140"/>
  <c r="W43" i="140"/>
  <c r="V43" i="140"/>
  <c r="U43" i="140"/>
  <c r="M43" i="140"/>
  <c r="F43" i="140"/>
  <c r="AF42" i="140"/>
  <c r="AE42" i="140"/>
  <c r="AD42" i="140"/>
  <c r="AC42" i="140"/>
  <c r="W42" i="140"/>
  <c r="V42" i="140"/>
  <c r="U42" i="140"/>
  <c r="X42" i="140" s="1"/>
  <c r="M42" i="140"/>
  <c r="F42" i="140"/>
  <c r="N42" i="140" s="1"/>
  <c r="AF41" i="140"/>
  <c r="AE41" i="140"/>
  <c r="AD41" i="140"/>
  <c r="AC41" i="140"/>
  <c r="W41" i="140"/>
  <c r="V41" i="140"/>
  <c r="U41" i="140"/>
  <c r="M41" i="140"/>
  <c r="F41" i="140"/>
  <c r="N41" i="140" s="1"/>
  <c r="AF40" i="140"/>
  <c r="AE40" i="140"/>
  <c r="AD40" i="140"/>
  <c r="AC40" i="140"/>
  <c r="W40" i="140"/>
  <c r="V40" i="140"/>
  <c r="U40" i="140"/>
  <c r="X40" i="140" s="1"/>
  <c r="M40" i="140"/>
  <c r="F40" i="140"/>
  <c r="N40" i="140" s="1"/>
  <c r="AF39" i="140"/>
  <c r="AE39" i="140"/>
  <c r="AD39" i="140"/>
  <c r="AC39" i="140"/>
  <c r="W39" i="140"/>
  <c r="V39" i="140"/>
  <c r="U39" i="140"/>
  <c r="M39" i="140"/>
  <c r="F39" i="140"/>
  <c r="AF38" i="140"/>
  <c r="AE38" i="140"/>
  <c r="AD38" i="140"/>
  <c r="AC38" i="140"/>
  <c r="W38" i="140"/>
  <c r="V38" i="140"/>
  <c r="U38" i="140"/>
  <c r="M38" i="140"/>
  <c r="F38" i="140"/>
  <c r="N38" i="140" s="1"/>
  <c r="AF37" i="140"/>
  <c r="AE37" i="140"/>
  <c r="AD37" i="140"/>
  <c r="AC37" i="140"/>
  <c r="W37" i="140"/>
  <c r="V37" i="140"/>
  <c r="U37" i="140"/>
  <c r="X37" i="140" s="1"/>
  <c r="M37" i="140"/>
  <c r="F37" i="140"/>
  <c r="N37" i="140" s="1"/>
  <c r="AF36" i="140"/>
  <c r="AE36" i="140"/>
  <c r="AD36" i="140"/>
  <c r="AC36" i="140"/>
  <c r="W36" i="140"/>
  <c r="V36" i="140"/>
  <c r="U36" i="140"/>
  <c r="M36" i="140"/>
  <c r="F36" i="140"/>
  <c r="AF35" i="140"/>
  <c r="AE35" i="140"/>
  <c r="AD35" i="140"/>
  <c r="AC35" i="140"/>
  <c r="W35" i="140"/>
  <c r="V35" i="140"/>
  <c r="U35" i="140"/>
  <c r="M35" i="140"/>
  <c r="F35" i="140"/>
  <c r="AF34" i="140"/>
  <c r="AE34" i="140"/>
  <c r="AD34" i="140"/>
  <c r="AC34" i="140"/>
  <c r="W34" i="140"/>
  <c r="V34" i="140"/>
  <c r="U34" i="140"/>
  <c r="X34" i="140" s="1"/>
  <c r="M34" i="140"/>
  <c r="F34" i="140"/>
  <c r="N34" i="140" s="1"/>
  <c r="AF33" i="140"/>
  <c r="AE33" i="140"/>
  <c r="AD33" i="140"/>
  <c r="AC33" i="140"/>
  <c r="W33" i="140"/>
  <c r="V33" i="140"/>
  <c r="U33" i="140"/>
  <c r="X33" i="140" s="1"/>
  <c r="M33" i="140"/>
  <c r="F33" i="140"/>
  <c r="N33" i="140" s="1"/>
  <c r="AF32" i="140"/>
  <c r="AE32" i="140"/>
  <c r="AD32" i="140"/>
  <c r="AC32" i="140"/>
  <c r="W32" i="140"/>
  <c r="V32" i="140"/>
  <c r="U32" i="140"/>
  <c r="X32" i="140" s="1"/>
  <c r="M32" i="140"/>
  <c r="F32" i="140"/>
  <c r="N32" i="140" s="1"/>
  <c r="AF31" i="140"/>
  <c r="AE31" i="140"/>
  <c r="AD31" i="140"/>
  <c r="AC31" i="140"/>
  <c r="W31" i="140"/>
  <c r="V31" i="140"/>
  <c r="U31" i="140"/>
  <c r="M31" i="140"/>
  <c r="F31" i="140"/>
  <c r="AF30" i="140"/>
  <c r="AE30" i="140"/>
  <c r="AD30" i="140"/>
  <c r="AC30" i="140"/>
  <c r="W30" i="140"/>
  <c r="V30" i="140"/>
  <c r="U30" i="140"/>
  <c r="M30" i="140"/>
  <c r="F30" i="140"/>
  <c r="N30" i="140" s="1"/>
  <c r="AF29" i="140"/>
  <c r="AE29" i="140"/>
  <c r="AD29" i="140"/>
  <c r="AC29" i="140"/>
  <c r="W29" i="140"/>
  <c r="V29" i="140"/>
  <c r="U29" i="140"/>
  <c r="X29" i="140" s="1"/>
  <c r="M29" i="140"/>
  <c r="F29" i="140"/>
  <c r="N29" i="140" s="1"/>
  <c r="AF28" i="140"/>
  <c r="AE28" i="140"/>
  <c r="AD28" i="140"/>
  <c r="AC28" i="140"/>
  <c r="W28" i="140"/>
  <c r="V28" i="140"/>
  <c r="U28" i="140"/>
  <c r="M28" i="140"/>
  <c r="F28" i="140"/>
  <c r="AF27" i="140"/>
  <c r="AE27" i="140"/>
  <c r="AD27" i="140"/>
  <c r="AC27" i="140"/>
  <c r="W27" i="140"/>
  <c r="V27" i="140"/>
  <c r="U27" i="140"/>
  <c r="M27" i="140"/>
  <c r="F27" i="140"/>
  <c r="AF26" i="140"/>
  <c r="AE26" i="140"/>
  <c r="AD26" i="140"/>
  <c r="AC26" i="140"/>
  <c r="W26" i="140"/>
  <c r="V26" i="140"/>
  <c r="U26" i="140"/>
  <c r="M26" i="140"/>
  <c r="F26" i="140"/>
  <c r="N26" i="140" s="1"/>
  <c r="AF25" i="140"/>
  <c r="AE25" i="140"/>
  <c r="AD25" i="140"/>
  <c r="AC25" i="140"/>
  <c r="W25" i="140"/>
  <c r="V25" i="140"/>
  <c r="U25" i="140"/>
  <c r="X25" i="140" s="1"/>
  <c r="M25" i="140"/>
  <c r="F25" i="140"/>
  <c r="N25" i="140" s="1"/>
  <c r="AF24" i="140"/>
  <c r="AE24" i="140"/>
  <c r="AD24" i="140"/>
  <c r="AC24" i="140"/>
  <c r="W24" i="140"/>
  <c r="V24" i="140"/>
  <c r="U24" i="140"/>
  <c r="X24" i="140" s="1"/>
  <c r="M24" i="140"/>
  <c r="F24" i="140"/>
  <c r="N24" i="140" s="1"/>
  <c r="AF23" i="140"/>
  <c r="AE23" i="140"/>
  <c r="AD23" i="140"/>
  <c r="AC23" i="140"/>
  <c r="W23" i="140"/>
  <c r="V23" i="140"/>
  <c r="U23" i="140"/>
  <c r="M23" i="140"/>
  <c r="F23" i="140"/>
  <c r="AF22" i="140"/>
  <c r="AE22" i="140"/>
  <c r="AD22" i="140"/>
  <c r="AC22" i="140"/>
  <c r="W22" i="140"/>
  <c r="V22" i="140"/>
  <c r="U22" i="140"/>
  <c r="M22" i="140"/>
  <c r="F22" i="140"/>
  <c r="N22" i="140" s="1"/>
  <c r="AF21" i="140"/>
  <c r="AE21" i="140"/>
  <c r="AD21" i="140"/>
  <c r="AC21" i="140"/>
  <c r="W21" i="140"/>
  <c r="V21" i="140"/>
  <c r="U21" i="140"/>
  <c r="X21" i="140" s="1"/>
  <c r="M21" i="140"/>
  <c r="F21" i="140"/>
  <c r="N21" i="140" s="1"/>
  <c r="AF20" i="140"/>
  <c r="AE20" i="140"/>
  <c r="AD20" i="140"/>
  <c r="AC20" i="140"/>
  <c r="W20" i="140"/>
  <c r="V20" i="140"/>
  <c r="U20" i="140"/>
  <c r="M20" i="140"/>
  <c r="F20" i="140"/>
  <c r="AF19" i="140"/>
  <c r="AE19" i="140"/>
  <c r="AD19" i="140"/>
  <c r="AC19" i="140"/>
  <c r="W19" i="140"/>
  <c r="V19" i="140"/>
  <c r="U19" i="140"/>
  <c r="M19" i="140"/>
  <c r="F19" i="140"/>
  <c r="AF18" i="140"/>
  <c r="AE18" i="140"/>
  <c r="AD18" i="140"/>
  <c r="AC18" i="140"/>
  <c r="W18" i="140"/>
  <c r="V18" i="140"/>
  <c r="U18" i="140"/>
  <c r="X18" i="140" s="1"/>
  <c r="M18" i="140"/>
  <c r="F18" i="140"/>
  <c r="N18" i="140" s="1"/>
  <c r="AF17" i="140"/>
  <c r="AE17" i="140"/>
  <c r="AD17" i="140"/>
  <c r="AC17" i="140"/>
  <c r="W17" i="140"/>
  <c r="V17" i="140"/>
  <c r="U17" i="140"/>
  <c r="X17" i="140" s="1"/>
  <c r="M17" i="140"/>
  <c r="F17" i="140"/>
  <c r="N17" i="140" s="1"/>
  <c r="AF16" i="140"/>
  <c r="AE16" i="140"/>
  <c r="AD16" i="140"/>
  <c r="AC16" i="140"/>
  <c r="W16" i="140"/>
  <c r="V16" i="140"/>
  <c r="U16" i="140"/>
  <c r="M16" i="140"/>
  <c r="F16" i="140"/>
  <c r="N16" i="140" s="1"/>
  <c r="AF15" i="140"/>
  <c r="AE15" i="140"/>
  <c r="AD15" i="140"/>
  <c r="AC15" i="140"/>
  <c r="W15" i="140"/>
  <c r="V15" i="140"/>
  <c r="U15" i="140"/>
  <c r="M15" i="140"/>
  <c r="F15" i="140"/>
  <c r="AF14" i="140"/>
  <c r="AE14" i="140"/>
  <c r="AD14" i="140"/>
  <c r="AC14" i="140"/>
  <c r="W14" i="140"/>
  <c r="V14" i="140"/>
  <c r="U14" i="140"/>
  <c r="X14" i="140" s="1"/>
  <c r="M14" i="140"/>
  <c r="F14" i="140"/>
  <c r="N14" i="140" s="1"/>
  <c r="AF13" i="140"/>
  <c r="AE13" i="140"/>
  <c r="AD13" i="140"/>
  <c r="AC13" i="140"/>
  <c r="W13" i="140"/>
  <c r="V13" i="140"/>
  <c r="U13" i="140"/>
  <c r="X13" i="140" s="1"/>
  <c r="M13" i="140"/>
  <c r="F13" i="140"/>
  <c r="N13" i="140" s="1"/>
  <c r="E5" i="140"/>
  <c r="A2" i="140"/>
  <c r="D103" i="131"/>
  <c r="T102" i="131"/>
  <c r="S102" i="131"/>
  <c r="R102" i="131"/>
  <c r="Q102" i="131"/>
  <c r="P102" i="131"/>
  <c r="O102" i="131"/>
  <c r="E102" i="131"/>
  <c r="D102" i="131"/>
  <c r="AF100" i="131"/>
  <c r="AE100" i="131"/>
  <c r="AD100" i="131"/>
  <c r="AC100" i="131"/>
  <c r="W100" i="131"/>
  <c r="V100" i="131"/>
  <c r="U100" i="131"/>
  <c r="X100" i="131" s="1"/>
  <c r="M100" i="131"/>
  <c r="F100" i="131"/>
  <c r="N100" i="131" s="1"/>
  <c r="AF99" i="131"/>
  <c r="AE99" i="131"/>
  <c r="AD99" i="131"/>
  <c r="AC99" i="131"/>
  <c r="W99" i="131"/>
  <c r="V99" i="131"/>
  <c r="U99" i="131"/>
  <c r="X99" i="131" s="1"/>
  <c r="M99" i="131"/>
  <c r="F99" i="131"/>
  <c r="N99" i="131" s="1"/>
  <c r="AF98" i="131"/>
  <c r="AE98" i="131"/>
  <c r="AD98" i="131"/>
  <c r="AC98" i="131"/>
  <c r="W98" i="131"/>
  <c r="V98" i="131"/>
  <c r="U98" i="131"/>
  <c r="M98" i="131"/>
  <c r="F98" i="131"/>
  <c r="N98" i="131" s="1"/>
  <c r="AF97" i="131"/>
  <c r="AE97" i="131"/>
  <c r="AD97" i="131"/>
  <c r="AC97" i="131"/>
  <c r="W97" i="131"/>
  <c r="V97" i="131"/>
  <c r="U97" i="131"/>
  <c r="X97" i="131" s="1"/>
  <c r="M97" i="131"/>
  <c r="F97" i="131"/>
  <c r="AF96" i="131"/>
  <c r="AE96" i="131"/>
  <c r="AD96" i="131"/>
  <c r="AC96" i="131"/>
  <c r="W96" i="131"/>
  <c r="V96" i="131"/>
  <c r="U96" i="131"/>
  <c r="X96" i="131" s="1"/>
  <c r="M96" i="131"/>
  <c r="F96" i="131"/>
  <c r="N96" i="131" s="1"/>
  <c r="AF95" i="131"/>
  <c r="AE95" i="131"/>
  <c r="AD95" i="131"/>
  <c r="AC95" i="131"/>
  <c r="W95" i="131"/>
  <c r="V95" i="131"/>
  <c r="U95" i="131"/>
  <c r="M95" i="131"/>
  <c r="F95" i="131"/>
  <c r="AF94" i="131"/>
  <c r="AE94" i="131"/>
  <c r="AD94" i="131"/>
  <c r="AC94" i="131"/>
  <c r="W94" i="131"/>
  <c r="V94" i="131"/>
  <c r="U94" i="131"/>
  <c r="X94" i="131" s="1"/>
  <c r="M94" i="131"/>
  <c r="F94" i="131"/>
  <c r="N94" i="131" s="1"/>
  <c r="AF93" i="131"/>
  <c r="AE93" i="131"/>
  <c r="AD93" i="131"/>
  <c r="AC93" i="131"/>
  <c r="W93" i="131"/>
  <c r="V93" i="131"/>
  <c r="U93" i="131"/>
  <c r="M93" i="131"/>
  <c r="F93" i="131"/>
  <c r="N93" i="131" s="1"/>
  <c r="AF92" i="131"/>
  <c r="AE92" i="131"/>
  <c r="AD92" i="131"/>
  <c r="AC92" i="131"/>
  <c r="W92" i="131"/>
  <c r="V92" i="131"/>
  <c r="U92" i="131"/>
  <c r="M92" i="131"/>
  <c r="F92" i="131"/>
  <c r="AF91" i="131"/>
  <c r="AE91" i="131"/>
  <c r="AD91" i="131"/>
  <c r="AC91" i="131"/>
  <c r="W91" i="131"/>
  <c r="V91" i="131"/>
  <c r="U91" i="131"/>
  <c r="M91" i="131"/>
  <c r="F91" i="131"/>
  <c r="AF90" i="131"/>
  <c r="AE90" i="131"/>
  <c r="AD90" i="131"/>
  <c r="AC90" i="131"/>
  <c r="W90" i="131"/>
  <c r="V90" i="131"/>
  <c r="U90" i="131"/>
  <c r="X90" i="131" s="1"/>
  <c r="M90" i="131"/>
  <c r="F90" i="131"/>
  <c r="AF89" i="131"/>
  <c r="AE89" i="131"/>
  <c r="AD89" i="131"/>
  <c r="AC89" i="131"/>
  <c r="W89" i="131"/>
  <c r="V89" i="131"/>
  <c r="U89" i="131"/>
  <c r="X89" i="131" s="1"/>
  <c r="M89" i="131"/>
  <c r="F89" i="131"/>
  <c r="AF88" i="131"/>
  <c r="AE88" i="131"/>
  <c r="AD88" i="131"/>
  <c r="AC88" i="131"/>
  <c r="W88" i="131"/>
  <c r="V88" i="131"/>
  <c r="U88" i="131"/>
  <c r="X88" i="131" s="1"/>
  <c r="M88" i="131"/>
  <c r="F88" i="131"/>
  <c r="N88" i="131" s="1"/>
  <c r="AF87" i="131"/>
  <c r="AE87" i="131"/>
  <c r="AD87" i="131"/>
  <c r="AC87" i="131"/>
  <c r="W87" i="131"/>
  <c r="V87" i="131"/>
  <c r="U87" i="131"/>
  <c r="M87" i="131"/>
  <c r="F87" i="131"/>
  <c r="N87" i="131" s="1"/>
  <c r="AF86" i="131"/>
  <c r="AE86" i="131"/>
  <c r="AD86" i="131"/>
  <c r="AC86" i="131"/>
  <c r="W86" i="131"/>
  <c r="V86" i="131"/>
  <c r="U86" i="131"/>
  <c r="M86" i="131"/>
  <c r="F86" i="131"/>
  <c r="N86" i="131" s="1"/>
  <c r="AF85" i="131"/>
  <c r="AE85" i="131"/>
  <c r="AD85" i="131"/>
  <c r="AC85" i="131"/>
  <c r="W85" i="131"/>
  <c r="V85" i="131"/>
  <c r="U85" i="131"/>
  <c r="M85" i="131"/>
  <c r="F85" i="131"/>
  <c r="AF84" i="131"/>
  <c r="AE84" i="131"/>
  <c r="AD84" i="131"/>
  <c r="AC84" i="131"/>
  <c r="W84" i="131"/>
  <c r="V84" i="131"/>
  <c r="U84" i="131"/>
  <c r="X84" i="131" s="1"/>
  <c r="M84" i="131"/>
  <c r="F84" i="131"/>
  <c r="N84" i="131" s="1"/>
  <c r="AF83" i="131"/>
  <c r="AE83" i="131"/>
  <c r="AD83" i="131"/>
  <c r="AC83" i="131"/>
  <c r="W83" i="131"/>
  <c r="V83" i="131"/>
  <c r="U83" i="131"/>
  <c r="X83" i="131" s="1"/>
  <c r="M83" i="131"/>
  <c r="F83" i="131"/>
  <c r="N83" i="131" s="1"/>
  <c r="AF82" i="131"/>
  <c r="AE82" i="131"/>
  <c r="AD82" i="131"/>
  <c r="AC82" i="131"/>
  <c r="W82" i="131"/>
  <c r="V82" i="131"/>
  <c r="U82" i="131"/>
  <c r="M82" i="131"/>
  <c r="F82" i="131"/>
  <c r="N82" i="131" s="1"/>
  <c r="AF81" i="131"/>
  <c r="AE81" i="131"/>
  <c r="AD81" i="131"/>
  <c r="AC81" i="131"/>
  <c r="W81" i="131"/>
  <c r="V81" i="131"/>
  <c r="U81" i="131"/>
  <c r="M81" i="131"/>
  <c r="F81" i="131"/>
  <c r="AF80" i="131"/>
  <c r="AE80" i="131"/>
  <c r="AD80" i="131"/>
  <c r="AC80" i="131"/>
  <c r="W80" i="131"/>
  <c r="V80" i="131"/>
  <c r="U80" i="131"/>
  <c r="M80" i="131"/>
  <c r="F80" i="131"/>
  <c r="AF79" i="131"/>
  <c r="AE79" i="131"/>
  <c r="AD79" i="131"/>
  <c r="AC79" i="131"/>
  <c r="W79" i="131"/>
  <c r="V79" i="131"/>
  <c r="U79" i="131"/>
  <c r="M79" i="131"/>
  <c r="F79" i="131"/>
  <c r="AF78" i="131"/>
  <c r="AE78" i="131"/>
  <c r="AD78" i="131"/>
  <c r="AC78" i="131"/>
  <c r="W78" i="131"/>
  <c r="V78" i="131"/>
  <c r="U78" i="131"/>
  <c r="M78" i="131"/>
  <c r="F78" i="131"/>
  <c r="AF77" i="131"/>
  <c r="AE77" i="131"/>
  <c r="AD77" i="131"/>
  <c r="AC77" i="131"/>
  <c r="W77" i="131"/>
  <c r="V77" i="131"/>
  <c r="U77" i="131"/>
  <c r="M77" i="131"/>
  <c r="F77" i="131"/>
  <c r="AF76" i="131"/>
  <c r="AE76" i="131"/>
  <c r="AD76" i="131"/>
  <c r="AC76" i="131"/>
  <c r="W76" i="131"/>
  <c r="V76" i="131"/>
  <c r="U76" i="131"/>
  <c r="X76" i="131" s="1"/>
  <c r="M76" i="131"/>
  <c r="F76" i="131"/>
  <c r="N76" i="131" s="1"/>
  <c r="AF75" i="131"/>
  <c r="AE75" i="131"/>
  <c r="AD75" i="131"/>
  <c r="AC75" i="131"/>
  <c r="W75" i="131"/>
  <c r="V75" i="131"/>
  <c r="U75" i="131"/>
  <c r="M75" i="131"/>
  <c r="F75" i="131"/>
  <c r="N75" i="131" s="1"/>
  <c r="AF74" i="131"/>
  <c r="AE74" i="131"/>
  <c r="AD74" i="131"/>
  <c r="AC74" i="131"/>
  <c r="W74" i="131"/>
  <c r="V74" i="131"/>
  <c r="U74" i="131"/>
  <c r="M74" i="131"/>
  <c r="F74" i="131"/>
  <c r="N74" i="131" s="1"/>
  <c r="AF73" i="131"/>
  <c r="AE73" i="131"/>
  <c r="AD73" i="131"/>
  <c r="AC73" i="131"/>
  <c r="W73" i="131"/>
  <c r="V73" i="131"/>
  <c r="U73" i="131"/>
  <c r="X73" i="131" s="1"/>
  <c r="M73" i="131"/>
  <c r="F73" i="131"/>
  <c r="N73" i="131" s="1"/>
  <c r="AF72" i="131"/>
  <c r="AE72" i="131"/>
  <c r="AD72" i="131"/>
  <c r="AC72" i="131"/>
  <c r="W72" i="131"/>
  <c r="V72" i="131"/>
  <c r="U72" i="131"/>
  <c r="X72" i="131" s="1"/>
  <c r="M72" i="131"/>
  <c r="F72" i="131"/>
  <c r="AF71" i="131"/>
  <c r="AE71" i="131"/>
  <c r="AD71" i="131"/>
  <c r="AC71" i="131"/>
  <c r="W71" i="131"/>
  <c r="V71" i="131"/>
  <c r="U71" i="131"/>
  <c r="M71" i="131"/>
  <c r="F71" i="131"/>
  <c r="AF70" i="131"/>
  <c r="AE70" i="131"/>
  <c r="AD70" i="131"/>
  <c r="AC70" i="131"/>
  <c r="W70" i="131"/>
  <c r="V70" i="131"/>
  <c r="U70" i="131"/>
  <c r="X70" i="131" s="1"/>
  <c r="M70" i="131"/>
  <c r="F70" i="131"/>
  <c r="N70" i="131" s="1"/>
  <c r="AF69" i="131"/>
  <c r="AE69" i="131"/>
  <c r="AD69" i="131"/>
  <c r="AC69" i="131"/>
  <c r="W69" i="131"/>
  <c r="V69" i="131"/>
  <c r="U69" i="131"/>
  <c r="M69" i="131"/>
  <c r="F69" i="131"/>
  <c r="AF68" i="131"/>
  <c r="AE68" i="131"/>
  <c r="AD68" i="131"/>
  <c r="AC68" i="131"/>
  <c r="W68" i="131"/>
  <c r="V68" i="131"/>
  <c r="U68" i="131"/>
  <c r="X68" i="131" s="1"/>
  <c r="M68" i="131"/>
  <c r="F68" i="131"/>
  <c r="N68" i="131" s="1"/>
  <c r="AF67" i="131"/>
  <c r="AE67" i="131"/>
  <c r="AD67" i="131"/>
  <c r="AC67" i="131"/>
  <c r="W67" i="131"/>
  <c r="V67" i="131"/>
  <c r="U67" i="131"/>
  <c r="X67" i="131" s="1"/>
  <c r="M67" i="131"/>
  <c r="F67" i="131"/>
  <c r="N67" i="131" s="1"/>
  <c r="AF66" i="131"/>
  <c r="AE66" i="131"/>
  <c r="AD66" i="131"/>
  <c r="AC66" i="131"/>
  <c r="W66" i="131"/>
  <c r="V66" i="131"/>
  <c r="U66" i="131"/>
  <c r="X66" i="131" s="1"/>
  <c r="M66" i="131"/>
  <c r="F66" i="131"/>
  <c r="N66" i="131" s="1"/>
  <c r="E49" i="131"/>
  <c r="D49" i="131"/>
  <c r="T48" i="131"/>
  <c r="S48" i="131"/>
  <c r="R48" i="131"/>
  <c r="Q48" i="131"/>
  <c r="P48" i="131"/>
  <c r="O48" i="131"/>
  <c r="E48" i="131"/>
  <c r="D48" i="131"/>
  <c r="AF46" i="131"/>
  <c r="AE46" i="131"/>
  <c r="AD46" i="131"/>
  <c r="AC46" i="131"/>
  <c r="W46" i="131"/>
  <c r="V46" i="131"/>
  <c r="U46" i="131"/>
  <c r="M46" i="131"/>
  <c r="F46" i="131"/>
  <c r="AF45" i="131"/>
  <c r="AE45" i="131"/>
  <c r="AD45" i="131"/>
  <c r="AC45" i="131"/>
  <c r="W45" i="131"/>
  <c r="V45" i="131"/>
  <c r="U45" i="131"/>
  <c r="X45" i="131" s="1"/>
  <c r="M45" i="131"/>
  <c r="F45" i="131"/>
  <c r="N45" i="131" s="1"/>
  <c r="AF44" i="131"/>
  <c r="AE44" i="131"/>
  <c r="AD44" i="131"/>
  <c r="AC44" i="131"/>
  <c r="W44" i="131"/>
  <c r="V44" i="131"/>
  <c r="U44" i="131"/>
  <c r="M44" i="131"/>
  <c r="F44" i="131"/>
  <c r="AF43" i="131"/>
  <c r="AE43" i="131"/>
  <c r="AD43" i="131"/>
  <c r="AC43" i="131"/>
  <c r="W43" i="131"/>
  <c r="V43" i="131"/>
  <c r="U43" i="131"/>
  <c r="X43" i="131" s="1"/>
  <c r="M43" i="131"/>
  <c r="F43" i="131"/>
  <c r="N43" i="131" s="1"/>
  <c r="AF42" i="131"/>
  <c r="AE42" i="131"/>
  <c r="AD42" i="131"/>
  <c r="AC42" i="131"/>
  <c r="W42" i="131"/>
  <c r="V42" i="131"/>
  <c r="U42" i="131"/>
  <c r="M42" i="131"/>
  <c r="F42" i="131"/>
  <c r="AF41" i="131"/>
  <c r="AE41" i="131"/>
  <c r="AD41" i="131"/>
  <c r="AC41" i="131"/>
  <c r="W41" i="131"/>
  <c r="V41" i="131"/>
  <c r="U41" i="131"/>
  <c r="M41" i="131"/>
  <c r="F41" i="131"/>
  <c r="AF40" i="131"/>
  <c r="AE40" i="131"/>
  <c r="AD40" i="131"/>
  <c r="AC40" i="131"/>
  <c r="W40" i="131"/>
  <c r="V40" i="131"/>
  <c r="U40" i="131"/>
  <c r="X40" i="131" s="1"/>
  <c r="M40" i="131"/>
  <c r="F40" i="131"/>
  <c r="N40" i="131" s="1"/>
  <c r="AF39" i="131"/>
  <c r="AE39" i="131"/>
  <c r="AD39" i="131"/>
  <c r="AC39" i="131"/>
  <c r="W39" i="131"/>
  <c r="V39" i="131"/>
  <c r="U39" i="131"/>
  <c r="X39" i="131" s="1"/>
  <c r="M39" i="131"/>
  <c r="F39" i="131"/>
  <c r="AF38" i="131"/>
  <c r="AE38" i="131"/>
  <c r="AD38" i="131"/>
  <c r="AC38" i="131"/>
  <c r="W38" i="131"/>
  <c r="V38" i="131"/>
  <c r="U38" i="131"/>
  <c r="X38" i="131" s="1"/>
  <c r="M38" i="131"/>
  <c r="F38" i="131"/>
  <c r="N38" i="131" s="1"/>
  <c r="AF37" i="131"/>
  <c r="AE37" i="131"/>
  <c r="AD37" i="131"/>
  <c r="AC37" i="131"/>
  <c r="W37" i="131"/>
  <c r="V37" i="131"/>
  <c r="U37" i="131"/>
  <c r="M37" i="131"/>
  <c r="F37" i="131"/>
  <c r="AF36" i="131"/>
  <c r="AE36" i="131"/>
  <c r="AD36" i="131"/>
  <c r="AC36" i="131"/>
  <c r="W36" i="131"/>
  <c r="V36" i="131"/>
  <c r="U36" i="131"/>
  <c r="X36" i="131" s="1"/>
  <c r="M36" i="131"/>
  <c r="F36" i="131"/>
  <c r="N36" i="131" s="1"/>
  <c r="AF35" i="131"/>
  <c r="AE35" i="131"/>
  <c r="AD35" i="131"/>
  <c r="AC35" i="131"/>
  <c r="W35" i="131"/>
  <c r="V35" i="131"/>
  <c r="U35" i="131"/>
  <c r="M35" i="131"/>
  <c r="F35" i="131"/>
  <c r="AF34" i="131"/>
  <c r="AE34" i="131"/>
  <c r="AD34" i="131"/>
  <c r="AC34" i="131"/>
  <c r="W34" i="131"/>
  <c r="V34" i="131"/>
  <c r="U34" i="131"/>
  <c r="X34" i="131" s="1"/>
  <c r="M34" i="131"/>
  <c r="F34" i="131"/>
  <c r="N34" i="131" s="1"/>
  <c r="AF33" i="131"/>
  <c r="AE33" i="131"/>
  <c r="AD33" i="131"/>
  <c r="AC33" i="131"/>
  <c r="W33" i="131"/>
  <c r="V33" i="131"/>
  <c r="U33" i="131"/>
  <c r="X33" i="131" s="1"/>
  <c r="M33" i="131"/>
  <c r="F33" i="131"/>
  <c r="AF32" i="131"/>
  <c r="AE32" i="131"/>
  <c r="AD32" i="131"/>
  <c r="AC32" i="131"/>
  <c r="W32" i="131"/>
  <c r="V32" i="131"/>
  <c r="U32" i="131"/>
  <c r="M32" i="131"/>
  <c r="F32" i="131"/>
  <c r="N32" i="131" s="1"/>
  <c r="AF31" i="131"/>
  <c r="AE31" i="131"/>
  <c r="AD31" i="131"/>
  <c r="AC31" i="131"/>
  <c r="W31" i="131"/>
  <c r="V31" i="131"/>
  <c r="U31" i="131"/>
  <c r="M31" i="131"/>
  <c r="F31" i="131"/>
  <c r="AF30" i="131"/>
  <c r="AE30" i="131"/>
  <c r="AD30" i="131"/>
  <c r="AC30" i="131"/>
  <c r="W30" i="131"/>
  <c r="V30" i="131"/>
  <c r="U30" i="131"/>
  <c r="X30" i="131" s="1"/>
  <c r="M30" i="131"/>
  <c r="F30" i="131"/>
  <c r="N30" i="131" s="1"/>
  <c r="AF29" i="131"/>
  <c r="AE29" i="131"/>
  <c r="AD29" i="131"/>
  <c r="AC29" i="131"/>
  <c r="W29" i="131"/>
  <c r="V29" i="131"/>
  <c r="U29" i="131"/>
  <c r="X29" i="131" s="1"/>
  <c r="M29" i="131"/>
  <c r="F29" i="131"/>
  <c r="AF28" i="131"/>
  <c r="AE28" i="131"/>
  <c r="AD28" i="131"/>
  <c r="AC28" i="131"/>
  <c r="W28" i="131"/>
  <c r="V28" i="131"/>
  <c r="U28" i="131"/>
  <c r="X28" i="131" s="1"/>
  <c r="M28" i="131"/>
  <c r="F28" i="131"/>
  <c r="N28" i="131" s="1"/>
  <c r="AF27" i="131"/>
  <c r="AE27" i="131"/>
  <c r="AD27" i="131"/>
  <c r="AC27" i="131"/>
  <c r="W27" i="131"/>
  <c r="V27" i="131"/>
  <c r="U27" i="131"/>
  <c r="M27" i="131"/>
  <c r="F27" i="131"/>
  <c r="AF26" i="131"/>
  <c r="AE26" i="131"/>
  <c r="AD26" i="131"/>
  <c r="AC26" i="131"/>
  <c r="W26" i="131"/>
  <c r="V26" i="131"/>
  <c r="U26" i="131"/>
  <c r="X26" i="131" s="1"/>
  <c r="M26" i="131"/>
  <c r="F26" i="131"/>
  <c r="N26" i="131" s="1"/>
  <c r="AF25" i="131"/>
  <c r="AE25" i="131"/>
  <c r="AD25" i="131"/>
  <c r="AC25" i="131"/>
  <c r="W25" i="131"/>
  <c r="V25" i="131"/>
  <c r="U25" i="131"/>
  <c r="M25" i="131"/>
  <c r="F25" i="131"/>
  <c r="AF24" i="131"/>
  <c r="AE24" i="131"/>
  <c r="AD24" i="131"/>
  <c r="AC24" i="131"/>
  <c r="W24" i="131"/>
  <c r="V24" i="131"/>
  <c r="U24" i="131"/>
  <c r="X24" i="131" s="1"/>
  <c r="M24" i="131"/>
  <c r="F24" i="131"/>
  <c r="N24" i="131" s="1"/>
  <c r="AF23" i="131"/>
  <c r="AE23" i="131"/>
  <c r="AD23" i="131"/>
  <c r="AC23" i="131"/>
  <c r="W23" i="131"/>
  <c r="V23" i="131"/>
  <c r="U23" i="131"/>
  <c r="M23" i="131"/>
  <c r="F23" i="131"/>
  <c r="AF22" i="131"/>
  <c r="AE22" i="131"/>
  <c r="AD22" i="131"/>
  <c r="AC22" i="131"/>
  <c r="W22" i="131"/>
  <c r="V22" i="131"/>
  <c r="U22" i="131"/>
  <c r="M22" i="131"/>
  <c r="F22" i="131"/>
  <c r="N22" i="131" s="1"/>
  <c r="AF21" i="131"/>
  <c r="AE21" i="131"/>
  <c r="AD21" i="131"/>
  <c r="AC21" i="131"/>
  <c r="W21" i="131"/>
  <c r="V21" i="131"/>
  <c r="U21" i="131"/>
  <c r="M21" i="131"/>
  <c r="F21" i="131"/>
  <c r="N21" i="131" s="1"/>
  <c r="AF20" i="131"/>
  <c r="AE20" i="131"/>
  <c r="AD20" i="131"/>
  <c r="AC20" i="131"/>
  <c r="W20" i="131"/>
  <c r="V20" i="131"/>
  <c r="U20" i="131"/>
  <c r="X20" i="131" s="1"/>
  <c r="M20" i="131"/>
  <c r="F20" i="131"/>
  <c r="AF19" i="131"/>
  <c r="AE19" i="131"/>
  <c r="AD19" i="131"/>
  <c r="AC19" i="131"/>
  <c r="W19" i="131"/>
  <c r="V19" i="131"/>
  <c r="U19" i="131"/>
  <c r="X19" i="131" s="1"/>
  <c r="M19" i="131"/>
  <c r="F19" i="131"/>
  <c r="AF18" i="131"/>
  <c r="AE18" i="131"/>
  <c r="AD18" i="131"/>
  <c r="AC18" i="131"/>
  <c r="W18" i="131"/>
  <c r="V18" i="131"/>
  <c r="U18" i="131"/>
  <c r="X18" i="131" s="1"/>
  <c r="M18" i="131"/>
  <c r="F18" i="131"/>
  <c r="AF17" i="131"/>
  <c r="AE17" i="131"/>
  <c r="AD17" i="131"/>
  <c r="AC17" i="131"/>
  <c r="W17" i="131"/>
  <c r="V17" i="131"/>
  <c r="U17" i="131"/>
  <c r="M17" i="131"/>
  <c r="F17" i="131"/>
  <c r="AF16" i="131"/>
  <c r="AE16" i="131"/>
  <c r="AD16" i="131"/>
  <c r="AC16" i="131"/>
  <c r="W16" i="131"/>
  <c r="V16" i="131"/>
  <c r="U16" i="131"/>
  <c r="M16" i="131"/>
  <c r="F16" i="131"/>
  <c r="AF15" i="131"/>
  <c r="AE15" i="131"/>
  <c r="AD15" i="131"/>
  <c r="AC15" i="131"/>
  <c r="W15" i="131"/>
  <c r="V15" i="131"/>
  <c r="U15" i="131"/>
  <c r="X15" i="131" s="1"/>
  <c r="M15" i="131"/>
  <c r="F15" i="131"/>
  <c r="AF14" i="131"/>
  <c r="AE14" i="131"/>
  <c r="AD14" i="131"/>
  <c r="AC14" i="131"/>
  <c r="W14" i="131"/>
  <c r="V14" i="131"/>
  <c r="U14" i="131"/>
  <c r="M14" i="131"/>
  <c r="F14" i="131"/>
  <c r="AF13" i="131"/>
  <c r="AE13" i="131"/>
  <c r="AD13" i="131"/>
  <c r="AC13" i="131"/>
  <c r="W13" i="131"/>
  <c r="V13" i="131"/>
  <c r="U13" i="131"/>
  <c r="X13" i="131" s="1"/>
  <c r="M13" i="131"/>
  <c r="F13" i="131"/>
  <c r="E5" i="131"/>
  <c r="A2" i="131"/>
  <c r="D103" i="130"/>
  <c r="T102" i="130"/>
  <c r="S102" i="130"/>
  <c r="R102" i="130"/>
  <c r="Q102" i="130"/>
  <c r="P102" i="130"/>
  <c r="O102" i="130"/>
  <c r="E102" i="130"/>
  <c r="D102" i="130"/>
  <c r="AF100" i="130"/>
  <c r="AE100" i="130"/>
  <c r="AD100" i="130"/>
  <c r="AC100" i="130"/>
  <c r="W100" i="130"/>
  <c r="V100" i="130"/>
  <c r="U100" i="130"/>
  <c r="M100" i="130"/>
  <c r="F100" i="130"/>
  <c r="AF99" i="130"/>
  <c r="AE99" i="130"/>
  <c r="AD99" i="130"/>
  <c r="AC99" i="130"/>
  <c r="W99" i="130"/>
  <c r="V99" i="130"/>
  <c r="U99" i="130"/>
  <c r="M99" i="130"/>
  <c r="F99" i="130"/>
  <c r="N99" i="130" s="1"/>
  <c r="AF98" i="130"/>
  <c r="AE98" i="130"/>
  <c r="AD98" i="130"/>
  <c r="AC98" i="130"/>
  <c r="W98" i="130"/>
  <c r="V98" i="130"/>
  <c r="U98" i="130"/>
  <c r="X98" i="130" s="1"/>
  <c r="M98" i="130"/>
  <c r="F98" i="130"/>
  <c r="N98" i="130" s="1"/>
  <c r="AF97" i="130"/>
  <c r="AE97" i="130"/>
  <c r="AD97" i="130"/>
  <c r="AC97" i="130"/>
  <c r="W97" i="130"/>
  <c r="V97" i="130"/>
  <c r="U97" i="130"/>
  <c r="X97" i="130" s="1"/>
  <c r="M97" i="130"/>
  <c r="F97" i="130"/>
  <c r="N97" i="130" s="1"/>
  <c r="AF96" i="130"/>
  <c r="AE96" i="130"/>
  <c r="AD96" i="130"/>
  <c r="AC96" i="130"/>
  <c r="W96" i="130"/>
  <c r="V96" i="130"/>
  <c r="U96" i="130"/>
  <c r="X96" i="130" s="1"/>
  <c r="M96" i="130"/>
  <c r="F96" i="130"/>
  <c r="AF95" i="130"/>
  <c r="AE95" i="130"/>
  <c r="AD95" i="130"/>
  <c r="AC95" i="130"/>
  <c r="W95" i="130"/>
  <c r="V95" i="130"/>
  <c r="U95" i="130"/>
  <c r="X95" i="130" s="1"/>
  <c r="M95" i="130"/>
  <c r="F95" i="130"/>
  <c r="AF94" i="130"/>
  <c r="AE94" i="130"/>
  <c r="AD94" i="130"/>
  <c r="AC94" i="130"/>
  <c r="W94" i="130"/>
  <c r="V94" i="130"/>
  <c r="U94" i="130"/>
  <c r="M94" i="130"/>
  <c r="F94" i="130"/>
  <c r="AF93" i="130"/>
  <c r="AE93" i="130"/>
  <c r="AD93" i="130"/>
  <c r="AC93" i="130"/>
  <c r="W93" i="130"/>
  <c r="V93" i="130"/>
  <c r="U93" i="130"/>
  <c r="M93" i="130"/>
  <c r="F93" i="130"/>
  <c r="AF92" i="130"/>
  <c r="AE92" i="130"/>
  <c r="AD92" i="130"/>
  <c r="AC92" i="130"/>
  <c r="W92" i="130"/>
  <c r="V92" i="130"/>
  <c r="U92" i="130"/>
  <c r="M92" i="130"/>
  <c r="F92" i="130"/>
  <c r="AF91" i="130"/>
  <c r="AE91" i="130"/>
  <c r="AD91" i="130"/>
  <c r="AC91" i="130"/>
  <c r="W91" i="130"/>
  <c r="V91" i="130"/>
  <c r="U91" i="130"/>
  <c r="X91" i="130" s="1"/>
  <c r="M91" i="130"/>
  <c r="F91" i="130"/>
  <c r="N91" i="130" s="1"/>
  <c r="AF90" i="130"/>
  <c r="AE90" i="130"/>
  <c r="AD90" i="130"/>
  <c r="AC90" i="130"/>
  <c r="W90" i="130"/>
  <c r="V90" i="130"/>
  <c r="U90" i="130"/>
  <c r="M90" i="130"/>
  <c r="F90" i="130"/>
  <c r="N90" i="130" s="1"/>
  <c r="AF89" i="130"/>
  <c r="AE89" i="130"/>
  <c r="AD89" i="130"/>
  <c r="AC89" i="130"/>
  <c r="W89" i="130"/>
  <c r="V89" i="130"/>
  <c r="U89" i="130"/>
  <c r="X89" i="130" s="1"/>
  <c r="M89" i="130"/>
  <c r="F89" i="130"/>
  <c r="N89" i="130" s="1"/>
  <c r="AF88" i="130"/>
  <c r="AE88" i="130"/>
  <c r="AD88" i="130"/>
  <c r="AC88" i="130"/>
  <c r="W88" i="130"/>
  <c r="V88" i="130"/>
  <c r="U88" i="130"/>
  <c r="M88" i="130"/>
  <c r="F88" i="130"/>
  <c r="N88" i="130" s="1"/>
  <c r="AF87" i="130"/>
  <c r="AE87" i="130"/>
  <c r="AD87" i="130"/>
  <c r="AC87" i="130"/>
  <c r="W87" i="130"/>
  <c r="V87" i="130"/>
  <c r="U87" i="130"/>
  <c r="X87" i="130" s="1"/>
  <c r="M87" i="130"/>
  <c r="F87" i="130"/>
  <c r="AF86" i="130"/>
  <c r="AE86" i="130"/>
  <c r="AD86" i="130"/>
  <c r="AC86" i="130"/>
  <c r="W86" i="130"/>
  <c r="V86" i="130"/>
  <c r="U86" i="130"/>
  <c r="M86" i="130"/>
  <c r="F86" i="130"/>
  <c r="AF85" i="130"/>
  <c r="AE85" i="130"/>
  <c r="AD85" i="130"/>
  <c r="AC85" i="130"/>
  <c r="W85" i="130"/>
  <c r="V85" i="130"/>
  <c r="U85" i="130"/>
  <c r="X85" i="130" s="1"/>
  <c r="M85" i="130"/>
  <c r="F85" i="130"/>
  <c r="AF84" i="130"/>
  <c r="AE84" i="130"/>
  <c r="AD84" i="130"/>
  <c r="AC84" i="130"/>
  <c r="W84" i="130"/>
  <c r="V84" i="130"/>
  <c r="U84" i="130"/>
  <c r="X84" i="130" s="1"/>
  <c r="M84" i="130"/>
  <c r="F84" i="130"/>
  <c r="AF83" i="130"/>
  <c r="AE83" i="130"/>
  <c r="AD83" i="130"/>
  <c r="AC83" i="130"/>
  <c r="W83" i="130"/>
  <c r="V83" i="130"/>
  <c r="U83" i="130"/>
  <c r="M83" i="130"/>
  <c r="F83" i="130"/>
  <c r="N83" i="130" s="1"/>
  <c r="AF82" i="130"/>
  <c r="AE82" i="130"/>
  <c r="AD82" i="130"/>
  <c r="AC82" i="130"/>
  <c r="W82" i="130"/>
  <c r="V82" i="130"/>
  <c r="U82" i="130"/>
  <c r="X82" i="130" s="1"/>
  <c r="M82" i="130"/>
  <c r="F82" i="130"/>
  <c r="N82" i="130" s="1"/>
  <c r="AF81" i="130"/>
  <c r="AE81" i="130"/>
  <c r="AD81" i="130"/>
  <c r="AC81" i="130"/>
  <c r="W81" i="130"/>
  <c r="V81" i="130"/>
  <c r="U81" i="130"/>
  <c r="X81" i="130" s="1"/>
  <c r="M81" i="130"/>
  <c r="F81" i="130"/>
  <c r="N81" i="130" s="1"/>
  <c r="AF80" i="130"/>
  <c r="AE80" i="130"/>
  <c r="AD80" i="130"/>
  <c r="AC80" i="130"/>
  <c r="W80" i="130"/>
  <c r="V80" i="130"/>
  <c r="U80" i="130"/>
  <c r="X80" i="130" s="1"/>
  <c r="M80" i="130"/>
  <c r="F80" i="130"/>
  <c r="N80" i="130" s="1"/>
  <c r="AF79" i="130"/>
  <c r="AE79" i="130"/>
  <c r="AD79" i="130"/>
  <c r="AC79" i="130"/>
  <c r="W79" i="130"/>
  <c r="V79" i="130"/>
  <c r="U79" i="130"/>
  <c r="X79" i="130" s="1"/>
  <c r="M79" i="130"/>
  <c r="F79" i="130"/>
  <c r="AF78" i="130"/>
  <c r="AE78" i="130"/>
  <c r="AD78" i="130"/>
  <c r="AC78" i="130"/>
  <c r="W78" i="130"/>
  <c r="V78" i="130"/>
  <c r="U78" i="130"/>
  <c r="M78" i="130"/>
  <c r="F78" i="130"/>
  <c r="AF77" i="130"/>
  <c r="AE77" i="130"/>
  <c r="AD77" i="130"/>
  <c r="AC77" i="130"/>
  <c r="W77" i="130"/>
  <c r="V77" i="130"/>
  <c r="U77" i="130"/>
  <c r="X77" i="130" s="1"/>
  <c r="M77" i="130"/>
  <c r="F77" i="130"/>
  <c r="N77" i="130" s="1"/>
  <c r="AF76" i="130"/>
  <c r="AE76" i="130"/>
  <c r="AD76" i="130"/>
  <c r="AC76" i="130"/>
  <c r="W76" i="130"/>
  <c r="V76" i="130"/>
  <c r="U76" i="130"/>
  <c r="X76" i="130" s="1"/>
  <c r="M76" i="130"/>
  <c r="F76" i="130"/>
  <c r="AF75" i="130"/>
  <c r="AE75" i="130"/>
  <c r="AD75" i="130"/>
  <c r="AC75" i="130"/>
  <c r="W75" i="130"/>
  <c r="V75" i="130"/>
  <c r="U75" i="130"/>
  <c r="M75" i="130"/>
  <c r="F75" i="130"/>
  <c r="N75" i="130" s="1"/>
  <c r="AF74" i="130"/>
  <c r="AE74" i="130"/>
  <c r="AD74" i="130"/>
  <c r="AC74" i="130"/>
  <c r="W74" i="130"/>
  <c r="V74" i="130"/>
  <c r="U74" i="130"/>
  <c r="X74" i="130" s="1"/>
  <c r="M74" i="130"/>
  <c r="F74" i="130"/>
  <c r="N74" i="130" s="1"/>
  <c r="AF73" i="130"/>
  <c r="AE73" i="130"/>
  <c r="AD73" i="130"/>
  <c r="AC73" i="130"/>
  <c r="W73" i="130"/>
  <c r="V73" i="130"/>
  <c r="U73" i="130"/>
  <c r="M73" i="130"/>
  <c r="F73" i="130"/>
  <c r="N73" i="130" s="1"/>
  <c r="AF72" i="130"/>
  <c r="AE72" i="130"/>
  <c r="AD72" i="130"/>
  <c r="AC72" i="130"/>
  <c r="W72" i="130"/>
  <c r="V72" i="130"/>
  <c r="U72" i="130"/>
  <c r="M72" i="130"/>
  <c r="F72" i="130"/>
  <c r="AF71" i="130"/>
  <c r="AE71" i="130"/>
  <c r="AD71" i="130"/>
  <c r="AC71" i="130"/>
  <c r="W71" i="130"/>
  <c r="V71" i="130"/>
  <c r="U71" i="130"/>
  <c r="M71" i="130"/>
  <c r="F71" i="130"/>
  <c r="AF70" i="130"/>
  <c r="AE70" i="130"/>
  <c r="AD70" i="130"/>
  <c r="AC70" i="130"/>
  <c r="W70" i="130"/>
  <c r="V70" i="130"/>
  <c r="U70" i="130"/>
  <c r="M70" i="130"/>
  <c r="F70" i="130"/>
  <c r="AF69" i="130"/>
  <c r="AE69" i="130"/>
  <c r="AD69" i="130"/>
  <c r="AC69" i="130"/>
  <c r="W69" i="130"/>
  <c r="V69" i="130"/>
  <c r="U69" i="130"/>
  <c r="M69" i="130"/>
  <c r="F69" i="130"/>
  <c r="N69" i="130" s="1"/>
  <c r="AF68" i="130"/>
  <c r="AE68" i="130"/>
  <c r="AD68" i="130"/>
  <c r="AC68" i="130"/>
  <c r="W68" i="130"/>
  <c r="V68" i="130"/>
  <c r="U68" i="130"/>
  <c r="M68" i="130"/>
  <c r="F68" i="130"/>
  <c r="AF67" i="130"/>
  <c r="AE67" i="130"/>
  <c r="AD67" i="130"/>
  <c r="AC67" i="130"/>
  <c r="W67" i="130"/>
  <c r="V67" i="130"/>
  <c r="U67" i="130"/>
  <c r="X67" i="130" s="1"/>
  <c r="M67" i="130"/>
  <c r="F67" i="130"/>
  <c r="N67" i="130" s="1"/>
  <c r="AF66" i="130"/>
  <c r="AE66" i="130"/>
  <c r="AD66" i="130"/>
  <c r="AC66" i="130"/>
  <c r="W66" i="130"/>
  <c r="V66" i="130"/>
  <c r="U66" i="130"/>
  <c r="X66" i="130" s="1"/>
  <c r="M66" i="130"/>
  <c r="F66" i="130"/>
  <c r="E49" i="130"/>
  <c r="D49" i="130"/>
  <c r="T48" i="130"/>
  <c r="S48" i="130"/>
  <c r="R48" i="130"/>
  <c r="Q48" i="130"/>
  <c r="P48" i="130"/>
  <c r="O48" i="130"/>
  <c r="E48" i="130"/>
  <c r="D48" i="130"/>
  <c r="AF46" i="130"/>
  <c r="AE46" i="130"/>
  <c r="AD46" i="130"/>
  <c r="AC46" i="130"/>
  <c r="W46" i="130"/>
  <c r="V46" i="130"/>
  <c r="U46" i="130"/>
  <c r="X46" i="130" s="1"/>
  <c r="M46" i="130"/>
  <c r="F46" i="130"/>
  <c r="N46" i="130" s="1"/>
  <c r="AF45" i="130"/>
  <c r="AE45" i="130"/>
  <c r="AD45" i="130"/>
  <c r="AC45" i="130"/>
  <c r="W45" i="130"/>
  <c r="V45" i="130"/>
  <c r="U45" i="130"/>
  <c r="M45" i="130"/>
  <c r="F45" i="130"/>
  <c r="AF44" i="130"/>
  <c r="AE44" i="130"/>
  <c r="AD44" i="130"/>
  <c r="AC44" i="130"/>
  <c r="W44" i="130"/>
  <c r="V44" i="130"/>
  <c r="U44" i="130"/>
  <c r="M44" i="130"/>
  <c r="F44" i="130"/>
  <c r="AF43" i="130"/>
  <c r="AE43" i="130"/>
  <c r="AD43" i="130"/>
  <c r="AC43" i="130"/>
  <c r="W43" i="130"/>
  <c r="V43" i="130"/>
  <c r="U43" i="130"/>
  <c r="X43" i="130" s="1"/>
  <c r="M43" i="130"/>
  <c r="F43" i="130"/>
  <c r="N43" i="130" s="1"/>
  <c r="AF42" i="130"/>
  <c r="AE42" i="130"/>
  <c r="AD42" i="130"/>
  <c r="AC42" i="130"/>
  <c r="W42" i="130"/>
  <c r="V42" i="130"/>
  <c r="U42" i="130"/>
  <c r="X42" i="130" s="1"/>
  <c r="M42" i="130"/>
  <c r="F42" i="130"/>
  <c r="N42" i="130" s="1"/>
  <c r="AF41" i="130"/>
  <c r="AE41" i="130"/>
  <c r="AD41" i="130"/>
  <c r="AC41" i="130"/>
  <c r="W41" i="130"/>
  <c r="V41" i="130"/>
  <c r="U41" i="130"/>
  <c r="M41" i="130"/>
  <c r="F41" i="130"/>
  <c r="AF40" i="130"/>
  <c r="AE40" i="130"/>
  <c r="AD40" i="130"/>
  <c r="AC40" i="130"/>
  <c r="W40" i="130"/>
  <c r="V40" i="130"/>
  <c r="U40" i="130"/>
  <c r="M40" i="130"/>
  <c r="F40" i="130"/>
  <c r="AF39" i="130"/>
  <c r="AE39" i="130"/>
  <c r="AD39" i="130"/>
  <c r="AC39" i="130"/>
  <c r="W39" i="130"/>
  <c r="V39" i="130"/>
  <c r="U39" i="130"/>
  <c r="X39" i="130" s="1"/>
  <c r="M39" i="130"/>
  <c r="F39" i="130"/>
  <c r="N39" i="130" s="1"/>
  <c r="AF38" i="130"/>
  <c r="AE38" i="130"/>
  <c r="AD38" i="130"/>
  <c r="AC38" i="130"/>
  <c r="W38" i="130"/>
  <c r="V38" i="130"/>
  <c r="U38" i="130"/>
  <c r="X38" i="130" s="1"/>
  <c r="M38" i="130"/>
  <c r="F38" i="130"/>
  <c r="N38" i="130" s="1"/>
  <c r="AF37" i="130"/>
  <c r="AE37" i="130"/>
  <c r="AD37" i="130"/>
  <c r="AC37" i="130"/>
  <c r="W37" i="130"/>
  <c r="V37" i="130"/>
  <c r="U37" i="130"/>
  <c r="X37" i="130" s="1"/>
  <c r="M37" i="130"/>
  <c r="F37" i="130"/>
  <c r="AF36" i="130"/>
  <c r="AE36" i="130"/>
  <c r="AD36" i="130"/>
  <c r="AC36" i="130"/>
  <c r="W36" i="130"/>
  <c r="V36" i="130"/>
  <c r="U36" i="130"/>
  <c r="M36" i="130"/>
  <c r="F36" i="130"/>
  <c r="AF35" i="130"/>
  <c r="AE35" i="130"/>
  <c r="AD35" i="130"/>
  <c r="AC35" i="130"/>
  <c r="W35" i="130"/>
  <c r="V35" i="130"/>
  <c r="U35" i="130"/>
  <c r="M35" i="130"/>
  <c r="F35" i="130"/>
  <c r="N35" i="130" s="1"/>
  <c r="AF34" i="130"/>
  <c r="AE34" i="130"/>
  <c r="AD34" i="130"/>
  <c r="AC34" i="130"/>
  <c r="W34" i="130"/>
  <c r="V34" i="130"/>
  <c r="U34" i="130"/>
  <c r="X34" i="130" s="1"/>
  <c r="M34" i="130"/>
  <c r="F34" i="130"/>
  <c r="N34" i="130" s="1"/>
  <c r="AF33" i="130"/>
  <c r="AE33" i="130"/>
  <c r="AD33" i="130"/>
  <c r="AC33" i="130"/>
  <c r="W33" i="130"/>
  <c r="V33" i="130"/>
  <c r="U33" i="130"/>
  <c r="M33" i="130"/>
  <c r="F33" i="130"/>
  <c r="AF32" i="130"/>
  <c r="AE32" i="130"/>
  <c r="AD32" i="130"/>
  <c r="AC32" i="130"/>
  <c r="W32" i="130"/>
  <c r="V32" i="130"/>
  <c r="U32" i="130"/>
  <c r="M32" i="130"/>
  <c r="F32" i="130"/>
  <c r="AF31" i="130"/>
  <c r="AE31" i="130"/>
  <c r="AD31" i="130"/>
  <c r="AC31" i="130"/>
  <c r="W31" i="130"/>
  <c r="V31" i="130"/>
  <c r="U31" i="130"/>
  <c r="X31" i="130" s="1"/>
  <c r="M31" i="130"/>
  <c r="F31" i="130"/>
  <c r="N31" i="130" s="1"/>
  <c r="AF30" i="130"/>
  <c r="AE30" i="130"/>
  <c r="AD30" i="130"/>
  <c r="AC30" i="130"/>
  <c r="W30" i="130"/>
  <c r="V30" i="130"/>
  <c r="U30" i="130"/>
  <c r="X30" i="130" s="1"/>
  <c r="M30" i="130"/>
  <c r="F30" i="130"/>
  <c r="N30" i="130" s="1"/>
  <c r="AF29" i="130"/>
  <c r="AE29" i="130"/>
  <c r="AD29" i="130"/>
  <c r="AC29" i="130"/>
  <c r="W29" i="130"/>
  <c r="V29" i="130"/>
  <c r="U29" i="130"/>
  <c r="M29" i="130"/>
  <c r="F29" i="130"/>
  <c r="AF28" i="130"/>
  <c r="AE28" i="130"/>
  <c r="AD28" i="130"/>
  <c r="AC28" i="130"/>
  <c r="W28" i="130"/>
  <c r="V28" i="130"/>
  <c r="U28" i="130"/>
  <c r="M28" i="130"/>
  <c r="F28" i="130"/>
  <c r="AF27" i="130"/>
  <c r="AE27" i="130"/>
  <c r="AD27" i="130"/>
  <c r="AC27" i="130"/>
  <c r="W27" i="130"/>
  <c r="V27" i="130"/>
  <c r="U27" i="130"/>
  <c r="X27" i="130" s="1"/>
  <c r="M27" i="130"/>
  <c r="F27" i="130"/>
  <c r="N27" i="130" s="1"/>
  <c r="AF26" i="130"/>
  <c r="AE26" i="130"/>
  <c r="AD26" i="130"/>
  <c r="AC26" i="130"/>
  <c r="W26" i="130"/>
  <c r="V26" i="130"/>
  <c r="U26" i="130"/>
  <c r="M26" i="130"/>
  <c r="F26" i="130"/>
  <c r="N26" i="130" s="1"/>
  <c r="AF25" i="130"/>
  <c r="AE25" i="130"/>
  <c r="AD25" i="130"/>
  <c r="AC25" i="130"/>
  <c r="W25" i="130"/>
  <c r="V25" i="130"/>
  <c r="U25" i="130"/>
  <c r="M25" i="130"/>
  <c r="F25" i="130"/>
  <c r="AF24" i="130"/>
  <c r="AE24" i="130"/>
  <c r="AD24" i="130"/>
  <c r="AC24" i="130"/>
  <c r="W24" i="130"/>
  <c r="V24" i="130"/>
  <c r="U24" i="130"/>
  <c r="M24" i="130"/>
  <c r="F24" i="130"/>
  <c r="AF23" i="130"/>
  <c r="AE23" i="130"/>
  <c r="AD23" i="130"/>
  <c r="AC23" i="130"/>
  <c r="W23" i="130"/>
  <c r="V23" i="130"/>
  <c r="U23" i="130"/>
  <c r="M23" i="130"/>
  <c r="F23" i="130"/>
  <c r="N23" i="130" s="1"/>
  <c r="AF22" i="130"/>
  <c r="AE22" i="130"/>
  <c r="AD22" i="130"/>
  <c r="AC22" i="130"/>
  <c r="W22" i="130"/>
  <c r="V22" i="130"/>
  <c r="U22" i="130"/>
  <c r="X22" i="130" s="1"/>
  <c r="M22" i="130"/>
  <c r="F22" i="130"/>
  <c r="N22" i="130" s="1"/>
  <c r="AF21" i="130"/>
  <c r="AE21" i="130"/>
  <c r="AD21" i="130"/>
  <c r="AC21" i="130"/>
  <c r="W21" i="130"/>
  <c r="V21" i="130"/>
  <c r="U21" i="130"/>
  <c r="X21" i="130" s="1"/>
  <c r="M21" i="130"/>
  <c r="F21" i="130"/>
  <c r="AF20" i="130"/>
  <c r="AE20" i="130"/>
  <c r="AD20" i="130"/>
  <c r="AC20" i="130"/>
  <c r="W20" i="130"/>
  <c r="V20" i="130"/>
  <c r="U20" i="130"/>
  <c r="X20" i="130" s="1"/>
  <c r="M20" i="130"/>
  <c r="F20" i="130"/>
  <c r="AF19" i="130"/>
  <c r="AE19" i="130"/>
  <c r="AD19" i="130"/>
  <c r="AC19" i="130"/>
  <c r="W19" i="130"/>
  <c r="V19" i="130"/>
  <c r="U19" i="130"/>
  <c r="X19" i="130" s="1"/>
  <c r="M19" i="130"/>
  <c r="F19" i="130"/>
  <c r="N19" i="130" s="1"/>
  <c r="AF18" i="130"/>
  <c r="AE18" i="130"/>
  <c r="AD18" i="130"/>
  <c r="AC18" i="130"/>
  <c r="W18" i="130"/>
  <c r="V18" i="130"/>
  <c r="U18" i="130"/>
  <c r="X18" i="130" s="1"/>
  <c r="M18" i="130"/>
  <c r="F18" i="130"/>
  <c r="N18" i="130" s="1"/>
  <c r="AF17" i="130"/>
  <c r="AE17" i="130"/>
  <c r="AD17" i="130"/>
  <c r="AC17" i="130"/>
  <c r="W17" i="130"/>
  <c r="V17" i="130"/>
  <c r="U17" i="130"/>
  <c r="M17" i="130"/>
  <c r="F17" i="130"/>
  <c r="AF16" i="130"/>
  <c r="AE16" i="130"/>
  <c r="AD16" i="130"/>
  <c r="AC16" i="130"/>
  <c r="W16" i="130"/>
  <c r="V16" i="130"/>
  <c r="U16" i="130"/>
  <c r="M16" i="130"/>
  <c r="F16" i="130"/>
  <c r="AF15" i="130"/>
  <c r="AE15" i="130"/>
  <c r="AD15" i="130"/>
  <c r="AC15" i="130"/>
  <c r="W15" i="130"/>
  <c r="V15" i="130"/>
  <c r="U15" i="130"/>
  <c r="X15" i="130" s="1"/>
  <c r="M15" i="130"/>
  <c r="F15" i="130"/>
  <c r="N15" i="130" s="1"/>
  <c r="AF14" i="130"/>
  <c r="AE14" i="130"/>
  <c r="AD14" i="130"/>
  <c r="AC14" i="130"/>
  <c r="W14" i="130"/>
  <c r="V14" i="130"/>
  <c r="U14" i="130"/>
  <c r="X14" i="130" s="1"/>
  <c r="M14" i="130"/>
  <c r="F14" i="130"/>
  <c r="N14" i="130" s="1"/>
  <c r="AF13" i="130"/>
  <c r="AE13" i="130"/>
  <c r="AD13" i="130"/>
  <c r="AC13" i="130"/>
  <c r="W13" i="130"/>
  <c r="V13" i="130"/>
  <c r="U13" i="130"/>
  <c r="M13" i="130"/>
  <c r="F13" i="130"/>
  <c r="E5" i="130"/>
  <c r="A2" i="130"/>
  <c r="D103" i="129"/>
  <c r="T102" i="129"/>
  <c r="S102" i="129"/>
  <c r="R102" i="129"/>
  <c r="Q102" i="129"/>
  <c r="P102" i="129"/>
  <c r="O102" i="129"/>
  <c r="E102" i="129"/>
  <c r="D102" i="129"/>
  <c r="AF100" i="129"/>
  <c r="AE100" i="129"/>
  <c r="AD100" i="129"/>
  <c r="AC100" i="129"/>
  <c r="W100" i="129"/>
  <c r="V100" i="129"/>
  <c r="U100" i="129"/>
  <c r="M100" i="129"/>
  <c r="F100" i="129"/>
  <c r="AF99" i="129"/>
  <c r="AE99" i="129"/>
  <c r="AD99" i="129"/>
  <c r="AC99" i="129"/>
  <c r="W99" i="129"/>
  <c r="V99" i="129"/>
  <c r="U99" i="129"/>
  <c r="M99" i="129"/>
  <c r="F99" i="129"/>
  <c r="AF98" i="129"/>
  <c r="AE98" i="129"/>
  <c r="AD98" i="129"/>
  <c r="AC98" i="129"/>
  <c r="W98" i="129"/>
  <c r="V98" i="129"/>
  <c r="U98" i="129"/>
  <c r="X98" i="129" s="1"/>
  <c r="M98" i="129"/>
  <c r="F98" i="129"/>
  <c r="AF97" i="129"/>
  <c r="AE97" i="129"/>
  <c r="AD97" i="129"/>
  <c r="AC97" i="129"/>
  <c r="W97" i="129"/>
  <c r="V97" i="129"/>
  <c r="U97" i="129"/>
  <c r="M97" i="129"/>
  <c r="F97" i="129"/>
  <c r="AF96" i="129"/>
  <c r="AE96" i="129"/>
  <c r="AD96" i="129"/>
  <c r="AC96" i="129"/>
  <c r="W96" i="129"/>
  <c r="V96" i="129"/>
  <c r="U96" i="129"/>
  <c r="M96" i="129"/>
  <c r="F96" i="129"/>
  <c r="N96" i="129" s="1"/>
  <c r="AF95" i="129"/>
  <c r="AE95" i="129"/>
  <c r="AD95" i="129"/>
  <c r="AC95" i="129"/>
  <c r="W95" i="129"/>
  <c r="V95" i="129"/>
  <c r="U95" i="129"/>
  <c r="X95" i="129" s="1"/>
  <c r="M95" i="129"/>
  <c r="F95" i="129"/>
  <c r="N95" i="129" s="1"/>
  <c r="AF94" i="129"/>
  <c r="AE94" i="129"/>
  <c r="AD94" i="129"/>
  <c r="AC94" i="129"/>
  <c r="W94" i="129"/>
  <c r="V94" i="129"/>
  <c r="U94" i="129"/>
  <c r="X94" i="129" s="1"/>
  <c r="M94" i="129"/>
  <c r="F94" i="129"/>
  <c r="N94" i="129" s="1"/>
  <c r="AF93" i="129"/>
  <c r="AE93" i="129"/>
  <c r="AD93" i="129"/>
  <c r="AC93" i="129"/>
  <c r="W93" i="129"/>
  <c r="V93" i="129"/>
  <c r="U93" i="129"/>
  <c r="X93" i="129" s="1"/>
  <c r="M93" i="129"/>
  <c r="F93" i="129"/>
  <c r="AF92" i="129"/>
  <c r="AE92" i="129"/>
  <c r="AD92" i="129"/>
  <c r="AC92" i="129"/>
  <c r="W92" i="129"/>
  <c r="V92" i="129"/>
  <c r="U92" i="129"/>
  <c r="M92" i="129"/>
  <c r="F92" i="129"/>
  <c r="AF91" i="129"/>
  <c r="AE91" i="129"/>
  <c r="AD91" i="129"/>
  <c r="AC91" i="129"/>
  <c r="W91" i="129"/>
  <c r="V91" i="129"/>
  <c r="U91" i="129"/>
  <c r="M91" i="129"/>
  <c r="F91" i="129"/>
  <c r="AF90" i="129"/>
  <c r="AE90" i="129"/>
  <c r="AD90" i="129"/>
  <c r="AC90" i="129"/>
  <c r="W90" i="129"/>
  <c r="V90" i="129"/>
  <c r="U90" i="129"/>
  <c r="X90" i="129" s="1"/>
  <c r="M90" i="129"/>
  <c r="F90" i="129"/>
  <c r="N90" i="129" s="1"/>
  <c r="AF89" i="129"/>
  <c r="AE89" i="129"/>
  <c r="AD89" i="129"/>
  <c r="AC89" i="129"/>
  <c r="W89" i="129"/>
  <c r="V89" i="129"/>
  <c r="U89" i="129"/>
  <c r="M89" i="129"/>
  <c r="F89" i="129"/>
  <c r="AF88" i="129"/>
  <c r="AE88" i="129"/>
  <c r="AD88" i="129"/>
  <c r="AC88" i="129"/>
  <c r="W88" i="129"/>
  <c r="V88" i="129"/>
  <c r="U88" i="129"/>
  <c r="X88" i="129" s="1"/>
  <c r="M88" i="129"/>
  <c r="F88" i="129"/>
  <c r="N88" i="129" s="1"/>
  <c r="AF87" i="129"/>
  <c r="AE87" i="129"/>
  <c r="AD87" i="129"/>
  <c r="AC87" i="129"/>
  <c r="W87" i="129"/>
  <c r="V87" i="129"/>
  <c r="U87" i="129"/>
  <c r="M87" i="129"/>
  <c r="F87" i="129"/>
  <c r="AF86" i="129"/>
  <c r="AE86" i="129"/>
  <c r="AD86" i="129"/>
  <c r="AC86" i="129"/>
  <c r="W86" i="129"/>
  <c r="V86" i="129"/>
  <c r="U86" i="129"/>
  <c r="X86" i="129" s="1"/>
  <c r="M86" i="129"/>
  <c r="F86" i="129"/>
  <c r="N86" i="129" s="1"/>
  <c r="AF85" i="129"/>
  <c r="AE85" i="129"/>
  <c r="AD85" i="129"/>
  <c r="AC85" i="129"/>
  <c r="W85" i="129"/>
  <c r="V85" i="129"/>
  <c r="U85" i="129"/>
  <c r="M85" i="129"/>
  <c r="F85" i="129"/>
  <c r="AF84" i="129"/>
  <c r="AE84" i="129"/>
  <c r="AD84" i="129"/>
  <c r="AC84" i="129"/>
  <c r="W84" i="129"/>
  <c r="V84" i="129"/>
  <c r="U84" i="129"/>
  <c r="M84" i="129"/>
  <c r="F84" i="129"/>
  <c r="AF83" i="129"/>
  <c r="AE83" i="129"/>
  <c r="AD83" i="129"/>
  <c r="AC83" i="129"/>
  <c r="W83" i="129"/>
  <c r="V83" i="129"/>
  <c r="U83" i="129"/>
  <c r="M83" i="129"/>
  <c r="F83" i="129"/>
  <c r="AF82" i="129"/>
  <c r="AE82" i="129"/>
  <c r="AD82" i="129"/>
  <c r="AC82" i="129"/>
  <c r="W82" i="129"/>
  <c r="V82" i="129"/>
  <c r="U82" i="129"/>
  <c r="X82" i="129" s="1"/>
  <c r="M82" i="129"/>
  <c r="F82" i="129"/>
  <c r="N82" i="129" s="1"/>
  <c r="AF81" i="129"/>
  <c r="AE81" i="129"/>
  <c r="AD81" i="129"/>
  <c r="AC81" i="129"/>
  <c r="W81" i="129"/>
  <c r="V81" i="129"/>
  <c r="U81" i="129"/>
  <c r="X81" i="129" s="1"/>
  <c r="M81" i="129"/>
  <c r="F81" i="129"/>
  <c r="AF80" i="129"/>
  <c r="AE80" i="129"/>
  <c r="AD80" i="129"/>
  <c r="AC80" i="129"/>
  <c r="W80" i="129"/>
  <c r="V80" i="129"/>
  <c r="U80" i="129"/>
  <c r="X80" i="129" s="1"/>
  <c r="M80" i="129"/>
  <c r="F80" i="129"/>
  <c r="N80" i="129" s="1"/>
  <c r="AF79" i="129"/>
  <c r="AE79" i="129"/>
  <c r="AD79" i="129"/>
  <c r="AC79" i="129"/>
  <c r="W79" i="129"/>
  <c r="V79" i="129"/>
  <c r="U79" i="129"/>
  <c r="X79" i="129" s="1"/>
  <c r="M79" i="129"/>
  <c r="F79" i="129"/>
  <c r="N79" i="129" s="1"/>
  <c r="AF78" i="129"/>
  <c r="AE78" i="129"/>
  <c r="AD78" i="129"/>
  <c r="AC78" i="129"/>
  <c r="W78" i="129"/>
  <c r="V78" i="129"/>
  <c r="U78" i="129"/>
  <c r="X78" i="129" s="1"/>
  <c r="M78" i="129"/>
  <c r="F78" i="129"/>
  <c r="N78" i="129" s="1"/>
  <c r="AF77" i="129"/>
  <c r="AE77" i="129"/>
  <c r="AD77" i="129"/>
  <c r="AC77" i="129"/>
  <c r="W77" i="129"/>
  <c r="V77" i="129"/>
  <c r="U77" i="129"/>
  <c r="M77" i="129"/>
  <c r="F77" i="129"/>
  <c r="AF76" i="129"/>
  <c r="AE76" i="129"/>
  <c r="AD76" i="129"/>
  <c r="AC76" i="129"/>
  <c r="W76" i="129"/>
  <c r="V76" i="129"/>
  <c r="U76" i="129"/>
  <c r="M76" i="129"/>
  <c r="F76" i="129"/>
  <c r="AF75" i="129"/>
  <c r="AE75" i="129"/>
  <c r="AD75" i="129"/>
  <c r="AC75" i="129"/>
  <c r="W75" i="129"/>
  <c r="V75" i="129"/>
  <c r="U75" i="129"/>
  <c r="M75" i="129"/>
  <c r="F75" i="129"/>
  <c r="N75" i="129" s="1"/>
  <c r="AF74" i="129"/>
  <c r="AE74" i="129"/>
  <c r="AD74" i="129"/>
  <c r="AC74" i="129"/>
  <c r="W74" i="129"/>
  <c r="V74" i="129"/>
  <c r="U74" i="129"/>
  <c r="M74" i="129"/>
  <c r="F74" i="129"/>
  <c r="AF73" i="129"/>
  <c r="AE73" i="129"/>
  <c r="AD73" i="129"/>
  <c r="AC73" i="129"/>
  <c r="W73" i="129"/>
  <c r="V73" i="129"/>
  <c r="U73" i="129"/>
  <c r="M73" i="129"/>
  <c r="F73" i="129"/>
  <c r="AF72" i="129"/>
  <c r="AE72" i="129"/>
  <c r="AD72" i="129"/>
  <c r="AC72" i="129"/>
  <c r="W72" i="129"/>
  <c r="V72" i="129"/>
  <c r="U72" i="129"/>
  <c r="M72" i="129"/>
  <c r="F72" i="129"/>
  <c r="N72" i="129" s="1"/>
  <c r="AF71" i="129"/>
  <c r="AE71" i="129"/>
  <c r="AD71" i="129"/>
  <c r="AC71" i="129"/>
  <c r="W71" i="129"/>
  <c r="V71" i="129"/>
  <c r="U71" i="129"/>
  <c r="X71" i="129" s="1"/>
  <c r="M71" i="129"/>
  <c r="F71" i="129"/>
  <c r="AF70" i="129"/>
  <c r="AE70" i="129"/>
  <c r="AD70" i="129"/>
  <c r="AC70" i="129"/>
  <c r="W70" i="129"/>
  <c r="V70" i="129"/>
  <c r="U70" i="129"/>
  <c r="X70" i="129" s="1"/>
  <c r="M70" i="129"/>
  <c r="F70" i="129"/>
  <c r="N70" i="129" s="1"/>
  <c r="AF69" i="129"/>
  <c r="AE69" i="129"/>
  <c r="AD69" i="129"/>
  <c r="AC69" i="129"/>
  <c r="W69" i="129"/>
  <c r="V69" i="129"/>
  <c r="U69" i="129"/>
  <c r="X69" i="129" s="1"/>
  <c r="M69" i="129"/>
  <c r="F69" i="129"/>
  <c r="N69" i="129" s="1"/>
  <c r="AF68" i="129"/>
  <c r="AE68" i="129"/>
  <c r="AD68" i="129"/>
  <c r="AC68" i="129"/>
  <c r="W68" i="129"/>
  <c r="V68" i="129"/>
  <c r="U68" i="129"/>
  <c r="M68" i="129"/>
  <c r="F68" i="129"/>
  <c r="AF67" i="129"/>
  <c r="AE67" i="129"/>
  <c r="AD67" i="129"/>
  <c r="AC67" i="129"/>
  <c r="W67" i="129"/>
  <c r="V67" i="129"/>
  <c r="U67" i="129"/>
  <c r="M67" i="129"/>
  <c r="F67" i="129"/>
  <c r="AF66" i="129"/>
  <c r="AE66" i="129"/>
  <c r="AD66" i="129"/>
  <c r="AC66" i="129"/>
  <c r="W66" i="129"/>
  <c r="V66" i="129"/>
  <c r="U66" i="129"/>
  <c r="M66" i="129"/>
  <c r="F66" i="129"/>
  <c r="E49" i="129"/>
  <c r="D49" i="129"/>
  <c r="T48" i="129"/>
  <c r="S48" i="129"/>
  <c r="R48" i="129"/>
  <c r="Q48" i="129"/>
  <c r="P48" i="129"/>
  <c r="O48" i="129"/>
  <c r="E48" i="129"/>
  <c r="D48" i="129"/>
  <c r="AF46" i="129"/>
  <c r="AE46" i="129"/>
  <c r="AD46" i="129"/>
  <c r="AC46" i="129"/>
  <c r="W46" i="129"/>
  <c r="V46" i="129"/>
  <c r="U46" i="129"/>
  <c r="M46" i="129"/>
  <c r="F46" i="129"/>
  <c r="AF45" i="129"/>
  <c r="AE45" i="129"/>
  <c r="AD45" i="129"/>
  <c r="AC45" i="129"/>
  <c r="W45" i="129"/>
  <c r="V45" i="129"/>
  <c r="U45" i="129"/>
  <c r="M45" i="129"/>
  <c r="F45" i="129"/>
  <c r="AF44" i="129"/>
  <c r="AE44" i="129"/>
  <c r="AD44" i="129"/>
  <c r="AC44" i="129"/>
  <c r="W44" i="129"/>
  <c r="V44" i="129"/>
  <c r="U44" i="129"/>
  <c r="X44" i="129" s="1"/>
  <c r="M44" i="129"/>
  <c r="F44" i="129"/>
  <c r="N44" i="129" s="1"/>
  <c r="AF43" i="129"/>
  <c r="AE43" i="129"/>
  <c r="AD43" i="129"/>
  <c r="AC43" i="129"/>
  <c r="W43" i="129"/>
  <c r="V43" i="129"/>
  <c r="U43" i="129"/>
  <c r="X43" i="129" s="1"/>
  <c r="M43" i="129"/>
  <c r="F43" i="129"/>
  <c r="AF42" i="129"/>
  <c r="AE42" i="129"/>
  <c r="AD42" i="129"/>
  <c r="AC42" i="129"/>
  <c r="W42" i="129"/>
  <c r="V42" i="129"/>
  <c r="U42" i="129"/>
  <c r="X42" i="129" s="1"/>
  <c r="M42" i="129"/>
  <c r="F42" i="129"/>
  <c r="AF41" i="129"/>
  <c r="AE41" i="129"/>
  <c r="AD41" i="129"/>
  <c r="AC41" i="129"/>
  <c r="W41" i="129"/>
  <c r="V41" i="129"/>
  <c r="U41" i="129"/>
  <c r="X41" i="129" s="1"/>
  <c r="M41" i="129"/>
  <c r="F41" i="129"/>
  <c r="AF40" i="129"/>
  <c r="AE40" i="129"/>
  <c r="AD40" i="129"/>
  <c r="AC40" i="129"/>
  <c r="W40" i="129"/>
  <c r="V40" i="129"/>
  <c r="U40" i="129"/>
  <c r="X40" i="129" s="1"/>
  <c r="M40" i="129"/>
  <c r="F40" i="129"/>
  <c r="N40" i="129" s="1"/>
  <c r="AF39" i="129"/>
  <c r="AE39" i="129"/>
  <c r="AD39" i="129"/>
  <c r="AC39" i="129"/>
  <c r="W39" i="129"/>
  <c r="V39" i="129"/>
  <c r="U39" i="129"/>
  <c r="M39" i="129"/>
  <c r="F39" i="129"/>
  <c r="N39" i="129" s="1"/>
  <c r="AF38" i="129"/>
  <c r="AE38" i="129"/>
  <c r="AD38" i="129"/>
  <c r="AC38" i="129"/>
  <c r="W38" i="129"/>
  <c r="V38" i="129"/>
  <c r="U38" i="129"/>
  <c r="M38" i="129"/>
  <c r="F38" i="129"/>
  <c r="AF37" i="129"/>
  <c r="AE37" i="129"/>
  <c r="AD37" i="129"/>
  <c r="AC37" i="129"/>
  <c r="W37" i="129"/>
  <c r="V37" i="129"/>
  <c r="U37" i="129"/>
  <c r="M37" i="129"/>
  <c r="F37" i="129"/>
  <c r="AF36" i="129"/>
  <c r="AE36" i="129"/>
  <c r="AD36" i="129"/>
  <c r="AC36" i="129"/>
  <c r="W36" i="129"/>
  <c r="V36" i="129"/>
  <c r="U36" i="129"/>
  <c r="X36" i="129" s="1"/>
  <c r="M36" i="129"/>
  <c r="F36" i="129"/>
  <c r="N36" i="129" s="1"/>
  <c r="AF35" i="129"/>
  <c r="AE35" i="129"/>
  <c r="AD35" i="129"/>
  <c r="AC35" i="129"/>
  <c r="W35" i="129"/>
  <c r="V35" i="129"/>
  <c r="U35" i="129"/>
  <c r="X35" i="129" s="1"/>
  <c r="M35" i="129"/>
  <c r="F35" i="129"/>
  <c r="AF34" i="129"/>
  <c r="AE34" i="129"/>
  <c r="AD34" i="129"/>
  <c r="AC34" i="129"/>
  <c r="W34" i="129"/>
  <c r="V34" i="129"/>
  <c r="U34" i="129"/>
  <c r="X34" i="129" s="1"/>
  <c r="M34" i="129"/>
  <c r="F34" i="129"/>
  <c r="N34" i="129" s="1"/>
  <c r="AF33" i="129"/>
  <c r="AE33" i="129"/>
  <c r="AD33" i="129"/>
  <c r="AC33" i="129"/>
  <c r="W33" i="129"/>
  <c r="V33" i="129"/>
  <c r="U33" i="129"/>
  <c r="M33" i="129"/>
  <c r="F33" i="129"/>
  <c r="AF32" i="129"/>
  <c r="AE32" i="129"/>
  <c r="AD32" i="129"/>
  <c r="AC32" i="129"/>
  <c r="W32" i="129"/>
  <c r="V32" i="129"/>
  <c r="U32" i="129"/>
  <c r="M32" i="129"/>
  <c r="F32" i="129"/>
  <c r="AF31" i="129"/>
  <c r="AE31" i="129"/>
  <c r="AD31" i="129"/>
  <c r="AC31" i="129"/>
  <c r="W31" i="129"/>
  <c r="V31" i="129"/>
  <c r="U31" i="129"/>
  <c r="X31" i="129" s="1"/>
  <c r="M31" i="129"/>
  <c r="F31" i="129"/>
  <c r="AF30" i="129"/>
  <c r="AE30" i="129"/>
  <c r="AD30" i="129"/>
  <c r="AC30" i="129"/>
  <c r="W30" i="129"/>
  <c r="V30" i="129"/>
  <c r="U30" i="129"/>
  <c r="X30" i="129" s="1"/>
  <c r="M30" i="129"/>
  <c r="F30" i="129"/>
  <c r="N30" i="129" s="1"/>
  <c r="AF29" i="129"/>
  <c r="AE29" i="129"/>
  <c r="AD29" i="129"/>
  <c r="AC29" i="129"/>
  <c r="W29" i="129"/>
  <c r="V29" i="129"/>
  <c r="U29" i="129"/>
  <c r="M29" i="129"/>
  <c r="F29" i="129"/>
  <c r="AF28" i="129"/>
  <c r="AE28" i="129"/>
  <c r="AD28" i="129"/>
  <c r="AC28" i="129"/>
  <c r="W28" i="129"/>
  <c r="V28" i="129"/>
  <c r="U28" i="129"/>
  <c r="X28" i="129" s="1"/>
  <c r="M28" i="129"/>
  <c r="F28" i="129"/>
  <c r="AF27" i="129"/>
  <c r="AE27" i="129"/>
  <c r="AD27" i="129"/>
  <c r="AC27" i="129"/>
  <c r="W27" i="129"/>
  <c r="V27" i="129"/>
  <c r="U27" i="129"/>
  <c r="M27" i="129"/>
  <c r="F27" i="129"/>
  <c r="AF26" i="129"/>
  <c r="AE26" i="129"/>
  <c r="AD26" i="129"/>
  <c r="AC26" i="129"/>
  <c r="W26" i="129"/>
  <c r="V26" i="129"/>
  <c r="U26" i="129"/>
  <c r="X26" i="129" s="1"/>
  <c r="M26" i="129"/>
  <c r="F26" i="129"/>
  <c r="N26" i="129" s="1"/>
  <c r="AF25" i="129"/>
  <c r="AE25" i="129"/>
  <c r="AD25" i="129"/>
  <c r="AC25" i="129"/>
  <c r="W25" i="129"/>
  <c r="V25" i="129"/>
  <c r="U25" i="129"/>
  <c r="X25" i="129" s="1"/>
  <c r="M25" i="129"/>
  <c r="F25" i="129"/>
  <c r="AF24" i="129"/>
  <c r="AE24" i="129"/>
  <c r="AD24" i="129"/>
  <c r="AC24" i="129"/>
  <c r="W24" i="129"/>
  <c r="V24" i="129"/>
  <c r="U24" i="129"/>
  <c r="X24" i="129" s="1"/>
  <c r="M24" i="129"/>
  <c r="F24" i="129"/>
  <c r="AF23" i="129"/>
  <c r="AE23" i="129"/>
  <c r="AD23" i="129"/>
  <c r="AC23" i="129"/>
  <c r="W23" i="129"/>
  <c r="V23" i="129"/>
  <c r="U23" i="129"/>
  <c r="M23" i="129"/>
  <c r="F23" i="129"/>
  <c r="AF22" i="129"/>
  <c r="AE22" i="129"/>
  <c r="AD22" i="129"/>
  <c r="AC22" i="129"/>
  <c r="W22" i="129"/>
  <c r="V22" i="129"/>
  <c r="U22" i="129"/>
  <c r="X22" i="129" s="1"/>
  <c r="M22" i="129"/>
  <c r="F22" i="129"/>
  <c r="N22" i="129" s="1"/>
  <c r="AF21" i="129"/>
  <c r="AE21" i="129"/>
  <c r="AD21" i="129"/>
  <c r="AC21" i="129"/>
  <c r="W21" i="129"/>
  <c r="V21" i="129"/>
  <c r="U21" i="129"/>
  <c r="X21" i="129" s="1"/>
  <c r="M21" i="129"/>
  <c r="F21" i="129"/>
  <c r="AF20" i="129"/>
  <c r="AE20" i="129"/>
  <c r="AD20" i="129"/>
  <c r="AC20" i="129"/>
  <c r="W20" i="129"/>
  <c r="V20" i="129"/>
  <c r="U20" i="129"/>
  <c r="X20" i="129" s="1"/>
  <c r="M20" i="129"/>
  <c r="F20" i="129"/>
  <c r="N20" i="129" s="1"/>
  <c r="AF19" i="129"/>
  <c r="AE19" i="129"/>
  <c r="AD19" i="129"/>
  <c r="AC19" i="129"/>
  <c r="W19" i="129"/>
  <c r="V19" i="129"/>
  <c r="U19" i="129"/>
  <c r="X19" i="129" s="1"/>
  <c r="M19" i="129"/>
  <c r="F19" i="129"/>
  <c r="N19" i="129" s="1"/>
  <c r="AF18" i="129"/>
  <c r="AE18" i="129"/>
  <c r="AD18" i="129"/>
  <c r="AC18" i="129"/>
  <c r="W18" i="129"/>
  <c r="V18" i="129"/>
  <c r="U18" i="129"/>
  <c r="X18" i="129" s="1"/>
  <c r="M18" i="129"/>
  <c r="F18" i="129"/>
  <c r="AF17" i="129"/>
  <c r="AE17" i="129"/>
  <c r="AD17" i="129"/>
  <c r="AC17" i="129"/>
  <c r="W17" i="129"/>
  <c r="V17" i="129"/>
  <c r="U17" i="129"/>
  <c r="M17" i="129"/>
  <c r="F17" i="129"/>
  <c r="AF16" i="129"/>
  <c r="AE16" i="129"/>
  <c r="AD16" i="129"/>
  <c r="AC16" i="129"/>
  <c r="W16" i="129"/>
  <c r="V16" i="129"/>
  <c r="U16" i="129"/>
  <c r="M16" i="129"/>
  <c r="F16" i="129"/>
  <c r="N16" i="129" s="1"/>
  <c r="AF15" i="129"/>
  <c r="AE15" i="129"/>
  <c r="AD15" i="129"/>
  <c r="AC15" i="129"/>
  <c r="W15" i="129"/>
  <c r="V15" i="129"/>
  <c r="U15" i="129"/>
  <c r="X15" i="129" s="1"/>
  <c r="M15" i="129"/>
  <c r="F15" i="129"/>
  <c r="N15" i="129" s="1"/>
  <c r="AF14" i="129"/>
  <c r="AE14" i="129"/>
  <c r="AD14" i="129"/>
  <c r="AC14" i="129"/>
  <c r="W14" i="129"/>
  <c r="V14" i="129"/>
  <c r="U14" i="129"/>
  <c r="M14" i="129"/>
  <c r="F14" i="129"/>
  <c r="AF13" i="129"/>
  <c r="AE13" i="129"/>
  <c r="AD13" i="129"/>
  <c r="AC13" i="129"/>
  <c r="W13" i="129"/>
  <c r="V13" i="129"/>
  <c r="U13" i="129"/>
  <c r="X13" i="129" s="1"/>
  <c r="M13" i="129"/>
  <c r="F13" i="129"/>
  <c r="N13" i="129" s="1"/>
  <c r="E5" i="129"/>
  <c r="E58" i="129" s="1"/>
  <c r="A2" i="129"/>
  <c r="A55" i="129" s="1"/>
  <c r="D103" i="128"/>
  <c r="T102" i="128"/>
  <c r="S102" i="128"/>
  <c r="R102" i="128"/>
  <c r="Q102" i="128"/>
  <c r="P102" i="128"/>
  <c r="O102" i="128"/>
  <c r="E102" i="128"/>
  <c r="D102" i="128"/>
  <c r="AF100" i="128"/>
  <c r="AE100" i="128"/>
  <c r="AD100" i="128"/>
  <c r="AC100" i="128"/>
  <c r="W100" i="128"/>
  <c r="V100" i="128"/>
  <c r="U100" i="128"/>
  <c r="M100" i="128"/>
  <c r="F100" i="128"/>
  <c r="AF99" i="128"/>
  <c r="AE99" i="128"/>
  <c r="AD99" i="128"/>
  <c r="AC99" i="128"/>
  <c r="W99" i="128"/>
  <c r="V99" i="128"/>
  <c r="U99" i="128"/>
  <c r="X99" i="128" s="1"/>
  <c r="M99" i="128"/>
  <c r="F99" i="128"/>
  <c r="N99" i="128" s="1"/>
  <c r="AF98" i="128"/>
  <c r="AE98" i="128"/>
  <c r="AD98" i="128"/>
  <c r="AC98" i="128"/>
  <c r="W98" i="128"/>
  <c r="V98" i="128"/>
  <c r="U98" i="128"/>
  <c r="M98" i="128"/>
  <c r="F98" i="128"/>
  <c r="N98" i="128" s="1"/>
  <c r="AF97" i="128"/>
  <c r="AE97" i="128"/>
  <c r="AD97" i="128"/>
  <c r="AC97" i="128"/>
  <c r="W97" i="128"/>
  <c r="V97" i="128"/>
  <c r="U97" i="128"/>
  <c r="X97" i="128" s="1"/>
  <c r="M97" i="128"/>
  <c r="F97" i="128"/>
  <c r="N97" i="128" s="1"/>
  <c r="AF96" i="128"/>
  <c r="AE96" i="128"/>
  <c r="AD96" i="128"/>
  <c r="AC96" i="128"/>
  <c r="W96" i="128"/>
  <c r="V96" i="128"/>
  <c r="U96" i="128"/>
  <c r="M96" i="128"/>
  <c r="F96" i="128"/>
  <c r="AF95" i="128"/>
  <c r="AE95" i="128"/>
  <c r="AD95" i="128"/>
  <c r="AC95" i="128"/>
  <c r="W95" i="128"/>
  <c r="V95" i="128"/>
  <c r="U95" i="128"/>
  <c r="M95" i="128"/>
  <c r="F95" i="128"/>
  <c r="AF94" i="128"/>
  <c r="AE94" i="128"/>
  <c r="AD94" i="128"/>
  <c r="AC94" i="128"/>
  <c r="W94" i="128"/>
  <c r="V94" i="128"/>
  <c r="U94" i="128"/>
  <c r="M94" i="128"/>
  <c r="F94" i="128"/>
  <c r="AF93" i="128"/>
  <c r="AE93" i="128"/>
  <c r="AD93" i="128"/>
  <c r="AC93" i="128"/>
  <c r="W93" i="128"/>
  <c r="V93" i="128"/>
  <c r="U93" i="128"/>
  <c r="X93" i="128" s="1"/>
  <c r="M93" i="128"/>
  <c r="F93" i="128"/>
  <c r="N93" i="128" s="1"/>
  <c r="AF92" i="128"/>
  <c r="AE92" i="128"/>
  <c r="AD92" i="128"/>
  <c r="AC92" i="128"/>
  <c r="W92" i="128"/>
  <c r="V92" i="128"/>
  <c r="U92" i="128"/>
  <c r="M92" i="128"/>
  <c r="F92" i="128"/>
  <c r="AF91" i="128"/>
  <c r="AE91" i="128"/>
  <c r="AD91" i="128"/>
  <c r="AC91" i="128"/>
  <c r="W91" i="128"/>
  <c r="V91" i="128"/>
  <c r="U91" i="128"/>
  <c r="M91" i="128"/>
  <c r="F91" i="128"/>
  <c r="N91" i="128" s="1"/>
  <c r="AF90" i="128"/>
  <c r="AE90" i="128"/>
  <c r="AD90" i="128"/>
  <c r="AC90" i="128"/>
  <c r="W90" i="128"/>
  <c r="V90" i="128"/>
  <c r="U90" i="128"/>
  <c r="X90" i="128" s="1"/>
  <c r="M90" i="128"/>
  <c r="F90" i="128"/>
  <c r="N90" i="128" s="1"/>
  <c r="AF89" i="128"/>
  <c r="AE89" i="128"/>
  <c r="AD89" i="128"/>
  <c r="AC89" i="128"/>
  <c r="W89" i="128"/>
  <c r="V89" i="128"/>
  <c r="U89" i="128"/>
  <c r="M89" i="128"/>
  <c r="F89" i="128"/>
  <c r="N89" i="128" s="1"/>
  <c r="AF88" i="128"/>
  <c r="AE88" i="128"/>
  <c r="AD88" i="128"/>
  <c r="AC88" i="128"/>
  <c r="W88" i="128"/>
  <c r="V88" i="128"/>
  <c r="U88" i="128"/>
  <c r="M88" i="128"/>
  <c r="F88" i="128"/>
  <c r="AF87" i="128"/>
  <c r="AE87" i="128"/>
  <c r="AD87" i="128"/>
  <c r="AC87" i="128"/>
  <c r="W87" i="128"/>
  <c r="V87" i="128"/>
  <c r="U87" i="128"/>
  <c r="X87" i="128" s="1"/>
  <c r="M87" i="128"/>
  <c r="F87" i="128"/>
  <c r="AF86" i="128"/>
  <c r="AE86" i="128"/>
  <c r="AD86" i="128"/>
  <c r="AC86" i="128"/>
  <c r="W86" i="128"/>
  <c r="V86" i="128"/>
  <c r="U86" i="128"/>
  <c r="M86" i="128"/>
  <c r="F86" i="128"/>
  <c r="AF85" i="128"/>
  <c r="AE85" i="128"/>
  <c r="AD85" i="128"/>
  <c r="AC85" i="128"/>
  <c r="W85" i="128"/>
  <c r="V85" i="128"/>
  <c r="U85" i="128"/>
  <c r="X85" i="128" s="1"/>
  <c r="M85" i="128"/>
  <c r="F85" i="128"/>
  <c r="N85" i="128" s="1"/>
  <c r="AF84" i="128"/>
  <c r="AE84" i="128"/>
  <c r="AD84" i="128"/>
  <c r="AC84" i="128"/>
  <c r="W84" i="128"/>
  <c r="V84" i="128"/>
  <c r="U84" i="128"/>
  <c r="M84" i="128"/>
  <c r="F84" i="128"/>
  <c r="AF83" i="128"/>
  <c r="AE83" i="128"/>
  <c r="AD83" i="128"/>
  <c r="AC83" i="128"/>
  <c r="W83" i="128"/>
  <c r="V83" i="128"/>
  <c r="U83" i="128"/>
  <c r="M83" i="128"/>
  <c r="F83" i="128"/>
  <c r="N83" i="128" s="1"/>
  <c r="AF82" i="128"/>
  <c r="AE82" i="128"/>
  <c r="AD82" i="128"/>
  <c r="AC82" i="128"/>
  <c r="W82" i="128"/>
  <c r="V82" i="128"/>
  <c r="U82" i="128"/>
  <c r="X82" i="128" s="1"/>
  <c r="M82" i="128"/>
  <c r="F82" i="128"/>
  <c r="N82" i="128" s="1"/>
  <c r="AF81" i="128"/>
  <c r="AE81" i="128"/>
  <c r="AD81" i="128"/>
  <c r="AC81" i="128"/>
  <c r="W81" i="128"/>
  <c r="V81" i="128"/>
  <c r="U81" i="128"/>
  <c r="X81" i="128" s="1"/>
  <c r="M81" i="128"/>
  <c r="F81" i="128"/>
  <c r="N81" i="128" s="1"/>
  <c r="AF80" i="128"/>
  <c r="AE80" i="128"/>
  <c r="AD80" i="128"/>
  <c r="AC80" i="128"/>
  <c r="W80" i="128"/>
  <c r="V80" i="128"/>
  <c r="U80" i="128"/>
  <c r="X80" i="128" s="1"/>
  <c r="M80" i="128"/>
  <c r="F80" i="128"/>
  <c r="AF79" i="128"/>
  <c r="AE79" i="128"/>
  <c r="AD79" i="128"/>
  <c r="AC79" i="128"/>
  <c r="W79" i="128"/>
  <c r="V79" i="128"/>
  <c r="U79" i="128"/>
  <c r="M79" i="128"/>
  <c r="F79" i="128"/>
  <c r="AF78" i="128"/>
  <c r="AE78" i="128"/>
  <c r="AD78" i="128"/>
  <c r="AC78" i="128"/>
  <c r="W78" i="128"/>
  <c r="V78" i="128"/>
  <c r="U78" i="128"/>
  <c r="M78" i="128"/>
  <c r="F78" i="128"/>
  <c r="AF77" i="128"/>
  <c r="AE77" i="128"/>
  <c r="AD77" i="128"/>
  <c r="AC77" i="128"/>
  <c r="W77" i="128"/>
  <c r="V77" i="128"/>
  <c r="U77" i="128"/>
  <c r="X77" i="128" s="1"/>
  <c r="M77" i="128"/>
  <c r="F77" i="128"/>
  <c r="AF76" i="128"/>
  <c r="AE76" i="128"/>
  <c r="AD76" i="128"/>
  <c r="AC76" i="128"/>
  <c r="W76" i="128"/>
  <c r="V76" i="128"/>
  <c r="U76" i="128"/>
  <c r="X76" i="128" s="1"/>
  <c r="M76" i="128"/>
  <c r="F76" i="128"/>
  <c r="AF75" i="128"/>
  <c r="AE75" i="128"/>
  <c r="AD75" i="128"/>
  <c r="AC75" i="128"/>
  <c r="W75" i="128"/>
  <c r="V75" i="128"/>
  <c r="U75" i="128"/>
  <c r="M75" i="128"/>
  <c r="F75" i="128"/>
  <c r="N75" i="128" s="1"/>
  <c r="AF74" i="128"/>
  <c r="AE74" i="128"/>
  <c r="AD74" i="128"/>
  <c r="AC74" i="128"/>
  <c r="W74" i="128"/>
  <c r="V74" i="128"/>
  <c r="U74" i="128"/>
  <c r="X74" i="128" s="1"/>
  <c r="M74" i="128"/>
  <c r="F74" i="128"/>
  <c r="N74" i="128" s="1"/>
  <c r="AF73" i="128"/>
  <c r="AE73" i="128"/>
  <c r="AD73" i="128"/>
  <c r="AC73" i="128"/>
  <c r="W73" i="128"/>
  <c r="V73" i="128"/>
  <c r="U73" i="128"/>
  <c r="M73" i="128"/>
  <c r="F73" i="128"/>
  <c r="N73" i="128" s="1"/>
  <c r="AF72" i="128"/>
  <c r="AE72" i="128"/>
  <c r="AD72" i="128"/>
  <c r="AC72" i="128"/>
  <c r="W72" i="128"/>
  <c r="V72" i="128"/>
  <c r="U72" i="128"/>
  <c r="X72" i="128" s="1"/>
  <c r="M72" i="128"/>
  <c r="F72" i="128"/>
  <c r="N72" i="128" s="1"/>
  <c r="AF71" i="128"/>
  <c r="AE71" i="128"/>
  <c r="AD71" i="128"/>
  <c r="AC71" i="128"/>
  <c r="W71" i="128"/>
  <c r="V71" i="128"/>
  <c r="U71" i="128"/>
  <c r="X71" i="128" s="1"/>
  <c r="M71" i="128"/>
  <c r="F71" i="128"/>
  <c r="AF70" i="128"/>
  <c r="AE70" i="128"/>
  <c r="AD70" i="128"/>
  <c r="AC70" i="128"/>
  <c r="W70" i="128"/>
  <c r="V70" i="128"/>
  <c r="U70" i="128"/>
  <c r="M70" i="128"/>
  <c r="F70" i="128"/>
  <c r="AF69" i="128"/>
  <c r="AE69" i="128"/>
  <c r="AD69" i="128"/>
  <c r="AC69" i="128"/>
  <c r="W69" i="128"/>
  <c r="V69" i="128"/>
  <c r="U69" i="128"/>
  <c r="M69" i="128"/>
  <c r="F69" i="128"/>
  <c r="N69" i="128" s="1"/>
  <c r="AF68" i="128"/>
  <c r="AE68" i="128"/>
  <c r="AD68" i="128"/>
  <c r="AC68" i="128"/>
  <c r="W68" i="128"/>
  <c r="V68" i="128"/>
  <c r="U68" i="128"/>
  <c r="M68" i="128"/>
  <c r="F68" i="128"/>
  <c r="AF67" i="128"/>
  <c r="AE67" i="128"/>
  <c r="AD67" i="128"/>
  <c r="AC67" i="128"/>
  <c r="W67" i="128"/>
  <c r="V67" i="128"/>
  <c r="U67" i="128"/>
  <c r="X67" i="128" s="1"/>
  <c r="M67" i="128"/>
  <c r="F67" i="128"/>
  <c r="N67" i="128" s="1"/>
  <c r="AF66" i="128"/>
  <c r="AE66" i="128"/>
  <c r="AD66" i="128"/>
  <c r="AC66" i="128"/>
  <c r="W66" i="128"/>
  <c r="V66" i="128"/>
  <c r="U66" i="128"/>
  <c r="X66" i="128" s="1"/>
  <c r="M66" i="128"/>
  <c r="F66" i="128"/>
  <c r="E49" i="128"/>
  <c r="D49" i="128"/>
  <c r="T48" i="128"/>
  <c r="S48" i="128"/>
  <c r="R48" i="128"/>
  <c r="Q48" i="128"/>
  <c r="P48" i="128"/>
  <c r="O48" i="128"/>
  <c r="E48" i="128"/>
  <c r="D48" i="128"/>
  <c r="AF46" i="128"/>
  <c r="AE46" i="128"/>
  <c r="AD46" i="128"/>
  <c r="AC46" i="128"/>
  <c r="W46" i="128"/>
  <c r="V46" i="128"/>
  <c r="U46" i="128"/>
  <c r="X46" i="128" s="1"/>
  <c r="M46" i="128"/>
  <c r="F46" i="128"/>
  <c r="N46" i="128" s="1"/>
  <c r="AF45" i="128"/>
  <c r="AE45" i="128"/>
  <c r="AD45" i="128"/>
  <c r="AC45" i="128"/>
  <c r="W45" i="128"/>
  <c r="V45" i="128"/>
  <c r="U45" i="128"/>
  <c r="M45" i="128"/>
  <c r="F45" i="128"/>
  <c r="AF44" i="128"/>
  <c r="AE44" i="128"/>
  <c r="AD44" i="128"/>
  <c r="AC44" i="128"/>
  <c r="W44" i="128"/>
  <c r="V44" i="128"/>
  <c r="U44" i="128"/>
  <c r="M44" i="128"/>
  <c r="F44" i="128"/>
  <c r="AF43" i="128"/>
  <c r="AE43" i="128"/>
  <c r="AD43" i="128"/>
  <c r="AC43" i="128"/>
  <c r="W43" i="128"/>
  <c r="V43" i="128"/>
  <c r="U43" i="128"/>
  <c r="X43" i="128" s="1"/>
  <c r="M43" i="128"/>
  <c r="F43" i="128"/>
  <c r="N43" i="128" s="1"/>
  <c r="AF42" i="128"/>
  <c r="AE42" i="128"/>
  <c r="AD42" i="128"/>
  <c r="AC42" i="128"/>
  <c r="W42" i="128"/>
  <c r="V42" i="128"/>
  <c r="U42" i="128"/>
  <c r="M42" i="128"/>
  <c r="F42" i="128"/>
  <c r="N42" i="128" s="1"/>
  <c r="AF41" i="128"/>
  <c r="AE41" i="128"/>
  <c r="AD41" i="128"/>
  <c r="AC41" i="128"/>
  <c r="W41" i="128"/>
  <c r="V41" i="128"/>
  <c r="U41" i="128"/>
  <c r="X41" i="128" s="1"/>
  <c r="M41" i="128"/>
  <c r="F41" i="128"/>
  <c r="AF40" i="128"/>
  <c r="AE40" i="128"/>
  <c r="AD40" i="128"/>
  <c r="AC40" i="128"/>
  <c r="W40" i="128"/>
  <c r="V40" i="128"/>
  <c r="U40" i="128"/>
  <c r="M40" i="128"/>
  <c r="F40" i="128"/>
  <c r="AF39" i="128"/>
  <c r="AE39" i="128"/>
  <c r="AD39" i="128"/>
  <c r="AC39" i="128"/>
  <c r="W39" i="128"/>
  <c r="V39" i="128"/>
  <c r="U39" i="128"/>
  <c r="X39" i="128" s="1"/>
  <c r="M39" i="128"/>
  <c r="F39" i="128"/>
  <c r="N39" i="128" s="1"/>
  <c r="AF38" i="128"/>
  <c r="AE38" i="128"/>
  <c r="AD38" i="128"/>
  <c r="AC38" i="128"/>
  <c r="W38" i="128"/>
  <c r="V38" i="128"/>
  <c r="U38" i="128"/>
  <c r="X38" i="128" s="1"/>
  <c r="M38" i="128"/>
  <c r="F38" i="128"/>
  <c r="N38" i="128" s="1"/>
  <c r="AF37" i="128"/>
  <c r="AE37" i="128"/>
  <c r="AD37" i="128"/>
  <c r="AC37" i="128"/>
  <c r="W37" i="128"/>
  <c r="V37" i="128"/>
  <c r="U37" i="128"/>
  <c r="X37" i="128" s="1"/>
  <c r="M37" i="128"/>
  <c r="F37" i="128"/>
  <c r="AF36" i="128"/>
  <c r="AE36" i="128"/>
  <c r="AD36" i="128"/>
  <c r="AC36" i="128"/>
  <c r="W36" i="128"/>
  <c r="V36" i="128"/>
  <c r="U36" i="128"/>
  <c r="X36" i="128" s="1"/>
  <c r="M36" i="128"/>
  <c r="F36" i="128"/>
  <c r="AF35" i="128"/>
  <c r="AE35" i="128"/>
  <c r="AD35" i="128"/>
  <c r="AC35" i="128"/>
  <c r="W35" i="128"/>
  <c r="V35" i="128"/>
  <c r="U35" i="128"/>
  <c r="X35" i="128" s="1"/>
  <c r="M35" i="128"/>
  <c r="F35" i="128"/>
  <c r="N35" i="128" s="1"/>
  <c r="AF34" i="128"/>
  <c r="AE34" i="128"/>
  <c r="AD34" i="128"/>
  <c r="AC34" i="128"/>
  <c r="W34" i="128"/>
  <c r="V34" i="128"/>
  <c r="U34" i="128"/>
  <c r="M34" i="128"/>
  <c r="F34" i="128"/>
  <c r="N34" i="128" s="1"/>
  <c r="AF33" i="128"/>
  <c r="AE33" i="128"/>
  <c r="AD33" i="128"/>
  <c r="AC33" i="128"/>
  <c r="W33" i="128"/>
  <c r="V33" i="128"/>
  <c r="U33" i="128"/>
  <c r="M33" i="128"/>
  <c r="F33" i="128"/>
  <c r="AF32" i="128"/>
  <c r="AE32" i="128"/>
  <c r="AD32" i="128"/>
  <c r="AC32" i="128"/>
  <c r="W32" i="128"/>
  <c r="V32" i="128"/>
  <c r="U32" i="128"/>
  <c r="X32" i="128" s="1"/>
  <c r="M32" i="128"/>
  <c r="F32" i="128"/>
  <c r="AF31" i="128"/>
  <c r="AE31" i="128"/>
  <c r="AD31" i="128"/>
  <c r="AC31" i="128"/>
  <c r="W31" i="128"/>
  <c r="V31" i="128"/>
  <c r="U31" i="128"/>
  <c r="X31" i="128" s="1"/>
  <c r="M31" i="128"/>
  <c r="F31" i="128"/>
  <c r="N31" i="128" s="1"/>
  <c r="AF30" i="128"/>
  <c r="AE30" i="128"/>
  <c r="AD30" i="128"/>
  <c r="AC30" i="128"/>
  <c r="W30" i="128"/>
  <c r="V30" i="128"/>
  <c r="U30" i="128"/>
  <c r="X30" i="128" s="1"/>
  <c r="M30" i="128"/>
  <c r="F30" i="128"/>
  <c r="N30" i="128" s="1"/>
  <c r="AF29" i="128"/>
  <c r="AE29" i="128"/>
  <c r="AD29" i="128"/>
  <c r="AC29" i="128"/>
  <c r="W29" i="128"/>
  <c r="V29" i="128"/>
  <c r="U29" i="128"/>
  <c r="M29" i="128"/>
  <c r="F29" i="128"/>
  <c r="AF28" i="128"/>
  <c r="AE28" i="128"/>
  <c r="AD28" i="128"/>
  <c r="AC28" i="128"/>
  <c r="W28" i="128"/>
  <c r="V28" i="128"/>
  <c r="U28" i="128"/>
  <c r="M28" i="128"/>
  <c r="F28" i="128"/>
  <c r="AF27" i="128"/>
  <c r="AE27" i="128"/>
  <c r="AD27" i="128"/>
  <c r="AC27" i="128"/>
  <c r="W27" i="128"/>
  <c r="V27" i="128"/>
  <c r="U27" i="128"/>
  <c r="X27" i="128" s="1"/>
  <c r="M27" i="128"/>
  <c r="F27" i="128"/>
  <c r="N27" i="128" s="1"/>
  <c r="AF26" i="128"/>
  <c r="AE26" i="128"/>
  <c r="AD26" i="128"/>
  <c r="AC26" i="128"/>
  <c r="W26" i="128"/>
  <c r="V26" i="128"/>
  <c r="U26" i="128"/>
  <c r="X26" i="128" s="1"/>
  <c r="M26" i="128"/>
  <c r="F26" i="128"/>
  <c r="N26" i="128" s="1"/>
  <c r="AF25" i="128"/>
  <c r="AE25" i="128"/>
  <c r="AD25" i="128"/>
  <c r="AC25" i="128"/>
  <c r="W25" i="128"/>
  <c r="V25" i="128"/>
  <c r="U25" i="128"/>
  <c r="X25" i="128" s="1"/>
  <c r="M25" i="128"/>
  <c r="F25" i="128"/>
  <c r="AF24" i="128"/>
  <c r="AE24" i="128"/>
  <c r="AD24" i="128"/>
  <c r="AC24" i="128"/>
  <c r="W24" i="128"/>
  <c r="V24" i="128"/>
  <c r="U24" i="128"/>
  <c r="X24" i="128" s="1"/>
  <c r="M24" i="128"/>
  <c r="F24" i="128"/>
  <c r="AF23" i="128"/>
  <c r="AE23" i="128"/>
  <c r="AD23" i="128"/>
  <c r="AC23" i="128"/>
  <c r="W23" i="128"/>
  <c r="V23" i="128"/>
  <c r="U23" i="128"/>
  <c r="X23" i="128" s="1"/>
  <c r="M23" i="128"/>
  <c r="F23" i="128"/>
  <c r="N23" i="128" s="1"/>
  <c r="AF22" i="128"/>
  <c r="AE22" i="128"/>
  <c r="AD22" i="128"/>
  <c r="AC22" i="128"/>
  <c r="W22" i="128"/>
  <c r="V22" i="128"/>
  <c r="U22" i="128"/>
  <c r="M22" i="128"/>
  <c r="F22" i="128"/>
  <c r="N22" i="128" s="1"/>
  <c r="AF21" i="128"/>
  <c r="AE21" i="128"/>
  <c r="AD21" i="128"/>
  <c r="AC21" i="128"/>
  <c r="W21" i="128"/>
  <c r="V21" i="128"/>
  <c r="U21" i="128"/>
  <c r="X21" i="128" s="1"/>
  <c r="M21" i="128"/>
  <c r="F21" i="128"/>
  <c r="AF20" i="128"/>
  <c r="AE20" i="128"/>
  <c r="AD20" i="128"/>
  <c r="AC20" i="128"/>
  <c r="W20" i="128"/>
  <c r="V20" i="128"/>
  <c r="U20" i="128"/>
  <c r="X20" i="128" s="1"/>
  <c r="M20" i="128"/>
  <c r="F20" i="128"/>
  <c r="AF19" i="128"/>
  <c r="AE19" i="128"/>
  <c r="AD19" i="128"/>
  <c r="AC19" i="128"/>
  <c r="W19" i="128"/>
  <c r="V19" i="128"/>
  <c r="U19" i="128"/>
  <c r="X19" i="128" s="1"/>
  <c r="M19" i="128"/>
  <c r="F19" i="128"/>
  <c r="N19" i="128" s="1"/>
  <c r="AF18" i="128"/>
  <c r="AE18" i="128"/>
  <c r="AD18" i="128"/>
  <c r="AC18" i="128"/>
  <c r="W18" i="128"/>
  <c r="V18" i="128"/>
  <c r="U18" i="128"/>
  <c r="M18" i="128"/>
  <c r="F18" i="128"/>
  <c r="N18" i="128" s="1"/>
  <c r="AF17" i="128"/>
  <c r="AE17" i="128"/>
  <c r="AD17" i="128"/>
  <c r="AC17" i="128"/>
  <c r="W17" i="128"/>
  <c r="V17" i="128"/>
  <c r="U17" i="128"/>
  <c r="M17" i="128"/>
  <c r="F17" i="128"/>
  <c r="AF16" i="128"/>
  <c r="AE16" i="128"/>
  <c r="AD16" i="128"/>
  <c r="AC16" i="128"/>
  <c r="W16" i="128"/>
  <c r="V16" i="128"/>
  <c r="U16" i="128"/>
  <c r="X16" i="128" s="1"/>
  <c r="M16" i="128"/>
  <c r="F16" i="128"/>
  <c r="AF15" i="128"/>
  <c r="AE15" i="128"/>
  <c r="AD15" i="128"/>
  <c r="AC15" i="128"/>
  <c r="W15" i="128"/>
  <c r="V15" i="128"/>
  <c r="U15" i="128"/>
  <c r="X15" i="128" s="1"/>
  <c r="M15" i="128"/>
  <c r="F15" i="128"/>
  <c r="N15" i="128" s="1"/>
  <c r="AF14" i="128"/>
  <c r="AE14" i="128"/>
  <c r="AD14" i="128"/>
  <c r="AC14" i="128"/>
  <c r="W14" i="128"/>
  <c r="V14" i="128"/>
  <c r="U14" i="128"/>
  <c r="M14" i="128"/>
  <c r="F14" i="128"/>
  <c r="N14" i="128" s="1"/>
  <c r="AF13" i="128"/>
  <c r="AE13" i="128"/>
  <c r="AD13" i="128"/>
  <c r="AC13" i="128"/>
  <c r="W13" i="128"/>
  <c r="V13" i="128"/>
  <c r="U13" i="128"/>
  <c r="X13" i="128" s="1"/>
  <c r="M13" i="128"/>
  <c r="F13" i="128"/>
  <c r="E5" i="128"/>
  <c r="E58" i="128" s="1"/>
  <c r="A2" i="128"/>
  <c r="A55" i="128" s="1"/>
  <c r="D103" i="127"/>
  <c r="T102" i="127"/>
  <c r="S102" i="127"/>
  <c r="R102" i="127"/>
  <c r="Q102" i="127"/>
  <c r="P102" i="127"/>
  <c r="O102" i="127"/>
  <c r="E102" i="127"/>
  <c r="D102" i="127"/>
  <c r="AF100" i="127"/>
  <c r="AE100" i="127"/>
  <c r="AD100" i="127"/>
  <c r="AC100" i="127"/>
  <c r="W100" i="127"/>
  <c r="V100" i="127"/>
  <c r="U100" i="127"/>
  <c r="M100" i="127"/>
  <c r="F100" i="127"/>
  <c r="N100" i="127" s="1"/>
  <c r="AF99" i="127"/>
  <c r="AE99" i="127"/>
  <c r="AD99" i="127"/>
  <c r="AC99" i="127"/>
  <c r="W99" i="127"/>
  <c r="V99" i="127"/>
  <c r="U99" i="127"/>
  <c r="M99" i="127"/>
  <c r="F99" i="127"/>
  <c r="N99" i="127" s="1"/>
  <c r="AF98" i="127"/>
  <c r="AE98" i="127"/>
  <c r="AD98" i="127"/>
  <c r="AC98" i="127"/>
  <c r="W98" i="127"/>
  <c r="V98" i="127"/>
  <c r="U98" i="127"/>
  <c r="X98" i="127" s="1"/>
  <c r="M98" i="127"/>
  <c r="F98" i="127"/>
  <c r="AF97" i="127"/>
  <c r="AE97" i="127"/>
  <c r="AD97" i="127"/>
  <c r="AC97" i="127"/>
  <c r="W97" i="127"/>
  <c r="V97" i="127"/>
  <c r="U97" i="127"/>
  <c r="M97" i="127"/>
  <c r="F97" i="127"/>
  <c r="AF96" i="127"/>
  <c r="AE96" i="127"/>
  <c r="AD96" i="127"/>
  <c r="AC96" i="127"/>
  <c r="W96" i="127"/>
  <c r="V96" i="127"/>
  <c r="U96" i="127"/>
  <c r="X96" i="127" s="1"/>
  <c r="M96" i="127"/>
  <c r="F96" i="127"/>
  <c r="N96" i="127" s="1"/>
  <c r="AF95" i="127"/>
  <c r="AE95" i="127"/>
  <c r="AD95" i="127"/>
  <c r="AC95" i="127"/>
  <c r="W95" i="127"/>
  <c r="V95" i="127"/>
  <c r="U95" i="127"/>
  <c r="X95" i="127" s="1"/>
  <c r="M95" i="127"/>
  <c r="F95" i="127"/>
  <c r="N95" i="127" s="1"/>
  <c r="AF94" i="127"/>
  <c r="AE94" i="127"/>
  <c r="AD94" i="127"/>
  <c r="AC94" i="127"/>
  <c r="W94" i="127"/>
  <c r="V94" i="127"/>
  <c r="U94" i="127"/>
  <c r="X94" i="127" s="1"/>
  <c r="M94" i="127"/>
  <c r="F94" i="127"/>
  <c r="AF93" i="127"/>
  <c r="AE93" i="127"/>
  <c r="AD93" i="127"/>
  <c r="AC93" i="127"/>
  <c r="W93" i="127"/>
  <c r="V93" i="127"/>
  <c r="U93" i="127"/>
  <c r="X93" i="127" s="1"/>
  <c r="M93" i="127"/>
  <c r="F93" i="127"/>
  <c r="AF92" i="127"/>
  <c r="AE92" i="127"/>
  <c r="AD92" i="127"/>
  <c r="AC92" i="127"/>
  <c r="W92" i="127"/>
  <c r="V92" i="127"/>
  <c r="U92" i="127"/>
  <c r="X92" i="127" s="1"/>
  <c r="M92" i="127"/>
  <c r="F92" i="127"/>
  <c r="N92" i="127" s="1"/>
  <c r="AF91" i="127"/>
  <c r="AE91" i="127"/>
  <c r="AD91" i="127"/>
  <c r="AC91" i="127"/>
  <c r="W91" i="127"/>
  <c r="V91" i="127"/>
  <c r="U91" i="127"/>
  <c r="M91" i="127"/>
  <c r="F91" i="127"/>
  <c r="N91" i="127" s="1"/>
  <c r="AF90" i="127"/>
  <c r="AE90" i="127"/>
  <c r="AD90" i="127"/>
  <c r="AC90" i="127"/>
  <c r="W90" i="127"/>
  <c r="V90" i="127"/>
  <c r="U90" i="127"/>
  <c r="M90" i="127"/>
  <c r="F90" i="127"/>
  <c r="AF89" i="127"/>
  <c r="AE89" i="127"/>
  <c r="AD89" i="127"/>
  <c r="AC89" i="127"/>
  <c r="W89" i="127"/>
  <c r="V89" i="127"/>
  <c r="U89" i="127"/>
  <c r="M89" i="127"/>
  <c r="F89" i="127"/>
  <c r="AF88" i="127"/>
  <c r="AE88" i="127"/>
  <c r="AD88" i="127"/>
  <c r="AC88" i="127"/>
  <c r="W88" i="127"/>
  <c r="V88" i="127"/>
  <c r="U88" i="127"/>
  <c r="X88" i="127" s="1"/>
  <c r="M88" i="127"/>
  <c r="F88" i="127"/>
  <c r="N88" i="127" s="1"/>
  <c r="AF87" i="127"/>
  <c r="AE87" i="127"/>
  <c r="AD87" i="127"/>
  <c r="AC87" i="127"/>
  <c r="W87" i="127"/>
  <c r="V87" i="127"/>
  <c r="U87" i="127"/>
  <c r="M87" i="127"/>
  <c r="F87" i="127"/>
  <c r="N87" i="127" s="1"/>
  <c r="AF86" i="127"/>
  <c r="AE86" i="127"/>
  <c r="AD86" i="127"/>
  <c r="AC86" i="127"/>
  <c r="W86" i="127"/>
  <c r="V86" i="127"/>
  <c r="U86" i="127"/>
  <c r="X86" i="127" s="1"/>
  <c r="M86" i="127"/>
  <c r="F86" i="127"/>
  <c r="AF85" i="127"/>
  <c r="AE85" i="127"/>
  <c r="AD85" i="127"/>
  <c r="AC85" i="127"/>
  <c r="W85" i="127"/>
  <c r="V85" i="127"/>
  <c r="U85" i="127"/>
  <c r="M85" i="127"/>
  <c r="F85" i="127"/>
  <c r="AF84" i="127"/>
  <c r="AE84" i="127"/>
  <c r="AD84" i="127"/>
  <c r="AC84" i="127"/>
  <c r="W84" i="127"/>
  <c r="V84" i="127"/>
  <c r="U84" i="127"/>
  <c r="X84" i="127" s="1"/>
  <c r="M84" i="127"/>
  <c r="F84" i="127"/>
  <c r="N84" i="127" s="1"/>
  <c r="AF83" i="127"/>
  <c r="AE83" i="127"/>
  <c r="AD83" i="127"/>
  <c r="AC83" i="127"/>
  <c r="W83" i="127"/>
  <c r="V83" i="127"/>
  <c r="U83" i="127"/>
  <c r="X83" i="127" s="1"/>
  <c r="M83" i="127"/>
  <c r="F83" i="127"/>
  <c r="N83" i="127" s="1"/>
  <c r="AF82" i="127"/>
  <c r="AE82" i="127"/>
  <c r="AD82" i="127"/>
  <c r="AC82" i="127"/>
  <c r="W82" i="127"/>
  <c r="V82" i="127"/>
  <c r="U82" i="127"/>
  <c r="X82" i="127" s="1"/>
  <c r="M82" i="127"/>
  <c r="F82" i="127"/>
  <c r="AF81" i="127"/>
  <c r="AE81" i="127"/>
  <c r="AD81" i="127"/>
  <c r="AC81" i="127"/>
  <c r="W81" i="127"/>
  <c r="V81" i="127"/>
  <c r="U81" i="127"/>
  <c r="X81" i="127" s="1"/>
  <c r="M81" i="127"/>
  <c r="F81" i="127"/>
  <c r="AF80" i="127"/>
  <c r="AE80" i="127"/>
  <c r="AD80" i="127"/>
  <c r="AC80" i="127"/>
  <c r="W80" i="127"/>
  <c r="V80" i="127"/>
  <c r="U80" i="127"/>
  <c r="X80" i="127" s="1"/>
  <c r="M80" i="127"/>
  <c r="F80" i="127"/>
  <c r="N80" i="127" s="1"/>
  <c r="AF79" i="127"/>
  <c r="AE79" i="127"/>
  <c r="AD79" i="127"/>
  <c r="AC79" i="127"/>
  <c r="W79" i="127"/>
  <c r="V79" i="127"/>
  <c r="U79" i="127"/>
  <c r="X79" i="127" s="1"/>
  <c r="M79" i="127"/>
  <c r="F79" i="127"/>
  <c r="N79" i="127" s="1"/>
  <c r="AF78" i="127"/>
  <c r="AE78" i="127"/>
  <c r="AD78" i="127"/>
  <c r="AC78" i="127"/>
  <c r="W78" i="127"/>
  <c r="V78" i="127"/>
  <c r="U78" i="127"/>
  <c r="X78" i="127" s="1"/>
  <c r="M78" i="127"/>
  <c r="F78" i="127"/>
  <c r="AF77" i="127"/>
  <c r="AE77" i="127"/>
  <c r="AD77" i="127"/>
  <c r="AC77" i="127"/>
  <c r="W77" i="127"/>
  <c r="V77" i="127"/>
  <c r="U77" i="127"/>
  <c r="X77" i="127" s="1"/>
  <c r="M77" i="127"/>
  <c r="F77" i="127"/>
  <c r="AF76" i="127"/>
  <c r="AE76" i="127"/>
  <c r="AD76" i="127"/>
  <c r="AC76" i="127"/>
  <c r="W76" i="127"/>
  <c r="V76" i="127"/>
  <c r="U76" i="127"/>
  <c r="X76" i="127" s="1"/>
  <c r="M76" i="127"/>
  <c r="F76" i="127"/>
  <c r="N76" i="127" s="1"/>
  <c r="AF75" i="127"/>
  <c r="AE75" i="127"/>
  <c r="AD75" i="127"/>
  <c r="AC75" i="127"/>
  <c r="W75" i="127"/>
  <c r="V75" i="127"/>
  <c r="U75" i="127"/>
  <c r="X75" i="127" s="1"/>
  <c r="M75" i="127"/>
  <c r="F75" i="127"/>
  <c r="N75" i="127" s="1"/>
  <c r="AF74" i="127"/>
  <c r="AE74" i="127"/>
  <c r="AD74" i="127"/>
  <c r="AC74" i="127"/>
  <c r="W74" i="127"/>
  <c r="V74" i="127"/>
  <c r="U74" i="127"/>
  <c r="M74" i="127"/>
  <c r="F74" i="127"/>
  <c r="AF73" i="127"/>
  <c r="AE73" i="127"/>
  <c r="AD73" i="127"/>
  <c r="AC73" i="127"/>
  <c r="W73" i="127"/>
  <c r="V73" i="127"/>
  <c r="U73" i="127"/>
  <c r="X73" i="127" s="1"/>
  <c r="M73" i="127"/>
  <c r="F73" i="127"/>
  <c r="AF72" i="127"/>
  <c r="AE72" i="127"/>
  <c r="AD72" i="127"/>
  <c r="AC72" i="127"/>
  <c r="W72" i="127"/>
  <c r="V72" i="127"/>
  <c r="U72" i="127"/>
  <c r="M72" i="127"/>
  <c r="F72" i="127"/>
  <c r="N72" i="127" s="1"/>
  <c r="AF71" i="127"/>
  <c r="AE71" i="127"/>
  <c r="AD71" i="127"/>
  <c r="AC71" i="127"/>
  <c r="W71" i="127"/>
  <c r="V71" i="127"/>
  <c r="U71" i="127"/>
  <c r="X71" i="127" s="1"/>
  <c r="M71" i="127"/>
  <c r="F71" i="127"/>
  <c r="N71" i="127" s="1"/>
  <c r="AF70" i="127"/>
  <c r="AE70" i="127"/>
  <c r="AD70" i="127"/>
  <c r="AC70" i="127"/>
  <c r="W70" i="127"/>
  <c r="V70" i="127"/>
  <c r="U70" i="127"/>
  <c r="X70" i="127" s="1"/>
  <c r="M70" i="127"/>
  <c r="F70" i="127"/>
  <c r="AF69" i="127"/>
  <c r="AE69" i="127"/>
  <c r="AD69" i="127"/>
  <c r="AC69" i="127"/>
  <c r="W69" i="127"/>
  <c r="V69" i="127"/>
  <c r="U69" i="127"/>
  <c r="X69" i="127" s="1"/>
  <c r="M69" i="127"/>
  <c r="F69" i="127"/>
  <c r="AF68" i="127"/>
  <c r="AE68" i="127"/>
  <c r="AD68" i="127"/>
  <c r="AC68" i="127"/>
  <c r="W68" i="127"/>
  <c r="V68" i="127"/>
  <c r="U68" i="127"/>
  <c r="X68" i="127" s="1"/>
  <c r="M68" i="127"/>
  <c r="F68" i="127"/>
  <c r="N68" i="127" s="1"/>
  <c r="AF67" i="127"/>
  <c r="AE67" i="127"/>
  <c r="AD67" i="127"/>
  <c r="AC67" i="127"/>
  <c r="W67" i="127"/>
  <c r="V67" i="127"/>
  <c r="U67" i="127"/>
  <c r="X67" i="127" s="1"/>
  <c r="M67" i="127"/>
  <c r="F67" i="127"/>
  <c r="N67" i="127" s="1"/>
  <c r="AF66" i="127"/>
  <c r="AE66" i="127"/>
  <c r="AD66" i="127"/>
  <c r="AC66" i="127"/>
  <c r="W66" i="127"/>
  <c r="V66" i="127"/>
  <c r="U66" i="127"/>
  <c r="M66" i="127"/>
  <c r="F66" i="127"/>
  <c r="E49" i="127"/>
  <c r="D49" i="127"/>
  <c r="T48" i="127"/>
  <c r="S48" i="127"/>
  <c r="R48" i="127"/>
  <c r="Q48" i="127"/>
  <c r="P48" i="127"/>
  <c r="O48" i="127"/>
  <c r="E48" i="127"/>
  <c r="D48" i="127"/>
  <c r="AF46" i="127"/>
  <c r="AE46" i="127"/>
  <c r="AD46" i="127"/>
  <c r="AC46" i="127"/>
  <c r="W46" i="127"/>
  <c r="V46" i="127"/>
  <c r="U46" i="127"/>
  <c r="M46" i="127"/>
  <c r="F46" i="127"/>
  <c r="AF45" i="127"/>
  <c r="AE45" i="127"/>
  <c r="AD45" i="127"/>
  <c r="AC45" i="127"/>
  <c r="W45" i="127"/>
  <c r="V45" i="127"/>
  <c r="U45" i="127"/>
  <c r="X45" i="127" s="1"/>
  <c r="M45" i="127"/>
  <c r="F45" i="127"/>
  <c r="N45" i="127" s="1"/>
  <c r="AF44" i="127"/>
  <c r="AE44" i="127"/>
  <c r="AD44" i="127"/>
  <c r="AC44" i="127"/>
  <c r="W44" i="127"/>
  <c r="V44" i="127"/>
  <c r="U44" i="127"/>
  <c r="X44" i="127" s="1"/>
  <c r="M44" i="127"/>
  <c r="F44" i="127"/>
  <c r="AF43" i="127"/>
  <c r="AE43" i="127"/>
  <c r="AD43" i="127"/>
  <c r="AC43" i="127"/>
  <c r="W43" i="127"/>
  <c r="V43" i="127"/>
  <c r="U43" i="127"/>
  <c r="M43" i="127"/>
  <c r="F43" i="127"/>
  <c r="N43" i="127" s="1"/>
  <c r="AF42" i="127"/>
  <c r="AE42" i="127"/>
  <c r="AD42" i="127"/>
  <c r="AC42" i="127"/>
  <c r="W42" i="127"/>
  <c r="V42" i="127"/>
  <c r="U42" i="127"/>
  <c r="X42" i="127" s="1"/>
  <c r="M42" i="127"/>
  <c r="F42" i="127"/>
  <c r="N42" i="127" s="1"/>
  <c r="AF41" i="127"/>
  <c r="AE41" i="127"/>
  <c r="AD41" i="127"/>
  <c r="AC41" i="127"/>
  <c r="W41" i="127"/>
  <c r="V41" i="127"/>
  <c r="U41" i="127"/>
  <c r="M41" i="127"/>
  <c r="F41" i="127"/>
  <c r="AF40" i="127"/>
  <c r="AE40" i="127"/>
  <c r="AD40" i="127"/>
  <c r="AC40" i="127"/>
  <c r="W40" i="127"/>
  <c r="V40" i="127"/>
  <c r="U40" i="127"/>
  <c r="M40" i="127"/>
  <c r="F40" i="127"/>
  <c r="AF39" i="127"/>
  <c r="AE39" i="127"/>
  <c r="AD39" i="127"/>
  <c r="AC39" i="127"/>
  <c r="W39" i="127"/>
  <c r="V39" i="127"/>
  <c r="U39" i="127"/>
  <c r="M39" i="127"/>
  <c r="F39" i="127"/>
  <c r="AF38" i="127"/>
  <c r="AE38" i="127"/>
  <c r="AD38" i="127"/>
  <c r="AC38" i="127"/>
  <c r="W38" i="127"/>
  <c r="V38" i="127"/>
  <c r="U38" i="127"/>
  <c r="X38" i="127" s="1"/>
  <c r="M38" i="127"/>
  <c r="F38" i="127"/>
  <c r="AF37" i="127"/>
  <c r="AE37" i="127"/>
  <c r="AD37" i="127"/>
  <c r="AC37" i="127"/>
  <c r="W37" i="127"/>
  <c r="V37" i="127"/>
  <c r="U37" i="127"/>
  <c r="M37" i="127"/>
  <c r="F37" i="127"/>
  <c r="N37" i="127" s="1"/>
  <c r="AF36" i="127"/>
  <c r="AE36" i="127"/>
  <c r="AD36" i="127"/>
  <c r="AC36" i="127"/>
  <c r="W36" i="127"/>
  <c r="V36" i="127"/>
  <c r="U36" i="127"/>
  <c r="M36" i="127"/>
  <c r="F36" i="127"/>
  <c r="AF35" i="127"/>
  <c r="AE35" i="127"/>
  <c r="AD35" i="127"/>
  <c r="AC35" i="127"/>
  <c r="W35" i="127"/>
  <c r="V35" i="127"/>
  <c r="U35" i="127"/>
  <c r="X35" i="127" s="1"/>
  <c r="M35" i="127"/>
  <c r="F35" i="127"/>
  <c r="N35" i="127" s="1"/>
  <c r="AF34" i="127"/>
  <c r="AE34" i="127"/>
  <c r="AD34" i="127"/>
  <c r="AC34" i="127"/>
  <c r="W34" i="127"/>
  <c r="V34" i="127"/>
  <c r="U34" i="127"/>
  <c r="X34" i="127" s="1"/>
  <c r="M34" i="127"/>
  <c r="F34" i="127"/>
  <c r="N34" i="127" s="1"/>
  <c r="AF33" i="127"/>
  <c r="AE33" i="127"/>
  <c r="AD33" i="127"/>
  <c r="AC33" i="127"/>
  <c r="W33" i="127"/>
  <c r="V33" i="127"/>
  <c r="U33" i="127"/>
  <c r="M33" i="127"/>
  <c r="F33" i="127"/>
  <c r="AF32" i="127"/>
  <c r="AE32" i="127"/>
  <c r="AD32" i="127"/>
  <c r="AC32" i="127"/>
  <c r="W32" i="127"/>
  <c r="V32" i="127"/>
  <c r="U32" i="127"/>
  <c r="X32" i="127" s="1"/>
  <c r="M32" i="127"/>
  <c r="F32" i="127"/>
  <c r="N32" i="127" s="1"/>
  <c r="AF31" i="127"/>
  <c r="AE31" i="127"/>
  <c r="AD31" i="127"/>
  <c r="AC31" i="127"/>
  <c r="W31" i="127"/>
  <c r="V31" i="127"/>
  <c r="U31" i="127"/>
  <c r="M31" i="127"/>
  <c r="F31" i="127"/>
  <c r="AF30" i="127"/>
  <c r="AE30" i="127"/>
  <c r="AD30" i="127"/>
  <c r="AC30" i="127"/>
  <c r="W30" i="127"/>
  <c r="V30" i="127"/>
  <c r="U30" i="127"/>
  <c r="X30" i="127" s="1"/>
  <c r="M30" i="127"/>
  <c r="F30" i="127"/>
  <c r="AF29" i="127"/>
  <c r="AE29" i="127"/>
  <c r="AD29" i="127"/>
  <c r="AC29" i="127"/>
  <c r="W29" i="127"/>
  <c r="V29" i="127"/>
  <c r="U29" i="127"/>
  <c r="X29" i="127" s="1"/>
  <c r="M29" i="127"/>
  <c r="F29" i="127"/>
  <c r="N29" i="127" s="1"/>
  <c r="AF28" i="127"/>
  <c r="AE28" i="127"/>
  <c r="AD28" i="127"/>
  <c r="AC28" i="127"/>
  <c r="W28" i="127"/>
  <c r="V28" i="127"/>
  <c r="U28" i="127"/>
  <c r="X28" i="127" s="1"/>
  <c r="M28" i="127"/>
  <c r="F28" i="127"/>
  <c r="AF27" i="127"/>
  <c r="AE27" i="127"/>
  <c r="AD27" i="127"/>
  <c r="AC27" i="127"/>
  <c r="W27" i="127"/>
  <c r="V27" i="127"/>
  <c r="U27" i="127"/>
  <c r="M27" i="127"/>
  <c r="F27" i="127"/>
  <c r="N27" i="127" s="1"/>
  <c r="AF26" i="127"/>
  <c r="AE26" i="127"/>
  <c r="AD26" i="127"/>
  <c r="AC26" i="127"/>
  <c r="W26" i="127"/>
  <c r="V26" i="127"/>
  <c r="U26" i="127"/>
  <c r="X26" i="127" s="1"/>
  <c r="M26" i="127"/>
  <c r="F26" i="127"/>
  <c r="N26" i="127" s="1"/>
  <c r="AF25" i="127"/>
  <c r="AE25" i="127"/>
  <c r="AD25" i="127"/>
  <c r="AC25" i="127"/>
  <c r="W25" i="127"/>
  <c r="V25" i="127"/>
  <c r="U25" i="127"/>
  <c r="M25" i="127"/>
  <c r="F25" i="127"/>
  <c r="AF24" i="127"/>
  <c r="AE24" i="127"/>
  <c r="AD24" i="127"/>
  <c r="AC24" i="127"/>
  <c r="W24" i="127"/>
  <c r="V24" i="127"/>
  <c r="U24" i="127"/>
  <c r="X24" i="127" s="1"/>
  <c r="M24" i="127"/>
  <c r="F24" i="127"/>
  <c r="N24" i="127" s="1"/>
  <c r="AF23" i="127"/>
  <c r="AE23" i="127"/>
  <c r="AD23" i="127"/>
  <c r="AC23" i="127"/>
  <c r="W23" i="127"/>
  <c r="V23" i="127"/>
  <c r="U23" i="127"/>
  <c r="M23" i="127"/>
  <c r="F23" i="127"/>
  <c r="N23" i="127" s="1"/>
  <c r="AF22" i="127"/>
  <c r="AE22" i="127"/>
  <c r="AD22" i="127"/>
  <c r="AC22" i="127"/>
  <c r="W22" i="127"/>
  <c r="V22" i="127"/>
  <c r="U22" i="127"/>
  <c r="M22" i="127"/>
  <c r="F22" i="127"/>
  <c r="N22" i="127" s="1"/>
  <c r="AF21" i="127"/>
  <c r="AE21" i="127"/>
  <c r="AD21" i="127"/>
  <c r="AC21" i="127"/>
  <c r="W21" i="127"/>
  <c r="V21" i="127"/>
  <c r="U21" i="127"/>
  <c r="M21" i="127"/>
  <c r="F21" i="127"/>
  <c r="AF20" i="127"/>
  <c r="AE20" i="127"/>
  <c r="AD20" i="127"/>
  <c r="AC20" i="127"/>
  <c r="W20" i="127"/>
  <c r="V20" i="127"/>
  <c r="U20" i="127"/>
  <c r="M20" i="127"/>
  <c r="F20" i="127"/>
  <c r="AF19" i="127"/>
  <c r="AE19" i="127"/>
  <c r="AD19" i="127"/>
  <c r="AC19" i="127"/>
  <c r="W19" i="127"/>
  <c r="V19" i="127"/>
  <c r="U19" i="127"/>
  <c r="M19" i="127"/>
  <c r="F19" i="127"/>
  <c r="AF18" i="127"/>
  <c r="AE18" i="127"/>
  <c r="AD18" i="127"/>
  <c r="AC18" i="127"/>
  <c r="W18" i="127"/>
  <c r="V18" i="127"/>
  <c r="U18" i="127"/>
  <c r="X18" i="127" s="1"/>
  <c r="M18" i="127"/>
  <c r="F18" i="127"/>
  <c r="AF17" i="127"/>
  <c r="AE17" i="127"/>
  <c r="AD17" i="127"/>
  <c r="AC17" i="127"/>
  <c r="W17" i="127"/>
  <c r="V17" i="127"/>
  <c r="U17" i="127"/>
  <c r="M17" i="127"/>
  <c r="F17" i="127"/>
  <c r="N17" i="127" s="1"/>
  <c r="AF16" i="127"/>
  <c r="AE16" i="127"/>
  <c r="AD16" i="127"/>
  <c r="AC16" i="127"/>
  <c r="W16" i="127"/>
  <c r="V16" i="127"/>
  <c r="U16" i="127"/>
  <c r="X16" i="127" s="1"/>
  <c r="M16" i="127"/>
  <c r="F16" i="127"/>
  <c r="AF15" i="127"/>
  <c r="AE15" i="127"/>
  <c r="AD15" i="127"/>
  <c r="AC15" i="127"/>
  <c r="W15" i="127"/>
  <c r="V15" i="127"/>
  <c r="U15" i="127"/>
  <c r="M15" i="127"/>
  <c r="F15" i="127"/>
  <c r="N15" i="127" s="1"/>
  <c r="AF14" i="127"/>
  <c r="AE14" i="127"/>
  <c r="AD14" i="127"/>
  <c r="AC14" i="127"/>
  <c r="W14" i="127"/>
  <c r="V14" i="127"/>
  <c r="U14" i="127"/>
  <c r="M14" i="127"/>
  <c r="F14" i="127"/>
  <c r="N14" i="127" s="1"/>
  <c r="AF13" i="127"/>
  <c r="AE13" i="127"/>
  <c r="AD13" i="127"/>
  <c r="AC13" i="127"/>
  <c r="W13" i="127"/>
  <c r="V13" i="127"/>
  <c r="U13" i="127"/>
  <c r="X13" i="127" s="1"/>
  <c r="M13" i="127"/>
  <c r="F13" i="127"/>
  <c r="N13" i="127" s="1"/>
  <c r="E5" i="127"/>
  <c r="A2" i="127"/>
  <c r="D103" i="126"/>
  <c r="T102" i="126"/>
  <c r="S102" i="126"/>
  <c r="R102" i="126"/>
  <c r="Q102" i="126"/>
  <c r="P102" i="126"/>
  <c r="O102" i="126"/>
  <c r="E102" i="126"/>
  <c r="D102" i="126"/>
  <c r="AF100" i="126"/>
  <c r="AE100" i="126"/>
  <c r="AD100" i="126"/>
  <c r="AC100" i="126"/>
  <c r="W100" i="126"/>
  <c r="V100" i="126"/>
  <c r="U100" i="126"/>
  <c r="X100" i="126" s="1"/>
  <c r="M100" i="126"/>
  <c r="F100" i="126"/>
  <c r="AF99" i="126"/>
  <c r="AE99" i="126"/>
  <c r="AD99" i="126"/>
  <c r="AC99" i="126"/>
  <c r="W99" i="126"/>
  <c r="V99" i="126"/>
  <c r="U99" i="126"/>
  <c r="M99" i="126"/>
  <c r="F99" i="126"/>
  <c r="AF98" i="126"/>
  <c r="AE98" i="126"/>
  <c r="AD98" i="126"/>
  <c r="AC98" i="126"/>
  <c r="W98" i="126"/>
  <c r="V98" i="126"/>
  <c r="U98" i="126"/>
  <c r="M98" i="126"/>
  <c r="F98" i="126"/>
  <c r="AF97" i="126"/>
  <c r="AE97" i="126"/>
  <c r="AD97" i="126"/>
  <c r="AC97" i="126"/>
  <c r="W97" i="126"/>
  <c r="V97" i="126"/>
  <c r="U97" i="126"/>
  <c r="M97" i="126"/>
  <c r="F97" i="126"/>
  <c r="AF96" i="126"/>
  <c r="AE96" i="126"/>
  <c r="AD96" i="126"/>
  <c r="AC96" i="126"/>
  <c r="W96" i="126"/>
  <c r="V96" i="126"/>
  <c r="U96" i="126"/>
  <c r="M96" i="126"/>
  <c r="F96" i="126"/>
  <c r="AF95" i="126"/>
  <c r="AE95" i="126"/>
  <c r="AD95" i="126"/>
  <c r="AC95" i="126"/>
  <c r="W95" i="126"/>
  <c r="V95" i="126"/>
  <c r="U95" i="126"/>
  <c r="M95" i="126"/>
  <c r="F95" i="126"/>
  <c r="AF94" i="126"/>
  <c r="AE94" i="126"/>
  <c r="AD94" i="126"/>
  <c r="AC94" i="126"/>
  <c r="W94" i="126"/>
  <c r="V94" i="126"/>
  <c r="U94" i="126"/>
  <c r="M94" i="126"/>
  <c r="F94" i="126"/>
  <c r="AF93" i="126"/>
  <c r="AE93" i="126"/>
  <c r="AD93" i="126"/>
  <c r="AC93" i="126"/>
  <c r="W93" i="126"/>
  <c r="V93" i="126"/>
  <c r="U93" i="126"/>
  <c r="M93" i="126"/>
  <c r="F93" i="126"/>
  <c r="AF92" i="126"/>
  <c r="AE92" i="126"/>
  <c r="AD92" i="126"/>
  <c r="AC92" i="126"/>
  <c r="W92" i="126"/>
  <c r="V92" i="126"/>
  <c r="U92" i="126"/>
  <c r="X92" i="126" s="1"/>
  <c r="M92" i="126"/>
  <c r="F92" i="126"/>
  <c r="AF91" i="126"/>
  <c r="AE91" i="126"/>
  <c r="AD91" i="126"/>
  <c r="AC91" i="126"/>
  <c r="W91" i="126"/>
  <c r="V91" i="126"/>
  <c r="U91" i="126"/>
  <c r="M91" i="126"/>
  <c r="F91" i="126"/>
  <c r="AF90" i="126"/>
  <c r="AE90" i="126"/>
  <c r="AD90" i="126"/>
  <c r="AC90" i="126"/>
  <c r="W90" i="126"/>
  <c r="V90" i="126"/>
  <c r="U90" i="126"/>
  <c r="X90" i="126" s="1"/>
  <c r="M90" i="126"/>
  <c r="F90" i="126"/>
  <c r="AF89" i="126"/>
  <c r="AE89" i="126"/>
  <c r="AD89" i="126"/>
  <c r="AC89" i="126"/>
  <c r="W89" i="126"/>
  <c r="V89" i="126"/>
  <c r="U89" i="126"/>
  <c r="M89" i="126"/>
  <c r="F89" i="126"/>
  <c r="AF88" i="126"/>
  <c r="AE88" i="126"/>
  <c r="AD88" i="126"/>
  <c r="AC88" i="126"/>
  <c r="W88" i="126"/>
  <c r="V88" i="126"/>
  <c r="U88" i="126"/>
  <c r="M88" i="126"/>
  <c r="F88" i="126"/>
  <c r="AF87" i="126"/>
  <c r="AE87" i="126"/>
  <c r="AD87" i="126"/>
  <c r="AC87" i="126"/>
  <c r="W87" i="126"/>
  <c r="V87" i="126"/>
  <c r="U87" i="126"/>
  <c r="M87" i="126"/>
  <c r="F87" i="126"/>
  <c r="AF86" i="126"/>
  <c r="AE86" i="126"/>
  <c r="AD86" i="126"/>
  <c r="AC86" i="126"/>
  <c r="W86" i="126"/>
  <c r="V86" i="126"/>
  <c r="U86" i="126"/>
  <c r="M86" i="126"/>
  <c r="F86" i="126"/>
  <c r="AF85" i="126"/>
  <c r="AE85" i="126"/>
  <c r="AD85" i="126"/>
  <c r="AC85" i="126"/>
  <c r="W85" i="126"/>
  <c r="V85" i="126"/>
  <c r="U85" i="126"/>
  <c r="M85" i="126"/>
  <c r="F85" i="126"/>
  <c r="AF84" i="126"/>
  <c r="AE84" i="126"/>
  <c r="AD84" i="126"/>
  <c r="AC84" i="126"/>
  <c r="W84" i="126"/>
  <c r="V84" i="126"/>
  <c r="U84" i="126"/>
  <c r="M84" i="126"/>
  <c r="F84" i="126"/>
  <c r="AF83" i="126"/>
  <c r="AE83" i="126"/>
  <c r="AD83" i="126"/>
  <c r="AC83" i="126"/>
  <c r="W83" i="126"/>
  <c r="V83" i="126"/>
  <c r="U83" i="126"/>
  <c r="M83" i="126"/>
  <c r="F83" i="126"/>
  <c r="AF82" i="126"/>
  <c r="AE82" i="126"/>
  <c r="AD82" i="126"/>
  <c r="AC82" i="126"/>
  <c r="W82" i="126"/>
  <c r="V82" i="126"/>
  <c r="U82" i="126"/>
  <c r="M82" i="126"/>
  <c r="F82" i="126"/>
  <c r="AF81" i="126"/>
  <c r="AE81" i="126"/>
  <c r="AD81" i="126"/>
  <c r="AC81" i="126"/>
  <c r="W81" i="126"/>
  <c r="V81" i="126"/>
  <c r="U81" i="126"/>
  <c r="M81" i="126"/>
  <c r="F81" i="126"/>
  <c r="AF80" i="126"/>
  <c r="AE80" i="126"/>
  <c r="AD80" i="126"/>
  <c r="AC80" i="126"/>
  <c r="W80" i="126"/>
  <c r="V80" i="126"/>
  <c r="U80" i="126"/>
  <c r="M80" i="126"/>
  <c r="F80" i="126"/>
  <c r="AF79" i="126"/>
  <c r="AE79" i="126"/>
  <c r="AD79" i="126"/>
  <c r="AC79" i="126"/>
  <c r="W79" i="126"/>
  <c r="V79" i="126"/>
  <c r="U79" i="126"/>
  <c r="M79" i="126"/>
  <c r="F79" i="126"/>
  <c r="AF78" i="126"/>
  <c r="AE78" i="126"/>
  <c r="AD78" i="126"/>
  <c r="AC78" i="126"/>
  <c r="W78" i="126"/>
  <c r="V78" i="126"/>
  <c r="U78" i="126"/>
  <c r="M78" i="126"/>
  <c r="F78" i="126"/>
  <c r="AF77" i="126"/>
  <c r="AE77" i="126"/>
  <c r="AD77" i="126"/>
  <c r="AC77" i="126"/>
  <c r="W77" i="126"/>
  <c r="V77" i="126"/>
  <c r="U77" i="126"/>
  <c r="M77" i="126"/>
  <c r="F77" i="126"/>
  <c r="AF76" i="126"/>
  <c r="AE76" i="126"/>
  <c r="AD76" i="126"/>
  <c r="AC76" i="126"/>
  <c r="W76" i="126"/>
  <c r="V76" i="126"/>
  <c r="U76" i="126"/>
  <c r="X76" i="126" s="1"/>
  <c r="M76" i="126"/>
  <c r="F76" i="126"/>
  <c r="AF75" i="126"/>
  <c r="AE75" i="126"/>
  <c r="AD75" i="126"/>
  <c r="AC75" i="126"/>
  <c r="W75" i="126"/>
  <c r="V75" i="126"/>
  <c r="U75" i="126"/>
  <c r="M75" i="126"/>
  <c r="F75" i="126"/>
  <c r="AF74" i="126"/>
  <c r="AE74" i="126"/>
  <c r="AD74" i="126"/>
  <c r="AC74" i="126"/>
  <c r="W74" i="126"/>
  <c r="V74" i="126"/>
  <c r="U74" i="126"/>
  <c r="X74" i="126" s="1"/>
  <c r="M74" i="126"/>
  <c r="F74" i="126"/>
  <c r="AF73" i="126"/>
  <c r="AE73" i="126"/>
  <c r="AD73" i="126"/>
  <c r="AC73" i="126"/>
  <c r="W73" i="126"/>
  <c r="V73" i="126"/>
  <c r="U73" i="126"/>
  <c r="M73" i="126"/>
  <c r="F73" i="126"/>
  <c r="AF72" i="126"/>
  <c r="AE72" i="126"/>
  <c r="AD72" i="126"/>
  <c r="AC72" i="126"/>
  <c r="W72" i="126"/>
  <c r="V72" i="126"/>
  <c r="U72" i="126"/>
  <c r="M72" i="126"/>
  <c r="F72" i="126"/>
  <c r="AF71" i="126"/>
  <c r="AE71" i="126"/>
  <c r="AD71" i="126"/>
  <c r="AC71" i="126"/>
  <c r="W71" i="126"/>
  <c r="V71" i="126"/>
  <c r="U71" i="126"/>
  <c r="M71" i="126"/>
  <c r="F71" i="126"/>
  <c r="AF70" i="126"/>
  <c r="AE70" i="126"/>
  <c r="AD70" i="126"/>
  <c r="AC70" i="126"/>
  <c r="W70" i="126"/>
  <c r="V70" i="126"/>
  <c r="U70" i="126"/>
  <c r="M70" i="126"/>
  <c r="F70" i="126"/>
  <c r="AF69" i="126"/>
  <c r="AE69" i="126"/>
  <c r="AD69" i="126"/>
  <c r="AC69" i="126"/>
  <c r="W69" i="126"/>
  <c r="V69" i="126"/>
  <c r="U69" i="126"/>
  <c r="M69" i="126"/>
  <c r="F69" i="126"/>
  <c r="AF68" i="126"/>
  <c r="AE68" i="126"/>
  <c r="AD68" i="126"/>
  <c r="AC68" i="126"/>
  <c r="W68" i="126"/>
  <c r="V68" i="126"/>
  <c r="U68" i="126"/>
  <c r="M68" i="126"/>
  <c r="F68" i="126"/>
  <c r="AF67" i="126"/>
  <c r="AE67" i="126"/>
  <c r="AD67" i="126"/>
  <c r="AC67" i="126"/>
  <c r="W67" i="126"/>
  <c r="V67" i="126"/>
  <c r="U67" i="126"/>
  <c r="M67" i="126"/>
  <c r="F67" i="126"/>
  <c r="AF66" i="126"/>
  <c r="AE66" i="126"/>
  <c r="AD66" i="126"/>
  <c r="AC66" i="126"/>
  <c r="W66" i="126"/>
  <c r="V66" i="126"/>
  <c r="U66" i="126"/>
  <c r="M66" i="126"/>
  <c r="F66" i="126"/>
  <c r="N66" i="126" s="1"/>
  <c r="E49" i="126"/>
  <c r="D49" i="126"/>
  <c r="T48" i="126"/>
  <c r="S48" i="126"/>
  <c r="R48" i="126"/>
  <c r="Q48" i="126"/>
  <c r="P48" i="126"/>
  <c r="O48" i="126"/>
  <c r="E48" i="126"/>
  <c r="D48" i="126"/>
  <c r="AF46" i="126"/>
  <c r="AE46" i="126"/>
  <c r="AD46" i="126"/>
  <c r="AC46" i="126"/>
  <c r="W46" i="126"/>
  <c r="V46" i="126"/>
  <c r="U46" i="126"/>
  <c r="M46" i="126"/>
  <c r="F46" i="126"/>
  <c r="AF45" i="126"/>
  <c r="AE45" i="126"/>
  <c r="AD45" i="126"/>
  <c r="AC45" i="126"/>
  <c r="W45" i="126"/>
  <c r="V45" i="126"/>
  <c r="U45" i="126"/>
  <c r="M45" i="126"/>
  <c r="F45" i="126"/>
  <c r="AF44" i="126"/>
  <c r="AE44" i="126"/>
  <c r="AD44" i="126"/>
  <c r="AC44" i="126"/>
  <c r="W44" i="126"/>
  <c r="V44" i="126"/>
  <c r="U44" i="126"/>
  <c r="M44" i="126"/>
  <c r="F44" i="126"/>
  <c r="AF43" i="126"/>
  <c r="AE43" i="126"/>
  <c r="AD43" i="126"/>
  <c r="AC43" i="126"/>
  <c r="W43" i="126"/>
  <c r="V43" i="126"/>
  <c r="U43" i="126"/>
  <c r="M43" i="126"/>
  <c r="F43" i="126"/>
  <c r="AF42" i="126"/>
  <c r="AE42" i="126"/>
  <c r="AD42" i="126"/>
  <c r="AC42" i="126"/>
  <c r="W42" i="126"/>
  <c r="V42" i="126"/>
  <c r="U42" i="126"/>
  <c r="X42" i="126" s="1"/>
  <c r="M42" i="126"/>
  <c r="F42" i="126"/>
  <c r="N42" i="126" s="1"/>
  <c r="AF41" i="126"/>
  <c r="AE41" i="126"/>
  <c r="AD41" i="126"/>
  <c r="AC41" i="126"/>
  <c r="W41" i="126"/>
  <c r="V41" i="126"/>
  <c r="U41" i="126"/>
  <c r="X41" i="126" s="1"/>
  <c r="M41" i="126"/>
  <c r="F41" i="126"/>
  <c r="AF40" i="126"/>
  <c r="AE40" i="126"/>
  <c r="AD40" i="126"/>
  <c r="AC40" i="126"/>
  <c r="W40" i="126"/>
  <c r="V40" i="126"/>
  <c r="U40" i="126"/>
  <c r="X40" i="126" s="1"/>
  <c r="M40" i="126"/>
  <c r="F40" i="126"/>
  <c r="N40" i="126" s="1"/>
  <c r="AF39" i="126"/>
  <c r="AE39" i="126"/>
  <c r="AD39" i="126"/>
  <c r="AC39" i="126"/>
  <c r="W39" i="126"/>
  <c r="V39" i="126"/>
  <c r="U39" i="126"/>
  <c r="M39" i="126"/>
  <c r="F39" i="126"/>
  <c r="N39" i="126" s="1"/>
  <c r="AF38" i="126"/>
  <c r="AE38" i="126"/>
  <c r="AD38" i="126"/>
  <c r="AC38" i="126"/>
  <c r="W38" i="126"/>
  <c r="V38" i="126"/>
  <c r="U38" i="126"/>
  <c r="M38" i="126"/>
  <c r="F38" i="126"/>
  <c r="AF37" i="126"/>
  <c r="AE37" i="126"/>
  <c r="AD37" i="126"/>
  <c r="AC37" i="126"/>
  <c r="W37" i="126"/>
  <c r="V37" i="126"/>
  <c r="U37" i="126"/>
  <c r="X37" i="126" s="1"/>
  <c r="M37" i="126"/>
  <c r="F37" i="126"/>
  <c r="N37" i="126" s="1"/>
  <c r="AF36" i="126"/>
  <c r="AE36" i="126"/>
  <c r="AD36" i="126"/>
  <c r="AC36" i="126"/>
  <c r="W36" i="126"/>
  <c r="V36" i="126"/>
  <c r="U36" i="126"/>
  <c r="X36" i="126" s="1"/>
  <c r="M36" i="126"/>
  <c r="F36" i="126"/>
  <c r="AF35" i="126"/>
  <c r="AE35" i="126"/>
  <c r="AD35" i="126"/>
  <c r="AC35" i="126"/>
  <c r="W35" i="126"/>
  <c r="V35" i="126"/>
  <c r="U35" i="126"/>
  <c r="X35" i="126" s="1"/>
  <c r="M35" i="126"/>
  <c r="F35" i="126"/>
  <c r="N35" i="126" s="1"/>
  <c r="AF34" i="126"/>
  <c r="AE34" i="126"/>
  <c r="AD34" i="126"/>
  <c r="AC34" i="126"/>
  <c r="W34" i="126"/>
  <c r="V34" i="126"/>
  <c r="U34" i="126"/>
  <c r="X34" i="126" s="1"/>
  <c r="M34" i="126"/>
  <c r="F34" i="126"/>
  <c r="N34" i="126" s="1"/>
  <c r="AF33" i="126"/>
  <c r="AE33" i="126"/>
  <c r="AD33" i="126"/>
  <c r="AC33" i="126"/>
  <c r="W33" i="126"/>
  <c r="V33" i="126"/>
  <c r="U33" i="126"/>
  <c r="M33" i="126"/>
  <c r="F33" i="126"/>
  <c r="N33" i="126" s="1"/>
  <c r="AF32" i="126"/>
  <c r="AE32" i="126"/>
  <c r="AD32" i="126"/>
  <c r="AC32" i="126"/>
  <c r="W32" i="126"/>
  <c r="V32" i="126"/>
  <c r="U32" i="126"/>
  <c r="X32" i="126" s="1"/>
  <c r="M32" i="126"/>
  <c r="F32" i="126"/>
  <c r="N32" i="126" s="1"/>
  <c r="AF31" i="126"/>
  <c r="AE31" i="126"/>
  <c r="AD31" i="126"/>
  <c r="AC31" i="126"/>
  <c r="W31" i="126"/>
  <c r="V31" i="126"/>
  <c r="U31" i="126"/>
  <c r="X31" i="126" s="1"/>
  <c r="M31" i="126"/>
  <c r="F31" i="126"/>
  <c r="AF30" i="126"/>
  <c r="AE30" i="126"/>
  <c r="AD30" i="126"/>
  <c r="AC30" i="126"/>
  <c r="W30" i="126"/>
  <c r="V30" i="126"/>
  <c r="U30" i="126"/>
  <c r="X30" i="126" s="1"/>
  <c r="M30" i="126"/>
  <c r="F30" i="126"/>
  <c r="AF29" i="126"/>
  <c r="AE29" i="126"/>
  <c r="AD29" i="126"/>
  <c r="AC29" i="126"/>
  <c r="W29" i="126"/>
  <c r="V29" i="126"/>
  <c r="U29" i="126"/>
  <c r="M29" i="126"/>
  <c r="F29" i="126"/>
  <c r="AF28" i="126"/>
  <c r="AE28" i="126"/>
  <c r="AD28" i="126"/>
  <c r="AC28" i="126"/>
  <c r="W28" i="126"/>
  <c r="V28" i="126"/>
  <c r="U28" i="126"/>
  <c r="M28" i="126"/>
  <c r="F28" i="126"/>
  <c r="AF27" i="126"/>
  <c r="AE27" i="126"/>
  <c r="AD27" i="126"/>
  <c r="AC27" i="126"/>
  <c r="W27" i="126"/>
  <c r="V27" i="126"/>
  <c r="U27" i="126"/>
  <c r="M27" i="126"/>
  <c r="F27" i="126"/>
  <c r="N27" i="126" s="1"/>
  <c r="AF26" i="126"/>
  <c r="AE26" i="126"/>
  <c r="AD26" i="126"/>
  <c r="AC26" i="126"/>
  <c r="W26" i="126"/>
  <c r="V26" i="126"/>
  <c r="U26" i="126"/>
  <c r="M26" i="126"/>
  <c r="F26" i="126"/>
  <c r="N26" i="126" s="1"/>
  <c r="AF25" i="126"/>
  <c r="AE25" i="126"/>
  <c r="AD25" i="126"/>
  <c r="AC25" i="126"/>
  <c r="W25" i="126"/>
  <c r="V25" i="126"/>
  <c r="U25" i="126"/>
  <c r="M25" i="126"/>
  <c r="F25" i="126"/>
  <c r="N25" i="126" s="1"/>
  <c r="AF24" i="126"/>
  <c r="AE24" i="126"/>
  <c r="AD24" i="126"/>
  <c r="AC24" i="126"/>
  <c r="W24" i="126"/>
  <c r="V24" i="126"/>
  <c r="U24" i="126"/>
  <c r="X24" i="126" s="1"/>
  <c r="M24" i="126"/>
  <c r="F24" i="126"/>
  <c r="N24" i="126" s="1"/>
  <c r="AF23" i="126"/>
  <c r="AE23" i="126"/>
  <c r="AD23" i="126"/>
  <c r="AC23" i="126"/>
  <c r="W23" i="126"/>
  <c r="V23" i="126"/>
  <c r="U23" i="126"/>
  <c r="X23" i="126" s="1"/>
  <c r="M23" i="126"/>
  <c r="F23" i="126"/>
  <c r="N23" i="126" s="1"/>
  <c r="AF22" i="126"/>
  <c r="AE22" i="126"/>
  <c r="AD22" i="126"/>
  <c r="AC22" i="126"/>
  <c r="W22" i="126"/>
  <c r="V22" i="126"/>
  <c r="U22" i="126"/>
  <c r="X22" i="126" s="1"/>
  <c r="M22" i="126"/>
  <c r="F22" i="126"/>
  <c r="AF21" i="126"/>
  <c r="AE21" i="126"/>
  <c r="AD21" i="126"/>
  <c r="AC21" i="126"/>
  <c r="W21" i="126"/>
  <c r="V21" i="126"/>
  <c r="U21" i="126"/>
  <c r="M21" i="126"/>
  <c r="F21" i="126"/>
  <c r="AF20" i="126"/>
  <c r="AE20" i="126"/>
  <c r="AD20" i="126"/>
  <c r="AC20" i="126"/>
  <c r="W20" i="126"/>
  <c r="V20" i="126"/>
  <c r="U20" i="126"/>
  <c r="X20" i="126" s="1"/>
  <c r="M20" i="126"/>
  <c r="F20" i="126"/>
  <c r="AF19" i="126"/>
  <c r="AE19" i="126"/>
  <c r="AD19" i="126"/>
  <c r="AC19" i="126"/>
  <c r="W19" i="126"/>
  <c r="V19" i="126"/>
  <c r="U19" i="126"/>
  <c r="M19" i="126"/>
  <c r="F19" i="126"/>
  <c r="N19" i="126" s="1"/>
  <c r="AF18" i="126"/>
  <c r="AE18" i="126"/>
  <c r="AD18" i="126"/>
  <c r="AC18" i="126"/>
  <c r="W18" i="126"/>
  <c r="V18" i="126"/>
  <c r="U18" i="126"/>
  <c r="M18" i="126"/>
  <c r="F18" i="126"/>
  <c r="N18" i="126" s="1"/>
  <c r="AF17" i="126"/>
  <c r="AE17" i="126"/>
  <c r="AD17" i="126"/>
  <c r="AC17" i="126"/>
  <c r="W17" i="126"/>
  <c r="V17" i="126"/>
  <c r="U17" i="126"/>
  <c r="X17" i="126" s="1"/>
  <c r="M17" i="126"/>
  <c r="F17" i="126"/>
  <c r="N17" i="126" s="1"/>
  <c r="AF16" i="126"/>
  <c r="AE16" i="126"/>
  <c r="AD16" i="126"/>
  <c r="AC16" i="126"/>
  <c r="W16" i="126"/>
  <c r="V16" i="126"/>
  <c r="U16" i="126"/>
  <c r="X16" i="126" s="1"/>
  <c r="M16" i="126"/>
  <c r="F16" i="126"/>
  <c r="AF15" i="126"/>
  <c r="AE15" i="126"/>
  <c r="AD15" i="126"/>
  <c r="AC15" i="126"/>
  <c r="W15" i="126"/>
  <c r="V15" i="126"/>
  <c r="U15" i="126"/>
  <c r="M15" i="126"/>
  <c r="F15" i="126"/>
  <c r="N15" i="126" s="1"/>
  <c r="AF14" i="126"/>
  <c r="AE14" i="126"/>
  <c r="AD14" i="126"/>
  <c r="AC14" i="126"/>
  <c r="W14" i="126"/>
  <c r="V14" i="126"/>
  <c r="U14" i="126"/>
  <c r="X14" i="126" s="1"/>
  <c r="M14" i="126"/>
  <c r="F14" i="126"/>
  <c r="N14" i="126" s="1"/>
  <c r="AF13" i="126"/>
  <c r="AE13" i="126"/>
  <c r="AD13" i="126"/>
  <c r="AC13" i="126"/>
  <c r="W13" i="126"/>
  <c r="V13" i="126"/>
  <c r="U13" i="126"/>
  <c r="M13" i="126"/>
  <c r="F13" i="126"/>
  <c r="N13" i="126" s="1"/>
  <c r="E5" i="126"/>
  <c r="A2" i="126"/>
  <c r="D193" i="125"/>
  <c r="T192" i="125"/>
  <c r="Q192" i="125"/>
  <c r="P192" i="125"/>
  <c r="O192" i="125"/>
  <c r="E192" i="125"/>
  <c r="D192" i="125"/>
  <c r="W97" i="125"/>
  <c r="V97" i="125"/>
  <c r="U97" i="125"/>
  <c r="M97" i="125"/>
  <c r="F97" i="125"/>
  <c r="W96" i="125"/>
  <c r="V96" i="125"/>
  <c r="U96" i="125"/>
  <c r="X96" i="125" s="1"/>
  <c r="M96" i="125"/>
  <c r="F96" i="125"/>
  <c r="L96" i="125" s="1"/>
  <c r="N96" i="125" s="1"/>
  <c r="AE95" i="125"/>
  <c r="W95" i="125"/>
  <c r="V95" i="125"/>
  <c r="U95" i="125"/>
  <c r="K95" i="125"/>
  <c r="M95" i="125" s="1"/>
  <c r="F95" i="125"/>
  <c r="L95" i="125" s="1"/>
  <c r="N95" i="125" s="1"/>
  <c r="AF94" i="125"/>
  <c r="AE94" i="125"/>
  <c r="AD94" i="125"/>
  <c r="AC94" i="125"/>
  <c r="W94" i="125"/>
  <c r="V94" i="125"/>
  <c r="U94" i="125"/>
  <c r="X94" i="125" s="1"/>
  <c r="M94" i="125"/>
  <c r="F94" i="125"/>
  <c r="AF93" i="125"/>
  <c r="AE93" i="125"/>
  <c r="AD93" i="125"/>
  <c r="AC93" i="125"/>
  <c r="W93" i="125"/>
  <c r="V93" i="125"/>
  <c r="U93" i="125"/>
  <c r="M93" i="125"/>
  <c r="K93" i="125"/>
  <c r="F93" i="125"/>
  <c r="L93" i="125" s="1"/>
  <c r="AF92" i="125"/>
  <c r="AE92" i="125"/>
  <c r="AD92" i="125"/>
  <c r="AC92" i="125"/>
  <c r="W92" i="125"/>
  <c r="V92" i="125"/>
  <c r="U92" i="125"/>
  <c r="M92" i="125"/>
  <c r="F92" i="125"/>
  <c r="L92" i="125" s="1"/>
  <c r="N92" i="125" s="1"/>
  <c r="AF91" i="125"/>
  <c r="AE91" i="125"/>
  <c r="AD91" i="125"/>
  <c r="W91" i="125"/>
  <c r="V91" i="125"/>
  <c r="U91" i="125"/>
  <c r="M91" i="125"/>
  <c r="F91" i="125"/>
  <c r="L91" i="125" s="1"/>
  <c r="N91" i="125" s="1"/>
  <c r="AF90" i="125"/>
  <c r="AE90" i="125"/>
  <c r="AD90" i="125"/>
  <c r="AC90" i="125"/>
  <c r="W90" i="125"/>
  <c r="V90" i="125"/>
  <c r="U90" i="125"/>
  <c r="X90" i="125" s="1"/>
  <c r="M90" i="125"/>
  <c r="F90" i="125"/>
  <c r="N90" i="125" s="1"/>
  <c r="AF89" i="125"/>
  <c r="AE89" i="125"/>
  <c r="AD89" i="125"/>
  <c r="W89" i="125"/>
  <c r="V89" i="125"/>
  <c r="U89" i="125"/>
  <c r="M89" i="125"/>
  <c r="F89" i="125"/>
  <c r="N89" i="125" s="1"/>
  <c r="AF88" i="125"/>
  <c r="AE88" i="125"/>
  <c r="AD88" i="125"/>
  <c r="AC88" i="125"/>
  <c r="W88" i="125"/>
  <c r="V88" i="125"/>
  <c r="U88" i="125"/>
  <c r="M88" i="125"/>
  <c r="K88" i="125"/>
  <c r="F88" i="125"/>
  <c r="N88" i="125" s="1"/>
  <c r="AF87" i="125"/>
  <c r="AE87" i="125"/>
  <c r="AD87" i="125"/>
  <c r="AC87" i="125"/>
  <c r="W87" i="125"/>
  <c r="V87" i="125"/>
  <c r="U87" i="125"/>
  <c r="M87" i="125"/>
  <c r="K87" i="125"/>
  <c r="F87" i="125"/>
  <c r="N87" i="125" s="1"/>
  <c r="A87" i="125"/>
  <c r="AF86" i="125"/>
  <c r="AE86" i="125"/>
  <c r="AD86" i="125"/>
  <c r="W86" i="125"/>
  <c r="V86" i="125"/>
  <c r="U86" i="125"/>
  <c r="M86" i="125"/>
  <c r="F86" i="125"/>
  <c r="N86" i="125" s="1"/>
  <c r="AF85" i="125"/>
  <c r="AE85" i="125"/>
  <c r="AD85" i="125"/>
  <c r="W85" i="125"/>
  <c r="V85" i="125"/>
  <c r="U85" i="125"/>
  <c r="M85" i="125"/>
  <c r="F85" i="125"/>
  <c r="N85" i="125" s="1"/>
  <c r="AF84" i="125"/>
  <c r="AE84" i="125"/>
  <c r="AD84" i="125"/>
  <c r="AC84" i="125"/>
  <c r="W84" i="125"/>
  <c r="V84" i="125"/>
  <c r="U84" i="125"/>
  <c r="M84" i="125"/>
  <c r="F84" i="125"/>
  <c r="N84" i="125" s="1"/>
  <c r="AF83" i="125"/>
  <c r="AE83" i="125"/>
  <c r="AD83" i="125"/>
  <c r="AC83" i="125"/>
  <c r="W83" i="125"/>
  <c r="V83" i="125"/>
  <c r="U83" i="125"/>
  <c r="M83" i="125"/>
  <c r="F83" i="125"/>
  <c r="N83" i="125" s="1"/>
  <c r="AF82" i="125"/>
  <c r="AE82" i="125"/>
  <c r="AD82" i="125"/>
  <c r="AC82" i="125"/>
  <c r="W82" i="125"/>
  <c r="V82" i="125"/>
  <c r="U82" i="125"/>
  <c r="M82" i="125"/>
  <c r="F82" i="125"/>
  <c r="N82" i="125" s="1"/>
  <c r="AF81" i="125"/>
  <c r="AE81" i="125"/>
  <c r="AD81" i="125"/>
  <c r="AC81" i="125"/>
  <c r="W81" i="125"/>
  <c r="V81" i="125"/>
  <c r="U81" i="125"/>
  <c r="M81" i="125"/>
  <c r="F81" i="125"/>
  <c r="N81" i="125" s="1"/>
  <c r="AF80" i="125"/>
  <c r="AE80" i="125"/>
  <c r="AD80" i="125"/>
  <c r="AC80" i="125"/>
  <c r="W80" i="125"/>
  <c r="V80" i="125"/>
  <c r="U80" i="125"/>
  <c r="X80" i="125" s="1"/>
  <c r="M80" i="125"/>
  <c r="F80" i="125"/>
  <c r="N80" i="125" s="1"/>
  <c r="AF79" i="125"/>
  <c r="AE79" i="125"/>
  <c r="AD79" i="125"/>
  <c r="AC79" i="125"/>
  <c r="W79" i="125"/>
  <c r="V79" i="125"/>
  <c r="U79" i="125"/>
  <c r="M79" i="125"/>
  <c r="F79" i="125"/>
  <c r="N79" i="125" s="1"/>
  <c r="AF78" i="125"/>
  <c r="AE78" i="125"/>
  <c r="AD78" i="125"/>
  <c r="AC78" i="125"/>
  <c r="W78" i="125"/>
  <c r="V78" i="125"/>
  <c r="U78" i="125"/>
  <c r="M78" i="125"/>
  <c r="F78" i="125"/>
  <c r="AF77" i="125"/>
  <c r="AE77" i="125"/>
  <c r="AD77" i="125"/>
  <c r="AC77" i="125"/>
  <c r="W77" i="125"/>
  <c r="V77" i="125"/>
  <c r="U77" i="125"/>
  <c r="M77" i="125"/>
  <c r="F77" i="125"/>
  <c r="N77" i="125" s="1"/>
  <c r="AF76" i="125"/>
  <c r="AE76" i="125"/>
  <c r="AD76" i="125"/>
  <c r="AC76" i="125" s="1"/>
  <c r="W76" i="125"/>
  <c r="V76" i="125"/>
  <c r="U76" i="125"/>
  <c r="M76" i="125"/>
  <c r="F76" i="125"/>
  <c r="AF75" i="125"/>
  <c r="AE75" i="125"/>
  <c r="AD75" i="125"/>
  <c r="AC75" i="125"/>
  <c r="W75" i="125"/>
  <c r="V75" i="125"/>
  <c r="U75" i="125"/>
  <c r="X75" i="125" s="1"/>
  <c r="M75" i="125"/>
  <c r="F75" i="125"/>
  <c r="N75" i="125" s="1"/>
  <c r="AF74" i="125"/>
  <c r="AE74" i="125"/>
  <c r="AD74" i="125"/>
  <c r="AC74" i="125"/>
  <c r="W74" i="125"/>
  <c r="V74" i="125"/>
  <c r="U74" i="125"/>
  <c r="M74" i="125"/>
  <c r="F74" i="125"/>
  <c r="N74" i="125" s="1"/>
  <c r="AF73" i="125"/>
  <c r="AE73" i="125"/>
  <c r="AD73" i="125"/>
  <c r="AC73" i="125"/>
  <c r="W73" i="125"/>
  <c r="V73" i="125"/>
  <c r="U73" i="125"/>
  <c r="M73" i="125"/>
  <c r="F73" i="125"/>
  <c r="N73" i="125" s="1"/>
  <c r="AF72" i="125"/>
  <c r="AE72" i="125"/>
  <c r="AD72" i="125"/>
  <c r="AC72" i="125"/>
  <c r="W72" i="125"/>
  <c r="V72" i="125"/>
  <c r="U72" i="125"/>
  <c r="M72" i="125"/>
  <c r="F72" i="125"/>
  <c r="AF71" i="125"/>
  <c r="AE71" i="125"/>
  <c r="AD71" i="125"/>
  <c r="AC71" i="125"/>
  <c r="W71" i="125"/>
  <c r="V71" i="125"/>
  <c r="U71" i="125"/>
  <c r="M71" i="125"/>
  <c r="F71" i="125"/>
  <c r="AF70" i="125"/>
  <c r="AE70" i="125"/>
  <c r="AD70" i="125"/>
  <c r="AC70" i="125"/>
  <c r="W70" i="125"/>
  <c r="V70" i="125"/>
  <c r="U70" i="125"/>
  <c r="X70" i="125" s="1"/>
  <c r="M70" i="125"/>
  <c r="F70" i="125"/>
  <c r="N70" i="125" s="1"/>
  <c r="AF69" i="125"/>
  <c r="AE69" i="125"/>
  <c r="AD69" i="125"/>
  <c r="AC69" i="125"/>
  <c r="W69" i="125"/>
  <c r="V69" i="125"/>
  <c r="U69" i="125"/>
  <c r="M69" i="125"/>
  <c r="F69" i="125"/>
  <c r="AF68" i="125"/>
  <c r="AE68" i="125"/>
  <c r="AD68" i="125"/>
  <c r="AC68" i="125"/>
  <c r="W68" i="125"/>
  <c r="V68" i="125"/>
  <c r="U68" i="125"/>
  <c r="M68" i="125"/>
  <c r="F68" i="125"/>
  <c r="AF67" i="125"/>
  <c r="AE67" i="125"/>
  <c r="AD67" i="125"/>
  <c r="AC67" i="125"/>
  <c r="W67" i="125"/>
  <c r="V67" i="125"/>
  <c r="U67" i="125"/>
  <c r="M67" i="125"/>
  <c r="F67" i="125"/>
  <c r="A67" i="125"/>
  <c r="AF66" i="125"/>
  <c r="AE66" i="125"/>
  <c r="AD66" i="125"/>
  <c r="AC66" i="125"/>
  <c r="W66" i="125"/>
  <c r="V66" i="125"/>
  <c r="U66" i="125"/>
  <c r="X66" i="125" s="1"/>
  <c r="M66" i="125"/>
  <c r="F66" i="125"/>
  <c r="E49" i="125"/>
  <c r="D49" i="125"/>
  <c r="T48" i="125"/>
  <c r="S48" i="125"/>
  <c r="R48" i="125"/>
  <c r="Q48" i="125"/>
  <c r="P48" i="125"/>
  <c r="O48" i="125"/>
  <c r="E48" i="125"/>
  <c r="D48" i="125"/>
  <c r="AF46" i="125"/>
  <c r="AE46" i="125"/>
  <c r="AD46" i="125"/>
  <c r="AC46" i="125"/>
  <c r="W46" i="125"/>
  <c r="V46" i="125"/>
  <c r="U46" i="125"/>
  <c r="M46" i="125"/>
  <c r="F46" i="125"/>
  <c r="AF45" i="125"/>
  <c r="AE45" i="125"/>
  <c r="AD45" i="125"/>
  <c r="AC45" i="125"/>
  <c r="W45" i="125"/>
  <c r="V45" i="125"/>
  <c r="U45" i="125"/>
  <c r="X45" i="125" s="1"/>
  <c r="M45" i="125"/>
  <c r="F45" i="125"/>
  <c r="N45" i="125" s="1"/>
  <c r="AF44" i="125"/>
  <c r="AE44" i="125"/>
  <c r="AD44" i="125"/>
  <c r="AC44" i="125"/>
  <c r="W44" i="125"/>
  <c r="V44" i="125"/>
  <c r="U44" i="125"/>
  <c r="M44" i="125"/>
  <c r="F44" i="125"/>
  <c r="AF43" i="125"/>
  <c r="AE43" i="125"/>
  <c r="AD43" i="125"/>
  <c r="AC43" i="125"/>
  <c r="W43" i="125"/>
  <c r="V43" i="125"/>
  <c r="U43" i="125"/>
  <c r="M43" i="125"/>
  <c r="F43" i="125"/>
  <c r="N43" i="125" s="1"/>
  <c r="AF42" i="125"/>
  <c r="AE42" i="125"/>
  <c r="AD42" i="125"/>
  <c r="AC42" i="125"/>
  <c r="W42" i="125"/>
  <c r="V42" i="125"/>
  <c r="U42" i="125"/>
  <c r="X42" i="125" s="1"/>
  <c r="M42" i="125"/>
  <c r="F42" i="125"/>
  <c r="N42" i="125" s="1"/>
  <c r="AF41" i="125"/>
  <c r="AE41" i="125"/>
  <c r="AD41" i="125"/>
  <c r="AC41" i="125"/>
  <c r="W41" i="125"/>
  <c r="V41" i="125"/>
  <c r="U41" i="125"/>
  <c r="M41" i="125"/>
  <c r="F41" i="125"/>
  <c r="AF40" i="125"/>
  <c r="AE40" i="125"/>
  <c r="AD40" i="125"/>
  <c r="AC40" i="125"/>
  <c r="W40" i="125"/>
  <c r="V40" i="125"/>
  <c r="U40" i="125"/>
  <c r="M40" i="125"/>
  <c r="F40" i="125"/>
  <c r="AF39" i="125"/>
  <c r="AE39" i="125"/>
  <c r="AD39" i="125"/>
  <c r="AC39" i="125"/>
  <c r="W39" i="125"/>
  <c r="V39" i="125"/>
  <c r="U39" i="125"/>
  <c r="M39" i="125"/>
  <c r="F39" i="125"/>
  <c r="AF38" i="125"/>
  <c r="AE38" i="125"/>
  <c r="AD38" i="125"/>
  <c r="AC38" i="125"/>
  <c r="W38" i="125"/>
  <c r="V38" i="125"/>
  <c r="U38" i="125"/>
  <c r="X38" i="125" s="1"/>
  <c r="M38" i="125"/>
  <c r="F38" i="125"/>
  <c r="AF37" i="125"/>
  <c r="AE37" i="125"/>
  <c r="AD37" i="125"/>
  <c r="AC37" i="125"/>
  <c r="W37" i="125"/>
  <c r="V37" i="125"/>
  <c r="U37" i="125"/>
  <c r="M37" i="125"/>
  <c r="F37" i="125"/>
  <c r="N37" i="125" s="1"/>
  <c r="AF36" i="125"/>
  <c r="AE36" i="125"/>
  <c r="AD36" i="125"/>
  <c r="AC36" i="125"/>
  <c r="W36" i="125"/>
  <c r="V36" i="125"/>
  <c r="U36" i="125"/>
  <c r="X36" i="125" s="1"/>
  <c r="M36" i="125"/>
  <c r="F36" i="125"/>
  <c r="AF35" i="125"/>
  <c r="AE35" i="125"/>
  <c r="AD35" i="125"/>
  <c r="AC35" i="125"/>
  <c r="W35" i="125"/>
  <c r="V35" i="125"/>
  <c r="U35" i="125"/>
  <c r="M35" i="125"/>
  <c r="F35" i="125"/>
  <c r="N35" i="125" s="1"/>
  <c r="AF34" i="125"/>
  <c r="AE34" i="125"/>
  <c r="AD34" i="125"/>
  <c r="AC34" i="125"/>
  <c r="W34" i="125"/>
  <c r="V34" i="125"/>
  <c r="U34" i="125"/>
  <c r="M34" i="125"/>
  <c r="F34" i="125"/>
  <c r="N34" i="125" s="1"/>
  <c r="AF33" i="125"/>
  <c r="AE33" i="125"/>
  <c r="AD33" i="125"/>
  <c r="AC33" i="125"/>
  <c r="W33" i="125"/>
  <c r="V33" i="125"/>
  <c r="U33" i="125"/>
  <c r="X33" i="125" s="1"/>
  <c r="M33" i="125"/>
  <c r="F33" i="125"/>
  <c r="AF32" i="125"/>
  <c r="AE32" i="125"/>
  <c r="AD32" i="125"/>
  <c r="AC32" i="125"/>
  <c r="W32" i="125"/>
  <c r="V32" i="125"/>
  <c r="U32" i="125"/>
  <c r="X32" i="125" s="1"/>
  <c r="M32" i="125"/>
  <c r="F32" i="125"/>
  <c r="AF31" i="125"/>
  <c r="AE31" i="125"/>
  <c r="AD31" i="125"/>
  <c r="AC31" i="125"/>
  <c r="W31" i="125"/>
  <c r="V31" i="125"/>
  <c r="U31" i="125"/>
  <c r="M31" i="125"/>
  <c r="F31" i="125"/>
  <c r="AF30" i="125"/>
  <c r="AE30" i="125"/>
  <c r="AD30" i="125"/>
  <c r="AC30" i="125"/>
  <c r="W30" i="125"/>
  <c r="V30" i="125"/>
  <c r="U30" i="125"/>
  <c r="M30" i="125"/>
  <c r="F30" i="125"/>
  <c r="N30" i="125" s="1"/>
  <c r="AF29" i="125"/>
  <c r="AE29" i="125"/>
  <c r="AD29" i="125"/>
  <c r="AC29" i="125"/>
  <c r="W29" i="125"/>
  <c r="V29" i="125"/>
  <c r="U29" i="125"/>
  <c r="M29" i="125"/>
  <c r="F29" i="125"/>
  <c r="N29" i="125" s="1"/>
  <c r="AF28" i="125"/>
  <c r="AE28" i="125"/>
  <c r="AD28" i="125"/>
  <c r="W28" i="125"/>
  <c r="V28" i="125"/>
  <c r="U28" i="125"/>
  <c r="M28" i="125"/>
  <c r="F28" i="125"/>
  <c r="N28" i="125" s="1"/>
  <c r="AF27" i="125"/>
  <c r="AE27" i="125"/>
  <c r="AD27" i="125"/>
  <c r="AC27" i="125"/>
  <c r="W27" i="125"/>
  <c r="V27" i="125"/>
  <c r="U27" i="125"/>
  <c r="M27" i="125"/>
  <c r="F27" i="125"/>
  <c r="N27" i="125" s="1"/>
  <c r="AF26" i="125"/>
  <c r="AE26" i="125"/>
  <c r="AD26" i="125"/>
  <c r="W26" i="125"/>
  <c r="V26" i="125"/>
  <c r="U26" i="125"/>
  <c r="M26" i="125"/>
  <c r="F26" i="125"/>
  <c r="N26" i="125" s="1"/>
  <c r="AF25" i="125"/>
  <c r="AE25" i="125"/>
  <c r="AD25" i="125"/>
  <c r="AC25" i="125"/>
  <c r="W25" i="125"/>
  <c r="V25" i="125"/>
  <c r="U25" i="125"/>
  <c r="M25" i="125"/>
  <c r="F25" i="125"/>
  <c r="AF24" i="125"/>
  <c r="AE24" i="125"/>
  <c r="AD24" i="125"/>
  <c r="AC24" i="125"/>
  <c r="W24" i="125"/>
  <c r="V24" i="125"/>
  <c r="U24" i="125"/>
  <c r="X24" i="125" s="1"/>
  <c r="M24" i="125"/>
  <c r="F24" i="125"/>
  <c r="N24" i="125" s="1"/>
  <c r="AF23" i="125"/>
  <c r="AE23" i="125"/>
  <c r="AD23" i="125"/>
  <c r="AC23" i="125"/>
  <c r="W23" i="125"/>
  <c r="V23" i="125"/>
  <c r="U23" i="125"/>
  <c r="X23" i="125" s="1"/>
  <c r="M23" i="125"/>
  <c r="F23" i="125"/>
  <c r="AF22" i="125"/>
  <c r="AE22" i="125"/>
  <c r="AD22" i="125"/>
  <c r="AC22" i="125"/>
  <c r="W22" i="125"/>
  <c r="V22" i="125"/>
  <c r="U22" i="125"/>
  <c r="X22" i="125" s="1"/>
  <c r="M22" i="125"/>
  <c r="F22" i="125"/>
  <c r="AF21" i="125"/>
  <c r="AE21" i="125"/>
  <c r="AD21" i="125"/>
  <c r="AC21" i="125"/>
  <c r="W21" i="125"/>
  <c r="V21" i="125"/>
  <c r="U21" i="125"/>
  <c r="M21" i="125"/>
  <c r="F21" i="125"/>
  <c r="AF20" i="125"/>
  <c r="AE20" i="125"/>
  <c r="AD20" i="125"/>
  <c r="AC20" i="125"/>
  <c r="W20" i="125"/>
  <c r="V20" i="125"/>
  <c r="U20" i="125"/>
  <c r="X20" i="125" s="1"/>
  <c r="M20" i="125"/>
  <c r="F20" i="125"/>
  <c r="AF19" i="125"/>
  <c r="AE19" i="125"/>
  <c r="AD19" i="125"/>
  <c r="AC19" i="125"/>
  <c r="W19" i="125"/>
  <c r="V19" i="125"/>
  <c r="U19" i="125"/>
  <c r="M19" i="125"/>
  <c r="F19" i="125"/>
  <c r="N19" i="125" s="1"/>
  <c r="AF18" i="125"/>
  <c r="AE18" i="125"/>
  <c r="AD18" i="125"/>
  <c r="AC18" i="125"/>
  <c r="W18" i="125"/>
  <c r="V18" i="125"/>
  <c r="U18" i="125"/>
  <c r="X18" i="125" s="1"/>
  <c r="M18" i="125"/>
  <c r="F18" i="125"/>
  <c r="N18" i="125" s="1"/>
  <c r="AF17" i="125"/>
  <c r="AE17" i="125"/>
  <c r="AD17" i="125"/>
  <c r="AC17" i="125"/>
  <c r="W17" i="125"/>
  <c r="V17" i="125"/>
  <c r="U17" i="125"/>
  <c r="M17" i="125"/>
  <c r="F17" i="125"/>
  <c r="AF16" i="125"/>
  <c r="AE16" i="125"/>
  <c r="AD16" i="125"/>
  <c r="AC16" i="125"/>
  <c r="W16" i="125"/>
  <c r="V16" i="125"/>
  <c r="U16" i="125"/>
  <c r="X16" i="125" s="1"/>
  <c r="M16" i="125"/>
  <c r="F16" i="125"/>
  <c r="AF15" i="125"/>
  <c r="AE15" i="125"/>
  <c r="AD15" i="125"/>
  <c r="AC15" i="125"/>
  <c r="W15" i="125"/>
  <c r="V15" i="125"/>
  <c r="U15" i="125"/>
  <c r="X15" i="125" s="1"/>
  <c r="M15" i="125"/>
  <c r="F15" i="125"/>
  <c r="AF14" i="125"/>
  <c r="AE14" i="125"/>
  <c r="AD14" i="125"/>
  <c r="AC14" i="125"/>
  <c r="W14" i="125"/>
  <c r="V14" i="125"/>
  <c r="U14" i="125"/>
  <c r="M14" i="125"/>
  <c r="F14" i="125"/>
  <c r="A14" i="125"/>
  <c r="A15" i="125" s="1"/>
  <c r="AF13" i="125"/>
  <c r="AE13" i="125"/>
  <c r="AD13" i="125"/>
  <c r="AC13" i="125"/>
  <c r="W13" i="125"/>
  <c r="V13" i="125"/>
  <c r="U13" i="125"/>
  <c r="X13" i="125" s="1"/>
  <c r="M13" i="125"/>
  <c r="F13" i="125"/>
  <c r="E5" i="125"/>
  <c r="A2" i="125"/>
  <c r="T253" i="124"/>
  <c r="S253" i="124"/>
  <c r="R253" i="124"/>
  <c r="Q253" i="124"/>
  <c r="P253" i="124"/>
  <c r="O253" i="124"/>
  <c r="E253" i="124"/>
  <c r="F122" i="124"/>
  <c r="L122" i="124" s="1"/>
  <c r="N122" i="124" s="1"/>
  <c r="AA122" i="124" s="1"/>
  <c r="W121" i="124"/>
  <c r="V121" i="124"/>
  <c r="U121" i="124"/>
  <c r="X121" i="124" s="1"/>
  <c r="M121" i="124"/>
  <c r="F121" i="124"/>
  <c r="L121" i="124" s="1"/>
  <c r="N121" i="124" s="1"/>
  <c r="V120" i="124"/>
  <c r="U120" i="124"/>
  <c r="X120" i="124" s="1"/>
  <c r="M120" i="124"/>
  <c r="F120" i="124"/>
  <c r="V119" i="124"/>
  <c r="U119" i="124"/>
  <c r="X119" i="124" s="1"/>
  <c r="M119" i="124"/>
  <c r="F119" i="124"/>
  <c r="V118" i="124"/>
  <c r="U118" i="124"/>
  <c r="X118" i="124" s="1"/>
  <c r="M118" i="124"/>
  <c r="F118" i="124"/>
  <c r="N118" i="124" s="1"/>
  <c r="Y100" i="131" l="1"/>
  <c r="Z26" i="127"/>
  <c r="Z16" i="128"/>
  <c r="Z24" i="128"/>
  <c r="Y68" i="130"/>
  <c r="Z72" i="130"/>
  <c r="Z88" i="130"/>
  <c r="Y41" i="141"/>
  <c r="Z82" i="141"/>
  <c r="Y94" i="141"/>
  <c r="Z98" i="141"/>
  <c r="AA100" i="141"/>
  <c r="Z15" i="142"/>
  <c r="AA16" i="142"/>
  <c r="L31" i="125"/>
  <c r="N31" i="125" s="1"/>
  <c r="AA31" i="125" s="1"/>
  <c r="AA23" i="127"/>
  <c r="AA80" i="127"/>
  <c r="AA96" i="127"/>
  <c r="AA22" i="129"/>
  <c r="AA30" i="129"/>
  <c r="Z27" i="144"/>
  <c r="Z31" i="144"/>
  <c r="Z46" i="143"/>
  <c r="Y82" i="149"/>
  <c r="Z67" i="143"/>
  <c r="Z80" i="144"/>
  <c r="Z17" i="145"/>
  <c r="Z21" i="145"/>
  <c r="Y25" i="145"/>
  <c r="Z81" i="145"/>
  <c r="Y99" i="151"/>
  <c r="X99" i="151" s="1"/>
  <c r="Z34" i="155"/>
  <c r="W48" i="128"/>
  <c r="Z67" i="147"/>
  <c r="Z87" i="147"/>
  <c r="Z95" i="147"/>
  <c r="Z99" i="147"/>
  <c r="Z16" i="148"/>
  <c r="AA39" i="151"/>
  <c r="Y66" i="151"/>
  <c r="X66" i="151" s="1"/>
  <c r="AA24" i="131"/>
  <c r="AA93" i="131"/>
  <c r="AA26" i="127"/>
  <c r="AA33" i="149"/>
  <c r="Y39" i="149"/>
  <c r="X39" i="149" s="1"/>
  <c r="AA70" i="149"/>
  <c r="AA74" i="149"/>
  <c r="AA78" i="149"/>
  <c r="AA82" i="149"/>
  <c r="AA86" i="149"/>
  <c r="AA90" i="149"/>
  <c r="AA94" i="149"/>
  <c r="AA98" i="149"/>
  <c r="Y13" i="150"/>
  <c r="X13" i="150" s="1"/>
  <c r="AA19" i="150"/>
  <c r="AA35" i="150"/>
  <c r="AA43" i="150"/>
  <c r="AA13" i="151"/>
  <c r="Z24" i="151"/>
  <c r="Z28" i="151"/>
  <c r="Z20" i="155"/>
  <c r="Y73" i="155"/>
  <c r="X73" i="155" s="1"/>
  <c r="Y77" i="155"/>
  <c r="X77" i="155" s="1"/>
  <c r="Z23" i="127"/>
  <c r="Y23" i="127" s="1"/>
  <c r="X23" i="127" s="1"/>
  <c r="Z26" i="129"/>
  <c r="Y26" i="129" s="1"/>
  <c r="Z30" i="129"/>
  <c r="Y30" i="129" s="1"/>
  <c r="Z41" i="129"/>
  <c r="Z24" i="131"/>
  <c r="Z27" i="131"/>
  <c r="Y31" i="131"/>
  <c r="Z35" i="131"/>
  <c r="Z39" i="131"/>
  <c r="Z42" i="131"/>
  <c r="Z46" i="131"/>
  <c r="Z67" i="131"/>
  <c r="Z70" i="131"/>
  <c r="Z90" i="131"/>
  <c r="Z93" i="131"/>
  <c r="Z97" i="131"/>
  <c r="Z94" i="152"/>
  <c r="Z34" i="153"/>
  <c r="Z41" i="153"/>
  <c r="Z45" i="153"/>
  <c r="Z66" i="153"/>
  <c r="Z74" i="153"/>
  <c r="Z43" i="129"/>
  <c r="Z46" i="129"/>
  <c r="Y95" i="129"/>
  <c r="AA93" i="145"/>
  <c r="AA96" i="145"/>
  <c r="AA25" i="146"/>
  <c r="Y98" i="152"/>
  <c r="AA13" i="153"/>
  <c r="Z31" i="155"/>
  <c r="Z91" i="126"/>
  <c r="Z95" i="126"/>
  <c r="Z31" i="154"/>
  <c r="Z35" i="154"/>
  <c r="Z75" i="128"/>
  <c r="Z16" i="140"/>
  <c r="AA18" i="140"/>
  <c r="Z80" i="146"/>
  <c r="Z84" i="146"/>
  <c r="Z92" i="146"/>
  <c r="Y15" i="152"/>
  <c r="AA16" i="152"/>
  <c r="Z19" i="152"/>
  <c r="Y30" i="152"/>
  <c r="X30" i="152" s="1"/>
  <c r="Z34" i="152"/>
  <c r="Y36" i="152"/>
  <c r="X36" i="152" s="1"/>
  <c r="Z37" i="152"/>
  <c r="Z45" i="152"/>
  <c r="Y77" i="152"/>
  <c r="AA30" i="153"/>
  <c r="AA34" i="153"/>
  <c r="Y39" i="153"/>
  <c r="X39" i="153" s="1"/>
  <c r="AA66" i="153"/>
  <c r="AA70" i="153"/>
  <c r="Z70" i="153" s="1"/>
  <c r="Y72" i="153"/>
  <c r="Z77" i="153"/>
  <c r="Z85" i="153"/>
  <c r="Y38" i="154"/>
  <c r="X38" i="154" s="1"/>
  <c r="AA45" i="155"/>
  <c r="Y73" i="125"/>
  <c r="X73" i="125" s="1"/>
  <c r="Z36" i="126"/>
  <c r="Z84" i="126"/>
  <c r="Z88" i="126"/>
  <c r="Z100" i="126"/>
  <c r="Y20" i="127"/>
  <c r="Z24" i="127"/>
  <c r="Z19" i="129"/>
  <c r="AA88" i="130"/>
  <c r="Z95" i="130"/>
  <c r="Z73" i="131"/>
  <c r="Y96" i="131"/>
  <c r="Z19" i="140"/>
  <c r="Z23" i="140"/>
  <c r="Z98" i="140"/>
  <c r="AA43" i="146"/>
  <c r="AA68" i="146"/>
  <c r="AA32" i="126"/>
  <c r="AA27" i="127"/>
  <c r="Z27" i="127" s="1"/>
  <c r="Z29" i="127"/>
  <c r="Z44" i="127"/>
  <c r="Z84" i="127"/>
  <c r="Y84" i="127" s="1"/>
  <c r="Z92" i="127"/>
  <c r="Y92" i="127" s="1"/>
  <c r="Z37" i="129"/>
  <c r="Y93" i="130"/>
  <c r="Z77" i="148"/>
  <c r="Z89" i="148"/>
  <c r="Z93" i="148"/>
  <c r="AA99" i="148"/>
  <c r="Y35" i="151"/>
  <c r="Z19" i="125"/>
  <c r="Z26" i="128"/>
  <c r="Y84" i="128"/>
  <c r="Y92" i="128"/>
  <c r="Y96" i="128"/>
  <c r="Z18" i="130"/>
  <c r="Z45" i="130"/>
  <c r="AA79" i="140"/>
  <c r="Z44" i="141"/>
  <c r="Z29" i="142"/>
  <c r="Z94" i="142"/>
  <c r="Z98" i="142"/>
  <c r="Z92" i="143"/>
  <c r="Z100" i="143"/>
  <c r="Y100" i="143" s="1"/>
  <c r="Z42" i="146"/>
  <c r="Z19" i="147"/>
  <c r="Z26" i="147"/>
  <c r="Z98" i="147"/>
  <c r="Z15" i="148"/>
  <c r="Y15" i="148" s="1"/>
  <c r="Z23" i="148"/>
  <c r="Z31" i="148"/>
  <c r="Y15" i="149"/>
  <c r="X15" i="149" s="1"/>
  <c r="Z93" i="151"/>
  <c r="Z14" i="152"/>
  <c r="Z13" i="154"/>
  <c r="Z34" i="125"/>
  <c r="Y27" i="126"/>
  <c r="X27" i="126" s="1"/>
  <c r="AA40" i="126"/>
  <c r="AA16" i="129"/>
  <c r="AA20" i="129"/>
  <c r="AA69" i="144"/>
  <c r="Y71" i="144"/>
  <c r="Y75" i="144"/>
  <c r="Y28" i="148"/>
  <c r="Z99" i="148"/>
  <c r="AD48" i="149"/>
  <c r="Y16" i="149"/>
  <c r="AA18" i="149"/>
  <c r="AA22" i="149"/>
  <c r="Z22" i="149" s="1"/>
  <c r="Y32" i="149"/>
  <c r="AA73" i="150"/>
  <c r="AA77" i="150"/>
  <c r="AA81" i="150"/>
  <c r="AA85" i="150"/>
  <c r="AA89" i="150"/>
  <c r="AA93" i="150"/>
  <c r="AA97" i="150"/>
  <c r="Y89" i="152"/>
  <c r="AA77" i="154"/>
  <c r="Y30" i="155"/>
  <c r="Z45" i="155"/>
  <c r="Z23" i="125"/>
  <c r="Y23" i="125" s="1"/>
  <c r="Y46" i="127"/>
  <c r="Z67" i="127"/>
  <c r="Z74" i="129"/>
  <c r="Z15" i="130"/>
  <c r="Y15" i="130" s="1"/>
  <c r="Z74" i="140"/>
  <c r="Z36" i="141"/>
  <c r="Z21" i="142"/>
  <c r="Z13" i="144"/>
  <c r="Z78" i="144"/>
  <c r="Y98" i="144"/>
  <c r="Z34" i="145"/>
  <c r="Z46" i="145"/>
  <c r="Z94" i="146"/>
  <c r="Z90" i="147"/>
  <c r="Z19" i="148"/>
  <c r="Z27" i="148"/>
  <c r="Z96" i="153"/>
  <c r="Y21" i="154"/>
  <c r="Z41" i="154"/>
  <c r="Z45" i="154"/>
  <c r="Z78" i="154"/>
  <c r="Z15" i="125"/>
  <c r="AA19" i="125"/>
  <c r="Z36" i="125"/>
  <c r="Z22" i="126"/>
  <c r="Y22" i="126" s="1"/>
  <c r="Z77" i="128"/>
  <c r="Z80" i="128"/>
  <c r="Z99" i="128"/>
  <c r="Z20" i="129"/>
  <c r="Y20" i="129" s="1"/>
  <c r="Y100" i="129"/>
  <c r="Z21" i="130"/>
  <c r="Z32" i="131"/>
  <c r="Y36" i="131"/>
  <c r="Y94" i="131"/>
  <c r="AA69" i="141"/>
  <c r="Z69" i="141" s="1"/>
  <c r="AA77" i="141"/>
  <c r="Z77" i="141" s="1"/>
  <c r="AA85" i="141"/>
  <c r="Z85" i="141" s="1"/>
  <c r="AA93" i="141"/>
  <c r="Z93" i="141" s="1"/>
  <c r="Y100" i="141"/>
  <c r="Z16" i="142"/>
  <c r="Y20" i="142"/>
  <c r="Z28" i="142"/>
  <c r="Z32" i="142"/>
  <c r="Y84" i="142"/>
  <c r="Z93" i="142"/>
  <c r="Y18" i="143"/>
  <c r="Z88" i="143"/>
  <c r="Y88" i="143" s="1"/>
  <c r="Y93" i="144"/>
  <c r="Z26" i="146"/>
  <c r="Z29" i="146"/>
  <c r="Z33" i="146"/>
  <c r="AA42" i="146"/>
  <c r="AA75" i="146"/>
  <c r="AA91" i="146"/>
  <c r="AA19" i="148"/>
  <c r="AA27" i="148"/>
  <c r="Y29" i="148"/>
  <c r="AA31" i="148"/>
  <c r="Z38" i="149"/>
  <c r="Z42" i="149"/>
  <c r="Z46" i="149"/>
  <c r="Z71" i="149"/>
  <c r="Y75" i="149"/>
  <c r="X75" i="149" s="1"/>
  <c r="Z14" i="151"/>
  <c r="Y73" i="151"/>
  <c r="Z32" i="152"/>
  <c r="Y43" i="152"/>
  <c r="Z46" i="152"/>
  <c r="Y91" i="152"/>
  <c r="Z15" i="153"/>
  <c r="Z38" i="153"/>
  <c r="Z79" i="153"/>
  <c r="Z69" i="154"/>
  <c r="Y73" i="154"/>
  <c r="AA74" i="154"/>
  <c r="Y17" i="155"/>
  <c r="Z28" i="155"/>
  <c r="Z43" i="155"/>
  <c r="AA19" i="126"/>
  <c r="AA26" i="126"/>
  <c r="AA34" i="126"/>
  <c r="AA34" i="127"/>
  <c r="Z91" i="127"/>
  <c r="Y44" i="128"/>
  <c r="Z79" i="128"/>
  <c r="Z98" i="128"/>
  <c r="Y33" i="129"/>
  <c r="AA21" i="131"/>
  <c r="AA28" i="131"/>
  <c r="AA32" i="131"/>
  <c r="Y41" i="131"/>
  <c r="AA83" i="131"/>
  <c r="AA37" i="140"/>
  <c r="Y66" i="140"/>
  <c r="AA72" i="140"/>
  <c r="Z72" i="140" s="1"/>
  <c r="AA87" i="140"/>
  <c r="Y13" i="141"/>
  <c r="X13" i="141" s="1"/>
  <c r="AA15" i="141"/>
  <c r="AA22" i="141"/>
  <c r="AA38" i="141"/>
  <c r="AA66" i="141"/>
  <c r="AA34" i="142"/>
  <c r="AA42" i="142"/>
  <c r="AA92" i="143"/>
  <c r="Y94" i="143"/>
  <c r="AA96" i="143"/>
  <c r="AA41" i="144"/>
  <c r="AA32" i="145"/>
  <c r="Y31" i="146"/>
  <c r="AA33" i="146"/>
  <c r="Y77" i="147"/>
  <c r="Y22" i="148"/>
  <c r="AA35" i="148"/>
  <c r="AA39" i="148"/>
  <c r="AA71" i="148"/>
  <c r="Y88" i="150"/>
  <c r="Y96" i="150"/>
  <c r="Y13" i="151"/>
  <c r="X13" i="151" s="1"/>
  <c r="Y79" i="152"/>
  <c r="Y83" i="152"/>
  <c r="AA86" i="154"/>
  <c r="Y75" i="155"/>
  <c r="AA77" i="155"/>
  <c r="Z35" i="125"/>
  <c r="Z42" i="125"/>
  <c r="Z45" i="125"/>
  <c r="F192" i="125"/>
  <c r="Z68" i="125"/>
  <c r="Z82" i="126"/>
  <c r="Z90" i="126"/>
  <c r="Z69" i="127"/>
  <c r="Y69" i="127" s="1"/>
  <c r="Z94" i="127"/>
  <c r="Z19" i="128"/>
  <c r="Y19" i="128" s="1"/>
  <c r="Z32" i="128"/>
  <c r="Z36" i="128"/>
  <c r="Z42" i="128"/>
  <c r="Z76" i="128"/>
  <c r="Y78" i="128"/>
  <c r="X78" i="128" s="1"/>
  <c r="Y81" i="128"/>
  <c r="Y100" i="128"/>
  <c r="Z73" i="129"/>
  <c r="AA75" i="129"/>
  <c r="Z77" i="129"/>
  <c r="Z81" i="129"/>
  <c r="Z27" i="130"/>
  <c r="Y27" i="130" s="1"/>
  <c r="Z31" i="130"/>
  <c r="Y31" i="130" s="1"/>
  <c r="Z67" i="130"/>
  <c r="Z71" i="130"/>
  <c r="AA73" i="130"/>
  <c r="Z75" i="130"/>
  <c r="AA45" i="131"/>
  <c r="Z14" i="140"/>
  <c r="Z22" i="140"/>
  <c r="Z30" i="140"/>
  <c r="Z38" i="140"/>
  <c r="Z84" i="140"/>
  <c r="Y39" i="141"/>
  <c r="Z43" i="141"/>
  <c r="Z46" i="141"/>
  <c r="AA69" i="142"/>
  <c r="AA73" i="142"/>
  <c r="Z73" i="142" s="1"/>
  <c r="AA97" i="142"/>
  <c r="Z13" i="143"/>
  <c r="Z16" i="143"/>
  <c r="Z23" i="143"/>
  <c r="AA69" i="143"/>
  <c r="AA77" i="143"/>
  <c r="Z80" i="143"/>
  <c r="Y80" i="143" s="1"/>
  <c r="AA88" i="143"/>
  <c r="Z90" i="143"/>
  <c r="Y90" i="143" s="1"/>
  <c r="Z86" i="144"/>
  <c r="Z94" i="144"/>
  <c r="Z14" i="145"/>
  <c r="Z19" i="146"/>
  <c r="AA19" i="147"/>
  <c r="Z25" i="147"/>
  <c r="AA26" i="147"/>
  <c r="Z29" i="147"/>
  <c r="Y29" i="147" s="1"/>
  <c r="Z40" i="147"/>
  <c r="Y40" i="147" s="1"/>
  <c r="Z68" i="147"/>
  <c r="Z72" i="147"/>
  <c r="Z76" i="147"/>
  <c r="Y80" i="147"/>
  <c r="Z84" i="147"/>
  <c r="Z44" i="148"/>
  <c r="Z68" i="148"/>
  <c r="Z19" i="150"/>
  <c r="Z22" i="150"/>
  <c r="Z30" i="150"/>
  <c r="Z34" i="150"/>
  <c r="Z35" i="150"/>
  <c r="Z46" i="150"/>
  <c r="Z82" i="151"/>
  <c r="Y86" i="151"/>
  <c r="Z75" i="152"/>
  <c r="Y75" i="152" s="1"/>
  <c r="Z86" i="152"/>
  <c r="Z24" i="153"/>
  <c r="Z87" i="153"/>
  <c r="Z91" i="153"/>
  <c r="Z95" i="153"/>
  <c r="Z99" i="153"/>
  <c r="Z16" i="154"/>
  <c r="Z24" i="154"/>
  <c r="Z28" i="154"/>
  <c r="AA23" i="155"/>
  <c r="Z37" i="155"/>
  <c r="AA41" i="155"/>
  <c r="AA72" i="155"/>
  <c r="Z86" i="155"/>
  <c r="Z97" i="155"/>
  <c r="L119" i="124"/>
  <c r="N119" i="124"/>
  <c r="AA119" i="124" s="1"/>
  <c r="L120" i="124"/>
  <c r="N120" i="124"/>
  <c r="W192" i="125"/>
  <c r="Z20" i="125"/>
  <c r="Y20" i="125" s="1"/>
  <c r="AA35" i="125"/>
  <c r="AA42" i="125"/>
  <c r="Z43" i="125"/>
  <c r="AA45" i="125"/>
  <c r="Y18" i="126"/>
  <c r="X18" i="126" s="1"/>
  <c r="Z26" i="126"/>
  <c r="AA35" i="126"/>
  <c r="Z37" i="126"/>
  <c r="AA42" i="126"/>
  <c r="Z74" i="126"/>
  <c r="Z77" i="126"/>
  <c r="Z93" i="126"/>
  <c r="AA43" i="127"/>
  <c r="Z45" i="127"/>
  <c r="Z78" i="127"/>
  <c r="Z82" i="127"/>
  <c r="AA19" i="128"/>
  <c r="AA39" i="128"/>
  <c r="AA72" i="128"/>
  <c r="Z91" i="128"/>
  <c r="Z35" i="129"/>
  <c r="AA70" i="129"/>
  <c r="Y40" i="130"/>
  <c r="Z78" i="130"/>
  <c r="AA26" i="140"/>
  <c r="AA42" i="140"/>
  <c r="Z42" i="140" s="1"/>
  <c r="AA80" i="140"/>
  <c r="AA95" i="140"/>
  <c r="AA19" i="142"/>
  <c r="AA35" i="142"/>
  <c r="AA43" i="142"/>
  <c r="AA68" i="142"/>
  <c r="AA80" i="142"/>
  <c r="AA84" i="142"/>
  <c r="AA88" i="142"/>
  <c r="AA92" i="142"/>
  <c r="AA93" i="143"/>
  <c r="AA14" i="144"/>
  <c r="AA22" i="144"/>
  <c r="AA38" i="144"/>
  <c r="AA46" i="144"/>
  <c r="AA67" i="144"/>
  <c r="Z96" i="144"/>
  <c r="AA14" i="145"/>
  <c r="Z32" i="145"/>
  <c r="Z35" i="145"/>
  <c r="AA15" i="146"/>
  <c r="Z37" i="146"/>
  <c r="AA45" i="146"/>
  <c r="AA36" i="147"/>
  <c r="AA72" i="147"/>
  <c r="AA76" i="147"/>
  <c r="AA80" i="147"/>
  <c r="AA84" i="147"/>
  <c r="Y78" i="148"/>
  <c r="Y95" i="148"/>
  <c r="AA32" i="149"/>
  <c r="Y24" i="150"/>
  <c r="X24" i="150" s="1"/>
  <c r="AA26" i="150"/>
  <c r="AA34" i="150"/>
  <c r="Y40" i="150"/>
  <c r="X40" i="150" s="1"/>
  <c r="AA42" i="150"/>
  <c r="Y78" i="150"/>
  <c r="X78" i="150" s="1"/>
  <c r="Y82" i="150"/>
  <c r="X82" i="150" s="1"/>
  <c r="Y44" i="151"/>
  <c r="X44" i="151" s="1"/>
  <c r="Z89" i="151"/>
  <c r="AA94" i="151"/>
  <c r="Z94" i="151" s="1"/>
  <c r="Z97" i="151"/>
  <c r="AA33" i="152"/>
  <c r="Y38" i="152"/>
  <c r="X38" i="152" s="1"/>
  <c r="M102" i="152"/>
  <c r="AA78" i="152"/>
  <c r="AA87" i="153"/>
  <c r="Y93" i="153"/>
  <c r="Z67" i="154"/>
  <c r="Z71" i="154"/>
  <c r="Z83" i="154"/>
  <c r="Z90" i="154"/>
  <c r="AA37" i="155"/>
  <c r="Y38" i="155"/>
  <c r="Z32" i="125"/>
  <c r="M48" i="125"/>
  <c r="AA18" i="125"/>
  <c r="L97" i="125"/>
  <c r="N97" i="125"/>
  <c r="AA97" i="125" s="1"/>
  <c r="AA17" i="126"/>
  <c r="AA39" i="129"/>
  <c r="AD102" i="129"/>
  <c r="AA45" i="140"/>
  <c r="Z45" i="140" s="1"/>
  <c r="AA91" i="144"/>
  <c r="Z91" i="144" s="1"/>
  <c r="AA40" i="145"/>
  <c r="Y14" i="151"/>
  <c r="X14" i="151" s="1"/>
  <c r="Z33" i="125"/>
  <c r="AA34" i="125"/>
  <c r="Z40" i="125"/>
  <c r="Y46" i="125"/>
  <c r="X46" i="125" s="1"/>
  <c r="Y69" i="125"/>
  <c r="X69" i="125" s="1"/>
  <c r="Y74" i="125"/>
  <c r="X74" i="125" s="1"/>
  <c r="AA75" i="125"/>
  <c r="AA14" i="126"/>
  <c r="Z17" i="126"/>
  <c r="Y19" i="126"/>
  <c r="X19" i="126" s="1"/>
  <c r="Z23" i="126"/>
  <c r="AA24" i="126"/>
  <c r="AA39" i="126"/>
  <c r="Z42" i="126"/>
  <c r="Z46" i="126"/>
  <c r="Y66" i="126"/>
  <c r="Y96" i="126"/>
  <c r="X96" i="126" s="1"/>
  <c r="AA14" i="127"/>
  <c r="Y36" i="127"/>
  <c r="AA37" i="127"/>
  <c r="Z76" i="127"/>
  <c r="Y76" i="127" s="1"/>
  <c r="Y79" i="127"/>
  <c r="Y83" i="127"/>
  <c r="Z100" i="127"/>
  <c r="Y100" i="127" s="1"/>
  <c r="AA15" i="128"/>
  <c r="Z25" i="128"/>
  <c r="Z27" i="128"/>
  <c r="Y27" i="128" s="1"/>
  <c r="Z31" i="128"/>
  <c r="Y31" i="128" s="1"/>
  <c r="AA35" i="128"/>
  <c r="Z72" i="128"/>
  <c r="AA73" i="128"/>
  <c r="Z73" i="128" s="1"/>
  <c r="Z87" i="128"/>
  <c r="Y87" i="128" s="1"/>
  <c r="Z90" i="128"/>
  <c r="Z97" i="128"/>
  <c r="AA15" i="129"/>
  <c r="Z20" i="130"/>
  <c r="Z91" i="130"/>
  <c r="AA98" i="130"/>
  <c r="Z76" i="131"/>
  <c r="Z79" i="131"/>
  <c r="Z86" i="131"/>
  <c r="AA13" i="140"/>
  <c r="Z13" i="140" s="1"/>
  <c r="Z23" i="142"/>
  <c r="Y27" i="142"/>
  <c r="Z31" i="142"/>
  <c r="Z69" i="143"/>
  <c r="Z77" i="143"/>
  <c r="AA82" i="143"/>
  <c r="Z98" i="145"/>
  <c r="Z33" i="149"/>
  <c r="Z40" i="149"/>
  <c r="Z44" i="149"/>
  <c r="Z98" i="149"/>
  <c r="Z18" i="150"/>
  <c r="Z21" i="150"/>
  <c r="Z33" i="150"/>
  <c r="Y66" i="153"/>
  <c r="AA66" i="155"/>
  <c r="AA43" i="125"/>
  <c r="AA74" i="125"/>
  <c r="AA23" i="126"/>
  <c r="AA27" i="126"/>
  <c r="AA17" i="127"/>
  <c r="AA67" i="127"/>
  <c r="AC48" i="128"/>
  <c r="M102" i="129"/>
  <c r="AA80" i="130"/>
  <c r="Z22" i="125"/>
  <c r="Y22" i="125" s="1"/>
  <c r="Z75" i="125"/>
  <c r="Y75" i="125" s="1"/>
  <c r="L94" i="125"/>
  <c r="N94" i="125"/>
  <c r="AA94" i="125" s="1"/>
  <c r="U48" i="126"/>
  <c r="Z14" i="126"/>
  <c r="Z28" i="126"/>
  <c r="Z40" i="126"/>
  <c r="Z25" i="127"/>
  <c r="Z30" i="127"/>
  <c r="Z33" i="127"/>
  <c r="Z80" i="127"/>
  <c r="Y80" i="127" s="1"/>
  <c r="Z21" i="128"/>
  <c r="Z46" i="128"/>
  <c r="Z21" i="129"/>
  <c r="Z31" i="129"/>
  <c r="Y31" i="129" s="1"/>
  <c r="Z34" i="129"/>
  <c r="Z36" i="129"/>
  <c r="Y36" i="129" s="1"/>
  <c r="Z40" i="129"/>
  <c r="Y40" i="129" s="1"/>
  <c r="Z42" i="129"/>
  <c r="Z44" i="129"/>
  <c r="Y44" i="129" s="1"/>
  <c r="Z76" i="129"/>
  <c r="Z80" i="129"/>
  <c r="Z98" i="129"/>
  <c r="Z30" i="130"/>
  <c r="Z37" i="130"/>
  <c r="Z45" i="131"/>
  <c r="M102" i="131"/>
  <c r="Z19" i="143"/>
  <c r="Z22" i="143"/>
  <c r="W48" i="144"/>
  <c r="Z20" i="144"/>
  <c r="F48" i="146"/>
  <c r="Z86" i="146"/>
  <c r="Z91" i="146"/>
  <c r="Z93" i="146"/>
  <c r="Z96" i="146"/>
  <c r="Z17" i="147"/>
  <c r="Y17" i="147" s="1"/>
  <c r="Z24" i="147"/>
  <c r="Y24" i="147" s="1"/>
  <c r="Z32" i="147"/>
  <c r="Z42" i="147"/>
  <c r="Z45" i="147"/>
  <c r="Y45" i="147" s="1"/>
  <c r="Z70" i="147"/>
  <c r="Z78" i="147"/>
  <c r="Z86" i="147"/>
  <c r="AA32" i="153"/>
  <c r="AA35" i="153"/>
  <c r="Z35" i="153" s="1"/>
  <c r="AA67" i="153"/>
  <c r="AA71" i="153"/>
  <c r="AA79" i="153"/>
  <c r="Z34" i="126"/>
  <c r="AA37" i="126"/>
  <c r="Z39" i="126"/>
  <c r="Z44" i="126"/>
  <c r="Y44" i="126" s="1"/>
  <c r="X44" i="126" s="1"/>
  <c r="AF102" i="126"/>
  <c r="AE102" i="126" s="1"/>
  <c r="Z76" i="126"/>
  <c r="Y79" i="126"/>
  <c r="X79" i="126" s="1"/>
  <c r="Z87" i="126"/>
  <c r="Z14" i="127"/>
  <c r="AA22" i="127"/>
  <c r="Z32" i="127"/>
  <c r="Z42" i="127"/>
  <c r="Z70" i="127"/>
  <c r="Z72" i="127"/>
  <c r="Z73" i="127"/>
  <c r="Y73" i="127" s="1"/>
  <c r="AA76" i="127"/>
  <c r="Z88" i="127"/>
  <c r="Y88" i="127" s="1"/>
  <c r="AA92" i="127"/>
  <c r="Z15" i="128"/>
  <c r="Y17" i="128"/>
  <c r="Z20" i="128"/>
  <c r="AA23" i="128"/>
  <c r="AA27" i="128"/>
  <c r="Z30" i="128"/>
  <c r="Z35" i="128"/>
  <c r="Y35" i="128" s="1"/>
  <c r="Z37" i="128"/>
  <c r="Y67" i="128"/>
  <c r="Z71" i="128"/>
  <c r="AA82" i="128"/>
  <c r="Y88" i="128"/>
  <c r="AA89" i="128"/>
  <c r="Z89" i="128" s="1"/>
  <c r="Y95" i="128"/>
  <c r="Z15" i="129"/>
  <c r="Z18" i="129"/>
  <c r="Z23" i="129"/>
  <c r="Z27" i="129"/>
  <c r="Y27" i="129" s="1"/>
  <c r="AA34" i="129"/>
  <c r="Z39" i="129"/>
  <c r="AA40" i="129"/>
  <c r="Z71" i="129"/>
  <c r="AA86" i="129"/>
  <c r="Z86" i="129" s="1"/>
  <c r="Z93" i="129"/>
  <c r="AA94" i="129"/>
  <c r="Y28" i="130"/>
  <c r="Z46" i="130"/>
  <c r="Z66" i="130"/>
  <c r="AA67" i="130"/>
  <c r="Z77" i="130"/>
  <c r="Z80" i="130"/>
  <c r="Z92" i="130"/>
  <c r="AE48" i="131"/>
  <c r="Z15" i="131"/>
  <c r="Y21" i="131"/>
  <c r="X21" i="131" s="1"/>
  <c r="AA26" i="131"/>
  <c r="Z77" i="131"/>
  <c r="Y81" i="131"/>
  <c r="Z84" i="131"/>
  <c r="Z88" i="131"/>
  <c r="Z80" i="140"/>
  <c r="Z87" i="140"/>
  <c r="Z89" i="140"/>
  <c r="Z92" i="140"/>
  <c r="Z17" i="141"/>
  <c r="Z20" i="141"/>
  <c r="Z35" i="141"/>
  <c r="Z38" i="141"/>
  <c r="AA46" i="141"/>
  <c r="Z73" i="141"/>
  <c r="Z89" i="141"/>
  <c r="Z97" i="141"/>
  <c r="AA18" i="142"/>
  <c r="Z18" i="142" s="1"/>
  <c r="Y46" i="142"/>
  <c r="Z74" i="142"/>
  <c r="X77" i="142"/>
  <c r="Y77" i="142"/>
  <c r="Z86" i="142"/>
  <c r="AA21" i="143"/>
  <c r="Z21" i="143" s="1"/>
  <c r="Y25" i="143"/>
  <c r="Y29" i="143"/>
  <c r="Z41" i="144"/>
  <c r="Y77" i="144"/>
  <c r="Z81" i="144"/>
  <c r="Z84" i="144"/>
  <c r="AA99" i="144"/>
  <c r="Z99" i="144" s="1"/>
  <c r="AE48" i="145"/>
  <c r="AD48" i="145" s="1"/>
  <c r="AA16" i="145"/>
  <c r="Z16" i="145" s="1"/>
  <c r="Z35" i="146"/>
  <c r="Y38" i="146"/>
  <c r="AA67" i="146"/>
  <c r="X76" i="146"/>
  <c r="Y76" i="146"/>
  <c r="AA99" i="146"/>
  <c r="AA16" i="147"/>
  <c r="Y21" i="147"/>
  <c r="AA23" i="147"/>
  <c r="AA88" i="147"/>
  <c r="AA92" i="147"/>
  <c r="AA100" i="147"/>
  <c r="AA17" i="148"/>
  <c r="Z43" i="148"/>
  <c r="Z45" i="148"/>
  <c r="AA75" i="148"/>
  <c r="Z75" i="148" s="1"/>
  <c r="Y81" i="148"/>
  <c r="AA83" i="148"/>
  <c r="Z83" i="148" s="1"/>
  <c r="Y85" i="148"/>
  <c r="AA87" i="148"/>
  <c r="AA91" i="148"/>
  <c r="Z91" i="148" s="1"/>
  <c r="AA95" i="148"/>
  <c r="Y98" i="148"/>
  <c r="Y18" i="149"/>
  <c r="Y25" i="149"/>
  <c r="Y45" i="149"/>
  <c r="Z73" i="150"/>
  <c r="Y84" i="150"/>
  <c r="Z97" i="150"/>
  <c r="Z13" i="151"/>
  <c r="Z22" i="151"/>
  <c r="Z30" i="151"/>
  <c r="Y33" i="151"/>
  <c r="X33" i="151" s="1"/>
  <c r="AA73" i="151"/>
  <c r="AA77" i="151"/>
  <c r="Z87" i="151"/>
  <c r="Y22" i="152"/>
  <c r="AA23" i="152"/>
  <c r="Z23" i="152" s="1"/>
  <c r="Z40" i="152"/>
  <c r="Z90" i="153"/>
  <c r="Z94" i="153"/>
  <c r="Z23" i="154"/>
  <c r="Y34" i="154"/>
  <c r="AA68" i="154"/>
  <c r="Z79" i="154"/>
  <c r="Z82" i="154"/>
  <c r="AA87" i="154"/>
  <c r="Z87" i="154" s="1"/>
  <c r="Y89" i="154"/>
  <c r="AA94" i="154"/>
  <c r="Y22" i="130"/>
  <c r="Z26" i="130"/>
  <c r="Z43" i="130"/>
  <c r="Y43" i="130" s="1"/>
  <c r="Z83" i="130"/>
  <c r="Z87" i="130"/>
  <c r="Z96" i="130"/>
  <c r="Z99" i="130"/>
  <c r="Z38" i="131"/>
  <c r="Z40" i="131"/>
  <c r="Z68" i="131"/>
  <c r="Z72" i="131"/>
  <c r="Z85" i="131"/>
  <c r="Z26" i="140"/>
  <c r="Z32" i="140"/>
  <c r="AA34" i="140"/>
  <c r="Z37" i="140"/>
  <c r="Y40" i="140"/>
  <c r="Y43" i="140"/>
  <c r="Z46" i="140"/>
  <c r="AA88" i="140"/>
  <c r="Z93" i="140"/>
  <c r="Z14" i="141"/>
  <c r="Z33" i="141"/>
  <c r="U102" i="141"/>
  <c r="Z19" i="142"/>
  <c r="Z34" i="142"/>
  <c r="Z44" i="142"/>
  <c r="Z84" i="142"/>
  <c r="Z92" i="142"/>
  <c r="Z35" i="143"/>
  <c r="Z42" i="143"/>
  <c r="AF102" i="143"/>
  <c r="Z86" i="143"/>
  <c r="Z91" i="143"/>
  <c r="Z94" i="143"/>
  <c r="Z15" i="144"/>
  <c r="Z23" i="144"/>
  <c r="Z38" i="144"/>
  <c r="Z46" i="144"/>
  <c r="Z30" i="145"/>
  <c r="Z33" i="145"/>
  <c r="Z41" i="145"/>
  <c r="Z66" i="145"/>
  <c r="AC102" i="145"/>
  <c r="Y76" i="145"/>
  <c r="Z83" i="145"/>
  <c r="Z94" i="145"/>
  <c r="Z97" i="145"/>
  <c r="Z14" i="146"/>
  <c r="Z22" i="146"/>
  <c r="Z39" i="146"/>
  <c r="Z25" i="148"/>
  <c r="Z32" i="148"/>
  <c r="Z40" i="148"/>
  <c r="Z24" i="150"/>
  <c r="Z28" i="150"/>
  <c r="Z36" i="150"/>
  <c r="Z40" i="150"/>
  <c r="Z23" i="151"/>
  <c r="Y23" i="151" s="1"/>
  <c r="Z27" i="151"/>
  <c r="Z38" i="151"/>
  <c r="Z39" i="151"/>
  <c r="V48" i="152"/>
  <c r="Z72" i="154"/>
  <c r="Z76" i="154"/>
  <c r="Z89" i="131"/>
  <c r="Y91" i="131"/>
  <c r="X91" i="131" s="1"/>
  <c r="AA98" i="131"/>
  <c r="Z98" i="131" s="1"/>
  <c r="Y27" i="140"/>
  <c r="AA29" i="140"/>
  <c r="Z29" i="140" s="1"/>
  <c r="Z35" i="140"/>
  <c r="Z39" i="140"/>
  <c r="Z68" i="140"/>
  <c r="AA69" i="140"/>
  <c r="Z82" i="140"/>
  <c r="Y95" i="140"/>
  <c r="AA96" i="140"/>
  <c r="W48" i="141"/>
  <c r="Z16" i="141"/>
  <c r="Z23" i="141"/>
  <c r="Z27" i="141"/>
  <c r="AA68" i="141"/>
  <c r="Z68" i="141" s="1"/>
  <c r="AA76" i="141"/>
  <c r="Z76" i="141" s="1"/>
  <c r="Y78" i="141"/>
  <c r="Z79" i="141"/>
  <c r="AA84" i="141"/>
  <c r="Z84" i="141" s="1"/>
  <c r="AA92" i="141"/>
  <c r="Z92" i="141" s="1"/>
  <c r="Y99" i="141"/>
  <c r="Z36" i="142"/>
  <c r="Z39" i="142"/>
  <c r="Z45" i="142"/>
  <c r="AA81" i="142"/>
  <c r="Z81" i="142" s="1"/>
  <c r="AA89" i="142"/>
  <c r="Z89" i="142" s="1"/>
  <c r="AA96" i="142"/>
  <c r="Z96" i="142" s="1"/>
  <c r="Z31" i="143"/>
  <c r="Y31" i="143" s="1"/>
  <c r="Y75" i="143"/>
  <c r="AA76" i="143"/>
  <c r="Z76" i="143" s="1"/>
  <c r="Z79" i="143"/>
  <c r="Z82" i="143"/>
  <c r="Y82" i="143" s="1"/>
  <c r="Z85" i="143"/>
  <c r="Z93" i="143"/>
  <c r="AA30" i="144"/>
  <c r="Z30" i="144" s="1"/>
  <c r="AA33" i="144"/>
  <c r="Z33" i="144" s="1"/>
  <c r="Z36" i="144"/>
  <c r="AA66" i="144"/>
  <c r="Z66" i="144" s="1"/>
  <c r="Z68" i="144"/>
  <c r="AA83" i="144"/>
  <c r="Z83" i="144" s="1"/>
  <c r="Z85" i="144"/>
  <c r="AA13" i="145"/>
  <c r="Z13" i="145" s="1"/>
  <c r="W48" i="145"/>
  <c r="Z29" i="145"/>
  <c r="AA69" i="145"/>
  <c r="Z69" i="145" s="1"/>
  <c r="AA72" i="145"/>
  <c r="AA77" i="145"/>
  <c r="AA80" i="145"/>
  <c r="Z80" i="145" s="1"/>
  <c r="Z86" i="145"/>
  <c r="AA88" i="145"/>
  <c r="Z13" i="146"/>
  <c r="AA14" i="146"/>
  <c r="Y34" i="146"/>
  <c r="Z40" i="146"/>
  <c r="Y72" i="146"/>
  <c r="AA83" i="146"/>
  <c r="Z85" i="146"/>
  <c r="Z89" i="146"/>
  <c r="W48" i="147"/>
  <c r="AF48" i="147"/>
  <c r="AA20" i="147"/>
  <c r="Z23" i="147"/>
  <c r="Y31" i="147"/>
  <c r="AA32" i="147"/>
  <c r="AA35" i="147"/>
  <c r="AA39" i="147"/>
  <c r="Y81" i="147"/>
  <c r="Z88" i="147"/>
  <c r="Z92" i="147"/>
  <c r="Z13" i="148"/>
  <c r="Z17" i="148"/>
  <c r="Z35" i="148"/>
  <c r="Z39" i="148"/>
  <c r="AA43" i="148"/>
  <c r="AA66" i="148"/>
  <c r="Z73" i="148"/>
  <c r="Z80" i="148"/>
  <c r="Z84" i="148"/>
  <c r="Z88" i="148"/>
  <c r="Z92" i="148"/>
  <c r="Z96" i="148"/>
  <c r="AA14" i="149"/>
  <c r="Z14" i="149" s="1"/>
  <c r="Z20" i="149"/>
  <c r="Z28" i="149"/>
  <c r="Z43" i="149"/>
  <c r="Z68" i="149"/>
  <c r="Z76" i="149"/>
  <c r="Z80" i="149"/>
  <c r="Z84" i="149"/>
  <c r="Z88" i="149"/>
  <c r="Z100" i="149"/>
  <c r="Z17" i="150"/>
  <c r="AA18" i="150"/>
  <c r="Y19" i="150"/>
  <c r="Z20" i="150"/>
  <c r="Z31" i="150"/>
  <c r="Y68" i="150"/>
  <c r="Z75" i="150"/>
  <c r="Z87" i="150"/>
  <c r="Z95" i="150"/>
  <c r="Y98" i="150"/>
  <c r="X98" i="150" s="1"/>
  <c r="AA22" i="151"/>
  <c r="Z25" i="151"/>
  <c r="Z44" i="151"/>
  <c r="AA66" i="151"/>
  <c r="Y70" i="151"/>
  <c r="X70" i="151" s="1"/>
  <c r="Y74" i="151"/>
  <c r="X74" i="151" s="1"/>
  <c r="AA78" i="151"/>
  <c r="Z85" i="151"/>
  <c r="AA93" i="151"/>
  <c r="Y95" i="151"/>
  <c r="Y100" i="151"/>
  <c r="X100" i="151" s="1"/>
  <c r="Z28" i="152"/>
  <c r="AA32" i="152"/>
  <c r="Z42" i="152"/>
  <c r="Y82" i="152"/>
  <c r="Y100" i="152"/>
  <c r="Z14" i="153"/>
  <c r="Z28" i="153"/>
  <c r="AA33" i="153"/>
  <c r="Y35" i="153"/>
  <c r="AA36" i="154"/>
  <c r="AA44" i="154"/>
  <c r="Y46" i="154"/>
  <c r="AA69" i="154"/>
  <c r="AA92" i="154"/>
  <c r="AA95" i="154"/>
  <c r="Z95" i="154" s="1"/>
  <c r="Z98" i="154"/>
  <c r="AA15" i="155"/>
  <c r="Z15" i="155" s="1"/>
  <c r="AA22" i="155"/>
  <c r="Z22" i="155" s="1"/>
  <c r="Z24" i="155"/>
  <c r="Y25" i="155"/>
  <c r="Z29" i="155"/>
  <c r="Z35" i="155"/>
  <c r="Z46" i="155"/>
  <c r="Z74" i="155"/>
  <c r="Y87" i="155"/>
  <c r="X87" i="155" s="1"/>
  <c r="Y94" i="155"/>
  <c r="Z70" i="152"/>
  <c r="Y76" i="152"/>
  <c r="Z22" i="153"/>
  <c r="Z26" i="153"/>
  <c r="Z40" i="153"/>
  <c r="Y68" i="153"/>
  <c r="Z76" i="153"/>
  <c r="Z83" i="153"/>
  <c r="Z89" i="153"/>
  <c r="Z97" i="153"/>
  <c r="AA19" i="154"/>
  <c r="AA27" i="154"/>
  <c r="Y39" i="154"/>
  <c r="X39" i="154" s="1"/>
  <c r="AA76" i="154"/>
  <c r="Z84" i="154"/>
  <c r="Y88" i="154"/>
  <c r="Z92" i="154"/>
  <c r="AA93" i="154"/>
  <c r="Z93" i="154" s="1"/>
  <c r="Y69" i="155"/>
  <c r="X69" i="155" s="1"/>
  <c r="AA70" i="155"/>
  <c r="Z82" i="155"/>
  <c r="Y99" i="155"/>
  <c r="X99" i="155" s="1"/>
  <c r="Y14" i="127"/>
  <c r="X14" i="127"/>
  <c r="Z87" i="127"/>
  <c r="X87" i="127"/>
  <c r="N97" i="127"/>
  <c r="AA97" i="127" s="1"/>
  <c r="X97" i="127"/>
  <c r="Y99" i="127"/>
  <c r="X99" i="127"/>
  <c r="Z18" i="128"/>
  <c r="X18" i="128"/>
  <c r="X22" i="128"/>
  <c r="Y22" i="128"/>
  <c r="X69" i="128"/>
  <c r="Y69" i="128"/>
  <c r="Y75" i="128"/>
  <c r="X75" i="128"/>
  <c r="Y89" i="128"/>
  <c r="X89" i="128"/>
  <c r="F48" i="125"/>
  <c r="N15" i="125"/>
  <c r="N16" i="125"/>
  <c r="AA16" i="125" s="1"/>
  <c r="Z16" i="125" s="1"/>
  <c r="Y16" i="125" s="1"/>
  <c r="N17" i="125"/>
  <c r="AA17" i="125" s="1"/>
  <c r="Z18" i="125"/>
  <c r="Y18" i="125" s="1"/>
  <c r="AA37" i="125"/>
  <c r="Z37" i="125"/>
  <c r="Z39" i="125"/>
  <c r="Y39" i="125" s="1"/>
  <c r="X39" i="125" s="1"/>
  <c r="N41" i="125"/>
  <c r="AA41" i="125" s="1"/>
  <c r="Y42" i="125"/>
  <c r="N44" i="125"/>
  <c r="AA44" i="125" s="1"/>
  <c r="Y45" i="125"/>
  <c r="Z66" i="125"/>
  <c r="Y66" i="125" s="1"/>
  <c r="Z69" i="125"/>
  <c r="N72" i="125"/>
  <c r="AA72" i="125" s="1"/>
  <c r="M48" i="126"/>
  <c r="V48" i="126"/>
  <c r="AC48" i="126"/>
  <c r="AE48" i="126"/>
  <c r="AD48" i="126" s="1"/>
  <c r="Y15" i="126"/>
  <c r="X15" i="126" s="1"/>
  <c r="Z16" i="126"/>
  <c r="Z18" i="126"/>
  <c r="Z20" i="126"/>
  <c r="Z21" i="126"/>
  <c r="N22" i="126"/>
  <c r="Z24" i="126"/>
  <c r="Y24" i="126" s="1"/>
  <c r="AA25" i="126"/>
  <c r="Z25" i="126"/>
  <c r="Z27" i="126"/>
  <c r="N29" i="126"/>
  <c r="AA29" i="126" s="1"/>
  <c r="Z30" i="126"/>
  <c r="Y30" i="126" s="1"/>
  <c r="Z31" i="126"/>
  <c r="Z32" i="126"/>
  <c r="Y32" i="126" s="1"/>
  <c r="AA33" i="126"/>
  <c r="Y33" i="126"/>
  <c r="Y34" i="126"/>
  <c r="N36" i="126"/>
  <c r="AA36" i="126" s="1"/>
  <c r="Z72" i="126"/>
  <c r="N83" i="126"/>
  <c r="AA83" i="126" s="1"/>
  <c r="N86" i="126"/>
  <c r="AA86" i="126" s="1"/>
  <c r="Z92" i="126"/>
  <c r="Z16" i="127"/>
  <c r="Y43" i="127"/>
  <c r="X43" i="127" s="1"/>
  <c r="AC102" i="127"/>
  <c r="M102" i="128"/>
  <c r="AA74" i="128"/>
  <c r="N17" i="129"/>
  <c r="AA17" i="129" s="1"/>
  <c r="Z17" i="127"/>
  <c r="X17" i="127"/>
  <c r="X22" i="127"/>
  <c r="Y22" i="127"/>
  <c r="Z37" i="127"/>
  <c r="X37" i="127"/>
  <c r="Y42" i="128"/>
  <c r="X42" i="128"/>
  <c r="N45" i="128"/>
  <c r="AA45" i="128" s="1"/>
  <c r="X45" i="128"/>
  <c r="Y73" i="128"/>
  <c r="X73" i="128"/>
  <c r="N79" i="128"/>
  <c r="X79" i="128"/>
  <c r="Y98" i="128"/>
  <c r="X98" i="128"/>
  <c r="N29" i="129"/>
  <c r="AA29" i="129" s="1"/>
  <c r="X29" i="129"/>
  <c r="N14" i="125"/>
  <c r="AA14" i="125" s="1"/>
  <c r="N38" i="125"/>
  <c r="AA38" i="125" s="1"/>
  <c r="Z38" i="125" s="1"/>
  <c r="N39" i="125"/>
  <c r="AA39" i="125" s="1"/>
  <c r="N71" i="125"/>
  <c r="AA71" i="125" s="1"/>
  <c r="Y14" i="126"/>
  <c r="W48" i="126"/>
  <c r="Z19" i="126"/>
  <c r="N20" i="126"/>
  <c r="AA20" i="126" s="1"/>
  <c r="N21" i="126"/>
  <c r="AA21" i="126" s="1"/>
  <c r="Y23" i="126"/>
  <c r="N30" i="126"/>
  <c r="AA30" i="126" s="1"/>
  <c r="N31" i="126"/>
  <c r="AA31" i="126" s="1"/>
  <c r="Y37" i="126"/>
  <c r="Y40" i="126"/>
  <c r="N43" i="126"/>
  <c r="AA43" i="126" s="1"/>
  <c r="N68" i="126"/>
  <c r="AA68" i="126" s="1"/>
  <c r="N70" i="126"/>
  <c r="AA70" i="126" s="1"/>
  <c r="F102" i="126"/>
  <c r="N80" i="126"/>
  <c r="AA80" i="126" s="1"/>
  <c r="N82" i="126"/>
  <c r="N97" i="126"/>
  <c r="AA97" i="126" s="1"/>
  <c r="N99" i="126"/>
  <c r="AA99" i="126" s="1"/>
  <c r="AF48" i="127"/>
  <c r="N31" i="127"/>
  <c r="AA31" i="127" s="1"/>
  <c r="N41" i="127"/>
  <c r="AA41" i="127" s="1"/>
  <c r="M102" i="127"/>
  <c r="N85" i="127"/>
  <c r="AA85" i="127" s="1"/>
  <c r="N90" i="127"/>
  <c r="AA90" i="127" s="1"/>
  <c r="Z99" i="127"/>
  <c r="AF48" i="128"/>
  <c r="AE48" i="128" s="1"/>
  <c r="AA31" i="128"/>
  <c r="AA85" i="128"/>
  <c r="Z25" i="129"/>
  <c r="Z38" i="129"/>
  <c r="Z45" i="129"/>
  <c r="Z75" i="129"/>
  <c r="N85" i="129"/>
  <c r="AA85" i="129" s="1"/>
  <c r="Y96" i="129"/>
  <c r="N97" i="129"/>
  <c r="AA97" i="129" s="1"/>
  <c r="N17" i="130"/>
  <c r="AA17" i="130" s="1"/>
  <c r="Z23" i="130"/>
  <c r="Y23" i="130" s="1"/>
  <c r="N33" i="130"/>
  <c r="AA33" i="130" s="1"/>
  <c r="AA35" i="130"/>
  <c r="N44" i="130"/>
  <c r="Y69" i="130"/>
  <c r="Y75" i="130"/>
  <c r="AA75" i="130"/>
  <c r="Y83" i="130"/>
  <c r="Y88" i="130"/>
  <c r="Y99" i="130"/>
  <c r="N17" i="131"/>
  <c r="AA17" i="131" s="1"/>
  <c r="N23" i="131"/>
  <c r="Y32" i="131"/>
  <c r="AA68" i="131"/>
  <c r="F102" i="131"/>
  <c r="U102" i="131"/>
  <c r="Y82" i="131"/>
  <c r="Y93" i="131"/>
  <c r="Y98" i="131"/>
  <c r="Y16" i="140"/>
  <c r="AA16" i="140"/>
  <c r="Z18" i="140"/>
  <c r="Y26" i="140"/>
  <c r="N28" i="140"/>
  <c r="AA28" i="140" s="1"/>
  <c r="Z28" i="140" s="1"/>
  <c r="Y30" i="140"/>
  <c r="AA32" i="140"/>
  <c r="Y41" i="140"/>
  <c r="Y45" i="140"/>
  <c r="Y68" i="140"/>
  <c r="Z79" i="140"/>
  <c r="Y84" i="140"/>
  <c r="Z88" i="140"/>
  <c r="Y92" i="140"/>
  <c r="Y96" i="140"/>
  <c r="AA99" i="140"/>
  <c r="Z99" i="140" s="1"/>
  <c r="Y18" i="141"/>
  <c r="Y31" i="141"/>
  <c r="Y38" i="141"/>
  <c r="Y42" i="141"/>
  <c r="U48" i="141"/>
  <c r="Y67" i="141"/>
  <c r="Y68" i="141"/>
  <c r="Z70" i="141"/>
  <c r="Z71" i="141"/>
  <c r="AA72" i="141"/>
  <c r="Y81" i="141"/>
  <c r="Y84" i="141"/>
  <c r="Z86" i="141"/>
  <c r="Z87" i="141"/>
  <c r="AA88" i="141"/>
  <c r="Y15" i="142"/>
  <c r="Y17" i="142"/>
  <c r="Y18" i="142"/>
  <c r="Y19" i="142"/>
  <c r="AA26" i="142"/>
  <c r="Z26" i="142" s="1"/>
  <c r="Y31" i="142"/>
  <c r="Y33" i="142"/>
  <c r="Y37" i="142"/>
  <c r="Y38" i="142"/>
  <c r="Y41" i="142"/>
  <c r="Z69" i="142"/>
  <c r="AA71" i="142"/>
  <c r="AA72" i="142"/>
  <c r="Z72" i="142" s="1"/>
  <c r="AA76" i="142"/>
  <c r="Z76" i="142" s="1"/>
  <c r="AA77" i="142"/>
  <c r="Z82" i="142"/>
  <c r="X84" i="142"/>
  <c r="AA85" i="142"/>
  <c r="Y88" i="142"/>
  <c r="Z90" i="142"/>
  <c r="Y92" i="142"/>
  <c r="AA93" i="142"/>
  <c r="Y21" i="143"/>
  <c r="AA26" i="143"/>
  <c r="Y28" i="143"/>
  <c r="Z29" i="143"/>
  <c r="AF48" i="143"/>
  <c r="V102" i="143"/>
  <c r="U102" i="143" s="1"/>
  <c r="AA73" i="143"/>
  <c r="Z73" i="143" s="1"/>
  <c r="Y76" i="143"/>
  <c r="AA86" i="143"/>
  <c r="Z14" i="144"/>
  <c r="AA20" i="144"/>
  <c r="N44" i="126"/>
  <c r="AA44" i="126" s="1"/>
  <c r="AA66" i="126"/>
  <c r="N67" i="126"/>
  <c r="AA67" i="126" s="1"/>
  <c r="N69" i="126"/>
  <c r="AA69" i="126" s="1"/>
  <c r="Z73" i="126"/>
  <c r="AD102" i="126"/>
  <c r="Z75" i="126"/>
  <c r="Z78" i="126"/>
  <c r="N79" i="126"/>
  <c r="AA79" i="126" s="1"/>
  <c r="N81" i="126"/>
  <c r="AA81" i="126" s="1"/>
  <c r="N84" i="126"/>
  <c r="AA84" i="126" s="1"/>
  <c r="N85" i="126"/>
  <c r="AA85" i="126" s="1"/>
  <c r="Z94" i="126"/>
  <c r="Z96" i="126"/>
  <c r="N98" i="126"/>
  <c r="Z99" i="126"/>
  <c r="N100" i="126"/>
  <c r="AA100" i="126" s="1"/>
  <c r="AC48" i="127"/>
  <c r="Y15" i="127"/>
  <c r="X15" i="127" s="1"/>
  <c r="M48" i="127"/>
  <c r="Z19" i="127"/>
  <c r="Y19" i="127" s="1"/>
  <c r="X19" i="127" s="1"/>
  <c r="Y21" i="127"/>
  <c r="Y24" i="127"/>
  <c r="Y27" i="127"/>
  <c r="X27" i="127" s="1"/>
  <c r="Z34" i="127"/>
  <c r="Y35" i="127"/>
  <c r="Z38" i="127"/>
  <c r="Z39" i="127"/>
  <c r="Y39" i="127" s="1"/>
  <c r="X39" i="127" s="1"/>
  <c r="N40" i="127"/>
  <c r="AA40" i="127" s="1"/>
  <c r="AA42" i="127"/>
  <c r="N44" i="127"/>
  <c r="AA44" i="127" s="1"/>
  <c r="AA45" i="127"/>
  <c r="N66" i="127"/>
  <c r="Y67" i="127"/>
  <c r="N73" i="127"/>
  <c r="AA73" i="127" s="1"/>
  <c r="N74" i="127"/>
  <c r="AA74" i="127" s="1"/>
  <c r="Z75" i="127"/>
  <c r="Z77" i="127"/>
  <c r="AA79" i="127"/>
  <c r="Z81" i="127"/>
  <c r="AA83" i="127"/>
  <c r="N86" i="127"/>
  <c r="AA86" i="127" s="1"/>
  <c r="Z86" i="127" s="1"/>
  <c r="N89" i="127"/>
  <c r="AA89" i="127" s="1"/>
  <c r="Z93" i="127"/>
  <c r="Z97" i="127"/>
  <c r="Z98" i="127"/>
  <c r="AA99" i="127"/>
  <c r="V48" i="128"/>
  <c r="Z14" i="128"/>
  <c r="AD48" i="128"/>
  <c r="Z23" i="128"/>
  <c r="Y23" i="128" s="1"/>
  <c r="N24" i="128"/>
  <c r="AA24" i="128" s="1"/>
  <c r="N29" i="128"/>
  <c r="AA29" i="128" s="1"/>
  <c r="AA30" i="128"/>
  <c r="Y33" i="128"/>
  <c r="Z34" i="128"/>
  <c r="N40" i="128"/>
  <c r="AA40" i="128" s="1"/>
  <c r="Z41" i="128"/>
  <c r="AA43" i="128"/>
  <c r="Z45" i="128"/>
  <c r="Y46" i="128"/>
  <c r="W102" i="128"/>
  <c r="Y70" i="128"/>
  <c r="X70" i="128" s="1"/>
  <c r="V102" i="128"/>
  <c r="N80" i="128"/>
  <c r="AA80" i="128" s="1"/>
  <c r="Z86" i="128"/>
  <c r="N87" i="128"/>
  <c r="AA87" i="128" s="1"/>
  <c r="Y90" i="128"/>
  <c r="AA91" i="128"/>
  <c r="AA97" i="128"/>
  <c r="Y97" i="128"/>
  <c r="V48" i="129"/>
  <c r="AD48" i="129"/>
  <c r="Z14" i="129"/>
  <c r="Y15" i="129"/>
  <c r="U48" i="129"/>
  <c r="N18" i="129"/>
  <c r="AA18" i="129" s="1"/>
  <c r="Z22" i="129"/>
  <c r="Y22" i="129" s="1"/>
  <c r="Z24" i="129"/>
  <c r="Z28" i="129"/>
  <c r="Y28" i="129" s="1"/>
  <c r="Z29" i="129"/>
  <c r="N32" i="129"/>
  <c r="AA32" i="129" s="1"/>
  <c r="Y34" i="129"/>
  <c r="AA36" i="129"/>
  <c r="AA44" i="129"/>
  <c r="N67" i="129"/>
  <c r="AA67" i="129" s="1"/>
  <c r="Y69" i="129"/>
  <c r="Y70" i="129"/>
  <c r="Y75" i="129"/>
  <c r="X75" i="129" s="1"/>
  <c r="Y78" i="129"/>
  <c r="Y79" i="129"/>
  <c r="Y80" i="129"/>
  <c r="Z83" i="129"/>
  <c r="N84" i="129"/>
  <c r="AA84" i="129" s="1"/>
  <c r="Z85" i="129"/>
  <c r="X85" i="129"/>
  <c r="Z88" i="129"/>
  <c r="Z90" i="129"/>
  <c r="X96" i="129"/>
  <c r="N98" i="129"/>
  <c r="AA98" i="129" s="1"/>
  <c r="W48" i="130"/>
  <c r="N16" i="130"/>
  <c r="AA16" i="130" s="1"/>
  <c r="AD48" i="130"/>
  <c r="Z17" i="130"/>
  <c r="Z19" i="130"/>
  <c r="Y19" i="130" s="1"/>
  <c r="X23" i="130"/>
  <c r="Z33" i="130"/>
  <c r="X33" i="130"/>
  <c r="Z34" i="130"/>
  <c r="N45" i="130"/>
  <c r="AA45" i="130" s="1"/>
  <c r="F102" i="130"/>
  <c r="W102" i="130"/>
  <c r="V102" i="130" s="1"/>
  <c r="X69" i="130"/>
  <c r="X75" i="130"/>
  <c r="M102" i="130"/>
  <c r="Y80" i="130"/>
  <c r="AA81" i="130"/>
  <c r="Z81" i="130" s="1"/>
  <c r="Y81" i="130"/>
  <c r="Y82" i="130"/>
  <c r="X83" i="130"/>
  <c r="Z84" i="130"/>
  <c r="Z85" i="130"/>
  <c r="Y86" i="130"/>
  <c r="X86" i="130" s="1"/>
  <c r="N87" i="130"/>
  <c r="AA87" i="130" s="1"/>
  <c r="X88" i="130"/>
  <c r="AA90" i="130"/>
  <c r="Z90" i="130"/>
  <c r="Y91" i="130"/>
  <c r="AA91" i="130"/>
  <c r="Z98" i="130"/>
  <c r="X99" i="130"/>
  <c r="Y13" i="131"/>
  <c r="N15" i="131"/>
  <c r="AA15" i="131" s="1"/>
  <c r="Z17" i="131"/>
  <c r="X17" i="131"/>
  <c r="Z18" i="131"/>
  <c r="Z19" i="131"/>
  <c r="Z20" i="131"/>
  <c r="Z21" i="131"/>
  <c r="AA22" i="131"/>
  <c r="Z23" i="131"/>
  <c r="X23" i="131"/>
  <c r="Z26" i="131"/>
  <c r="Y28" i="131"/>
  <c r="Z29" i="131"/>
  <c r="Z30" i="131"/>
  <c r="X32" i="131"/>
  <c r="Z33" i="131"/>
  <c r="Z34" i="131"/>
  <c r="AA36" i="131"/>
  <c r="N37" i="131"/>
  <c r="AA37" i="131" s="1"/>
  <c r="AA38" i="131"/>
  <c r="AA40" i="131"/>
  <c r="Y43" i="131"/>
  <c r="AA67" i="131"/>
  <c r="AA74" i="131"/>
  <c r="Z74" i="131" s="1"/>
  <c r="AA75" i="131"/>
  <c r="Y76" i="131"/>
  <c r="AA76" i="131"/>
  <c r="N79" i="131"/>
  <c r="AA79" i="131" s="1"/>
  <c r="X82" i="131"/>
  <c r="Y83" i="131"/>
  <c r="AA88" i="131"/>
  <c r="X93" i="131"/>
  <c r="AA94" i="131"/>
  <c r="Z94" i="131" s="1"/>
  <c r="N97" i="131"/>
  <c r="AA97" i="131" s="1"/>
  <c r="X98" i="131"/>
  <c r="Z99" i="131"/>
  <c r="Z15" i="140"/>
  <c r="X16" i="140"/>
  <c r="AA21" i="140"/>
  <c r="Z21" i="140" s="1"/>
  <c r="Y24" i="140"/>
  <c r="Y25" i="140"/>
  <c r="X26" i="140"/>
  <c r="X28" i="140"/>
  <c r="Y29" i="140"/>
  <c r="X30" i="140"/>
  <c r="Z31" i="140"/>
  <c r="X41" i="140"/>
  <c r="Y42" i="140"/>
  <c r="N44" i="140"/>
  <c r="X45" i="140"/>
  <c r="Y67" i="140"/>
  <c r="W102" i="140"/>
  <c r="V102" i="140" s="1"/>
  <c r="X68" i="140"/>
  <c r="Z69" i="140"/>
  <c r="Y70" i="140"/>
  <c r="Y71" i="140"/>
  <c r="Y72" i="140"/>
  <c r="Y74" i="140"/>
  <c r="AA74" i="140"/>
  <c r="Z76" i="140"/>
  <c r="Y80" i="140"/>
  <c r="Y82" i="140"/>
  <c r="X84" i="140"/>
  <c r="Z85" i="140"/>
  <c r="Y87" i="140"/>
  <c r="AF102" i="140"/>
  <c r="AE102" i="140" s="1"/>
  <c r="Y90" i="140"/>
  <c r="Y91" i="140"/>
  <c r="X92" i="140"/>
  <c r="X96" i="140"/>
  <c r="Z97" i="140"/>
  <c r="AA14" i="141"/>
  <c r="X18" i="141"/>
  <c r="Y19" i="141"/>
  <c r="Y22" i="141"/>
  <c r="Z25" i="141"/>
  <c r="Z30" i="141"/>
  <c r="AA30" i="141"/>
  <c r="X31" i="141"/>
  <c r="N33" i="141"/>
  <c r="AA33" i="141" s="1"/>
  <c r="AA35" i="141"/>
  <c r="X38" i="141"/>
  <c r="X42" i="141"/>
  <c r="Y45" i="141"/>
  <c r="X68" i="141"/>
  <c r="Y69" i="141"/>
  <c r="AA73" i="141"/>
  <c r="AA75" i="141"/>
  <c r="N82" i="141"/>
  <c r="Y83" i="141"/>
  <c r="X84" i="141"/>
  <c r="AA89" i="141"/>
  <c r="AA91" i="141"/>
  <c r="Z100" i="141"/>
  <c r="Y21" i="142"/>
  <c r="AA21" i="142"/>
  <c r="Y30" i="142"/>
  <c r="Y34" i="142"/>
  <c r="Y39" i="142"/>
  <c r="N74" i="142"/>
  <c r="AA74" i="142" s="1"/>
  <c r="N75" i="142"/>
  <c r="AA75" i="142" s="1"/>
  <c r="Z75" i="142" s="1"/>
  <c r="AA87" i="142"/>
  <c r="Y89" i="142"/>
  <c r="N90" i="142"/>
  <c r="AA90" i="142" s="1"/>
  <c r="N91" i="142"/>
  <c r="Z15" i="143"/>
  <c r="N19" i="143"/>
  <c r="AA19" i="143" s="1"/>
  <c r="Y20" i="143"/>
  <c r="X21" i="143"/>
  <c r="N23" i="143"/>
  <c r="AA23" i="143" s="1"/>
  <c r="X25" i="143"/>
  <c r="Z26" i="143"/>
  <c r="Z27" i="143"/>
  <c r="X28" i="143"/>
  <c r="AA29" i="143"/>
  <c r="X29" i="143"/>
  <c r="N31" i="143"/>
  <c r="AA33" i="143"/>
  <c r="Z33" i="143" s="1"/>
  <c r="Y36" i="143"/>
  <c r="AA37" i="143"/>
  <c r="Z37" i="143" s="1"/>
  <c r="Y37" i="143"/>
  <c r="Y38" i="143"/>
  <c r="Z43" i="143"/>
  <c r="Y44" i="143"/>
  <c r="AA44" i="143"/>
  <c r="Z44" i="143" s="1"/>
  <c r="AA45" i="143"/>
  <c r="Z45" i="143" s="1"/>
  <c r="Z66" i="143"/>
  <c r="N67" i="143"/>
  <c r="AA67" i="143" s="1"/>
  <c r="X76" i="143"/>
  <c r="AA84" i="143"/>
  <c r="Z84" i="143" s="1"/>
  <c r="AA85" i="143"/>
  <c r="X94" i="143"/>
  <c r="Z96" i="143"/>
  <c r="Y96" i="143" s="1"/>
  <c r="N15" i="144"/>
  <c r="AA15" i="144" s="1"/>
  <c r="N16" i="144"/>
  <c r="AA16" i="144" s="1"/>
  <c r="Z16" i="144" s="1"/>
  <c r="AA17" i="144"/>
  <c r="Z17" i="144" s="1"/>
  <c r="AA18" i="144"/>
  <c r="AD48" i="144"/>
  <c r="Z26" i="144"/>
  <c r="N31" i="144"/>
  <c r="AA31" i="144" s="1"/>
  <c r="N32" i="144"/>
  <c r="AA32" i="144" s="1"/>
  <c r="Z32" i="144" s="1"/>
  <c r="Y34" i="144"/>
  <c r="AA36" i="144"/>
  <c r="AE48" i="144"/>
  <c r="Z39" i="144"/>
  <c r="Z42" i="144"/>
  <c r="Y68" i="144"/>
  <c r="X71" i="144"/>
  <c r="Z72" i="144"/>
  <c r="Z73" i="144"/>
  <c r="AA75" i="144"/>
  <c r="Z75" i="144" s="1"/>
  <c r="X75" i="144"/>
  <c r="AA80" i="144"/>
  <c r="Y82" i="144"/>
  <c r="Y87" i="144"/>
  <c r="Y88" i="144"/>
  <c r="Y94" i="144"/>
  <c r="Y100" i="144"/>
  <c r="AA20" i="145"/>
  <c r="Z20" i="145" s="1"/>
  <c r="N22" i="145"/>
  <c r="AA22" i="145" s="1"/>
  <c r="AA23" i="145"/>
  <c r="Z23" i="145" s="1"/>
  <c r="AA24" i="145"/>
  <c r="Z24" i="145" s="1"/>
  <c r="AA25" i="145"/>
  <c r="Z27" i="145"/>
  <c r="N34" i="145"/>
  <c r="AA34" i="145" s="1"/>
  <c r="N35" i="145"/>
  <c r="AA35" i="145" s="1"/>
  <c r="Y37" i="145"/>
  <c r="Z42" i="145"/>
  <c r="Z43" i="145"/>
  <c r="Y66" i="145"/>
  <c r="X66" i="145" s="1"/>
  <c r="Y67" i="145"/>
  <c r="Y68" i="145"/>
  <c r="Z73" i="145"/>
  <c r="AA73" i="145"/>
  <c r="Z75" i="145"/>
  <c r="AA75" i="145"/>
  <c r="Y80" i="145"/>
  <c r="Z82" i="145"/>
  <c r="AA84" i="145"/>
  <c r="AA85" i="145"/>
  <c r="Z85" i="145" s="1"/>
  <c r="Y89" i="145"/>
  <c r="Y99" i="145"/>
  <c r="Y100" i="145"/>
  <c r="Y15" i="146"/>
  <c r="Z16" i="146"/>
  <c r="Z18" i="146"/>
  <c r="Y22" i="146"/>
  <c r="Z24" i="146"/>
  <c r="AA24" i="146"/>
  <c r="N26" i="146"/>
  <c r="AA26" i="146" s="1"/>
  <c r="N27" i="146"/>
  <c r="AA27" i="146" s="1"/>
  <c r="Y28" i="146"/>
  <c r="X28" i="146" s="1"/>
  <c r="Y30" i="146"/>
  <c r="AA34" i="146"/>
  <c r="Z34" i="146" s="1"/>
  <c r="N37" i="146"/>
  <c r="AA37" i="146" s="1"/>
  <c r="N39" i="146"/>
  <c r="AA39" i="146" s="1"/>
  <c r="N40" i="146"/>
  <c r="AA40" i="146" s="1"/>
  <c r="Y41" i="146"/>
  <c r="Y44" i="146"/>
  <c r="N78" i="146"/>
  <c r="AA78" i="146" s="1"/>
  <c r="AA84" i="146"/>
  <c r="AA90" i="146"/>
  <c r="Z90" i="146" s="1"/>
  <c r="AA96" i="146"/>
  <c r="Y23" i="147"/>
  <c r="Y32" i="147"/>
  <c r="AA43" i="147"/>
  <c r="Z71" i="147"/>
  <c r="Z74" i="147"/>
  <c r="AA74" i="147"/>
  <c r="N83" i="147"/>
  <c r="AA83" i="147" s="1"/>
  <c r="Y86" i="147"/>
  <c r="Y98" i="147"/>
  <c r="N99" i="147"/>
  <c r="AA99" i="147" s="1"/>
  <c r="Y100" i="147"/>
  <c r="Y17" i="148"/>
  <c r="AC48" i="148"/>
  <c r="N34" i="148"/>
  <c r="Z37" i="148"/>
  <c r="Y39" i="148"/>
  <c r="Y43" i="148"/>
  <c r="Y68" i="148"/>
  <c r="AA68" i="148"/>
  <c r="N72" i="148"/>
  <c r="AA72" i="148" s="1"/>
  <c r="AA74" i="148"/>
  <c r="Z95" i="148"/>
  <c r="Y14" i="149"/>
  <c r="N15" i="149"/>
  <c r="AA15" i="149" s="1"/>
  <c r="Z15" i="149" s="1"/>
  <c r="V48" i="149"/>
  <c r="AA26" i="149"/>
  <c r="Y31" i="149"/>
  <c r="Z34" i="149"/>
  <c r="Y38" i="149"/>
  <c r="X38" i="149" s="1"/>
  <c r="Z39" i="149"/>
  <c r="N95" i="149"/>
  <c r="AA95" i="149" s="1"/>
  <c r="Z95" i="149" s="1"/>
  <c r="N14" i="150"/>
  <c r="AA14" i="150" s="1"/>
  <c r="N25" i="150"/>
  <c r="AA25" i="150" s="1"/>
  <c r="Z25" i="150" s="1"/>
  <c r="Z32" i="150"/>
  <c r="Y35" i="150"/>
  <c r="N41" i="150"/>
  <c r="AA41" i="150" s="1"/>
  <c r="Z41" i="150" s="1"/>
  <c r="AA34" i="144"/>
  <c r="AA70" i="144"/>
  <c r="AA72" i="144"/>
  <c r="Y74" i="144"/>
  <c r="Y78" i="144"/>
  <c r="Y83" i="144"/>
  <c r="AA90" i="144"/>
  <c r="Z90" i="144" s="1"/>
  <c r="Y13" i="145"/>
  <c r="AC48" i="145"/>
  <c r="Y29" i="145"/>
  <c r="V48" i="145"/>
  <c r="AA37" i="145"/>
  <c r="AA41" i="145"/>
  <c r="AA44" i="145"/>
  <c r="AE102" i="145"/>
  <c r="Y69" i="145"/>
  <c r="N70" i="145"/>
  <c r="AA70" i="145" s="1"/>
  <c r="N79" i="145"/>
  <c r="AA79" i="145" s="1"/>
  <c r="Z79" i="145" s="1"/>
  <c r="AA83" i="145"/>
  <c r="N90" i="145"/>
  <c r="AA90" i="145" s="1"/>
  <c r="Y92" i="145"/>
  <c r="X100" i="145"/>
  <c r="N13" i="146"/>
  <c r="AA13" i="146" s="1"/>
  <c r="AF48" i="146"/>
  <c r="N18" i="146"/>
  <c r="AA18" i="146" s="1"/>
  <c r="Y19" i="146"/>
  <c r="AE48" i="146"/>
  <c r="Y35" i="146"/>
  <c r="N36" i="146"/>
  <c r="AA36" i="146" s="1"/>
  <c r="Y42" i="146"/>
  <c r="Z46" i="146"/>
  <c r="Z69" i="146"/>
  <c r="Z70" i="146"/>
  <c r="AA71" i="146"/>
  <c r="Z71" i="146" s="1"/>
  <c r="Y74" i="146"/>
  <c r="Z78" i="146"/>
  <c r="X78" i="146"/>
  <c r="Z81" i="146"/>
  <c r="Y87" i="146"/>
  <c r="Y91" i="146"/>
  <c r="Y92" i="146"/>
  <c r="N93" i="146"/>
  <c r="Y100" i="146"/>
  <c r="AE48" i="147"/>
  <c r="AD48" i="147" s="1"/>
  <c r="Y14" i="147"/>
  <c r="AA15" i="147"/>
  <c r="Z15" i="147" s="1"/>
  <c r="Y19" i="147"/>
  <c r="N22" i="147"/>
  <c r="AA22" i="147" s="1"/>
  <c r="Z22" i="147" s="1"/>
  <c r="X23" i="147"/>
  <c r="AA24" i="147"/>
  <c r="AA30" i="147"/>
  <c r="AA31" i="147"/>
  <c r="Z31" i="147" s="1"/>
  <c r="X32" i="147"/>
  <c r="Z33" i="147"/>
  <c r="Y33" i="147" s="1"/>
  <c r="Y34" i="147"/>
  <c r="Z36" i="147"/>
  <c r="Y39" i="147"/>
  <c r="N41" i="147"/>
  <c r="AA42" i="147"/>
  <c r="Z44" i="147"/>
  <c r="Y44" i="147" s="1"/>
  <c r="N69" i="147"/>
  <c r="AA69" i="147" s="1"/>
  <c r="AA70" i="147"/>
  <c r="Y72" i="147"/>
  <c r="Y82" i="147"/>
  <c r="W102" i="147"/>
  <c r="Y94" i="147"/>
  <c r="N97" i="147"/>
  <c r="AA97" i="147" s="1"/>
  <c r="Z97" i="147" s="1"/>
  <c r="X98" i="147"/>
  <c r="X100" i="147"/>
  <c r="N14" i="148"/>
  <c r="N16" i="148"/>
  <c r="AA16" i="148" s="1"/>
  <c r="N24" i="148"/>
  <c r="AA24" i="148" s="1"/>
  <c r="N42" i="148"/>
  <c r="Y67" i="148"/>
  <c r="X67" i="148" s="1"/>
  <c r="X68" i="148"/>
  <c r="Z69" i="148"/>
  <c r="AF102" i="148"/>
  <c r="N73" i="148"/>
  <c r="AA73" i="148" s="1"/>
  <c r="Y83" i="148"/>
  <c r="N84" i="148"/>
  <c r="AA84" i="148" s="1"/>
  <c r="AA38" i="149"/>
  <c r="AA40" i="149"/>
  <c r="N67" i="149"/>
  <c r="AA67" i="149" s="1"/>
  <c r="Z67" i="149" s="1"/>
  <c r="AF102" i="149"/>
  <c r="N75" i="149"/>
  <c r="AA75" i="149" s="1"/>
  <c r="AA81" i="149"/>
  <c r="Y87" i="149"/>
  <c r="X87" i="149" s="1"/>
  <c r="N92" i="149"/>
  <c r="AA92" i="149" s="1"/>
  <c r="AA93" i="149"/>
  <c r="Z93" i="149" s="1"/>
  <c r="Z94" i="149"/>
  <c r="AF48" i="150"/>
  <c r="Z14" i="150"/>
  <c r="V48" i="150"/>
  <c r="AC48" i="150"/>
  <c r="Y18" i="150"/>
  <c r="X19" i="150"/>
  <c r="Z23" i="150"/>
  <c r="AA27" i="150"/>
  <c r="Z27" i="150" s="1"/>
  <c r="X35" i="150"/>
  <c r="Z37" i="150"/>
  <c r="Z39" i="150"/>
  <c r="X41" i="150"/>
  <c r="Z42" i="150"/>
  <c r="Z44" i="150"/>
  <c r="U102" i="150"/>
  <c r="N79" i="150"/>
  <c r="AA100" i="150"/>
  <c r="Z100" i="150" s="1"/>
  <c r="N16" i="151"/>
  <c r="AA16" i="151" s="1"/>
  <c r="N19" i="151"/>
  <c r="AA19" i="151" s="1"/>
  <c r="Y22" i="151"/>
  <c r="N26" i="151"/>
  <c r="AA26" i="151" s="1"/>
  <c r="Z26" i="151" s="1"/>
  <c r="Y39" i="151"/>
  <c r="N45" i="151"/>
  <c r="AA45" i="151" s="1"/>
  <c r="Z46" i="151"/>
  <c r="N75" i="151"/>
  <c r="AA75" i="151" s="1"/>
  <c r="Y76" i="151"/>
  <c r="Z79" i="151"/>
  <c r="N88" i="151"/>
  <c r="N90" i="151"/>
  <c r="AA90" i="151" s="1"/>
  <c r="Z90" i="151"/>
  <c r="N96" i="151"/>
  <c r="AA96" i="151" s="1"/>
  <c r="N98" i="151"/>
  <c r="AA98" i="151" s="1"/>
  <c r="Z13" i="152"/>
  <c r="Y16" i="152"/>
  <c r="Y23" i="152"/>
  <c r="Y32" i="152"/>
  <c r="N39" i="152"/>
  <c r="AA39" i="152" s="1"/>
  <c r="N44" i="152"/>
  <c r="AA44" i="152" s="1"/>
  <c r="Z44" i="152"/>
  <c r="N72" i="152"/>
  <c r="AA72" i="152" s="1"/>
  <c r="Z72" i="152" s="1"/>
  <c r="N73" i="152"/>
  <c r="AA73" i="152" s="1"/>
  <c r="N74" i="152"/>
  <c r="AA74" i="152" s="1"/>
  <c r="Z74" i="152"/>
  <c r="Z78" i="152"/>
  <c r="N84" i="152"/>
  <c r="N85" i="152"/>
  <c r="AA85" i="152" s="1"/>
  <c r="Z85" i="152" s="1"/>
  <c r="N99" i="152"/>
  <c r="AA99" i="152" s="1"/>
  <c r="Z99" i="152" s="1"/>
  <c r="N16" i="153"/>
  <c r="AA16" i="153" s="1"/>
  <c r="N17" i="153"/>
  <c r="AA17" i="153" s="1"/>
  <c r="Z17" i="153" s="1"/>
  <c r="AF48" i="153"/>
  <c r="V48" i="153"/>
  <c r="Z19" i="153"/>
  <c r="N29" i="153"/>
  <c r="AA29" i="153" s="1"/>
  <c r="Z29" i="153" s="1"/>
  <c r="Y45" i="153"/>
  <c r="AA46" i="153"/>
  <c r="Z46" i="153" s="1"/>
  <c r="Z73" i="153"/>
  <c r="N75" i="153"/>
  <c r="AA75" i="153" s="1"/>
  <c r="Y78" i="153"/>
  <c r="N80" i="153"/>
  <c r="AA80" i="153" s="1"/>
  <c r="Y81" i="153"/>
  <c r="AA92" i="153"/>
  <c r="AA94" i="153"/>
  <c r="Y95" i="153"/>
  <c r="Z14" i="154"/>
  <c r="AA15" i="154"/>
  <c r="W48" i="154"/>
  <c r="V48" i="154" s="1"/>
  <c r="U48" i="154" s="1"/>
  <c r="N32" i="154"/>
  <c r="AA32" i="154" s="1"/>
  <c r="AA35" i="154"/>
  <c r="Y69" i="154"/>
  <c r="X69" i="154" s="1"/>
  <c r="Y71" i="154"/>
  <c r="X71" i="154" s="1"/>
  <c r="Y75" i="154"/>
  <c r="AA75" i="154"/>
  <c r="Z80" i="154"/>
  <c r="Z81" i="154"/>
  <c r="N83" i="154"/>
  <c r="Z96" i="154"/>
  <c r="Z97" i="154"/>
  <c r="AD48" i="155"/>
  <c r="M48" i="155"/>
  <c r="AA19" i="155"/>
  <c r="Y21" i="155"/>
  <c r="X24" i="155"/>
  <c r="X30" i="155"/>
  <c r="AA31" i="155"/>
  <c r="Y32" i="155"/>
  <c r="AA32" i="155"/>
  <c r="Z32" i="155" s="1"/>
  <c r="AA33" i="155"/>
  <c r="Z33" i="155" s="1"/>
  <c r="AA34" i="155"/>
  <c r="Y37" i="155"/>
  <c r="X38" i="155"/>
  <c r="Y39" i="155"/>
  <c r="AA42" i="155"/>
  <c r="Y43" i="155"/>
  <c r="AA43" i="155"/>
  <c r="Y46" i="155"/>
  <c r="Y72" i="155"/>
  <c r="Y76" i="155"/>
  <c r="Z77" i="155"/>
  <c r="Y79" i="155"/>
  <c r="X79" i="155" s="1"/>
  <c r="Y81" i="155"/>
  <c r="X81" i="155" s="1"/>
  <c r="Y83" i="155"/>
  <c r="X83" i="155" s="1"/>
  <c r="Y88" i="155"/>
  <c r="Z90" i="155"/>
  <c r="Y91" i="155"/>
  <c r="X91" i="155" s="1"/>
  <c r="Y92" i="155"/>
  <c r="Z93" i="155"/>
  <c r="AA96" i="155"/>
  <c r="Z96" i="155" s="1"/>
  <c r="Y100" i="155"/>
  <c r="Y66" i="150"/>
  <c r="X66" i="150" s="1"/>
  <c r="AA69" i="150"/>
  <c r="Z69" i="150" s="1"/>
  <c r="Z71" i="150"/>
  <c r="Y74" i="150"/>
  <c r="X74" i="150" s="1"/>
  <c r="N82" i="150"/>
  <c r="AA82" i="150" s="1"/>
  <c r="Z82" i="150" s="1"/>
  <c r="Y85" i="150"/>
  <c r="X88" i="150"/>
  <c r="Y90" i="150"/>
  <c r="X90" i="150" s="1"/>
  <c r="N91" i="150"/>
  <c r="AA91" i="150" s="1"/>
  <c r="N95" i="150"/>
  <c r="AA95" i="150" s="1"/>
  <c r="X96" i="150"/>
  <c r="Y97" i="150"/>
  <c r="N98" i="150"/>
  <c r="AA98" i="150" s="1"/>
  <c r="Z98" i="150" s="1"/>
  <c r="Z16" i="151"/>
  <c r="X16" i="151"/>
  <c r="N18" i="151"/>
  <c r="AA18" i="151" s="1"/>
  <c r="Z19" i="151"/>
  <c r="X19" i="151"/>
  <c r="Y21" i="151"/>
  <c r="X22" i="151"/>
  <c r="Z29" i="151"/>
  <c r="Y31" i="151"/>
  <c r="N33" i="151"/>
  <c r="AA33" i="151" s="1"/>
  <c r="Z33" i="151" s="1"/>
  <c r="AA38" i="151"/>
  <c r="X39" i="151"/>
  <c r="Z40" i="151"/>
  <c r="Z41" i="151"/>
  <c r="Z43" i="151"/>
  <c r="Z45" i="151"/>
  <c r="Y46" i="151"/>
  <c r="X46" i="151" s="1"/>
  <c r="Z67" i="151"/>
  <c r="Y68" i="151"/>
  <c r="AA68" i="151"/>
  <c r="Z68" i="151" s="1"/>
  <c r="Z75" i="151"/>
  <c r="X76" i="151"/>
  <c r="Z77" i="151"/>
  <c r="Z81" i="151"/>
  <c r="N87" i="151"/>
  <c r="AA87" i="151" s="1"/>
  <c r="Z88" i="151"/>
  <c r="AA88" i="151"/>
  <c r="N89" i="151"/>
  <c r="AA89" i="151" s="1"/>
  <c r="X90" i="151"/>
  <c r="Z96" i="151"/>
  <c r="N97" i="151"/>
  <c r="AA97" i="151" s="1"/>
  <c r="Z98" i="151"/>
  <c r="Z99" i="151"/>
  <c r="Z100" i="151"/>
  <c r="X16" i="152"/>
  <c r="Y17" i="152"/>
  <c r="AA17" i="152"/>
  <c r="Z17" i="152" s="1"/>
  <c r="AA22" i="152"/>
  <c r="X23" i="152"/>
  <c r="Z24" i="152"/>
  <c r="Y24" i="152" s="1"/>
  <c r="Y25" i="152"/>
  <c r="X25" i="152" s="1"/>
  <c r="F48" i="152"/>
  <c r="Z30" i="152"/>
  <c r="AA30" i="152"/>
  <c r="X32" i="152"/>
  <c r="N34" i="152"/>
  <c r="AA34" i="152" s="1"/>
  <c r="Z36" i="152"/>
  <c r="AA36" i="152"/>
  <c r="Z38" i="152"/>
  <c r="Z39" i="152"/>
  <c r="X39" i="152"/>
  <c r="X44" i="152"/>
  <c r="N46" i="152"/>
  <c r="AA46" i="152" s="1"/>
  <c r="N70" i="152"/>
  <c r="AA70" i="152" s="1"/>
  <c r="X72" i="152"/>
  <c r="X73" i="152"/>
  <c r="X74" i="152"/>
  <c r="N75" i="152"/>
  <c r="AA75" i="152" s="1"/>
  <c r="X78" i="152"/>
  <c r="AA84" i="152"/>
  <c r="Z84" i="152" s="1"/>
  <c r="X84" i="152"/>
  <c r="X85" i="152"/>
  <c r="N86" i="152"/>
  <c r="N87" i="152"/>
  <c r="AA87" i="152" s="1"/>
  <c r="F102" i="152"/>
  <c r="X99" i="152"/>
  <c r="Z16" i="153"/>
  <c r="X16" i="153"/>
  <c r="M48" i="153"/>
  <c r="Y18" i="153"/>
  <c r="X18" i="153" s="1"/>
  <c r="Y20" i="153"/>
  <c r="X20" i="153" s="1"/>
  <c r="Z21" i="153"/>
  <c r="Y22" i="153"/>
  <c r="X22" i="153" s="1"/>
  <c r="Z23" i="153"/>
  <c r="Y24" i="153"/>
  <c r="X24" i="153" s="1"/>
  <c r="Y25" i="153"/>
  <c r="AA31" i="153"/>
  <c r="N38" i="153"/>
  <c r="AA38" i="153" s="1"/>
  <c r="Z39" i="153"/>
  <c r="X45" i="153"/>
  <c r="Z75" i="153"/>
  <c r="X75" i="153"/>
  <c r="Y76" i="153"/>
  <c r="X78" i="153"/>
  <c r="Y79" i="153"/>
  <c r="Z80" i="153"/>
  <c r="X81" i="153"/>
  <c r="N83" i="153"/>
  <c r="AA83" i="153" s="1"/>
  <c r="AA84" i="153"/>
  <c r="X95" i="153"/>
  <c r="AA17" i="154"/>
  <c r="Y25" i="154"/>
  <c r="AA29" i="154"/>
  <c r="Y35" i="154"/>
  <c r="N38" i="154"/>
  <c r="AA38" i="154" s="1"/>
  <c r="Z39" i="154"/>
  <c r="AA45" i="154"/>
  <c r="Y74" i="154"/>
  <c r="Y76" i="154"/>
  <c r="Y84" i="154"/>
  <c r="X84" i="154" s="1"/>
  <c r="Y15" i="155"/>
  <c r="Y22" i="155"/>
  <c r="AA29" i="155"/>
  <c r="Z30" i="155"/>
  <c r="Z38" i="155"/>
  <c r="AA39" i="155"/>
  <c r="Z72" i="155"/>
  <c r="N81" i="155"/>
  <c r="AA81" i="155" s="1"/>
  <c r="Z81" i="155" s="1"/>
  <c r="Y84" i="155"/>
  <c r="N93" i="155"/>
  <c r="AA93" i="155" s="1"/>
  <c r="AC121" i="124"/>
  <c r="AD121" i="124"/>
  <c r="Y30" i="125"/>
  <c r="X30" i="125" s="1"/>
  <c r="Y29" i="125"/>
  <c r="X29" i="125" s="1"/>
  <c r="Z28" i="125"/>
  <c r="Y70" i="125"/>
  <c r="Z74" i="125"/>
  <c r="Z77" i="125"/>
  <c r="Z73" i="125"/>
  <c r="AA13" i="126"/>
  <c r="Y25" i="126"/>
  <c r="Y29" i="126"/>
  <c r="Y35" i="126"/>
  <c r="Z66" i="126"/>
  <c r="Z67" i="126"/>
  <c r="Y68" i="126"/>
  <c r="Z69" i="126"/>
  <c r="Z80" i="126"/>
  <c r="Z97" i="126"/>
  <c r="F48" i="127"/>
  <c r="U48" i="127"/>
  <c r="Y66" i="127"/>
  <c r="F48" i="128"/>
  <c r="N13" i="128"/>
  <c r="N28" i="128"/>
  <c r="AA28" i="128" s="1"/>
  <c r="X28" i="128"/>
  <c r="Z28" i="128"/>
  <c r="Z33" i="128"/>
  <c r="Y34" i="128"/>
  <c r="Z39" i="128"/>
  <c r="Y39" i="128" s="1"/>
  <c r="N68" i="128"/>
  <c r="AA68" i="128" s="1"/>
  <c r="Z68" i="128" s="1"/>
  <c r="X68" i="128"/>
  <c r="Z93" i="128"/>
  <c r="X72" i="129"/>
  <c r="Y72" i="129"/>
  <c r="N99" i="129"/>
  <c r="AA99" i="129" s="1"/>
  <c r="Z99" i="129" s="1"/>
  <c r="Y99" i="129"/>
  <c r="X99" i="129" s="1"/>
  <c r="Y13" i="130"/>
  <c r="X13" i="130" s="1"/>
  <c r="Z13" i="130"/>
  <c r="X87" i="142"/>
  <c r="Y87" i="142"/>
  <c r="Y31" i="126"/>
  <c r="Z33" i="126"/>
  <c r="Z35" i="126"/>
  <c r="Y36" i="126"/>
  <c r="Z68" i="126"/>
  <c r="Z79" i="126"/>
  <c r="N88" i="126"/>
  <c r="AA88" i="126" s="1"/>
  <c r="Y88" i="126"/>
  <c r="X88" i="126" s="1"/>
  <c r="N20" i="127"/>
  <c r="AA20" i="127" s="1"/>
  <c r="X20" i="127"/>
  <c r="AA24" i="127"/>
  <c r="N36" i="127"/>
  <c r="AA36" i="127" s="1"/>
  <c r="X36" i="127"/>
  <c r="Y45" i="127"/>
  <c r="N46" i="127"/>
  <c r="AA46" i="127" s="1"/>
  <c r="Z46" i="127" s="1"/>
  <c r="X46" i="127"/>
  <c r="V102" i="127"/>
  <c r="Z74" i="127"/>
  <c r="AF102" i="127"/>
  <c r="AE102" i="127" s="1"/>
  <c r="AD102" i="127" s="1"/>
  <c r="AA46" i="128"/>
  <c r="AE102" i="128"/>
  <c r="AD102" i="128" s="1"/>
  <c r="AC102" i="128" s="1"/>
  <c r="Z67" i="128"/>
  <c r="W48" i="129"/>
  <c r="X39" i="129"/>
  <c r="Y39" i="129"/>
  <c r="Z67" i="129"/>
  <c r="N71" i="129"/>
  <c r="AA71" i="129" s="1"/>
  <c r="F102" i="129"/>
  <c r="N41" i="130"/>
  <c r="AA41" i="130" s="1"/>
  <c r="Y41" i="130"/>
  <c r="X41" i="130" s="1"/>
  <c r="Z41" i="130"/>
  <c r="Y45" i="130"/>
  <c r="X45" i="130" s="1"/>
  <c r="F48" i="141"/>
  <c r="N13" i="141"/>
  <c r="Z13" i="125"/>
  <c r="Y14" i="125"/>
  <c r="X14" i="125" s="1"/>
  <c r="AA15" i="125"/>
  <c r="A16" i="125"/>
  <c r="A17" i="125" s="1"/>
  <c r="A18" i="125" s="1"/>
  <c r="A19" i="125" s="1"/>
  <c r="A20" i="125" s="1"/>
  <c r="A21" i="125" s="1"/>
  <c r="A22" i="125" s="1"/>
  <c r="A23" i="125" s="1"/>
  <c r="A24" i="125" s="1"/>
  <c r="A25" i="125" s="1"/>
  <c r="A26" i="125" s="1"/>
  <c r="A27" i="125" s="1"/>
  <c r="A28" i="125" s="1"/>
  <c r="X17" i="125"/>
  <c r="N21" i="125"/>
  <c r="AA21" i="125" s="1"/>
  <c r="Z21" i="125" s="1"/>
  <c r="Y21" i="125"/>
  <c r="Y25" i="125"/>
  <c r="X25" i="125" s="1"/>
  <c r="Y31" i="125"/>
  <c r="X31" i="125" s="1"/>
  <c r="X34" i="125"/>
  <c r="X37" i="125"/>
  <c r="N40" i="125"/>
  <c r="AA40" i="125" s="1"/>
  <c r="Y40" i="125"/>
  <c r="X41" i="125"/>
  <c r="Y43" i="125"/>
  <c r="X43" i="125" s="1"/>
  <c r="X44" i="125"/>
  <c r="N67" i="125"/>
  <c r="Z67" i="125"/>
  <c r="X71" i="125"/>
  <c r="Y72" i="125"/>
  <c r="X72" i="125" s="1"/>
  <c r="Z76" i="125"/>
  <c r="Z78" i="125"/>
  <c r="Y78" i="125" s="1"/>
  <c r="L88" i="125"/>
  <c r="X13" i="126"/>
  <c r="Y17" i="126"/>
  <c r="X25" i="126"/>
  <c r="N28" i="126"/>
  <c r="AA28" i="126" s="1"/>
  <c r="Y28" i="126"/>
  <c r="X29" i="126"/>
  <c r="X33" i="126"/>
  <c r="N38" i="126"/>
  <c r="AA38" i="126" s="1"/>
  <c r="Z38" i="126"/>
  <c r="X39" i="126"/>
  <c r="Y42" i="126"/>
  <c r="X43" i="126"/>
  <c r="N45" i="126"/>
  <c r="AA45" i="126" s="1"/>
  <c r="Y45" i="126"/>
  <c r="M102" i="126"/>
  <c r="Y67" i="126"/>
  <c r="X67" i="126" s="1"/>
  <c r="X68" i="126"/>
  <c r="Y69" i="126"/>
  <c r="X69" i="126" s="1"/>
  <c r="Y70" i="126"/>
  <c r="X70" i="126" s="1"/>
  <c r="N71" i="126"/>
  <c r="AA71" i="126" s="1"/>
  <c r="Y71" i="126"/>
  <c r="X71" i="126" s="1"/>
  <c r="Y73" i="126"/>
  <c r="X73" i="126" s="1"/>
  <c r="Y77" i="126"/>
  <c r="X77" i="126" s="1"/>
  <c r="Y80" i="126"/>
  <c r="X80" i="126" s="1"/>
  <c r="Z81" i="126"/>
  <c r="Y82" i="126"/>
  <c r="Z83" i="126"/>
  <c r="Y84" i="126"/>
  <c r="Z85" i="126"/>
  <c r="Z86" i="126"/>
  <c r="Y95" i="126"/>
  <c r="X95" i="126" s="1"/>
  <c r="Y97" i="126"/>
  <c r="X97" i="126" s="1"/>
  <c r="Y98" i="126"/>
  <c r="Y13" i="127"/>
  <c r="AE48" i="127"/>
  <c r="AA15" i="127"/>
  <c r="Z31" i="127"/>
  <c r="Y31" i="127" s="1"/>
  <c r="X31" i="127" s="1"/>
  <c r="Z40" i="127"/>
  <c r="X40" i="127"/>
  <c r="Y41" i="127"/>
  <c r="Z43" i="127"/>
  <c r="Z66" i="127"/>
  <c r="X66" i="127"/>
  <c r="AA68" i="127"/>
  <c r="Z71" i="127"/>
  <c r="Y72" i="127"/>
  <c r="Z85" i="127"/>
  <c r="Y85" i="127" s="1"/>
  <c r="X89" i="127"/>
  <c r="Z90" i="127"/>
  <c r="Y91" i="127"/>
  <c r="Z95" i="127"/>
  <c r="Z96" i="127"/>
  <c r="Y96" i="127" s="1"/>
  <c r="X100" i="127"/>
  <c r="F102" i="127"/>
  <c r="U102" i="127"/>
  <c r="Y14" i="128"/>
  <c r="Y15" i="128"/>
  <c r="AA26" i="128"/>
  <c r="Y28" i="128"/>
  <c r="Y29" i="128"/>
  <c r="Y30" i="128"/>
  <c r="X34" i="128"/>
  <c r="Y38" i="128"/>
  <c r="Y40" i="128"/>
  <c r="Y68" i="128"/>
  <c r="Y82" i="128"/>
  <c r="X83" i="128"/>
  <c r="Y83" i="128"/>
  <c r="AA83" i="128"/>
  <c r="Z85" i="128"/>
  <c r="Y93" i="128"/>
  <c r="N94" i="128"/>
  <c r="AA94" i="128" s="1"/>
  <c r="X94" i="128"/>
  <c r="Y94" i="128"/>
  <c r="AA99" i="128"/>
  <c r="U102" i="128"/>
  <c r="Y102" i="128" s="1"/>
  <c r="X16" i="129"/>
  <c r="Y17" i="129"/>
  <c r="AC48" i="129"/>
  <c r="N68" i="129"/>
  <c r="AA68" i="129" s="1"/>
  <c r="X68" i="129"/>
  <c r="Y68" i="129"/>
  <c r="Z72" i="129"/>
  <c r="AF48" i="130"/>
  <c r="AE48" i="130" s="1"/>
  <c r="N32" i="130"/>
  <c r="AA32" i="130" s="1"/>
  <c r="X32" i="130"/>
  <c r="Y42" i="130"/>
  <c r="AF102" i="130"/>
  <c r="Z73" i="130"/>
  <c r="N100" i="130"/>
  <c r="X100" i="130"/>
  <c r="V48" i="131"/>
  <c r="N16" i="131"/>
  <c r="AA16" i="131" s="1"/>
  <c r="Y16" i="131"/>
  <c r="X16" i="131" s="1"/>
  <c r="M48" i="131"/>
  <c r="X87" i="131"/>
  <c r="Y87" i="131"/>
  <c r="Z34" i="140"/>
  <c r="N81" i="140"/>
  <c r="AA81" i="140" s="1"/>
  <c r="X81" i="140"/>
  <c r="Y81" i="140"/>
  <c r="Z81" i="140"/>
  <c r="AF48" i="141"/>
  <c r="AE48" i="141" s="1"/>
  <c r="AD48" i="141" s="1"/>
  <c r="AC48" i="141" s="1"/>
  <c r="AC102" i="141"/>
  <c r="Z75" i="141"/>
  <c r="U48" i="142"/>
  <c r="X13" i="142"/>
  <c r="Y13" i="142"/>
  <c r="W48" i="142"/>
  <c r="AE48" i="142"/>
  <c r="Y66" i="143"/>
  <c r="M102" i="143"/>
  <c r="L118" i="124"/>
  <c r="Z14" i="125"/>
  <c r="Z17" i="125"/>
  <c r="Y17" i="125" s="1"/>
  <c r="Y34" i="125"/>
  <c r="Y37" i="125"/>
  <c r="Y41" i="125"/>
  <c r="Y44" i="125"/>
  <c r="A68" i="125"/>
  <c r="A69" i="125" s="1"/>
  <c r="A70" i="125" s="1"/>
  <c r="A71" i="125" s="1"/>
  <c r="A72" i="125" s="1"/>
  <c r="A73" i="125" s="1"/>
  <c r="A74" i="125" s="1"/>
  <c r="A75" i="125" s="1"/>
  <c r="A76" i="125" s="1"/>
  <c r="A77" i="125" s="1"/>
  <c r="A78" i="125" s="1"/>
  <c r="A79" i="125" s="1"/>
  <c r="A80" i="125" s="1"/>
  <c r="A81" i="125" s="1"/>
  <c r="A82" i="125" s="1"/>
  <c r="A83" i="125" s="1"/>
  <c r="A84" i="125" s="1"/>
  <c r="A85" i="125" s="1"/>
  <c r="Z71" i="125"/>
  <c r="Y71" i="125" s="1"/>
  <c r="Z72" i="125"/>
  <c r="Y13" i="126"/>
  <c r="AA15" i="126"/>
  <c r="Z15" i="126" s="1"/>
  <c r="Y21" i="126"/>
  <c r="X21" i="126" s="1"/>
  <c r="Y39" i="126"/>
  <c r="Y43" i="126"/>
  <c r="X66" i="126"/>
  <c r="U102" i="126"/>
  <c r="Z70" i="126"/>
  <c r="Z13" i="127"/>
  <c r="N21" i="127"/>
  <c r="AA21" i="127" s="1"/>
  <c r="Z21" i="127" s="1"/>
  <c r="X21" i="127"/>
  <c r="Y40" i="127"/>
  <c r="Y74" i="127"/>
  <c r="X74" i="127" s="1"/>
  <c r="Z89" i="127"/>
  <c r="Y89" i="127" s="1"/>
  <c r="N33" i="128"/>
  <c r="AA33" i="128" s="1"/>
  <c r="X33" i="128"/>
  <c r="Z38" i="128"/>
  <c r="F102" i="128"/>
  <c r="N66" i="128"/>
  <c r="X91" i="128"/>
  <c r="Y91" i="128"/>
  <c r="Y14" i="129"/>
  <c r="X14" i="129" s="1"/>
  <c r="Z16" i="129"/>
  <c r="Y16" i="129" s="1"/>
  <c r="Y67" i="129"/>
  <c r="X67" i="129" s="1"/>
  <c r="Y17" i="130"/>
  <c r="X17" i="130" s="1"/>
  <c r="N24" i="130"/>
  <c r="AA24" i="130" s="1"/>
  <c r="Z24" i="130" s="1"/>
  <c r="X24" i="130"/>
  <c r="Y24" i="130"/>
  <c r="X35" i="130"/>
  <c r="Z35" i="130"/>
  <c r="Y35" i="130" s="1"/>
  <c r="X73" i="130"/>
  <c r="Y73" i="130"/>
  <c r="X90" i="130"/>
  <c r="Y90" i="130"/>
  <c r="N14" i="131"/>
  <c r="AA14" i="131" s="1"/>
  <c r="X14" i="131"/>
  <c r="Y14" i="131"/>
  <c r="N44" i="131"/>
  <c r="AA44" i="131" s="1"/>
  <c r="X44" i="131"/>
  <c r="Y44" i="131"/>
  <c r="N80" i="131"/>
  <c r="AA80" i="131" s="1"/>
  <c r="X80" i="131"/>
  <c r="Y80" i="131"/>
  <c r="Z80" i="131"/>
  <c r="X42" i="142"/>
  <c r="Y42" i="142"/>
  <c r="N32" i="143"/>
  <c r="X32" i="143"/>
  <c r="Y32" i="143"/>
  <c r="Z32" i="143"/>
  <c r="Y15" i="125"/>
  <c r="Y19" i="125"/>
  <c r="X19" i="125" s="1"/>
  <c r="Y35" i="125"/>
  <c r="X35" i="125" s="1"/>
  <c r="Y38" i="125"/>
  <c r="Z41" i="125"/>
  <c r="Z44" i="125"/>
  <c r="Y68" i="125"/>
  <c r="X68" i="125" s="1"/>
  <c r="A88" i="125"/>
  <c r="N93" i="125"/>
  <c r="AA93" i="125" s="1"/>
  <c r="Z93" i="125" s="1"/>
  <c r="F48" i="126"/>
  <c r="Z13" i="126"/>
  <c r="Y20" i="126"/>
  <c r="Y26" i="126"/>
  <c r="X26" i="126" s="1"/>
  <c r="Z29" i="126"/>
  <c r="Z43" i="126"/>
  <c r="Y75" i="126"/>
  <c r="X75" i="126" s="1"/>
  <c r="Y99" i="126"/>
  <c r="X99" i="126" s="1"/>
  <c r="Y100" i="126"/>
  <c r="V48" i="127"/>
  <c r="Z20" i="127"/>
  <c r="Y29" i="127"/>
  <c r="Y32" i="127"/>
  <c r="Y34" i="127"/>
  <c r="Z36" i="127"/>
  <c r="Y37" i="127"/>
  <c r="Y75" i="127"/>
  <c r="Z79" i="127"/>
  <c r="Z83" i="127"/>
  <c r="M48" i="128"/>
  <c r="Y24" i="128"/>
  <c r="AA42" i="128"/>
  <c r="Y45" i="128"/>
  <c r="N88" i="128"/>
  <c r="AA88" i="128" s="1"/>
  <c r="X88" i="128"/>
  <c r="Z88" i="128"/>
  <c r="AF102" i="128"/>
  <c r="M48" i="129"/>
  <c r="Z13" i="129"/>
  <c r="AE48" i="129"/>
  <c r="AE102" i="129"/>
  <c r="Z94" i="129"/>
  <c r="AC48" i="131"/>
  <c r="Y15" i="140"/>
  <c r="X15" i="140" s="1"/>
  <c r="Z15" i="141"/>
  <c r="M48" i="141"/>
  <c r="Y44" i="141"/>
  <c r="X44" i="141" s="1"/>
  <c r="Z91" i="141"/>
  <c r="X96" i="141"/>
  <c r="Y96" i="141"/>
  <c r="X71" i="142"/>
  <c r="Y71" i="142"/>
  <c r="Y19" i="143"/>
  <c r="X19" i="143" s="1"/>
  <c r="Z30" i="143"/>
  <c r="X30" i="143"/>
  <c r="Y30" i="143"/>
  <c r="N68" i="144"/>
  <c r="F102" i="144"/>
  <c r="X70" i="144"/>
  <c r="Y70" i="144"/>
  <c r="V48" i="146"/>
  <c r="AA16" i="146"/>
  <c r="X75" i="146"/>
  <c r="Y75" i="146"/>
  <c r="Z94" i="154"/>
  <c r="X94" i="154"/>
  <c r="Y94" i="154"/>
  <c r="N13" i="125"/>
  <c r="Y13" i="125"/>
  <c r="N20" i="125"/>
  <c r="AA20" i="125" s="1"/>
  <c r="X21" i="125"/>
  <c r="N22" i="125"/>
  <c r="AA22" i="125" s="1"/>
  <c r="N23" i="125"/>
  <c r="AA23" i="125" s="1"/>
  <c r="N25" i="125"/>
  <c r="AA25" i="125" s="1"/>
  <c r="AA26" i="125"/>
  <c r="Z27" i="125"/>
  <c r="AA30" i="125"/>
  <c r="N32" i="125"/>
  <c r="AA32" i="125" s="1"/>
  <c r="Y32" i="125"/>
  <c r="N33" i="125"/>
  <c r="AA33" i="125" s="1"/>
  <c r="Y33" i="125"/>
  <c r="N36" i="125"/>
  <c r="AA36" i="125" s="1"/>
  <c r="Y36" i="125"/>
  <c r="X40" i="125"/>
  <c r="N46" i="125"/>
  <c r="AA46" i="125" s="1"/>
  <c r="Z46" i="125" s="1"/>
  <c r="N66" i="125"/>
  <c r="AA66" i="125" s="1"/>
  <c r="Y67" i="125"/>
  <c r="X67" i="125" s="1"/>
  <c r="N68" i="125"/>
  <c r="AA68" i="125" s="1"/>
  <c r="N69" i="125"/>
  <c r="AA69" i="125" s="1"/>
  <c r="AA70" i="125"/>
  <c r="Z70" i="125" s="1"/>
  <c r="AA73" i="125"/>
  <c r="N76" i="125"/>
  <c r="AA76" i="125" s="1"/>
  <c r="Y76" i="125"/>
  <c r="X76" i="125" s="1"/>
  <c r="N78" i="125"/>
  <c r="AA78" i="125" s="1"/>
  <c r="X78" i="125"/>
  <c r="Y82" i="125"/>
  <c r="X82" i="125" s="1"/>
  <c r="N16" i="126"/>
  <c r="Y16" i="126"/>
  <c r="AA18" i="126"/>
  <c r="AA22" i="126"/>
  <c r="X28" i="126"/>
  <c r="Y38" i="126"/>
  <c r="X38" i="126" s="1"/>
  <c r="N41" i="126"/>
  <c r="AA41" i="126" s="1"/>
  <c r="Z41" i="126" s="1"/>
  <c r="Y41" i="126"/>
  <c r="Z45" i="126"/>
  <c r="X45" i="126"/>
  <c r="Y46" i="126"/>
  <c r="X46" i="126" s="1"/>
  <c r="W102" i="126"/>
  <c r="V102" i="126" s="1"/>
  <c r="AC102" i="126"/>
  <c r="Z71" i="126"/>
  <c r="N72" i="126"/>
  <c r="AA72" i="126" s="1"/>
  <c r="Y72" i="126"/>
  <c r="X72" i="126" s="1"/>
  <c r="Y78" i="126"/>
  <c r="X78" i="126" s="1"/>
  <c r="Y81" i="126"/>
  <c r="X81" i="126" s="1"/>
  <c r="X82" i="126"/>
  <c r="Y83" i="126"/>
  <c r="X83" i="126" s="1"/>
  <c r="X84" i="126"/>
  <c r="Y85" i="126"/>
  <c r="X85" i="126" s="1"/>
  <c r="Y86" i="126"/>
  <c r="X86" i="126" s="1"/>
  <c r="N87" i="126"/>
  <c r="AA87" i="126" s="1"/>
  <c r="Y87" i="126"/>
  <c r="X87" i="126" s="1"/>
  <c r="Z89" i="126"/>
  <c r="Y89" i="126"/>
  <c r="X89" i="126" s="1"/>
  <c r="Z98" i="126"/>
  <c r="X98" i="126"/>
  <c r="AA13" i="127"/>
  <c r="W48" i="127"/>
  <c r="AD48" i="127"/>
  <c r="Z15" i="127"/>
  <c r="Y17" i="127"/>
  <c r="Z22" i="127"/>
  <c r="Y25" i="127"/>
  <c r="X25" i="127" s="1"/>
  <c r="Y26" i="127"/>
  <c r="AA29" i="127"/>
  <c r="AA32" i="127"/>
  <c r="Z41" i="127"/>
  <c r="X41" i="127"/>
  <c r="Y42" i="127"/>
  <c r="Y44" i="127"/>
  <c r="Z68" i="127"/>
  <c r="Y68" i="127" s="1"/>
  <c r="Y71" i="127"/>
  <c r="X72" i="127"/>
  <c r="X85" i="127"/>
  <c r="Y86" i="127"/>
  <c r="Y87" i="127"/>
  <c r="Y90" i="127"/>
  <c r="X90" i="127" s="1"/>
  <c r="X91" i="127"/>
  <c r="Y95" i="127"/>
  <c r="Y97" i="127"/>
  <c r="U48" i="128"/>
  <c r="Z13" i="128"/>
  <c r="X14" i="128"/>
  <c r="N17" i="128"/>
  <c r="AA17" i="128" s="1"/>
  <c r="X17" i="128"/>
  <c r="Z17" i="128"/>
  <c r="Y18" i="128"/>
  <c r="Z22" i="128"/>
  <c r="Y26" i="128"/>
  <c r="Z29" i="128"/>
  <c r="X29" i="128"/>
  <c r="Z40" i="128"/>
  <c r="X40" i="128"/>
  <c r="Z43" i="128"/>
  <c r="Y43" i="128" s="1"/>
  <c r="N44" i="128"/>
  <c r="AA44" i="128" s="1"/>
  <c r="X44" i="128"/>
  <c r="Z44" i="128"/>
  <c r="Y66" i="128"/>
  <c r="Z69" i="128"/>
  <c r="Y74" i="128"/>
  <c r="AA75" i="128"/>
  <c r="Z83" i="128"/>
  <c r="Y85" i="128"/>
  <c r="Z94" i="128"/>
  <c r="N95" i="128"/>
  <c r="AA95" i="128" s="1"/>
  <c r="Z95" i="128" s="1"/>
  <c r="X95" i="128"/>
  <c r="AA98" i="128"/>
  <c r="Z17" i="129"/>
  <c r="X17" i="129"/>
  <c r="Y18" i="129"/>
  <c r="Y19" i="129"/>
  <c r="AA26" i="129"/>
  <c r="Z68" i="129"/>
  <c r="AF102" i="129"/>
  <c r="Y14" i="130"/>
  <c r="X26" i="130"/>
  <c r="Y26" i="130"/>
  <c r="Y32" i="130"/>
  <c r="AE102" i="130"/>
  <c r="Y74" i="130"/>
  <c r="N93" i="130"/>
  <c r="AA93" i="130" s="1"/>
  <c r="Z93" i="130" s="1"/>
  <c r="X93" i="130"/>
  <c r="Y100" i="130"/>
  <c r="Z16" i="131"/>
  <c r="N27" i="131"/>
  <c r="AA27" i="131" s="1"/>
  <c r="X27" i="131"/>
  <c r="Y27" i="131"/>
  <c r="U48" i="131"/>
  <c r="AE102" i="131"/>
  <c r="N78" i="131"/>
  <c r="AA78" i="131" s="1"/>
  <c r="X78" i="131"/>
  <c r="Y78" i="131"/>
  <c r="X17" i="143"/>
  <c r="Y17" i="143"/>
  <c r="Y91" i="126"/>
  <c r="X91" i="126" s="1"/>
  <c r="Y93" i="126"/>
  <c r="X93" i="126" s="1"/>
  <c r="Y94" i="126"/>
  <c r="X94" i="126" s="1"/>
  <c r="N95" i="126"/>
  <c r="AA95" i="126" s="1"/>
  <c r="N96" i="126"/>
  <c r="AA96" i="126" s="1"/>
  <c r="N18" i="127"/>
  <c r="AA18" i="127" s="1"/>
  <c r="Z18" i="127" s="1"/>
  <c r="Y18" i="127"/>
  <c r="N19" i="127"/>
  <c r="AA19" i="127" s="1"/>
  <c r="N25" i="127"/>
  <c r="AA25" i="127" s="1"/>
  <c r="Y33" i="127"/>
  <c r="X33" i="127" s="1"/>
  <c r="AA35" i="127"/>
  <c r="Z35" i="127" s="1"/>
  <c r="N38" i="127"/>
  <c r="AA38" i="127" s="1"/>
  <c r="Y38" i="127"/>
  <c r="N39" i="127"/>
  <c r="AA39" i="127" s="1"/>
  <c r="AA71" i="127"/>
  <c r="N77" i="127"/>
  <c r="AA77" i="127" s="1"/>
  <c r="Y77" i="127"/>
  <c r="N81" i="127"/>
  <c r="AA81" i="127" s="1"/>
  <c r="Y81" i="127"/>
  <c r="N93" i="127"/>
  <c r="AA93" i="127" s="1"/>
  <c r="Y93" i="127"/>
  <c r="AA95" i="127"/>
  <c r="N98" i="127"/>
  <c r="AA98" i="127" s="1"/>
  <c r="Y98" i="127"/>
  <c r="AA100" i="127"/>
  <c r="N20" i="128"/>
  <c r="AA20" i="128" s="1"/>
  <c r="Y20" i="128"/>
  <c r="AA22" i="128"/>
  <c r="N25" i="128"/>
  <c r="AA25" i="128" s="1"/>
  <c r="Y25" i="128"/>
  <c r="N36" i="128"/>
  <c r="AA36" i="128" s="1"/>
  <c r="Y36" i="128"/>
  <c r="AA38" i="128"/>
  <c r="N41" i="128"/>
  <c r="AA41" i="128" s="1"/>
  <c r="Y41" i="128"/>
  <c r="AA67" i="128"/>
  <c r="AA69" i="128"/>
  <c r="N71" i="128"/>
  <c r="AA71" i="128" s="1"/>
  <c r="Y71" i="128"/>
  <c r="Y72" i="128"/>
  <c r="Z74" i="128"/>
  <c r="Z82" i="128"/>
  <c r="Y86" i="128"/>
  <c r="X86" i="128" s="1"/>
  <c r="AA90" i="128"/>
  <c r="AA93" i="128"/>
  <c r="Y99" i="128"/>
  <c r="N100" i="128"/>
  <c r="AA100" i="128" s="1"/>
  <c r="Z100" i="128" s="1"/>
  <c r="X100" i="128"/>
  <c r="Y13" i="129"/>
  <c r="AF48" i="129"/>
  <c r="N27" i="129"/>
  <c r="AA27" i="129" s="1"/>
  <c r="X27" i="129"/>
  <c r="Y29" i="129"/>
  <c r="Z32" i="129"/>
  <c r="Y32" i="129" s="1"/>
  <c r="N66" i="129"/>
  <c r="X66" i="129"/>
  <c r="Z66" i="129"/>
  <c r="Z69" i="129"/>
  <c r="AA82" i="129"/>
  <c r="Z82" i="129" s="1"/>
  <c r="Y84" i="129"/>
  <c r="AA90" i="129"/>
  <c r="Y97" i="129"/>
  <c r="U102" i="129"/>
  <c r="F48" i="130"/>
  <c r="N13" i="130"/>
  <c r="Z14" i="130"/>
  <c r="Y16" i="130"/>
  <c r="AA19" i="130"/>
  <c r="N29" i="130"/>
  <c r="AA29" i="130" s="1"/>
  <c r="Y29" i="130"/>
  <c r="X29" i="130" s="1"/>
  <c r="Y30" i="130"/>
  <c r="AA34" i="130"/>
  <c r="Z38" i="130"/>
  <c r="Z39" i="130"/>
  <c r="Y39" i="130" s="1"/>
  <c r="Z42" i="130"/>
  <c r="Y44" i="130"/>
  <c r="AC102" i="130"/>
  <c r="N70" i="130"/>
  <c r="AA70" i="130" s="1"/>
  <c r="Y70" i="130"/>
  <c r="X70" i="130" s="1"/>
  <c r="Z74" i="130"/>
  <c r="Y78" i="130"/>
  <c r="X78" i="130" s="1"/>
  <c r="AA89" i="130"/>
  <c r="Z89" i="130" s="1"/>
  <c r="X22" i="131"/>
  <c r="Y22" i="131"/>
  <c r="Z28" i="131"/>
  <c r="Y37" i="131"/>
  <c r="Y38" i="131"/>
  <c r="X75" i="131"/>
  <c r="Y75" i="131"/>
  <c r="Z87" i="131"/>
  <c r="N92" i="131"/>
  <c r="AA92" i="131" s="1"/>
  <c r="X92" i="131"/>
  <c r="N95" i="131"/>
  <c r="AA95" i="131" s="1"/>
  <c r="Y95" i="131"/>
  <c r="X95" i="131" s="1"/>
  <c r="Z95" i="131"/>
  <c r="Y31" i="140"/>
  <c r="X31" i="140" s="1"/>
  <c r="Y32" i="140"/>
  <c r="AD102" i="140"/>
  <c r="N73" i="140"/>
  <c r="X73" i="140"/>
  <c r="Y83" i="140"/>
  <c r="Y85" i="140"/>
  <c r="X85" i="140" s="1"/>
  <c r="Y86" i="140"/>
  <c r="X100" i="140"/>
  <c r="Y100" i="140"/>
  <c r="Y15" i="141"/>
  <c r="N32" i="141"/>
  <c r="AA32" i="141" s="1"/>
  <c r="X32" i="141"/>
  <c r="Y35" i="141"/>
  <c r="N40" i="141"/>
  <c r="AA40" i="141" s="1"/>
  <c r="X40" i="141"/>
  <c r="Y40" i="141"/>
  <c r="Y82" i="141"/>
  <c r="X82" i="141" s="1"/>
  <c r="Z13" i="142"/>
  <c r="N40" i="142"/>
  <c r="AA40" i="142" s="1"/>
  <c r="Y40" i="142"/>
  <c r="X40" i="142" s="1"/>
  <c r="AC102" i="142"/>
  <c r="Y94" i="142"/>
  <c r="X94" i="142" s="1"/>
  <c r="Y95" i="142"/>
  <c r="N24" i="143"/>
  <c r="AA24" i="143" s="1"/>
  <c r="X24" i="143"/>
  <c r="Y24" i="143"/>
  <c r="X34" i="143"/>
  <c r="Y34" i="143"/>
  <c r="AC48" i="144"/>
  <c r="AA94" i="144"/>
  <c r="N67" i="145"/>
  <c r="AA67" i="145" s="1"/>
  <c r="F102" i="145"/>
  <c r="Z21" i="146"/>
  <c r="Y21" i="146"/>
  <c r="X21" i="146" s="1"/>
  <c r="Z99" i="146"/>
  <c r="N37" i="147"/>
  <c r="AA37" i="147" s="1"/>
  <c r="X37" i="147"/>
  <c r="Y37" i="147"/>
  <c r="Z37" i="147"/>
  <c r="N46" i="126"/>
  <c r="AA46" i="126" s="1"/>
  <c r="AF48" i="126"/>
  <c r="N73" i="126"/>
  <c r="AA73" i="126" s="1"/>
  <c r="N74" i="126"/>
  <c r="AA74" i="126" s="1"/>
  <c r="Y74" i="126"/>
  <c r="N75" i="126"/>
  <c r="AA75" i="126" s="1"/>
  <c r="N76" i="126"/>
  <c r="AA76" i="126" s="1"/>
  <c r="Y76" i="126"/>
  <c r="N77" i="126"/>
  <c r="AA77" i="126" s="1"/>
  <c r="N78" i="126"/>
  <c r="AA78" i="126" s="1"/>
  <c r="AA82" i="126"/>
  <c r="N89" i="126"/>
  <c r="AA89" i="126" s="1"/>
  <c r="N90" i="126"/>
  <c r="AA90" i="126" s="1"/>
  <c r="Y90" i="126"/>
  <c r="N91" i="126"/>
  <c r="AA91" i="126" s="1"/>
  <c r="N92" i="126"/>
  <c r="AA92" i="126" s="1"/>
  <c r="Y92" i="126"/>
  <c r="N93" i="126"/>
  <c r="AA93" i="126" s="1"/>
  <c r="N94" i="126"/>
  <c r="AA94" i="126" s="1"/>
  <c r="AA98" i="126"/>
  <c r="N16" i="127"/>
  <c r="AA16" i="127" s="1"/>
  <c r="Y16" i="127"/>
  <c r="N28" i="127"/>
  <c r="AA28" i="127" s="1"/>
  <c r="Z28" i="127" s="1"/>
  <c r="Y28" i="127"/>
  <c r="N30" i="127"/>
  <c r="AA30" i="127" s="1"/>
  <c r="Y30" i="127"/>
  <c r="N33" i="127"/>
  <c r="AA33" i="127" s="1"/>
  <c r="AA66" i="127"/>
  <c r="N69" i="127"/>
  <c r="AA69" i="127" s="1"/>
  <c r="N70" i="127"/>
  <c r="AA70" i="127" s="1"/>
  <c r="Y70" i="127"/>
  <c r="AA72" i="127"/>
  <c r="AA75" i="127"/>
  <c r="N78" i="127"/>
  <c r="AA78" i="127" s="1"/>
  <c r="Y78" i="127"/>
  <c r="N82" i="127"/>
  <c r="AA82" i="127" s="1"/>
  <c r="Y82" i="127"/>
  <c r="AA84" i="127"/>
  <c r="AA87" i="127"/>
  <c r="AA88" i="127"/>
  <c r="AA91" i="127"/>
  <c r="N94" i="127"/>
  <c r="AA94" i="127" s="1"/>
  <c r="Y94" i="127"/>
  <c r="Y13" i="128"/>
  <c r="AA14" i="128"/>
  <c r="N16" i="128"/>
  <c r="AA16" i="128" s="1"/>
  <c r="Y16" i="128"/>
  <c r="AA18" i="128"/>
  <c r="N21" i="128"/>
  <c r="AA21" i="128" s="1"/>
  <c r="Y21" i="128"/>
  <c r="N32" i="128"/>
  <c r="AA32" i="128" s="1"/>
  <c r="Y32" i="128"/>
  <c r="AA34" i="128"/>
  <c r="N37" i="128"/>
  <c r="AA37" i="128" s="1"/>
  <c r="Y37" i="128"/>
  <c r="Y79" i="128"/>
  <c r="Y80" i="128"/>
  <c r="N84" i="128"/>
  <c r="AA84" i="128" s="1"/>
  <c r="Z84" i="128" s="1"/>
  <c r="X84" i="128"/>
  <c r="N92" i="128"/>
  <c r="AA92" i="128" s="1"/>
  <c r="Z92" i="128" s="1"/>
  <c r="X92" i="128"/>
  <c r="N96" i="128"/>
  <c r="AA96" i="128" s="1"/>
  <c r="X96" i="128"/>
  <c r="Z96" i="128"/>
  <c r="F48" i="129"/>
  <c r="AA13" i="129"/>
  <c r="AA19" i="129"/>
  <c r="N23" i="129"/>
  <c r="AA23" i="129" s="1"/>
  <c r="Y23" i="129"/>
  <c r="X23" i="129" s="1"/>
  <c r="V102" i="129"/>
  <c r="AC102" i="129"/>
  <c r="W102" i="129"/>
  <c r="Z70" i="129"/>
  <c r="N73" i="129"/>
  <c r="AA73" i="129" s="1"/>
  <c r="Y73" i="129"/>
  <c r="X73" i="129" s="1"/>
  <c r="Z79" i="129"/>
  <c r="AA80" i="129"/>
  <c r="Y83" i="129"/>
  <c r="X83" i="129" s="1"/>
  <c r="AA88" i="129"/>
  <c r="Z95" i="129"/>
  <c r="N100" i="129"/>
  <c r="AA100" i="129" s="1"/>
  <c r="X100" i="129"/>
  <c r="Z100" i="129"/>
  <c r="N28" i="130"/>
  <c r="AA28" i="130" s="1"/>
  <c r="X28" i="130"/>
  <c r="Z28" i="130"/>
  <c r="Z32" i="130"/>
  <c r="Y33" i="130"/>
  <c r="AD102" i="130"/>
  <c r="N68" i="130"/>
  <c r="X68" i="130"/>
  <c r="Z68" i="130"/>
  <c r="AA83" i="130"/>
  <c r="Y87" i="130"/>
  <c r="N94" i="130"/>
  <c r="AA94" i="130" s="1"/>
  <c r="Z94" i="130" s="1"/>
  <c r="Y94" i="130"/>
  <c r="X94" i="130" s="1"/>
  <c r="AA97" i="130"/>
  <c r="Z97" i="130" s="1"/>
  <c r="U102" i="130"/>
  <c r="F48" i="131"/>
  <c r="N13" i="131"/>
  <c r="Y17" i="131"/>
  <c r="AF48" i="131"/>
  <c r="AA30" i="131"/>
  <c r="N31" i="131"/>
  <c r="AA31" i="131" s="1"/>
  <c r="X31" i="131"/>
  <c r="Z31" i="131"/>
  <c r="Y45" i="131"/>
  <c r="AF102" i="131"/>
  <c r="Y67" i="131"/>
  <c r="AA73" i="131"/>
  <c r="Y88" i="131"/>
  <c r="Z96" i="131"/>
  <c r="X38" i="140"/>
  <c r="Y38" i="140"/>
  <c r="N43" i="140"/>
  <c r="AA43" i="140" s="1"/>
  <c r="X43" i="140"/>
  <c r="Z66" i="140"/>
  <c r="AA71" i="140"/>
  <c r="Z71" i="140" s="1"/>
  <c r="N93" i="140"/>
  <c r="AA93" i="140" s="1"/>
  <c r="Y93" i="140"/>
  <c r="X93" i="140" s="1"/>
  <c r="AA98" i="140"/>
  <c r="V48" i="141"/>
  <c r="X14" i="141"/>
  <c r="Y14" i="141"/>
  <c r="N20" i="141"/>
  <c r="AA20" i="141" s="1"/>
  <c r="Y20" i="141"/>
  <c r="X20" i="141" s="1"/>
  <c r="Z22" i="141"/>
  <c r="Z41" i="141"/>
  <c r="Y66" i="141"/>
  <c r="AF102" i="141"/>
  <c r="AE102" i="141" s="1"/>
  <c r="AD102" i="141" s="1"/>
  <c r="V102" i="141"/>
  <c r="X77" i="141"/>
  <c r="Y77" i="141"/>
  <c r="N79" i="141"/>
  <c r="AA79" i="141" s="1"/>
  <c r="X79" i="141"/>
  <c r="Y79" i="141"/>
  <c r="Z81" i="141"/>
  <c r="X93" i="141"/>
  <c r="Y93" i="141"/>
  <c r="N95" i="141"/>
  <c r="AA95" i="141" s="1"/>
  <c r="X95" i="141"/>
  <c r="Z95" i="141"/>
  <c r="Y95" i="141" s="1"/>
  <c r="AA96" i="141"/>
  <c r="Z96" i="141" s="1"/>
  <c r="Y14" i="142"/>
  <c r="AF48" i="142"/>
  <c r="AA27" i="142"/>
  <c r="Z27" i="142" s="1"/>
  <c r="N28" i="142"/>
  <c r="AA28" i="142" s="1"/>
  <c r="X28" i="142"/>
  <c r="Y28" i="142"/>
  <c r="Y43" i="142"/>
  <c r="Z71" i="142"/>
  <c r="V48" i="143"/>
  <c r="AC48" i="143"/>
  <c r="N14" i="143"/>
  <c r="AA14" i="143" s="1"/>
  <c r="F48" i="143"/>
  <c r="AE48" i="143"/>
  <c r="AD48" i="143" s="1"/>
  <c r="Z18" i="143"/>
  <c r="X18" i="143"/>
  <c r="AA25" i="143"/>
  <c r="Z25" i="143" s="1"/>
  <c r="AA32" i="143"/>
  <c r="N43" i="144"/>
  <c r="AA43" i="144" s="1"/>
  <c r="Y43" i="144"/>
  <c r="X43" i="144" s="1"/>
  <c r="Z43" i="144"/>
  <c r="X90" i="144"/>
  <c r="Y90" i="144"/>
  <c r="X77" i="145"/>
  <c r="Y77" i="145"/>
  <c r="Z75" i="146"/>
  <c r="X26" i="149"/>
  <c r="Y26" i="149"/>
  <c r="N29" i="149"/>
  <c r="AA29" i="149" s="1"/>
  <c r="X29" i="149"/>
  <c r="Y29" i="149"/>
  <c r="Z29" i="149"/>
  <c r="X32" i="129"/>
  <c r="N33" i="129"/>
  <c r="AA33" i="129" s="1"/>
  <c r="X33" i="129"/>
  <c r="Z33" i="129"/>
  <c r="Y66" i="129"/>
  <c r="AA78" i="129"/>
  <c r="Z78" i="129" s="1"/>
  <c r="AA79" i="129"/>
  <c r="Z84" i="129"/>
  <c r="X84" i="129"/>
  <c r="Y85" i="129"/>
  <c r="Z96" i="129"/>
  <c r="Z97" i="129"/>
  <c r="X97" i="129"/>
  <c r="Y98" i="129"/>
  <c r="V48" i="130"/>
  <c r="U48" i="130" s="1"/>
  <c r="Z16" i="130"/>
  <c r="X16" i="130"/>
  <c r="Y18" i="130"/>
  <c r="AA18" i="130"/>
  <c r="Z22" i="130"/>
  <c r="Z29" i="130"/>
  <c r="Y38" i="130"/>
  <c r="N40" i="130"/>
  <c r="X40" i="130"/>
  <c r="Z40" i="130"/>
  <c r="Z44" i="130"/>
  <c r="X44" i="130"/>
  <c r="Y46" i="130"/>
  <c r="AA46" i="130"/>
  <c r="Z70" i="130"/>
  <c r="Y77" i="130"/>
  <c r="AA77" i="130"/>
  <c r="Z82" i="130"/>
  <c r="Y89" i="130"/>
  <c r="Y92" i="130"/>
  <c r="X92" i="130" s="1"/>
  <c r="Z13" i="131"/>
  <c r="Z22" i="131"/>
  <c r="Z37" i="131"/>
  <c r="X37" i="131"/>
  <c r="N41" i="131"/>
  <c r="AA41" i="131" s="1"/>
  <c r="Z41" i="131" s="1"/>
  <c r="X41" i="131"/>
  <c r="Z43" i="131"/>
  <c r="V102" i="131"/>
  <c r="AD102" i="131"/>
  <c r="X74" i="131"/>
  <c r="Y74" i="131"/>
  <c r="Z75" i="131"/>
  <c r="Y79" i="131"/>
  <c r="X79" i="131" s="1"/>
  <c r="AA84" i="131"/>
  <c r="X86" i="131"/>
  <c r="Y86" i="131"/>
  <c r="Y92" i="131"/>
  <c r="F48" i="140"/>
  <c r="V48" i="140"/>
  <c r="W48" i="140"/>
  <c r="X22" i="140"/>
  <c r="Y22" i="140"/>
  <c r="N27" i="140"/>
  <c r="AA27" i="140" s="1"/>
  <c r="X27" i="140"/>
  <c r="U102" i="140"/>
  <c r="X66" i="140"/>
  <c r="Y73" i="140"/>
  <c r="Y94" i="140"/>
  <c r="X99" i="140"/>
  <c r="Y99" i="140"/>
  <c r="Z100" i="140"/>
  <c r="Y21" i="141"/>
  <c r="Y32" i="141"/>
  <c r="Z40" i="141"/>
  <c r="Z66" i="141"/>
  <c r="M102" i="141"/>
  <c r="Z72" i="141"/>
  <c r="Y80" i="141"/>
  <c r="Z88" i="141"/>
  <c r="X97" i="141"/>
  <c r="Y97" i="141"/>
  <c r="F102" i="141"/>
  <c r="AD48" i="142"/>
  <c r="M48" i="142"/>
  <c r="N20" i="142"/>
  <c r="X20" i="142"/>
  <c r="Y29" i="142"/>
  <c r="Y32" i="142"/>
  <c r="X32" i="142" s="1"/>
  <c r="Z35" i="142"/>
  <c r="Z40" i="142"/>
  <c r="F102" i="142"/>
  <c r="N66" i="142"/>
  <c r="W102" i="142"/>
  <c r="AA13" i="143"/>
  <c r="X16" i="143"/>
  <c r="Y16" i="143"/>
  <c r="X33" i="143"/>
  <c r="Y33" i="143"/>
  <c r="Z34" i="143"/>
  <c r="N39" i="143"/>
  <c r="AA39" i="143" s="1"/>
  <c r="X39" i="143"/>
  <c r="Y39" i="143"/>
  <c r="X67" i="144"/>
  <c r="Y67" i="144"/>
  <c r="U102" i="144"/>
  <c r="Y81" i="144"/>
  <c r="X81" i="144" s="1"/>
  <c r="N73" i="146"/>
  <c r="AA73" i="146" s="1"/>
  <c r="Y73" i="146"/>
  <c r="X73" i="146" s="1"/>
  <c r="Z73" i="146"/>
  <c r="Z74" i="148"/>
  <c r="Y84" i="148"/>
  <c r="X84" i="148" s="1"/>
  <c r="AD102" i="143"/>
  <c r="AC102" i="143" s="1"/>
  <c r="AA71" i="143"/>
  <c r="Z71" i="143" s="1"/>
  <c r="AA78" i="143"/>
  <c r="Y97" i="143"/>
  <c r="Z98" i="143"/>
  <c r="Y98" i="143" s="1"/>
  <c r="Y26" i="144"/>
  <c r="AA28" i="144"/>
  <c r="AA45" i="144"/>
  <c r="Z45" i="144" s="1"/>
  <c r="M48" i="144"/>
  <c r="V102" i="144"/>
  <c r="AA71" i="144"/>
  <c r="Z71" i="144" s="1"/>
  <c r="N89" i="144"/>
  <c r="AA89" i="144" s="1"/>
  <c r="Y89" i="144"/>
  <c r="X89" i="144" s="1"/>
  <c r="Y92" i="144"/>
  <c r="Y96" i="144"/>
  <c r="N97" i="144"/>
  <c r="AA97" i="144" s="1"/>
  <c r="Y97" i="144"/>
  <c r="X97" i="144" s="1"/>
  <c r="Z97" i="144"/>
  <c r="Y17" i="145"/>
  <c r="N18" i="145"/>
  <c r="X18" i="145"/>
  <c r="Y18" i="145"/>
  <c r="Z44" i="145"/>
  <c r="V102" i="145"/>
  <c r="AA66" i="145"/>
  <c r="Y70" i="145"/>
  <c r="Z84" i="145"/>
  <c r="X88" i="145"/>
  <c r="Y88" i="145"/>
  <c r="U102" i="145"/>
  <c r="Z20" i="146"/>
  <c r="Y20" i="146"/>
  <c r="X20" i="146" s="1"/>
  <c r="X32" i="146"/>
  <c r="Y32" i="146"/>
  <c r="Z32" i="146"/>
  <c r="Y40" i="146"/>
  <c r="X40" i="146" s="1"/>
  <c r="Z43" i="146"/>
  <c r="N66" i="146"/>
  <c r="F102" i="146"/>
  <c r="W102" i="146"/>
  <c r="AE102" i="146"/>
  <c r="AD102" i="146" s="1"/>
  <c r="AC102" i="146" s="1"/>
  <c r="X67" i="146"/>
  <c r="Y67" i="146"/>
  <c r="U102" i="146"/>
  <c r="X88" i="146"/>
  <c r="Y88" i="146"/>
  <c r="Z88" i="146"/>
  <c r="Y71" i="147"/>
  <c r="X71" i="147" s="1"/>
  <c r="N20" i="148"/>
  <c r="AA20" i="148" s="1"/>
  <c r="Z20" i="148" s="1"/>
  <c r="X20" i="148"/>
  <c r="Y20" i="148"/>
  <c r="N70" i="148"/>
  <c r="AA70" i="148" s="1"/>
  <c r="Z70" i="148" s="1"/>
  <c r="X70" i="148"/>
  <c r="N36" i="151"/>
  <c r="AA36" i="151" s="1"/>
  <c r="Y36" i="151"/>
  <c r="X36" i="151" s="1"/>
  <c r="Z36" i="151"/>
  <c r="Z83" i="151"/>
  <c r="Y83" i="151"/>
  <c r="X83" i="151" s="1"/>
  <c r="Y20" i="152"/>
  <c r="X20" i="152" s="1"/>
  <c r="Z20" i="152"/>
  <c r="W102" i="131"/>
  <c r="Y77" i="131"/>
  <c r="X77" i="131" s="1"/>
  <c r="N81" i="131"/>
  <c r="AA81" i="131" s="1"/>
  <c r="X81" i="131"/>
  <c r="Z81" i="131"/>
  <c r="Y97" i="131"/>
  <c r="Z100" i="131"/>
  <c r="M48" i="140"/>
  <c r="AA17" i="140"/>
  <c r="Z17" i="140" s="1"/>
  <c r="N23" i="140"/>
  <c r="AA23" i="140" s="1"/>
  <c r="Y23" i="140"/>
  <c r="X23" i="140" s="1"/>
  <c r="Z27" i="140"/>
  <c r="Y28" i="140"/>
  <c r="AA30" i="140"/>
  <c r="Z40" i="140"/>
  <c r="AA68" i="140"/>
  <c r="AA70" i="140"/>
  <c r="Z70" i="140" s="1"/>
  <c r="Z73" i="140"/>
  <c r="AA76" i="140"/>
  <c r="AA84" i="140"/>
  <c r="Z95" i="140"/>
  <c r="Z96" i="140"/>
  <c r="F102" i="140"/>
  <c r="AA27" i="141"/>
  <c r="Z39" i="141"/>
  <c r="Z67" i="141"/>
  <c r="N78" i="141"/>
  <c r="AA78" i="141" s="1"/>
  <c r="X78" i="141"/>
  <c r="Z78" i="141"/>
  <c r="N98" i="141"/>
  <c r="AA98" i="141" s="1"/>
  <c r="Y98" i="141"/>
  <c r="X98" i="141" s="1"/>
  <c r="AA15" i="142"/>
  <c r="AA17" i="142"/>
  <c r="Z17" i="142" s="1"/>
  <c r="Z20" i="142"/>
  <c r="AA23" i="142"/>
  <c r="AA31" i="142"/>
  <c r="Z42" i="142"/>
  <c r="Z43" i="142"/>
  <c r="M102" i="142"/>
  <c r="Z66" i="142"/>
  <c r="Y66" i="142"/>
  <c r="AF102" i="142"/>
  <c r="AE102" i="142" s="1"/>
  <c r="AD102" i="142" s="1"/>
  <c r="Z87" i="142"/>
  <c r="Z88" i="142"/>
  <c r="Z97" i="142"/>
  <c r="U48" i="143"/>
  <c r="Y23" i="143"/>
  <c r="Y27" i="143"/>
  <c r="X27" i="143" s="1"/>
  <c r="AA28" i="143"/>
  <c r="Z28" i="143" s="1"/>
  <c r="N35" i="143"/>
  <c r="AA35" i="143" s="1"/>
  <c r="Y35" i="143"/>
  <c r="X35" i="143" s="1"/>
  <c r="Y46" i="143"/>
  <c r="F102" i="143"/>
  <c r="N66" i="143"/>
  <c r="AA72" i="143"/>
  <c r="AA94" i="143"/>
  <c r="AA13" i="144"/>
  <c r="AA25" i="144"/>
  <c r="Z25" i="144" s="1"/>
  <c r="AA29" i="144"/>
  <c r="Z29" i="144" s="1"/>
  <c r="AE102" i="144"/>
  <c r="AD102" i="144" s="1"/>
  <c r="AC102" i="144" s="1"/>
  <c r="X86" i="144"/>
  <c r="Y86" i="144"/>
  <c r="AA86" i="144"/>
  <c r="Z88" i="144"/>
  <c r="Z100" i="144"/>
  <c r="M102" i="144"/>
  <c r="M48" i="145"/>
  <c r="U48" i="145"/>
  <c r="Z77" i="145"/>
  <c r="AD48" i="146"/>
  <c r="N38" i="146"/>
  <c r="AA38" i="146" s="1"/>
  <c r="X38" i="146"/>
  <c r="AA44" i="146"/>
  <c r="Z66" i="146"/>
  <c r="M102" i="146"/>
  <c r="AF102" i="146"/>
  <c r="Z67" i="146"/>
  <c r="N77" i="146"/>
  <c r="X77" i="146"/>
  <c r="Y77" i="146"/>
  <c r="M48" i="147"/>
  <c r="Z13" i="147"/>
  <c r="X30" i="147"/>
  <c r="Y30" i="147"/>
  <c r="Z43" i="147"/>
  <c r="F48" i="147"/>
  <c r="V102" i="147"/>
  <c r="AE102" i="147"/>
  <c r="AD102" i="147"/>
  <c r="AC102" i="147" s="1"/>
  <c r="X78" i="147"/>
  <c r="Y78" i="147"/>
  <c r="N93" i="147"/>
  <c r="AA93" i="147" s="1"/>
  <c r="Z93" i="147" s="1"/>
  <c r="X93" i="147"/>
  <c r="Y93" i="147"/>
  <c r="N17" i="149"/>
  <c r="AA17" i="149" s="1"/>
  <c r="Z17" i="149" s="1"/>
  <c r="X17" i="149"/>
  <c r="Y17" i="149"/>
  <c r="Y30" i="149"/>
  <c r="X30" i="149" s="1"/>
  <c r="Z30" i="149"/>
  <c r="N35" i="149"/>
  <c r="AA35" i="149" s="1"/>
  <c r="Y35" i="149"/>
  <c r="X35" i="149" s="1"/>
  <c r="Z35" i="149"/>
  <c r="W48" i="131"/>
  <c r="AD48" i="131"/>
  <c r="Z14" i="131"/>
  <c r="Y15" i="131"/>
  <c r="Y23" i="131"/>
  <c r="Y24" i="131"/>
  <c r="AA34" i="131"/>
  <c r="Z36" i="131"/>
  <c r="AA43" i="131"/>
  <c r="Z44" i="131"/>
  <c r="Y66" i="131"/>
  <c r="AA70" i="131"/>
  <c r="Z78" i="131"/>
  <c r="Z83" i="131"/>
  <c r="Z92" i="131"/>
  <c r="AA99" i="131"/>
  <c r="U48" i="140"/>
  <c r="Y13" i="140"/>
  <c r="AF48" i="140"/>
  <c r="AE48" i="140" s="1"/>
  <c r="AD48" i="140" s="1"/>
  <c r="AC48" i="140" s="1"/>
  <c r="Y14" i="140"/>
  <c r="AA14" i="140"/>
  <c r="Z24" i="140"/>
  <c r="AA33" i="140"/>
  <c r="Z33" i="140" s="1"/>
  <c r="N39" i="140"/>
  <c r="AA39" i="140" s="1"/>
  <c r="Y39" i="140"/>
  <c r="X39" i="140" s="1"/>
  <c r="Z43" i="140"/>
  <c r="Y44" i="140"/>
  <c r="Y46" i="140"/>
  <c r="AA46" i="140"/>
  <c r="Y69" i="140"/>
  <c r="X69" i="140" s="1"/>
  <c r="AA75" i="140"/>
  <c r="Z75" i="140" s="1"/>
  <c r="AA78" i="140"/>
  <c r="Z78" i="140" s="1"/>
  <c r="Z90" i="140"/>
  <c r="Z19" i="141"/>
  <c r="AA23" i="141"/>
  <c r="AA26" i="141"/>
  <c r="Z26" i="141" s="1"/>
  <c r="AA29" i="141"/>
  <c r="Z29" i="141" s="1"/>
  <c r="Z31" i="141"/>
  <c r="Z32" i="141"/>
  <c r="Y33" i="141"/>
  <c r="Y34" i="141"/>
  <c r="Y36" i="141"/>
  <c r="X36" i="141" s="1"/>
  <c r="Y37" i="141"/>
  <c r="Y43" i="141"/>
  <c r="AA43" i="141"/>
  <c r="Y46" i="141"/>
  <c r="Y85" i="141"/>
  <c r="N94" i="141"/>
  <c r="AA94" i="141" s="1"/>
  <c r="X94" i="141"/>
  <c r="Z94" i="141"/>
  <c r="AA99" i="141"/>
  <c r="Z99" i="141" s="1"/>
  <c r="F48" i="142"/>
  <c r="Y16" i="142"/>
  <c r="X16" i="142" s="1"/>
  <c r="AA22" i="142"/>
  <c r="Z22" i="142" s="1"/>
  <c r="AA25" i="142"/>
  <c r="Z25" i="142" s="1"/>
  <c r="Z37" i="142"/>
  <c r="V102" i="142"/>
  <c r="Y96" i="142"/>
  <c r="AA100" i="142"/>
  <c r="Z100" i="142" s="1"/>
  <c r="W48" i="143"/>
  <c r="M48" i="143"/>
  <c r="Z14" i="143"/>
  <c r="Y22" i="143"/>
  <c r="AA36" i="143"/>
  <c r="Z36" i="143" s="1"/>
  <c r="Y43" i="143"/>
  <c r="X43" i="143" s="1"/>
  <c r="AA70" i="143"/>
  <c r="AA74" i="143"/>
  <c r="Y81" i="143"/>
  <c r="Y85" i="143"/>
  <c r="AA90" i="143"/>
  <c r="N99" i="143"/>
  <c r="AA99" i="143" s="1"/>
  <c r="Z99" i="143" s="1"/>
  <c r="X99" i="143"/>
  <c r="Y99" i="143"/>
  <c r="F48" i="144"/>
  <c r="Y18" i="144"/>
  <c r="Z22" i="144"/>
  <c r="N27" i="144"/>
  <c r="AA27" i="144" s="1"/>
  <c r="Y27" i="144"/>
  <c r="X27" i="144" s="1"/>
  <c r="Y42" i="144"/>
  <c r="AA44" i="144"/>
  <c r="Y73" i="144"/>
  <c r="X73" i="144" s="1"/>
  <c r="AA74" i="144"/>
  <c r="Z74" i="144" s="1"/>
  <c r="AA76" i="144"/>
  <c r="AA87" i="144"/>
  <c r="Z87" i="144" s="1"/>
  <c r="Z89" i="144"/>
  <c r="Y91" i="144"/>
  <c r="N93" i="144"/>
  <c r="AA93" i="144" s="1"/>
  <c r="X93" i="144"/>
  <c r="X99" i="144"/>
  <c r="Y99" i="144"/>
  <c r="AF48" i="145"/>
  <c r="Y14" i="145"/>
  <c r="X14" i="145" s="1"/>
  <c r="Z18" i="145"/>
  <c r="Y36" i="145"/>
  <c r="Y44" i="145"/>
  <c r="AD102" i="145"/>
  <c r="Z70" i="145"/>
  <c r="X70" i="145"/>
  <c r="Z88" i="145"/>
  <c r="Y18" i="146"/>
  <c r="X18" i="146" s="1"/>
  <c r="AA22" i="146"/>
  <c r="X90" i="146"/>
  <c r="Y90" i="146"/>
  <c r="N33" i="148"/>
  <c r="AA33" i="148" s="1"/>
  <c r="X33" i="148"/>
  <c r="Y33" i="148"/>
  <c r="Z33" i="148"/>
  <c r="Y70" i="148"/>
  <c r="AE102" i="148"/>
  <c r="AD102" i="148" s="1"/>
  <c r="X71" i="148"/>
  <c r="Y71" i="148"/>
  <c r="N82" i="148"/>
  <c r="AA82" i="148" s="1"/>
  <c r="Z82" i="148" s="1"/>
  <c r="Y82" i="148"/>
  <c r="X82" i="148"/>
  <c r="Y92" i="148"/>
  <c r="X92" i="148" s="1"/>
  <c r="N15" i="150"/>
  <c r="AA15" i="150" s="1"/>
  <c r="X15" i="150"/>
  <c r="Y15" i="150"/>
  <c r="Z15" i="150"/>
  <c r="N37" i="129"/>
  <c r="AA37" i="129" s="1"/>
  <c r="Y37" i="129"/>
  <c r="N38" i="129"/>
  <c r="AA38" i="129" s="1"/>
  <c r="Y38" i="129"/>
  <c r="N45" i="129"/>
  <c r="AA45" i="129" s="1"/>
  <c r="Y45" i="129"/>
  <c r="N46" i="129"/>
  <c r="AA46" i="129" s="1"/>
  <c r="Y46" i="129"/>
  <c r="AA69" i="129"/>
  <c r="Y71" i="129"/>
  <c r="N74" i="129"/>
  <c r="AA74" i="129" s="1"/>
  <c r="Y74" i="129"/>
  <c r="N76" i="129"/>
  <c r="AA76" i="129" s="1"/>
  <c r="Y76" i="129"/>
  <c r="N77" i="129"/>
  <c r="AA77" i="129" s="1"/>
  <c r="Y77" i="129"/>
  <c r="Y82" i="129"/>
  <c r="Y86" i="129"/>
  <c r="N87" i="129"/>
  <c r="AA87" i="129" s="1"/>
  <c r="Z87" i="129"/>
  <c r="Y88" i="129"/>
  <c r="N89" i="129"/>
  <c r="AA89" i="129" s="1"/>
  <c r="Z89" i="129" s="1"/>
  <c r="Y89" i="129"/>
  <c r="Y90" i="129"/>
  <c r="N91" i="129"/>
  <c r="AA91" i="129" s="1"/>
  <c r="Z91" i="129"/>
  <c r="N92" i="129"/>
  <c r="AA92" i="129" s="1"/>
  <c r="Z92" i="129" s="1"/>
  <c r="Y92" i="129"/>
  <c r="Y94" i="129"/>
  <c r="AA96" i="129"/>
  <c r="AA14" i="130"/>
  <c r="AA15" i="130"/>
  <c r="N25" i="130"/>
  <c r="AA25" i="130" s="1"/>
  <c r="Z25" i="130"/>
  <c r="AA30" i="130"/>
  <c r="AA31" i="130"/>
  <c r="Y34" i="130"/>
  <c r="N36" i="130"/>
  <c r="AA36" i="130" s="1"/>
  <c r="Z36" i="130" s="1"/>
  <c r="Y36" i="130"/>
  <c r="AA42" i="130"/>
  <c r="AA43" i="130"/>
  <c r="AA44" i="130"/>
  <c r="M48" i="130"/>
  <c r="AC48" i="130"/>
  <c r="Y67" i="130"/>
  <c r="N71" i="130"/>
  <c r="AA71" i="130" s="1"/>
  <c r="Y71" i="130"/>
  <c r="N72" i="130"/>
  <c r="AA72" i="130" s="1"/>
  <c r="Y72" i="130"/>
  <c r="AA74" i="130"/>
  <c r="AA82" i="130"/>
  <c r="Y97" i="130"/>
  <c r="Y98" i="130"/>
  <c r="AA99" i="130"/>
  <c r="AA23" i="131"/>
  <c r="N25" i="131"/>
  <c r="AA25" i="131" s="1"/>
  <c r="Z25" i="131" s="1"/>
  <c r="Y25" i="131"/>
  <c r="Y26" i="131"/>
  <c r="Y30" i="131"/>
  <c r="Y34" i="131"/>
  <c r="N35" i="131"/>
  <c r="AA35" i="131" s="1"/>
  <c r="Y35" i="131"/>
  <c r="Y40" i="131"/>
  <c r="N42" i="131"/>
  <c r="AA42" i="131" s="1"/>
  <c r="Y42" i="131"/>
  <c r="N46" i="131"/>
  <c r="AA46" i="131" s="1"/>
  <c r="Y46" i="131"/>
  <c r="AA66" i="131"/>
  <c r="Z66" i="131" s="1"/>
  <c r="Y68" i="131"/>
  <c r="N69" i="131"/>
  <c r="Y69" i="131"/>
  <c r="Y70" i="131"/>
  <c r="N71" i="131"/>
  <c r="AA71" i="131" s="1"/>
  <c r="Z71" i="131" s="1"/>
  <c r="Y73" i="131"/>
  <c r="Y84" i="131"/>
  <c r="N85" i="131"/>
  <c r="AA85" i="131" s="1"/>
  <c r="Y85" i="131"/>
  <c r="AA87" i="131"/>
  <c r="AA96" i="131"/>
  <c r="Y99" i="131"/>
  <c r="AC102" i="131"/>
  <c r="Y17" i="140"/>
  <c r="Y18" i="140"/>
  <c r="N19" i="140"/>
  <c r="AA19" i="140" s="1"/>
  <c r="Y19" i="140"/>
  <c r="N20" i="140"/>
  <c r="AA20" i="140" s="1"/>
  <c r="Z20" i="140" s="1"/>
  <c r="Y20" i="140"/>
  <c r="Y21" i="140"/>
  <c r="Y33" i="140"/>
  <c r="Y34" i="140"/>
  <c r="N35" i="140"/>
  <c r="AA35" i="140" s="1"/>
  <c r="Y35" i="140"/>
  <c r="N36" i="140"/>
  <c r="AA36" i="140" s="1"/>
  <c r="Z36" i="140" s="1"/>
  <c r="Y36" i="140"/>
  <c r="Y37" i="140"/>
  <c r="AA66" i="140"/>
  <c r="AA67" i="140"/>
  <c r="Z67" i="140" s="1"/>
  <c r="AA73" i="140"/>
  <c r="Y75" i="140"/>
  <c r="Y76" i="140"/>
  <c r="N77" i="140"/>
  <c r="AA77" i="140" s="1"/>
  <c r="Z77" i="140"/>
  <c r="Y78" i="140"/>
  <c r="Y79" i="140"/>
  <c r="AA82" i="140"/>
  <c r="AA83" i="140"/>
  <c r="Z83" i="140" s="1"/>
  <c r="AA86" i="140"/>
  <c r="Z86" i="140" s="1"/>
  <c r="Y88" i="140"/>
  <c r="N89" i="140"/>
  <c r="AA89" i="140" s="1"/>
  <c r="Y89" i="140"/>
  <c r="AA92" i="140"/>
  <c r="Y98" i="140"/>
  <c r="AC102" i="140"/>
  <c r="N16" i="141"/>
  <c r="AA16" i="141" s="1"/>
  <c r="Y16" i="141"/>
  <c r="N17" i="141"/>
  <c r="AA17" i="141" s="1"/>
  <c r="Y17" i="141"/>
  <c r="AA19" i="141"/>
  <c r="Y23" i="141"/>
  <c r="N24" i="141"/>
  <c r="AA24" i="141" s="1"/>
  <c r="Z24" i="141"/>
  <c r="Y24" i="141" s="1"/>
  <c r="Y26" i="141"/>
  <c r="Y27" i="141"/>
  <c r="N28" i="141"/>
  <c r="AA28" i="141" s="1"/>
  <c r="Z28" i="141"/>
  <c r="Y29" i="141"/>
  <c r="Y30" i="141"/>
  <c r="AA31" i="141"/>
  <c r="AA34" i="141"/>
  <c r="Z34" i="141" s="1"/>
  <c r="AA37" i="141"/>
  <c r="Z37" i="141" s="1"/>
  <c r="AA41" i="141"/>
  <c r="AA42" i="141"/>
  <c r="Z42" i="141" s="1"/>
  <c r="AA45" i="141"/>
  <c r="Z45" i="141" s="1"/>
  <c r="Y72" i="141"/>
  <c r="Y73" i="141"/>
  <c r="N74" i="141"/>
  <c r="AA74" i="141" s="1"/>
  <c r="Z74" i="141"/>
  <c r="Y75" i="141"/>
  <c r="Y76" i="141"/>
  <c r="AA81" i="141"/>
  <c r="Y88" i="141"/>
  <c r="Y89" i="141"/>
  <c r="N90" i="141"/>
  <c r="AA90" i="141" s="1"/>
  <c r="Z90" i="141"/>
  <c r="Y91" i="141"/>
  <c r="Y92" i="141"/>
  <c r="AA13" i="142"/>
  <c r="AC48" i="142"/>
  <c r="AA14" i="142"/>
  <c r="Z14" i="142" s="1"/>
  <c r="Y22" i="142"/>
  <c r="Y23" i="142"/>
  <c r="N24" i="142"/>
  <c r="AA24" i="142" s="1"/>
  <c r="Z24" i="142"/>
  <c r="Y25" i="142"/>
  <c r="Y26" i="142"/>
  <c r="AA29" i="142"/>
  <c r="AA30" i="142"/>
  <c r="Z30" i="142" s="1"/>
  <c r="AA33" i="142"/>
  <c r="Z33" i="142" s="1"/>
  <c r="Y35" i="142"/>
  <c r="N36" i="142"/>
  <c r="AA36" i="142" s="1"/>
  <c r="Y36" i="142"/>
  <c r="AA39" i="142"/>
  <c r="Y45" i="142"/>
  <c r="Y67" i="142"/>
  <c r="Y68" i="142"/>
  <c r="Y69" i="142"/>
  <c r="N70" i="142"/>
  <c r="AA70" i="142" s="1"/>
  <c r="Y70" i="142"/>
  <c r="X70" i="142" s="1"/>
  <c r="Y73" i="142"/>
  <c r="Y74" i="142"/>
  <c r="Y75" i="142"/>
  <c r="Y76" i="142"/>
  <c r="N78" i="142"/>
  <c r="AA78" i="142" s="1"/>
  <c r="Z78" i="142"/>
  <c r="Y79" i="142"/>
  <c r="Y80" i="142"/>
  <c r="Y81" i="142"/>
  <c r="Z85" i="142"/>
  <c r="AA91" i="142"/>
  <c r="Z91" i="142" s="1"/>
  <c r="Y93" i="142"/>
  <c r="Y100" i="142"/>
  <c r="Y14" i="143"/>
  <c r="AA22" i="143"/>
  <c r="Z24" i="143"/>
  <c r="Y26" i="143"/>
  <c r="Z38" i="143"/>
  <c r="Z39" i="143"/>
  <c r="N40" i="143"/>
  <c r="AA40" i="143" s="1"/>
  <c r="Y40" i="143"/>
  <c r="Y41" i="143"/>
  <c r="AA41" i="143"/>
  <c r="Z41" i="143" s="1"/>
  <c r="AA42" i="143"/>
  <c r="Y45" i="143"/>
  <c r="AA46" i="143"/>
  <c r="Y68" i="143"/>
  <c r="Y69" i="143"/>
  <c r="Z70" i="143"/>
  <c r="Y71" i="143"/>
  <c r="Z72" i="143"/>
  <c r="Y72" i="143" s="1"/>
  <c r="Y73" i="143"/>
  <c r="Z74" i="143"/>
  <c r="Y74" i="143" s="1"/>
  <c r="Y77" i="143"/>
  <c r="Z78" i="143"/>
  <c r="Y79" i="143"/>
  <c r="N83" i="143"/>
  <c r="AA83" i="143" s="1"/>
  <c r="Y83" i="143"/>
  <c r="Y84" i="143"/>
  <c r="Y86" i="143"/>
  <c r="Y87" i="143"/>
  <c r="AA87" i="143"/>
  <c r="Z87" i="143" s="1"/>
  <c r="Y93" i="143"/>
  <c r="AA95" i="143"/>
  <c r="Z95" i="143" s="1"/>
  <c r="V48" i="144"/>
  <c r="AF48" i="144"/>
  <c r="Y14" i="144"/>
  <c r="Y15" i="144"/>
  <c r="Y16" i="144"/>
  <c r="Y17" i="144"/>
  <c r="N19" i="144"/>
  <c r="AA19" i="144" s="1"/>
  <c r="Z19" i="144"/>
  <c r="Y20" i="144"/>
  <c r="Y21" i="144"/>
  <c r="AA21" i="144"/>
  <c r="Z21" i="144" s="1"/>
  <c r="Y25" i="144"/>
  <c r="AA26" i="144"/>
  <c r="Z28" i="144"/>
  <c r="Y29" i="144"/>
  <c r="Y30" i="144"/>
  <c r="Y31" i="144"/>
  <c r="Y32" i="144"/>
  <c r="Y33" i="144"/>
  <c r="N35" i="144"/>
  <c r="Z35" i="144"/>
  <c r="Y36" i="144"/>
  <c r="Y37" i="144"/>
  <c r="AA37" i="144"/>
  <c r="Z37" i="144" s="1"/>
  <c r="Y41" i="144"/>
  <c r="AA42" i="144"/>
  <c r="Z44" i="144"/>
  <c r="Y45" i="144"/>
  <c r="Y46" i="144"/>
  <c r="U48" i="144"/>
  <c r="Y66" i="144"/>
  <c r="Z67" i="144"/>
  <c r="Z69" i="144"/>
  <c r="Y72" i="144"/>
  <c r="Z76" i="144"/>
  <c r="Y79" i="144"/>
  <c r="Y80" i="144"/>
  <c r="AA84" i="144"/>
  <c r="Z92" i="144"/>
  <c r="Z93" i="144"/>
  <c r="AA95" i="144"/>
  <c r="Z95" i="144" s="1"/>
  <c r="F48" i="145"/>
  <c r="Y15" i="145"/>
  <c r="AA15" i="145"/>
  <c r="Z15" i="145" s="1"/>
  <c r="N19" i="145"/>
  <c r="AA19" i="145" s="1"/>
  <c r="X19" i="145"/>
  <c r="Z19" i="145"/>
  <c r="Y20" i="145"/>
  <c r="Y21" i="145"/>
  <c r="Z22" i="145"/>
  <c r="Y23" i="145"/>
  <c r="Y24" i="145"/>
  <c r="N26" i="145"/>
  <c r="AA26" i="145" s="1"/>
  <c r="Y26" i="145"/>
  <c r="Y30" i="145"/>
  <c r="X30" i="145" s="1"/>
  <c r="Y31" i="145"/>
  <c r="AA31" i="145"/>
  <c r="Z31" i="145" s="1"/>
  <c r="Y33" i="145"/>
  <c r="Y34" i="145"/>
  <c r="Y35" i="145"/>
  <c r="N38" i="145"/>
  <c r="AA38" i="145" s="1"/>
  <c r="Z38" i="145"/>
  <c r="Y39" i="145"/>
  <c r="Y40" i="145"/>
  <c r="Y41" i="145"/>
  <c r="AA43" i="145"/>
  <c r="Z45" i="145"/>
  <c r="AF102" i="145"/>
  <c r="Y72" i="145"/>
  <c r="N78" i="145"/>
  <c r="AA78" i="145" s="1"/>
  <c r="X78" i="145"/>
  <c r="Z78" i="145"/>
  <c r="Y82" i="145"/>
  <c r="X82" i="145" s="1"/>
  <c r="Y83" i="145"/>
  <c r="N87" i="145"/>
  <c r="AA87" i="145" s="1"/>
  <c r="Z87" i="145" s="1"/>
  <c r="X87" i="145"/>
  <c r="Y87" i="145"/>
  <c r="Z90" i="145"/>
  <c r="Y91" i="145"/>
  <c r="Z96" i="145"/>
  <c r="AC48" i="146"/>
  <c r="Z15" i="146"/>
  <c r="N17" i="146"/>
  <c r="AA17" i="146" s="1"/>
  <c r="X17" i="146"/>
  <c r="Y17" i="146"/>
  <c r="Z27" i="146"/>
  <c r="Z28" i="146"/>
  <c r="Y33" i="146"/>
  <c r="Y36" i="146"/>
  <c r="V48" i="147"/>
  <c r="Z30" i="147"/>
  <c r="X68" i="147"/>
  <c r="Y68" i="147"/>
  <c r="Y99" i="147"/>
  <c r="X99" i="147" s="1"/>
  <c r="V48" i="148"/>
  <c r="N29" i="148"/>
  <c r="AA29" i="148" s="1"/>
  <c r="X29" i="148"/>
  <c r="N85" i="148"/>
  <c r="AA85" i="148" s="1"/>
  <c r="X85" i="148"/>
  <c r="N97" i="148"/>
  <c r="AA97" i="148" s="1"/>
  <c r="X97" i="148"/>
  <c r="Y97" i="148"/>
  <c r="Z97" i="148"/>
  <c r="X81" i="149"/>
  <c r="Y81" i="149"/>
  <c r="U102" i="149"/>
  <c r="V102" i="151"/>
  <c r="N29" i="152"/>
  <c r="AA29" i="152" s="1"/>
  <c r="Y29" i="152"/>
  <c r="X29" i="152" s="1"/>
  <c r="Z29" i="152"/>
  <c r="N35" i="152"/>
  <c r="AA35" i="152" s="1"/>
  <c r="X35" i="152"/>
  <c r="Y35" i="152"/>
  <c r="Y17" i="153"/>
  <c r="X17" i="153" s="1"/>
  <c r="N70" i="128"/>
  <c r="AA70" i="128" s="1"/>
  <c r="Z70" i="128" s="1"/>
  <c r="N76" i="128"/>
  <c r="AA76" i="128" s="1"/>
  <c r="Y76" i="128"/>
  <c r="N77" i="128"/>
  <c r="AA77" i="128" s="1"/>
  <c r="Y77" i="128"/>
  <c r="N78" i="128"/>
  <c r="AA78" i="128" s="1"/>
  <c r="Z78" i="128" s="1"/>
  <c r="AA79" i="128"/>
  <c r="AA81" i="128"/>
  <c r="Z81" i="128" s="1"/>
  <c r="N86" i="128"/>
  <c r="AA86" i="128" s="1"/>
  <c r="N14" i="129"/>
  <c r="AA14" i="129" s="1"/>
  <c r="N21" i="129"/>
  <c r="Y21" i="129"/>
  <c r="N24" i="129"/>
  <c r="AA24" i="129" s="1"/>
  <c r="Y24" i="129"/>
  <c r="N25" i="129"/>
  <c r="AA25" i="129" s="1"/>
  <c r="Y25" i="129"/>
  <c r="N28" i="129"/>
  <c r="AA28" i="129" s="1"/>
  <c r="N31" i="129"/>
  <c r="AA31" i="129" s="1"/>
  <c r="N35" i="129"/>
  <c r="AA35" i="129" s="1"/>
  <c r="Y35" i="129"/>
  <c r="X37" i="129"/>
  <c r="X38" i="129"/>
  <c r="N41" i="129"/>
  <c r="AA41" i="129" s="1"/>
  <c r="Y41" i="129"/>
  <c r="N42" i="129"/>
  <c r="AA42" i="129" s="1"/>
  <c r="Y42" i="129"/>
  <c r="N43" i="129"/>
  <c r="AA43" i="129" s="1"/>
  <c r="Y43" i="129"/>
  <c r="X45" i="129"/>
  <c r="X46" i="129"/>
  <c r="AA72" i="129"/>
  <c r="X74" i="129"/>
  <c r="X76" i="129"/>
  <c r="X77" i="129"/>
  <c r="N81" i="129"/>
  <c r="AA81" i="129" s="1"/>
  <c r="Y81" i="129"/>
  <c r="N83" i="129"/>
  <c r="AA83" i="129" s="1"/>
  <c r="Y87" i="129"/>
  <c r="X87" i="129" s="1"/>
  <c r="X89" i="129"/>
  <c r="Y91" i="129"/>
  <c r="X91" i="129" s="1"/>
  <c r="X92" i="129"/>
  <c r="N93" i="129"/>
  <c r="AA93" i="129" s="1"/>
  <c r="Y93" i="129"/>
  <c r="AA95" i="129"/>
  <c r="N20" i="130"/>
  <c r="AA20" i="130" s="1"/>
  <c r="Y20" i="130"/>
  <c r="N21" i="130"/>
  <c r="AA21" i="130" s="1"/>
  <c r="Y21" i="130"/>
  <c r="AA22" i="130"/>
  <c r="AA23" i="130"/>
  <c r="Y25" i="130"/>
  <c r="X25" i="130" s="1"/>
  <c r="AA26" i="130"/>
  <c r="AA27" i="130"/>
  <c r="X36" i="130"/>
  <c r="N37" i="130"/>
  <c r="AA37" i="130" s="1"/>
  <c r="Y37" i="130"/>
  <c r="AA38" i="130"/>
  <c r="AA39" i="130"/>
  <c r="AA40" i="130"/>
  <c r="N66" i="130"/>
  <c r="Y66" i="130"/>
  <c r="AA68" i="130"/>
  <c r="AA69" i="130"/>
  <c r="Z69" i="130" s="1"/>
  <c r="X71" i="130"/>
  <c r="X72" i="130"/>
  <c r="N76" i="130"/>
  <c r="AA76" i="130" s="1"/>
  <c r="Z76" i="130" s="1"/>
  <c r="Y76" i="130"/>
  <c r="N78" i="130"/>
  <c r="AA78" i="130" s="1"/>
  <c r="N79" i="130"/>
  <c r="AA79" i="130" s="1"/>
  <c r="Z79" i="130" s="1"/>
  <c r="Y79" i="130"/>
  <c r="N84" i="130"/>
  <c r="AA84" i="130" s="1"/>
  <c r="Y84" i="130"/>
  <c r="N85" i="130"/>
  <c r="AA85" i="130" s="1"/>
  <c r="Y85" i="130"/>
  <c r="N86" i="130"/>
  <c r="AA86" i="130" s="1"/>
  <c r="Z86" i="130" s="1"/>
  <c r="N92" i="130"/>
  <c r="AA92" i="130" s="1"/>
  <c r="N95" i="130"/>
  <c r="AA95" i="130" s="1"/>
  <c r="Y95" i="130"/>
  <c r="N96" i="130"/>
  <c r="AA96" i="130" s="1"/>
  <c r="Y96" i="130"/>
  <c r="AA100" i="130"/>
  <c r="Z100" i="130" s="1"/>
  <c r="N18" i="131"/>
  <c r="AA18" i="131" s="1"/>
  <c r="Y18" i="131"/>
  <c r="N19" i="131"/>
  <c r="AA19" i="131" s="1"/>
  <c r="Y19" i="131"/>
  <c r="N20" i="131"/>
  <c r="AA20" i="131" s="1"/>
  <c r="Y20" i="131"/>
  <c r="X25" i="131"/>
  <c r="N29" i="131"/>
  <c r="AA29" i="131" s="1"/>
  <c r="Y29" i="131"/>
  <c r="N33" i="131"/>
  <c r="AA33" i="131" s="1"/>
  <c r="Y33" i="131"/>
  <c r="X35" i="131"/>
  <c r="N39" i="131"/>
  <c r="AA39" i="131" s="1"/>
  <c r="Y39" i="131"/>
  <c r="X42" i="131"/>
  <c r="X46" i="131"/>
  <c r="X69" i="131"/>
  <c r="Y71" i="131"/>
  <c r="X71" i="131" s="1"/>
  <c r="N72" i="131"/>
  <c r="AA72" i="131" s="1"/>
  <c r="Y72" i="131"/>
  <c r="N77" i="131"/>
  <c r="AA77" i="131" s="1"/>
  <c r="AA82" i="131"/>
  <c r="Z82" i="131" s="1"/>
  <c r="X85" i="131"/>
  <c r="AA86" i="131"/>
  <c r="N89" i="131"/>
  <c r="AA89" i="131" s="1"/>
  <c r="Y89" i="131"/>
  <c r="N90" i="131"/>
  <c r="AA90" i="131" s="1"/>
  <c r="Y90" i="131"/>
  <c r="N91" i="131"/>
  <c r="AA91" i="131" s="1"/>
  <c r="Z91" i="131" s="1"/>
  <c r="AA100" i="131"/>
  <c r="N15" i="140"/>
  <c r="AA15" i="140" s="1"/>
  <c r="X19" i="140"/>
  <c r="X20" i="140"/>
  <c r="AA22" i="140"/>
  <c r="AA24" i="140"/>
  <c r="AA25" i="140"/>
  <c r="Z25" i="140" s="1"/>
  <c r="N31" i="140"/>
  <c r="AA31" i="140" s="1"/>
  <c r="X35" i="140"/>
  <c r="X36" i="140"/>
  <c r="AA38" i="140"/>
  <c r="AA40" i="140"/>
  <c r="AA41" i="140"/>
  <c r="Z41" i="140" s="1"/>
  <c r="AA44" i="140"/>
  <c r="Z44" i="140" s="1"/>
  <c r="Y77" i="140"/>
  <c r="X77" i="140" s="1"/>
  <c r="N85" i="140"/>
  <c r="AA85" i="140" s="1"/>
  <c r="X89" i="140"/>
  <c r="AA90" i="140"/>
  <c r="AA91" i="140"/>
  <c r="Z91" i="140" s="1"/>
  <c r="AA94" i="140"/>
  <c r="Z94" i="140" s="1"/>
  <c r="N97" i="140"/>
  <c r="AA97" i="140" s="1"/>
  <c r="Y97" i="140"/>
  <c r="AA100" i="140"/>
  <c r="X16" i="141"/>
  <c r="X17" i="141"/>
  <c r="AA18" i="141"/>
  <c r="Z18" i="141" s="1"/>
  <c r="AA21" i="141"/>
  <c r="Z21" i="141" s="1"/>
  <c r="X24" i="141"/>
  <c r="N25" i="141"/>
  <c r="AA25" i="141" s="1"/>
  <c r="Y25" i="141"/>
  <c r="Y28" i="141"/>
  <c r="X28" i="141" s="1"/>
  <c r="N36" i="141"/>
  <c r="AA36" i="141" s="1"/>
  <c r="AA39" i="141"/>
  <c r="N44" i="141"/>
  <c r="AA44" i="141" s="1"/>
  <c r="AA67" i="141"/>
  <c r="N70" i="141"/>
  <c r="AA70" i="141" s="1"/>
  <c r="Y70" i="141"/>
  <c r="N71" i="141"/>
  <c r="AA71" i="141" s="1"/>
  <c r="Y71" i="141"/>
  <c r="Y74" i="141"/>
  <c r="X74" i="141" s="1"/>
  <c r="AA80" i="141"/>
  <c r="Z80" i="141" s="1"/>
  <c r="AA82" i="141"/>
  <c r="AA83" i="141"/>
  <c r="Z83" i="141" s="1"/>
  <c r="N86" i="141"/>
  <c r="AA86" i="141" s="1"/>
  <c r="Y86" i="141"/>
  <c r="N87" i="141"/>
  <c r="AA87" i="141" s="1"/>
  <c r="Y87" i="141"/>
  <c r="Y90" i="141"/>
  <c r="X90" i="141" s="1"/>
  <c r="AA97" i="141"/>
  <c r="V48" i="142"/>
  <c r="Y24" i="142"/>
  <c r="X24" i="142" s="1"/>
  <c r="N32" i="142"/>
  <c r="AA32" i="142" s="1"/>
  <c r="X36" i="142"/>
  <c r="AA37" i="142"/>
  <c r="AA38" i="142"/>
  <c r="Z38" i="142" s="1"/>
  <c r="AA41" i="142"/>
  <c r="Z41" i="142" s="1"/>
  <c r="N44" i="142"/>
  <c r="AA44" i="142" s="1"/>
  <c r="Y44" i="142"/>
  <c r="Z68" i="142"/>
  <c r="Z70" i="142"/>
  <c r="Y72" i="142"/>
  <c r="X74" i="142"/>
  <c r="X75" i="142"/>
  <c r="Z77" i="142"/>
  <c r="Y78" i="142"/>
  <c r="X78" i="142" s="1"/>
  <c r="Z80" i="142"/>
  <c r="Y85" i="142"/>
  <c r="N86" i="142"/>
  <c r="AA86" i="142" s="1"/>
  <c r="Y86" i="142"/>
  <c r="X86" i="142" s="1"/>
  <c r="Y90" i="142"/>
  <c r="Y91" i="142"/>
  <c r="N94" i="142"/>
  <c r="AA94" i="142" s="1"/>
  <c r="Y97" i="142"/>
  <c r="U102" i="142"/>
  <c r="Y13" i="143"/>
  <c r="AA16" i="143"/>
  <c r="AA17" i="143"/>
  <c r="Z17" i="143" s="1"/>
  <c r="AA20" i="143"/>
  <c r="Z20" i="143" s="1"/>
  <c r="AA31" i="143"/>
  <c r="AA38" i="143"/>
  <c r="Z40" i="143"/>
  <c r="X40" i="143"/>
  <c r="Y42" i="143"/>
  <c r="AE102" i="143"/>
  <c r="Y67" i="143"/>
  <c r="Y70" i="143"/>
  <c r="N75" i="143"/>
  <c r="AA75" i="143" s="1"/>
  <c r="X75" i="143"/>
  <c r="Z75" i="143"/>
  <c r="Y78" i="143"/>
  <c r="Z83" i="143"/>
  <c r="X83" i="143"/>
  <c r="N91" i="143"/>
  <c r="AA91" i="143" s="1"/>
  <c r="Y91" i="143"/>
  <c r="Y92" i="143"/>
  <c r="Y95" i="143"/>
  <c r="AA97" i="143"/>
  <c r="Z97" i="143" s="1"/>
  <c r="AA98" i="143"/>
  <c r="AA100" i="143"/>
  <c r="Y13" i="144"/>
  <c r="X15" i="144"/>
  <c r="X16" i="144"/>
  <c r="Z18" i="144"/>
  <c r="Y19" i="144"/>
  <c r="X19" i="144" s="1"/>
  <c r="Y22" i="144"/>
  <c r="Y28" i="144"/>
  <c r="X31" i="144"/>
  <c r="X32" i="144"/>
  <c r="Z34" i="144"/>
  <c r="Y35" i="144"/>
  <c r="X35" i="144" s="1"/>
  <c r="Y38" i="144"/>
  <c r="Y44" i="144"/>
  <c r="Y69" i="144"/>
  <c r="Z70" i="144"/>
  <c r="Y76" i="144"/>
  <c r="N77" i="144"/>
  <c r="AA77" i="144" s="1"/>
  <c r="X77" i="144"/>
  <c r="Z77" i="144"/>
  <c r="N81" i="144"/>
  <c r="AA81" i="144" s="1"/>
  <c r="Y84" i="144"/>
  <c r="AA92" i="144"/>
  <c r="Y95" i="144"/>
  <c r="AA96" i="144"/>
  <c r="AA98" i="144"/>
  <c r="Z98" i="144" s="1"/>
  <c r="Y16" i="145"/>
  <c r="AA17" i="145"/>
  <c r="Y19" i="145"/>
  <c r="Y22" i="145"/>
  <c r="X22" i="145" s="1"/>
  <c r="Z25" i="145"/>
  <c r="Z26" i="145"/>
  <c r="X26" i="145"/>
  <c r="N27" i="145"/>
  <c r="AA27" i="145" s="1"/>
  <c r="Y27" i="145"/>
  <c r="Y28" i="145"/>
  <c r="AA28" i="145"/>
  <c r="Z28" i="145" s="1"/>
  <c r="AA29" i="145"/>
  <c r="Y32" i="145"/>
  <c r="X34" i="145"/>
  <c r="X35" i="145"/>
  <c r="Z37" i="145"/>
  <c r="Y38" i="145"/>
  <c r="X38" i="145" s="1"/>
  <c r="Z40" i="145"/>
  <c r="Y45" i="145"/>
  <c r="N46" i="145"/>
  <c r="AA46" i="145" s="1"/>
  <c r="Y46" i="145"/>
  <c r="X46" i="145" s="1"/>
  <c r="W102" i="145"/>
  <c r="Z67" i="145"/>
  <c r="Z72" i="145"/>
  <c r="AA76" i="145"/>
  <c r="Z76" i="145" s="1"/>
  <c r="Y78" i="145"/>
  <c r="Y79" i="145"/>
  <c r="Y81" i="145"/>
  <c r="AA81" i="145"/>
  <c r="Z89" i="145"/>
  <c r="Y90" i="145"/>
  <c r="X90" i="145" s="1"/>
  <c r="Y93" i="145"/>
  <c r="X97" i="145"/>
  <c r="Y97" i="145"/>
  <c r="Z99" i="145"/>
  <c r="M102" i="145"/>
  <c r="Z17" i="146"/>
  <c r="AA23" i="146"/>
  <c r="Z23" i="146" s="1"/>
  <c r="Y25" i="146"/>
  <c r="Y27" i="146"/>
  <c r="X27" i="146" s="1"/>
  <c r="N29" i="146"/>
  <c r="AA29" i="146" s="1"/>
  <c r="Y29" i="146"/>
  <c r="X29" i="146" s="1"/>
  <c r="N31" i="146"/>
  <c r="AA31" i="146" s="1"/>
  <c r="Z31" i="146" s="1"/>
  <c r="X31" i="146"/>
  <c r="AA32" i="146"/>
  <c r="Z36" i="146"/>
  <c r="X36" i="146"/>
  <c r="Y37" i="146"/>
  <c r="Y68" i="146"/>
  <c r="X71" i="146"/>
  <c r="Y71" i="146"/>
  <c r="Z83" i="146"/>
  <c r="AC48" i="147"/>
  <c r="N81" i="147"/>
  <c r="AA81" i="147" s="1"/>
  <c r="Z81" i="147" s="1"/>
  <c r="X81" i="147"/>
  <c r="X13" i="148"/>
  <c r="U48" i="148"/>
  <c r="Y13" i="148"/>
  <c r="AF48" i="148"/>
  <c r="X23" i="148"/>
  <c r="Y23" i="148"/>
  <c r="AA79" i="148"/>
  <c r="Z79" i="148" s="1"/>
  <c r="X99" i="148"/>
  <c r="Y99" i="148"/>
  <c r="Z32" i="149"/>
  <c r="X32" i="149"/>
  <c r="N91" i="149"/>
  <c r="AA91" i="149" s="1"/>
  <c r="Z91" i="149" s="1"/>
  <c r="Y91" i="149"/>
  <c r="X91" i="149" s="1"/>
  <c r="N29" i="150"/>
  <c r="AA29" i="150" s="1"/>
  <c r="Z29" i="150" s="1"/>
  <c r="Y29" i="150"/>
  <c r="X29" i="150" s="1"/>
  <c r="N83" i="150"/>
  <c r="AA83" i="150" s="1"/>
  <c r="Y83" i="150"/>
  <c r="X83" i="150" s="1"/>
  <c r="Z83" i="150"/>
  <c r="N17" i="151"/>
  <c r="AA17" i="151" s="1"/>
  <c r="Y17" i="151"/>
  <c r="X17" i="151" s="1"/>
  <c r="Z17" i="151"/>
  <c r="U48" i="151"/>
  <c r="U48" i="152"/>
  <c r="AF48" i="152"/>
  <c r="Y80" i="153"/>
  <c r="X80" i="153" s="1"/>
  <c r="Z84" i="153"/>
  <c r="Y84" i="153"/>
  <c r="X17" i="154"/>
  <c r="Y17" i="154"/>
  <c r="Z17" i="154"/>
  <c r="Y16" i="147"/>
  <c r="Y27" i="147"/>
  <c r="Z28" i="147"/>
  <c r="Y28" i="147" s="1"/>
  <c r="Y35" i="147"/>
  <c r="N38" i="147"/>
  <c r="AA38" i="147" s="1"/>
  <c r="Z38" i="147" s="1"/>
  <c r="X38" i="147"/>
  <c r="Y41" i="147"/>
  <c r="Y42" i="147"/>
  <c r="Y69" i="147"/>
  <c r="Y70" i="147"/>
  <c r="N79" i="147"/>
  <c r="AA79" i="147" s="1"/>
  <c r="Y79" i="147"/>
  <c r="X79" i="147" s="1"/>
  <c r="Z83" i="147"/>
  <c r="Y84" i="147"/>
  <c r="Z96" i="147"/>
  <c r="Z100" i="147"/>
  <c r="AE48" i="148"/>
  <c r="Y14" i="148"/>
  <c r="N21" i="148"/>
  <c r="AA21" i="148" s="1"/>
  <c r="X21" i="148"/>
  <c r="Z21" i="148"/>
  <c r="Y24" i="148"/>
  <c r="Z29" i="148"/>
  <c r="Y34" i="148"/>
  <c r="Y35" i="148"/>
  <c r="N41" i="148"/>
  <c r="AA41" i="148" s="1"/>
  <c r="X41" i="148"/>
  <c r="Z41" i="148"/>
  <c r="N46" i="148"/>
  <c r="AA46" i="148" s="1"/>
  <c r="Z46" i="148" s="1"/>
  <c r="X46" i="148"/>
  <c r="AC102" i="148"/>
  <c r="F102" i="148"/>
  <c r="Z71" i="148"/>
  <c r="Z72" i="148"/>
  <c r="Z85" i="148"/>
  <c r="Y88" i="148"/>
  <c r="X88" i="148" s="1"/>
  <c r="N100" i="148"/>
  <c r="AA100" i="148" s="1"/>
  <c r="X100" i="148"/>
  <c r="Y100" i="148"/>
  <c r="Z18" i="149"/>
  <c r="N19" i="149"/>
  <c r="AA19" i="149" s="1"/>
  <c r="Y19" i="149"/>
  <c r="X19" i="149" s="1"/>
  <c r="Z19" i="149"/>
  <c r="N21" i="149"/>
  <c r="AA21" i="149" s="1"/>
  <c r="Z21" i="149" s="1"/>
  <c r="X21" i="149"/>
  <c r="N36" i="149"/>
  <c r="AA36" i="149" s="1"/>
  <c r="Y36" i="149"/>
  <c r="X36" i="149" s="1"/>
  <c r="Z36" i="149"/>
  <c r="F102" i="149"/>
  <c r="N66" i="149"/>
  <c r="AA66" i="149" s="1"/>
  <c r="W102" i="149"/>
  <c r="X78" i="149"/>
  <c r="Y78" i="149"/>
  <c r="Z20" i="151"/>
  <c r="Y20" i="151"/>
  <c r="X20" i="151" s="1"/>
  <c r="AD102" i="151"/>
  <c r="Y75" i="151"/>
  <c r="X75" i="151" s="1"/>
  <c r="N84" i="151"/>
  <c r="AA84" i="151" s="1"/>
  <c r="Y84" i="151"/>
  <c r="X84" i="151" s="1"/>
  <c r="Z84" i="151"/>
  <c r="Y97" i="151"/>
  <c r="X97" i="151" s="1"/>
  <c r="N18" i="152"/>
  <c r="AA18" i="152" s="1"/>
  <c r="X18" i="152"/>
  <c r="Y18" i="152"/>
  <c r="Z18" i="152"/>
  <c r="N26" i="152"/>
  <c r="AA26" i="152" s="1"/>
  <c r="Y26" i="152"/>
  <c r="X26" i="152" s="1"/>
  <c r="Y41" i="152"/>
  <c r="X41" i="152" s="1"/>
  <c r="Z41" i="152"/>
  <c r="Y66" i="152"/>
  <c r="N90" i="152"/>
  <c r="AA90" i="152" s="1"/>
  <c r="X90" i="152"/>
  <c r="Y90" i="152"/>
  <c r="Z90" i="152"/>
  <c r="N36" i="153"/>
  <c r="AA36" i="153" s="1"/>
  <c r="X36" i="153"/>
  <c r="Y36" i="153"/>
  <c r="Z36" i="153"/>
  <c r="Z45" i="146"/>
  <c r="Y66" i="146"/>
  <c r="X66" i="146" s="1"/>
  <c r="Z68" i="146"/>
  <c r="Z72" i="146"/>
  <c r="Y80" i="146"/>
  <c r="AA80" i="146"/>
  <c r="Y83" i="146"/>
  <c r="AA87" i="146"/>
  <c r="Z87" i="146" s="1"/>
  <c r="Y93" i="146"/>
  <c r="Y94" i="146"/>
  <c r="AA94" i="146"/>
  <c r="AA14" i="147"/>
  <c r="Z14" i="147" s="1"/>
  <c r="Z16" i="147"/>
  <c r="Y18" i="147"/>
  <c r="Y22" i="147"/>
  <c r="Z39" i="147"/>
  <c r="AA44" i="147"/>
  <c r="F102" i="147"/>
  <c r="N66" i="147"/>
  <c r="Z80" i="147"/>
  <c r="AA86" i="147"/>
  <c r="N95" i="147"/>
  <c r="AA95" i="147" s="1"/>
  <c r="Y95" i="147"/>
  <c r="X95" i="147" s="1"/>
  <c r="AA96" i="147"/>
  <c r="Y16" i="148"/>
  <c r="N28" i="148"/>
  <c r="AA28" i="148" s="1"/>
  <c r="X28" i="148"/>
  <c r="Z28" i="148"/>
  <c r="M48" i="148"/>
  <c r="M102" i="148"/>
  <c r="W102" i="148"/>
  <c r="V102" i="148" s="1"/>
  <c r="Y69" i="148"/>
  <c r="X69" i="148" s="1"/>
  <c r="N78" i="148"/>
  <c r="AA78" i="148" s="1"/>
  <c r="Z78" i="148" s="1"/>
  <c r="X78" i="148"/>
  <c r="N81" i="148"/>
  <c r="AA81" i="148" s="1"/>
  <c r="X81" i="148"/>
  <c r="Z81" i="148"/>
  <c r="Z87" i="148"/>
  <c r="N96" i="148"/>
  <c r="AA96" i="148" s="1"/>
  <c r="Y96" i="148"/>
  <c r="X96" i="148" s="1"/>
  <c r="N13" i="149"/>
  <c r="AA13" i="149" s="1"/>
  <c r="F48" i="149"/>
  <c r="W48" i="149"/>
  <c r="AE48" i="149"/>
  <c r="N16" i="149"/>
  <c r="AA16" i="149" s="1"/>
  <c r="X16" i="149"/>
  <c r="U48" i="149"/>
  <c r="Z16" i="149"/>
  <c r="X22" i="149"/>
  <c r="Y22" i="149"/>
  <c r="Z26" i="149"/>
  <c r="N45" i="149"/>
  <c r="AA45" i="149" s="1"/>
  <c r="X45" i="149"/>
  <c r="AD102" i="149"/>
  <c r="X76" i="150"/>
  <c r="Y76" i="150"/>
  <c r="N86" i="150"/>
  <c r="AA86" i="150" s="1"/>
  <c r="Z86" i="150" s="1"/>
  <c r="Y86" i="150"/>
  <c r="X86" i="150" s="1"/>
  <c r="Y87" i="150"/>
  <c r="X87" i="150" s="1"/>
  <c r="N34" i="151"/>
  <c r="AA34" i="151" s="1"/>
  <c r="Y34" i="151"/>
  <c r="X34" i="151" s="1"/>
  <c r="Z34" i="151"/>
  <c r="N69" i="151"/>
  <c r="AA69" i="151" s="1"/>
  <c r="Z69" i="151" s="1"/>
  <c r="F102" i="151"/>
  <c r="Y91" i="151"/>
  <c r="X91" i="151" s="1"/>
  <c r="Z91" i="151"/>
  <c r="Y98" i="151"/>
  <c r="X98" i="151" s="1"/>
  <c r="W48" i="152"/>
  <c r="N71" i="152"/>
  <c r="AA71" i="152" s="1"/>
  <c r="Z71" i="152" s="1"/>
  <c r="X71" i="152"/>
  <c r="Y71" i="152"/>
  <c r="X13" i="153"/>
  <c r="Y13" i="153"/>
  <c r="N43" i="154"/>
  <c r="AA43" i="154" s="1"/>
  <c r="Z43" i="154" s="1"/>
  <c r="X43" i="154"/>
  <c r="Y43" i="154"/>
  <c r="Z44" i="154"/>
  <c r="Y44" i="154"/>
  <c r="X85" i="154"/>
  <c r="Y85" i="154"/>
  <c r="Z86" i="154"/>
  <c r="Y86" i="154"/>
  <c r="X93" i="154"/>
  <c r="Y93" i="154"/>
  <c r="Z91" i="145"/>
  <c r="Z93" i="145"/>
  <c r="N98" i="145"/>
  <c r="AA98" i="145" s="1"/>
  <c r="Y98" i="145"/>
  <c r="X98" i="145" s="1"/>
  <c r="U48" i="146"/>
  <c r="Y13" i="146"/>
  <c r="Z25" i="146"/>
  <c r="Y26" i="146"/>
  <c r="Z30" i="146"/>
  <c r="Z38" i="146"/>
  <c r="Y39" i="146"/>
  <c r="Z44" i="146"/>
  <c r="Y45" i="146"/>
  <c r="V102" i="146"/>
  <c r="AA74" i="146"/>
  <c r="Z74" i="146" s="1"/>
  <c r="Z76" i="146"/>
  <c r="Z77" i="146"/>
  <c r="Y78" i="146"/>
  <c r="Y79" i="146"/>
  <c r="Y81" i="146"/>
  <c r="X81" i="146" s="1"/>
  <c r="Y82" i="146"/>
  <c r="N89" i="146"/>
  <c r="AA89" i="146" s="1"/>
  <c r="Y89" i="146"/>
  <c r="X89" i="146" s="1"/>
  <c r="AA95" i="146"/>
  <c r="Z95" i="146" s="1"/>
  <c r="AA98" i="146"/>
  <c r="Z98" i="146" s="1"/>
  <c r="Z100" i="146"/>
  <c r="U48" i="147"/>
  <c r="AA13" i="147"/>
  <c r="Y15" i="147"/>
  <c r="Z20" i="147"/>
  <c r="Y20" i="147" s="1"/>
  <c r="N21" i="147"/>
  <c r="AA21" i="147" s="1"/>
  <c r="X21" i="147"/>
  <c r="Z21" i="147"/>
  <c r="N29" i="147"/>
  <c r="AA29" i="147" s="1"/>
  <c r="X29" i="147"/>
  <c r="Z35" i="147"/>
  <c r="Y38" i="147"/>
  <c r="Z41" i="147"/>
  <c r="X41" i="147"/>
  <c r="Y46" i="147"/>
  <c r="M102" i="147"/>
  <c r="Z66" i="147"/>
  <c r="N67" i="147"/>
  <c r="AA67" i="147" s="1"/>
  <c r="Y67" i="147"/>
  <c r="X67" i="147" s="1"/>
  <c r="AA68" i="147"/>
  <c r="Z69" i="147"/>
  <c r="X69" i="147"/>
  <c r="N77" i="147"/>
  <c r="AA77" i="147" s="1"/>
  <c r="Z77" i="147" s="1"/>
  <c r="X77" i="147"/>
  <c r="Z79" i="147"/>
  <c r="Z82" i="147"/>
  <c r="Y83" i="147"/>
  <c r="X83" i="147" s="1"/>
  <c r="Y87" i="147"/>
  <c r="X87" i="147" s="1"/>
  <c r="Y88" i="147"/>
  <c r="AA90" i="147"/>
  <c r="Z94" i="147"/>
  <c r="Y96" i="147"/>
  <c r="Y97" i="147"/>
  <c r="F48" i="148"/>
  <c r="N13" i="148"/>
  <c r="W48" i="148"/>
  <c r="AD48" i="148"/>
  <c r="Z14" i="148"/>
  <c r="X14" i="148"/>
  <c r="Y21" i="148"/>
  <c r="N22" i="148"/>
  <c r="AA22" i="148" s="1"/>
  <c r="Z22" i="148" s="1"/>
  <c r="X22" i="148"/>
  <c r="AA23" i="148"/>
  <c r="Z24" i="148"/>
  <c r="X24" i="148"/>
  <c r="Y31" i="148"/>
  <c r="X34" i="148"/>
  <c r="Y41" i="148"/>
  <c r="Y42" i="148"/>
  <c r="Y46" i="148"/>
  <c r="Z66" i="148"/>
  <c r="Y72" i="148"/>
  <c r="X72" i="148" s="1"/>
  <c r="Y73" i="148"/>
  <c r="Y79" i="148"/>
  <c r="N80" i="148"/>
  <c r="AA80" i="148" s="1"/>
  <c r="Y80" i="148"/>
  <c r="X80" i="148" s="1"/>
  <c r="N94" i="148"/>
  <c r="AA94" i="148" s="1"/>
  <c r="Z94" i="148" s="1"/>
  <c r="X94" i="148"/>
  <c r="Y94" i="148"/>
  <c r="Z100" i="148"/>
  <c r="M48" i="149"/>
  <c r="Z13" i="149"/>
  <c r="AF48" i="149"/>
  <c r="Y21" i="149"/>
  <c r="Z78" i="149"/>
  <c r="F48" i="150"/>
  <c r="N13" i="150"/>
  <c r="Y39" i="150"/>
  <c r="X39" i="150" s="1"/>
  <c r="N67" i="150"/>
  <c r="AA67" i="150" s="1"/>
  <c r="Y67" i="150"/>
  <c r="X67" i="150" s="1"/>
  <c r="Z67" i="150"/>
  <c r="AF48" i="151"/>
  <c r="V48" i="151"/>
  <c r="N24" i="151"/>
  <c r="AA24" i="151" s="1"/>
  <c r="X24" i="151"/>
  <c r="Y24" i="151"/>
  <c r="Y43" i="151"/>
  <c r="X43" i="151" s="1"/>
  <c r="N71" i="151"/>
  <c r="AA71" i="151" s="1"/>
  <c r="U102" i="151"/>
  <c r="Y71" i="151"/>
  <c r="X71" i="151" s="1"/>
  <c r="Z71" i="151"/>
  <c r="Z26" i="152"/>
  <c r="N79" i="152"/>
  <c r="AA79" i="152" s="1"/>
  <c r="Z79" i="152" s="1"/>
  <c r="X79" i="152"/>
  <c r="U102" i="152"/>
  <c r="X44" i="153"/>
  <c r="Y44" i="153"/>
  <c r="Z44" i="153"/>
  <c r="U48" i="153"/>
  <c r="AE48" i="154"/>
  <c r="AD48" i="154" s="1"/>
  <c r="M48" i="154"/>
  <c r="N66" i="154"/>
  <c r="AA66" i="154" s="1"/>
  <c r="F102" i="154"/>
  <c r="Y87" i="148"/>
  <c r="N98" i="148"/>
  <c r="AA98" i="148" s="1"/>
  <c r="Z98" i="148" s="1"/>
  <c r="X98" i="148"/>
  <c r="N20" i="149"/>
  <c r="X20" i="149"/>
  <c r="Y20" i="149"/>
  <c r="N23" i="149"/>
  <c r="AA23" i="149" s="1"/>
  <c r="Z23" i="149" s="1"/>
  <c r="Y23" i="149"/>
  <c r="X23" i="149" s="1"/>
  <c r="Y40" i="149"/>
  <c r="X40" i="149" s="1"/>
  <c r="Z45" i="149"/>
  <c r="N46" i="149"/>
  <c r="AA46" i="149" s="1"/>
  <c r="Y46" i="149"/>
  <c r="X46" i="149" s="1"/>
  <c r="Y71" i="149"/>
  <c r="X71" i="149" s="1"/>
  <c r="Z75" i="149"/>
  <c r="N79" i="149"/>
  <c r="AA79" i="149" s="1"/>
  <c r="Z79" i="149" s="1"/>
  <c r="Y79" i="149"/>
  <c r="X79" i="149" s="1"/>
  <c r="Z90" i="149"/>
  <c r="X98" i="149"/>
  <c r="Y98" i="149"/>
  <c r="X34" i="150"/>
  <c r="Y34" i="150"/>
  <c r="Z43" i="150"/>
  <c r="M102" i="150"/>
  <c r="N75" i="150"/>
  <c r="AA75" i="150" s="1"/>
  <c r="Y75" i="150"/>
  <c r="X75" i="150" s="1"/>
  <c r="AA88" i="150"/>
  <c r="Z88" i="150" s="1"/>
  <c r="Z89" i="150"/>
  <c r="Y16" i="151"/>
  <c r="AA23" i="151"/>
  <c r="X38" i="151"/>
  <c r="Y38" i="151"/>
  <c r="F48" i="151"/>
  <c r="Z78" i="151"/>
  <c r="X92" i="151"/>
  <c r="Y92" i="151"/>
  <c r="AA13" i="152"/>
  <c r="AC48" i="152"/>
  <c r="Z22" i="152"/>
  <c r="Z35" i="152"/>
  <c r="Y46" i="152"/>
  <c r="Z73" i="152"/>
  <c r="N77" i="152"/>
  <c r="AA77" i="152" s="1"/>
  <c r="Z77" i="152" s="1"/>
  <c r="X77" i="152"/>
  <c r="Y78" i="152"/>
  <c r="N98" i="152"/>
  <c r="AA98" i="152" s="1"/>
  <c r="X98" i="152"/>
  <c r="N100" i="152"/>
  <c r="AA100" i="152" s="1"/>
  <c r="Z100" i="152" s="1"/>
  <c r="X100" i="152"/>
  <c r="Y28" i="153"/>
  <c r="X28" i="153" s="1"/>
  <c r="AC102" i="153"/>
  <c r="Y97" i="153"/>
  <c r="Y97" i="154"/>
  <c r="X97" i="154" s="1"/>
  <c r="N99" i="154"/>
  <c r="AA99" i="154" s="1"/>
  <c r="X99" i="154"/>
  <c r="Y99" i="154"/>
  <c r="Z100" i="154"/>
  <c r="Y100" i="154"/>
  <c r="X100" i="154" s="1"/>
  <c r="X27" i="155"/>
  <c r="Y27" i="155"/>
  <c r="Z27" i="155"/>
  <c r="V102" i="149"/>
  <c r="X69" i="149"/>
  <c r="Y69" i="149"/>
  <c r="N76" i="149"/>
  <c r="Y76" i="149"/>
  <c r="X76" i="149" s="1"/>
  <c r="Z81" i="149"/>
  <c r="Z82" i="149"/>
  <c r="N83" i="149"/>
  <c r="AA83" i="149" s="1"/>
  <c r="Z83" i="149" s="1"/>
  <c r="Y83" i="149"/>
  <c r="X83" i="149" s="1"/>
  <c r="Y100" i="149"/>
  <c r="X100" i="149" s="1"/>
  <c r="N16" i="150"/>
  <c r="AA16" i="150" s="1"/>
  <c r="Y16" i="150"/>
  <c r="X16" i="150" s="1"/>
  <c r="Z16" i="150"/>
  <c r="Y17" i="150"/>
  <c r="Y37" i="150"/>
  <c r="X37" i="150" s="1"/>
  <c r="X69" i="150"/>
  <c r="Y69" i="150"/>
  <c r="Z85" i="150"/>
  <c r="X100" i="150"/>
  <c r="Y100" i="150"/>
  <c r="M48" i="151"/>
  <c r="N25" i="151"/>
  <c r="AA25" i="151" s="1"/>
  <c r="Y25" i="151"/>
  <c r="X25" i="151" s="1"/>
  <c r="Y41" i="151"/>
  <c r="X41" i="151" s="1"/>
  <c r="Y45" i="151"/>
  <c r="X45" i="151" s="1"/>
  <c r="Y89" i="151"/>
  <c r="X89" i="151" s="1"/>
  <c r="AA99" i="151"/>
  <c r="AE48" i="152"/>
  <c r="AD48" i="152" s="1"/>
  <c r="N19" i="152"/>
  <c r="AA19" i="152" s="1"/>
  <c r="X19" i="152"/>
  <c r="Y19" i="152"/>
  <c r="N27" i="152"/>
  <c r="AA27" i="152" s="1"/>
  <c r="Y27" i="152"/>
  <c r="X27" i="152" s="1"/>
  <c r="Z27" i="152"/>
  <c r="N40" i="152"/>
  <c r="AA40" i="152" s="1"/>
  <c r="Y40" i="152"/>
  <c r="X40" i="152" s="1"/>
  <c r="N80" i="152"/>
  <c r="AA80" i="152" s="1"/>
  <c r="Z80" i="152" s="1"/>
  <c r="X80" i="152"/>
  <c r="Y80" i="152"/>
  <c r="N88" i="152"/>
  <c r="AA88" i="152" s="1"/>
  <c r="Z88" i="152" s="1"/>
  <c r="X88" i="152"/>
  <c r="Y88" i="152"/>
  <c r="F48" i="153"/>
  <c r="X19" i="154"/>
  <c r="Y19" i="154"/>
  <c r="N26" i="154"/>
  <c r="AA26" i="154" s="1"/>
  <c r="Z26" i="154" s="1"/>
  <c r="X26" i="154"/>
  <c r="Y26" i="154"/>
  <c r="X45" i="154"/>
  <c r="Y45" i="154"/>
  <c r="AD102" i="154"/>
  <c r="X16" i="155"/>
  <c r="Y16" i="155"/>
  <c r="Z16" i="155"/>
  <c r="X18" i="155"/>
  <c r="Y18" i="155"/>
  <c r="Z70" i="155"/>
  <c r="Y70" i="155"/>
  <c r="X70" i="155" s="1"/>
  <c r="Y43" i="145"/>
  <c r="Y73" i="145"/>
  <c r="N74" i="145"/>
  <c r="AA74" i="145" s="1"/>
  <c r="Z74" i="145"/>
  <c r="Y75" i="145"/>
  <c r="Y84" i="145"/>
  <c r="Y85" i="145"/>
  <c r="N86" i="145"/>
  <c r="AA86" i="145" s="1"/>
  <c r="Y86" i="145"/>
  <c r="AA89" i="145"/>
  <c r="AA91" i="145"/>
  <c r="AA92" i="145"/>
  <c r="Z92" i="145" s="1"/>
  <c r="N95" i="145"/>
  <c r="AA95" i="145" s="1"/>
  <c r="Z95" i="145" s="1"/>
  <c r="Y95" i="145"/>
  <c r="Y96" i="145"/>
  <c r="Y14" i="146"/>
  <c r="Y16" i="146"/>
  <c r="AA19" i="146"/>
  <c r="AA20" i="146"/>
  <c r="AA21" i="146"/>
  <c r="Y23" i="146"/>
  <c r="Y24" i="146"/>
  <c r="AA35" i="146"/>
  <c r="Y43" i="146"/>
  <c r="M48" i="146"/>
  <c r="AA76" i="146"/>
  <c r="AA77" i="146"/>
  <c r="AA79" i="146"/>
  <c r="Z79" i="146" s="1"/>
  <c r="AA82" i="146"/>
  <c r="Z82" i="146" s="1"/>
  <c r="Y84" i="146"/>
  <c r="N85" i="146"/>
  <c r="AA85" i="146" s="1"/>
  <c r="Y85" i="146"/>
  <c r="N86" i="146"/>
  <c r="AA86" i="146" s="1"/>
  <c r="Y86" i="146"/>
  <c r="AA92" i="146"/>
  <c r="AA93" i="146"/>
  <c r="Y95" i="146"/>
  <c r="Y96" i="146"/>
  <c r="N97" i="146"/>
  <c r="AA97" i="146" s="1"/>
  <c r="Z97" i="146"/>
  <c r="Y98" i="146"/>
  <c r="Y99" i="146"/>
  <c r="AA18" i="147"/>
  <c r="Z18" i="147" s="1"/>
  <c r="Y26" i="147"/>
  <c r="AA34" i="147"/>
  <c r="Z34" i="147" s="1"/>
  <c r="Y36" i="147"/>
  <c r="AA40" i="147"/>
  <c r="AA41" i="147"/>
  <c r="Y43" i="147"/>
  <c r="AA46" i="147"/>
  <c r="Z46" i="147" s="1"/>
  <c r="Y66" i="147"/>
  <c r="N73" i="147"/>
  <c r="AA73" i="147" s="1"/>
  <c r="Z73" i="147" s="1"/>
  <c r="Y73" i="147"/>
  <c r="Y74" i="147"/>
  <c r="N75" i="147"/>
  <c r="AA75" i="147" s="1"/>
  <c r="Z75" i="147"/>
  <c r="Y76" i="147"/>
  <c r="AA82" i="147"/>
  <c r="N89" i="147"/>
  <c r="AA89" i="147" s="1"/>
  <c r="Z89" i="147" s="1"/>
  <c r="Y89" i="147"/>
  <c r="Y90" i="147"/>
  <c r="N91" i="147"/>
  <c r="AA91" i="147" s="1"/>
  <c r="Z91" i="147"/>
  <c r="Y92" i="147"/>
  <c r="AA98" i="147"/>
  <c r="U102" i="147"/>
  <c r="AA14" i="148"/>
  <c r="AA15" i="148"/>
  <c r="N18" i="148"/>
  <c r="AA18" i="148" s="1"/>
  <c r="Z18" i="148" s="1"/>
  <c r="Y18" i="148"/>
  <c r="Y19" i="148"/>
  <c r="N26" i="148"/>
  <c r="AA26" i="148" s="1"/>
  <c r="Z26" i="148" s="1"/>
  <c r="Y26" i="148"/>
  <c r="Y27" i="148"/>
  <c r="N32" i="148"/>
  <c r="AA32" i="148" s="1"/>
  <c r="Y32" i="148"/>
  <c r="N40" i="148"/>
  <c r="AA40" i="148" s="1"/>
  <c r="Y40" i="148"/>
  <c r="N45" i="148"/>
  <c r="AA45" i="148" s="1"/>
  <c r="Y45" i="148"/>
  <c r="Y74" i="148"/>
  <c r="Y75" i="148"/>
  <c r="N76" i="148"/>
  <c r="AA76" i="148" s="1"/>
  <c r="Z76" i="148"/>
  <c r="N77" i="148"/>
  <c r="AA77" i="148" s="1"/>
  <c r="Y77" i="148"/>
  <c r="AC48" i="149"/>
  <c r="N24" i="149"/>
  <c r="AA24" i="149" s="1"/>
  <c r="X24" i="149"/>
  <c r="Z24" i="149"/>
  <c r="N27" i="149"/>
  <c r="AA27" i="149" s="1"/>
  <c r="Y27" i="149"/>
  <c r="X27" i="149" s="1"/>
  <c r="N37" i="149"/>
  <c r="AA37" i="149" s="1"/>
  <c r="Y37" i="149"/>
  <c r="X37" i="149" s="1"/>
  <c r="AA39" i="149"/>
  <c r="AA41" i="149"/>
  <c r="Z41" i="149" s="1"/>
  <c r="Y43" i="149"/>
  <c r="X43" i="149" s="1"/>
  <c r="Z66" i="149"/>
  <c r="AE102" i="149"/>
  <c r="N72" i="149"/>
  <c r="AA72" i="149" s="1"/>
  <c r="Z72" i="149"/>
  <c r="Y73" i="149"/>
  <c r="Y74" i="149"/>
  <c r="AA77" i="149"/>
  <c r="Z77" i="149" s="1"/>
  <c r="Y86" i="149"/>
  <c r="Z86" i="149"/>
  <c r="Y88" i="149"/>
  <c r="X88" i="149" s="1"/>
  <c r="Y89" i="149"/>
  <c r="Z92" i="149"/>
  <c r="Y93" i="149"/>
  <c r="Y94" i="149"/>
  <c r="AA97" i="149"/>
  <c r="Z97" i="149" s="1"/>
  <c r="W48" i="150"/>
  <c r="Y22" i="150"/>
  <c r="X22" i="150" s="1"/>
  <c r="Y25" i="150"/>
  <c r="Y26" i="150"/>
  <c r="N38" i="150"/>
  <c r="AA38" i="150" s="1"/>
  <c r="Y38" i="150"/>
  <c r="X38" i="150" s="1"/>
  <c r="N45" i="150"/>
  <c r="AA45" i="150" s="1"/>
  <c r="Z45" i="150" s="1"/>
  <c r="Y45" i="150"/>
  <c r="X45" i="150" s="1"/>
  <c r="AA66" i="150"/>
  <c r="Z66" i="150" s="1"/>
  <c r="AC102" i="150"/>
  <c r="Y71" i="150"/>
  <c r="X71" i="150" s="1"/>
  <c r="Z79" i="150"/>
  <c r="Y80" i="150"/>
  <c r="Y81" i="150"/>
  <c r="Z91" i="150"/>
  <c r="Y92" i="150"/>
  <c r="Y93" i="150"/>
  <c r="Y95" i="150"/>
  <c r="X95" i="150" s="1"/>
  <c r="AA96" i="150"/>
  <c r="Z96" i="150" s="1"/>
  <c r="N99" i="150"/>
  <c r="AA99" i="150" s="1"/>
  <c r="Y99" i="150"/>
  <c r="X99" i="150" s="1"/>
  <c r="AF102" i="150"/>
  <c r="AE102" i="150" s="1"/>
  <c r="AD102" i="150" s="1"/>
  <c r="W48" i="151"/>
  <c r="AE48" i="151"/>
  <c r="Y15" i="151"/>
  <c r="Z18" i="151"/>
  <c r="X37" i="151"/>
  <c r="Y37" i="151"/>
  <c r="N42" i="151"/>
  <c r="AA42" i="151" s="1"/>
  <c r="Y42" i="151"/>
  <c r="X42" i="151" s="1"/>
  <c r="N80" i="151"/>
  <c r="AA80" i="151" s="1"/>
  <c r="Y80" i="151"/>
  <c r="X80" i="151" s="1"/>
  <c r="Y85" i="151"/>
  <c r="X85" i="151" s="1"/>
  <c r="AA100" i="151"/>
  <c r="AF102" i="151"/>
  <c r="AE102" i="151" s="1"/>
  <c r="M48" i="152"/>
  <c r="N21" i="152"/>
  <c r="AA21" i="152" s="1"/>
  <c r="Z21" i="152" s="1"/>
  <c r="X21" i="152"/>
  <c r="Y33" i="152"/>
  <c r="Y42" i="152"/>
  <c r="X42" i="152" s="1"/>
  <c r="W102" i="152"/>
  <c r="V102" i="152" s="1"/>
  <c r="N69" i="152"/>
  <c r="AA69" i="152" s="1"/>
  <c r="Z69" i="152" s="1"/>
  <c r="Y69" i="152"/>
  <c r="N81" i="152"/>
  <c r="AA81" i="152" s="1"/>
  <c r="Z81" i="152" s="1"/>
  <c r="X81" i="152"/>
  <c r="Z20" i="153"/>
  <c r="AA20" i="153"/>
  <c r="N42" i="153"/>
  <c r="AA42" i="153" s="1"/>
  <c r="X42" i="153"/>
  <c r="Z42" i="153"/>
  <c r="X46" i="153"/>
  <c r="Y46" i="153"/>
  <c r="X67" i="153"/>
  <c r="Y67" i="153"/>
  <c r="U102" i="153"/>
  <c r="Z67" i="153"/>
  <c r="N88" i="153"/>
  <c r="AA88" i="153" s="1"/>
  <c r="Y88" i="153"/>
  <c r="X88" i="153" s="1"/>
  <c r="X92" i="153"/>
  <c r="Y92" i="153"/>
  <c r="AF102" i="153"/>
  <c r="AF48" i="154"/>
  <c r="Z19" i="154"/>
  <c r="X29" i="154"/>
  <c r="Y29" i="154"/>
  <c r="Y36" i="154"/>
  <c r="Z75" i="154"/>
  <c r="Y92" i="154"/>
  <c r="X19" i="155"/>
  <c r="Y19" i="155"/>
  <c r="Y20" i="155"/>
  <c r="X20" i="155" s="1"/>
  <c r="Y29" i="155"/>
  <c r="AA45" i="142"/>
  <c r="AA46" i="142"/>
  <c r="Z46" i="142" s="1"/>
  <c r="AA67" i="142"/>
  <c r="Z67" i="142" s="1"/>
  <c r="AA79" i="142"/>
  <c r="Z79" i="142" s="1"/>
  <c r="N82" i="142"/>
  <c r="AA82" i="142" s="1"/>
  <c r="Y82" i="142"/>
  <c r="N83" i="142"/>
  <c r="AA83" i="142" s="1"/>
  <c r="Z83" i="142" s="1"/>
  <c r="Y83" i="142"/>
  <c r="AA95" i="142"/>
  <c r="Z95" i="142" s="1"/>
  <c r="N98" i="142"/>
  <c r="AA98" i="142" s="1"/>
  <c r="Y98" i="142"/>
  <c r="N99" i="142"/>
  <c r="AA99" i="142" s="1"/>
  <c r="Z99" i="142" s="1"/>
  <c r="Y99" i="142"/>
  <c r="N15" i="143"/>
  <c r="AA15" i="143" s="1"/>
  <c r="Y15" i="143"/>
  <c r="AA18" i="143"/>
  <c r="N27" i="143"/>
  <c r="AA30" i="143"/>
  <c r="AA34" i="143"/>
  <c r="N43" i="143"/>
  <c r="AA43" i="143" s="1"/>
  <c r="AA68" i="143"/>
  <c r="Z68" i="143" s="1"/>
  <c r="AA79" i="143"/>
  <c r="AA80" i="143"/>
  <c r="AA81" i="143"/>
  <c r="Z81" i="143" s="1"/>
  <c r="N89" i="143"/>
  <c r="AA89" i="143" s="1"/>
  <c r="Z89" i="143" s="1"/>
  <c r="Y89" i="143"/>
  <c r="N23" i="144"/>
  <c r="AA23" i="144" s="1"/>
  <c r="Y23" i="144"/>
  <c r="N24" i="144"/>
  <c r="AA24" i="144" s="1"/>
  <c r="Z24" i="144" s="1"/>
  <c r="Y24" i="144"/>
  <c r="AA35" i="144"/>
  <c r="N39" i="144"/>
  <c r="AA39" i="144" s="1"/>
  <c r="Y39" i="144"/>
  <c r="N40" i="144"/>
  <c r="AA40" i="144" s="1"/>
  <c r="Z40" i="144" s="1"/>
  <c r="Y40" i="144"/>
  <c r="N73" i="144"/>
  <c r="AA73" i="144" s="1"/>
  <c r="AA78" i="144"/>
  <c r="AA79" i="144"/>
  <c r="Z79" i="144" s="1"/>
  <c r="AA82" i="144"/>
  <c r="Z82" i="144" s="1"/>
  <c r="N85" i="144"/>
  <c r="AA85" i="144" s="1"/>
  <c r="Y85" i="144"/>
  <c r="AA88" i="144"/>
  <c r="AA100" i="144"/>
  <c r="AF102" i="144"/>
  <c r="AA21" i="145"/>
  <c r="N30" i="145"/>
  <c r="AA30" i="145" s="1"/>
  <c r="AA33" i="145"/>
  <c r="AA36" i="145"/>
  <c r="Z36" i="145" s="1"/>
  <c r="AA39" i="145"/>
  <c r="Z39" i="145" s="1"/>
  <c r="N42" i="145"/>
  <c r="AA42" i="145" s="1"/>
  <c r="Y42" i="145"/>
  <c r="AA45" i="145"/>
  <c r="AA68" i="145"/>
  <c r="Z68" i="145" s="1"/>
  <c r="N71" i="145"/>
  <c r="Y71" i="145"/>
  <c r="Y74" i="145"/>
  <c r="X74" i="145" s="1"/>
  <c r="N82" i="145"/>
  <c r="AA82" i="145" s="1"/>
  <c r="X86" i="145"/>
  <c r="N94" i="145"/>
  <c r="AA94" i="145" s="1"/>
  <c r="Y94" i="145"/>
  <c r="X95" i="145"/>
  <c r="AA97" i="145"/>
  <c r="AA99" i="145"/>
  <c r="AA100" i="145"/>
  <c r="Z100" i="145" s="1"/>
  <c r="AA28" i="146"/>
  <c r="AA30" i="146"/>
  <c r="AA41" i="146"/>
  <c r="Z41" i="146" s="1"/>
  <c r="N46" i="146"/>
  <c r="AA46" i="146" s="1"/>
  <c r="Y46" i="146"/>
  <c r="N69" i="146"/>
  <c r="AA69" i="146" s="1"/>
  <c r="Y69" i="146"/>
  <c r="N70" i="146"/>
  <c r="AA70" i="146" s="1"/>
  <c r="Y70" i="146"/>
  <c r="AA72" i="146"/>
  <c r="N81" i="146"/>
  <c r="AA81" i="146" s="1"/>
  <c r="X85" i="146"/>
  <c r="X86" i="146"/>
  <c r="AA88" i="146"/>
  <c r="Y97" i="146"/>
  <c r="X97" i="146" s="1"/>
  <c r="AA100" i="146"/>
  <c r="Y13" i="147"/>
  <c r="N17" i="147"/>
  <c r="AA17" i="147" s="1"/>
  <c r="N25" i="147"/>
  <c r="AA25" i="147" s="1"/>
  <c r="Y25" i="147"/>
  <c r="AA27" i="147"/>
  <c r="Z27" i="147" s="1"/>
  <c r="AA28" i="147"/>
  <c r="N33" i="147"/>
  <c r="AA33" i="147" s="1"/>
  <c r="N45" i="147"/>
  <c r="AA45" i="147" s="1"/>
  <c r="N71" i="147"/>
  <c r="AA71" i="147" s="1"/>
  <c r="X73" i="147"/>
  <c r="Y75" i="147"/>
  <c r="X75" i="147" s="1"/>
  <c r="AA78" i="147"/>
  <c r="N85" i="147"/>
  <c r="AA85" i="147" s="1"/>
  <c r="Z85" i="147" s="1"/>
  <c r="Y85" i="147"/>
  <c r="N87" i="147"/>
  <c r="AA87" i="147" s="1"/>
  <c r="X89" i="147"/>
  <c r="Y91" i="147"/>
  <c r="X91" i="147" s="1"/>
  <c r="AA94" i="147"/>
  <c r="AF102" i="147"/>
  <c r="X18" i="148"/>
  <c r="N25" i="148"/>
  <c r="AA25" i="148" s="1"/>
  <c r="Y25" i="148"/>
  <c r="X26" i="148"/>
  <c r="N30" i="148"/>
  <c r="AA30" i="148" s="1"/>
  <c r="Z30" i="148" s="1"/>
  <c r="Y30" i="148"/>
  <c r="X32" i="148"/>
  <c r="AA34" i="148"/>
  <c r="Z34" i="148" s="1"/>
  <c r="N36" i="148"/>
  <c r="AA36" i="148" s="1"/>
  <c r="Z36" i="148" s="1"/>
  <c r="Y36" i="148"/>
  <c r="N37" i="148"/>
  <c r="AA37" i="148" s="1"/>
  <c r="Y37" i="148"/>
  <c r="N38" i="148"/>
  <c r="AA38" i="148" s="1"/>
  <c r="Z38" i="148" s="1"/>
  <c r="Y38" i="148"/>
  <c r="X40" i="148"/>
  <c r="AA42" i="148"/>
  <c r="Z42" i="148" s="1"/>
  <c r="N44" i="148"/>
  <c r="AA44" i="148" s="1"/>
  <c r="Y44" i="148"/>
  <c r="X45" i="148"/>
  <c r="U102" i="148"/>
  <c r="Y102" i="148" s="1"/>
  <c r="Y66" i="148"/>
  <c r="N67" i="148"/>
  <c r="N69" i="148"/>
  <c r="AA69" i="148" s="1"/>
  <c r="Y76" i="148"/>
  <c r="X76" i="148" s="1"/>
  <c r="X77" i="148"/>
  <c r="N86" i="148"/>
  <c r="AA86" i="148" s="1"/>
  <c r="Z86" i="148" s="1"/>
  <c r="Y86" i="148"/>
  <c r="N88" i="148"/>
  <c r="AA88" i="148" s="1"/>
  <c r="N89" i="148"/>
  <c r="AA89" i="148" s="1"/>
  <c r="Y89" i="148"/>
  <c r="Y91" i="148"/>
  <c r="Y13" i="149"/>
  <c r="X13" i="149" s="1"/>
  <c r="Y24" i="149"/>
  <c r="N25" i="149"/>
  <c r="AA25" i="149" s="1"/>
  <c r="Z25" i="149" s="1"/>
  <c r="X25" i="149"/>
  <c r="Z27" i="149"/>
  <c r="N28" i="149"/>
  <c r="AA28" i="149" s="1"/>
  <c r="Y28" i="149"/>
  <c r="X28" i="149" s="1"/>
  <c r="AA30" i="149"/>
  <c r="AA31" i="149"/>
  <c r="Z31" i="149" s="1"/>
  <c r="Y33" i="149"/>
  <c r="Z37" i="149"/>
  <c r="Y41" i="149"/>
  <c r="Y44" i="149"/>
  <c r="X44" i="149" s="1"/>
  <c r="M102" i="149"/>
  <c r="Y66" i="149"/>
  <c r="Y67" i="149"/>
  <c r="X67" i="149" s="1"/>
  <c r="N68" i="149"/>
  <c r="AA68" i="149" s="1"/>
  <c r="Y68" i="149"/>
  <c r="X68" i="149" s="1"/>
  <c r="Y70" i="149"/>
  <c r="Y72" i="149"/>
  <c r="X72" i="149" s="1"/>
  <c r="Z74" i="149"/>
  <c r="Y77" i="149"/>
  <c r="Y90" i="149"/>
  <c r="Y92" i="149"/>
  <c r="X92" i="149" s="1"/>
  <c r="Y95" i="149"/>
  <c r="X95" i="149" s="1"/>
  <c r="N96" i="149"/>
  <c r="AA96" i="149" s="1"/>
  <c r="Y96" i="149"/>
  <c r="X96" i="149" s="1"/>
  <c r="Z96" i="149"/>
  <c r="Y97" i="149"/>
  <c r="M48" i="150"/>
  <c r="AD48" i="150"/>
  <c r="Y14" i="150"/>
  <c r="X14" i="150" s="1"/>
  <c r="AA17" i="150"/>
  <c r="X25" i="150"/>
  <c r="Y27" i="150"/>
  <c r="N28" i="150"/>
  <c r="AA28" i="150" s="1"/>
  <c r="X28" i="150"/>
  <c r="Y28" i="150"/>
  <c r="AA33" i="150"/>
  <c r="N36" i="150"/>
  <c r="AA36" i="150" s="1"/>
  <c r="Y36" i="150"/>
  <c r="Z38" i="150"/>
  <c r="Y41" i="150"/>
  <c r="Y42" i="150"/>
  <c r="AA68" i="150"/>
  <c r="Z68" i="150" s="1"/>
  <c r="Y72" i="150"/>
  <c r="AA72" i="150"/>
  <c r="Z72" i="150" s="1"/>
  <c r="Y77" i="150"/>
  <c r="Y79" i="150"/>
  <c r="X79" i="150" s="1"/>
  <c r="Z81" i="150"/>
  <c r="Y89" i="150"/>
  <c r="Y91" i="150"/>
  <c r="X91" i="150" s="1"/>
  <c r="Z93" i="150"/>
  <c r="N94" i="150"/>
  <c r="AA94" i="150" s="1"/>
  <c r="Z94" i="150" s="1"/>
  <c r="Y94" i="150"/>
  <c r="X94" i="150" s="1"/>
  <c r="Z99" i="150"/>
  <c r="AD48" i="151"/>
  <c r="AC48" i="151" s="1"/>
  <c r="Y18" i="151"/>
  <c r="X18" i="151" s="1"/>
  <c r="Y19" i="151"/>
  <c r="Y26" i="151"/>
  <c r="X26" i="151" s="1"/>
  <c r="N27" i="151"/>
  <c r="AA27" i="151" s="1"/>
  <c r="Y27" i="151"/>
  <c r="X27" i="151" s="1"/>
  <c r="Y29" i="151"/>
  <c r="X29" i="151" s="1"/>
  <c r="AA29" i="151"/>
  <c r="AA31" i="151"/>
  <c r="Z31" i="151" s="1"/>
  <c r="AA37" i="151"/>
  <c r="Z37" i="151" s="1"/>
  <c r="N40" i="151"/>
  <c r="AA40" i="151" s="1"/>
  <c r="Y40" i="151"/>
  <c r="Z42" i="151"/>
  <c r="Z66" i="151"/>
  <c r="M102" i="151"/>
  <c r="Y67" i="151"/>
  <c r="X67" i="151" s="1"/>
  <c r="Y72" i="151"/>
  <c r="Y77" i="151"/>
  <c r="Z80" i="151"/>
  <c r="Y82" i="151"/>
  <c r="X82" i="151" s="1"/>
  <c r="AA83" i="151"/>
  <c r="Y88" i="151"/>
  <c r="X88" i="151" s="1"/>
  <c r="Y93" i="151"/>
  <c r="X94" i="151"/>
  <c r="Y94" i="151"/>
  <c r="Y96" i="151"/>
  <c r="X96" i="151" s="1"/>
  <c r="Z15" i="152"/>
  <c r="Y21" i="152"/>
  <c r="Z33" i="152"/>
  <c r="Y34" i="152"/>
  <c r="Y39" i="152"/>
  <c r="AD102" i="152"/>
  <c r="AC102" i="152" s="1"/>
  <c r="X69" i="152"/>
  <c r="Y70" i="152"/>
  <c r="N76" i="152"/>
  <c r="AA76" i="152" s="1"/>
  <c r="Z76" i="152" s="1"/>
  <c r="X76" i="152"/>
  <c r="Y81" i="152"/>
  <c r="N82" i="152"/>
  <c r="AA82" i="152" s="1"/>
  <c r="X82" i="152"/>
  <c r="Z87" i="152"/>
  <c r="N96" i="152"/>
  <c r="AA96" i="152" s="1"/>
  <c r="Z96" i="152" s="1"/>
  <c r="X96" i="152"/>
  <c r="Y96" i="152"/>
  <c r="AF102" i="152"/>
  <c r="Z13" i="153"/>
  <c r="W48" i="153"/>
  <c r="AD48" i="153"/>
  <c r="N15" i="153"/>
  <c r="X15" i="153"/>
  <c r="Y15" i="153"/>
  <c r="Y32" i="153"/>
  <c r="Y38" i="153"/>
  <c r="X38" i="153" s="1"/>
  <c r="Y42" i="153"/>
  <c r="N43" i="153"/>
  <c r="AA43" i="153" s="1"/>
  <c r="Z43" i="153" s="1"/>
  <c r="X43" i="153"/>
  <c r="Y43" i="153"/>
  <c r="AA44" i="153"/>
  <c r="N82" i="153"/>
  <c r="AA82" i="153" s="1"/>
  <c r="Y82" i="153"/>
  <c r="X82" i="153" s="1"/>
  <c r="Z82" i="153"/>
  <c r="Z88" i="153"/>
  <c r="Z92" i="153"/>
  <c r="X15" i="154"/>
  <c r="Y15" i="154"/>
  <c r="Z15" i="154"/>
  <c r="X23" i="154"/>
  <c r="Y23" i="154"/>
  <c r="Z25" i="154"/>
  <c r="Z36" i="154"/>
  <c r="N37" i="154"/>
  <c r="AA37" i="154" s="1"/>
  <c r="X37" i="154"/>
  <c r="Y37" i="154"/>
  <c r="AC102" i="154"/>
  <c r="X68" i="154"/>
  <c r="Y68" i="154"/>
  <c r="Z68" i="154"/>
  <c r="Y81" i="154"/>
  <c r="X81" i="154" s="1"/>
  <c r="AF102" i="155"/>
  <c r="AD102" i="155"/>
  <c r="N95" i="155"/>
  <c r="AA95" i="155" s="1"/>
  <c r="Z95" i="155" s="1"/>
  <c r="Y95" i="155"/>
  <c r="X95" i="155" s="1"/>
  <c r="AA22" i="153"/>
  <c r="AA24" i="153"/>
  <c r="N27" i="153"/>
  <c r="AA27" i="153" s="1"/>
  <c r="Y27" i="153"/>
  <c r="X27" i="153" s="1"/>
  <c r="Y29" i="153"/>
  <c r="Y30" i="153"/>
  <c r="Z31" i="153"/>
  <c r="Z33" i="153"/>
  <c r="Y34" i="153"/>
  <c r="N37" i="153"/>
  <c r="AA37" i="153" s="1"/>
  <c r="Y37" i="153"/>
  <c r="X37" i="153" s="1"/>
  <c r="AA41" i="153"/>
  <c r="W102" i="153"/>
  <c r="AE102" i="153"/>
  <c r="N69" i="153"/>
  <c r="AA69" i="153" s="1"/>
  <c r="X69" i="153"/>
  <c r="Z71" i="153"/>
  <c r="Y74" i="153"/>
  <c r="X74" i="153" s="1"/>
  <c r="AA76" i="153"/>
  <c r="AA78" i="153"/>
  <c r="Z78" i="153" s="1"/>
  <c r="AA81" i="153"/>
  <c r="X94" i="153"/>
  <c r="Y94" i="153"/>
  <c r="N98" i="153"/>
  <c r="AA98" i="153" s="1"/>
  <c r="Y98" i="153"/>
  <c r="X98" i="153" s="1"/>
  <c r="Z100" i="153"/>
  <c r="M102" i="153"/>
  <c r="N18" i="154"/>
  <c r="AA18" i="154" s="1"/>
  <c r="Z18" i="154" s="1"/>
  <c r="X18" i="154"/>
  <c r="Y18" i="154"/>
  <c r="N20" i="154"/>
  <c r="AA20" i="154" s="1"/>
  <c r="Y20" i="154"/>
  <c r="X20" i="154" s="1"/>
  <c r="N22" i="154"/>
  <c r="AA22" i="154" s="1"/>
  <c r="Z22" i="154" s="1"/>
  <c r="X22" i="154"/>
  <c r="Z32" i="154"/>
  <c r="Y33" i="154"/>
  <c r="N40" i="154"/>
  <c r="AA40" i="154" s="1"/>
  <c r="Y40" i="154"/>
  <c r="X40" i="154" s="1"/>
  <c r="AF102" i="154"/>
  <c r="AE102" i="154" s="1"/>
  <c r="N70" i="154"/>
  <c r="AA70" i="154" s="1"/>
  <c r="Y70" i="154"/>
  <c r="X70" i="154" s="1"/>
  <c r="Y77" i="154"/>
  <c r="Z77" i="154"/>
  <c r="U48" i="155"/>
  <c r="Z13" i="155"/>
  <c r="Y13" i="155"/>
  <c r="X42" i="155"/>
  <c r="Y42" i="155"/>
  <c r="Z42" i="155"/>
  <c r="V102" i="155"/>
  <c r="N78" i="155"/>
  <c r="AA78" i="155" s="1"/>
  <c r="X78" i="155"/>
  <c r="Y78" i="155"/>
  <c r="Y93" i="155"/>
  <c r="X93" i="155" s="1"/>
  <c r="N98" i="155"/>
  <c r="AA98" i="155" s="1"/>
  <c r="X98" i="155"/>
  <c r="Y98" i="155"/>
  <c r="N90" i="148"/>
  <c r="AA90" i="148" s="1"/>
  <c r="Z90" i="148" s="1"/>
  <c r="Y90" i="148"/>
  <c r="N92" i="148"/>
  <c r="AA92" i="148" s="1"/>
  <c r="N93" i="148"/>
  <c r="AA93" i="148" s="1"/>
  <c r="Y93" i="148"/>
  <c r="N34" i="149"/>
  <c r="AA34" i="149" s="1"/>
  <c r="Y34" i="149"/>
  <c r="N42" i="149"/>
  <c r="AA42" i="149" s="1"/>
  <c r="Y42" i="149"/>
  <c r="N43" i="149"/>
  <c r="AA43" i="149" s="1"/>
  <c r="N44" i="149"/>
  <c r="AA44" i="149" s="1"/>
  <c r="AC102" i="149"/>
  <c r="Z70" i="149"/>
  <c r="N71" i="149"/>
  <c r="AA71" i="149" s="1"/>
  <c r="N80" i="149"/>
  <c r="AA80" i="149" s="1"/>
  <c r="Y80" i="149"/>
  <c r="X80" i="149" s="1"/>
  <c r="Y84" i="149"/>
  <c r="X84" i="149" s="1"/>
  <c r="Y85" i="149"/>
  <c r="AA85" i="149"/>
  <c r="Z85" i="149" s="1"/>
  <c r="N88" i="149"/>
  <c r="AA88" i="149" s="1"/>
  <c r="N99" i="149"/>
  <c r="AA99" i="149" s="1"/>
  <c r="Z99" i="149" s="1"/>
  <c r="Y99" i="149"/>
  <c r="X99" i="149" s="1"/>
  <c r="U48" i="150"/>
  <c r="Z13" i="150"/>
  <c r="AE48" i="150"/>
  <c r="N21" i="150"/>
  <c r="AA21" i="150" s="1"/>
  <c r="Y21" i="150"/>
  <c r="X21" i="150" s="1"/>
  <c r="Y23" i="150"/>
  <c r="X23" i="150" s="1"/>
  <c r="AA24" i="150"/>
  <c r="Z26" i="150"/>
  <c r="N30" i="150"/>
  <c r="AA30" i="150" s="1"/>
  <c r="Y30" i="150"/>
  <c r="X30" i="150" s="1"/>
  <c r="Y32" i="150"/>
  <c r="X32" i="150" s="1"/>
  <c r="Y33" i="150"/>
  <c r="N39" i="150"/>
  <c r="AA39" i="150" s="1"/>
  <c r="Y43" i="150"/>
  <c r="Y46" i="150"/>
  <c r="X46" i="150" s="1"/>
  <c r="F102" i="150"/>
  <c r="N70" i="150"/>
  <c r="AA70" i="150" s="1"/>
  <c r="Z70" i="150" s="1"/>
  <c r="Y70" i="150"/>
  <c r="X70" i="150" s="1"/>
  <c r="Y73" i="150"/>
  <c r="Z77" i="150"/>
  <c r="N78" i="150"/>
  <c r="AA78" i="150" s="1"/>
  <c r="Z78" i="150" s="1"/>
  <c r="AA79" i="150"/>
  <c r="AA80" i="150"/>
  <c r="Z80" i="150" s="1"/>
  <c r="AA84" i="150"/>
  <c r="Z84" i="150" s="1"/>
  <c r="Y28" i="151"/>
  <c r="X28" i="151" s="1"/>
  <c r="AA28" i="151"/>
  <c r="Y30" i="151"/>
  <c r="X30" i="151" s="1"/>
  <c r="AA30" i="151"/>
  <c r="N35" i="151"/>
  <c r="AA35" i="151" s="1"/>
  <c r="X35" i="151"/>
  <c r="Z35" i="151"/>
  <c r="N43" i="151"/>
  <c r="AA43" i="151" s="1"/>
  <c r="AA46" i="151"/>
  <c r="AC102" i="151"/>
  <c r="Y69" i="151"/>
  <c r="Z73" i="151"/>
  <c r="N74" i="151"/>
  <c r="AA74" i="151" s="1"/>
  <c r="Z74" i="151" s="1"/>
  <c r="AA76" i="151"/>
  <c r="Z76" i="151" s="1"/>
  <c r="Y78" i="151"/>
  <c r="Y81" i="151"/>
  <c r="X81" i="151" s="1"/>
  <c r="Y87" i="151"/>
  <c r="Y90" i="151"/>
  <c r="N95" i="151"/>
  <c r="AA95" i="151" s="1"/>
  <c r="X95" i="151"/>
  <c r="Z95" i="151"/>
  <c r="Z16" i="152"/>
  <c r="N28" i="152"/>
  <c r="AA28" i="152" s="1"/>
  <c r="Y28" i="152"/>
  <c r="X28" i="152" s="1"/>
  <c r="Y37" i="152"/>
  <c r="X37" i="152" s="1"/>
  <c r="AA38" i="152"/>
  <c r="Y44" i="152"/>
  <c r="N45" i="152"/>
  <c r="AA45" i="152" s="1"/>
  <c r="Y45" i="152"/>
  <c r="AA66" i="152"/>
  <c r="Z66" i="152" s="1"/>
  <c r="N68" i="152"/>
  <c r="AA68" i="152" s="1"/>
  <c r="Z68" i="152" s="1"/>
  <c r="Y68" i="152"/>
  <c r="Y72" i="152"/>
  <c r="Y73" i="152"/>
  <c r="Y74" i="152"/>
  <c r="Z82" i="152"/>
  <c r="N83" i="152"/>
  <c r="AA83" i="152" s="1"/>
  <c r="Z83" i="152" s="1"/>
  <c r="X83" i="152"/>
  <c r="N89" i="152"/>
  <c r="AA89" i="152" s="1"/>
  <c r="Z89" i="152" s="1"/>
  <c r="X89" i="152"/>
  <c r="Z98" i="152"/>
  <c r="Y99" i="152"/>
  <c r="AC48" i="153"/>
  <c r="Y16" i="153"/>
  <c r="Z18" i="153"/>
  <c r="AA18" i="153"/>
  <c r="Z27" i="153"/>
  <c r="X29" i="153"/>
  <c r="Y31" i="153"/>
  <c r="Z32" i="153"/>
  <c r="Y33" i="153"/>
  <c r="Z37" i="153"/>
  <c r="N40" i="153"/>
  <c r="AA40" i="153" s="1"/>
  <c r="Y40" i="153"/>
  <c r="X40" i="153" s="1"/>
  <c r="Y69" i="153"/>
  <c r="X70" i="153"/>
  <c r="Y70" i="153"/>
  <c r="Y71" i="153"/>
  <c r="N72" i="153"/>
  <c r="AA72" i="153" s="1"/>
  <c r="X72" i="153"/>
  <c r="Y75" i="153"/>
  <c r="Y87" i="153"/>
  <c r="Z98" i="153"/>
  <c r="Y100" i="153"/>
  <c r="F102" i="153"/>
  <c r="Z20" i="154"/>
  <c r="Y22" i="154"/>
  <c r="Y27" i="154"/>
  <c r="Z29" i="154"/>
  <c r="Y32" i="154"/>
  <c r="X32" i="154" s="1"/>
  <c r="N34" i="154"/>
  <c r="AA34" i="154" s="1"/>
  <c r="Z34" i="154" s="1"/>
  <c r="X34" i="154"/>
  <c r="Z38" i="154"/>
  <c r="Z40" i="154"/>
  <c r="M102" i="154"/>
  <c r="Z66" i="154"/>
  <c r="W102" i="154"/>
  <c r="V102" i="154" s="1"/>
  <c r="Z70" i="154"/>
  <c r="Z73" i="154"/>
  <c r="X87" i="154"/>
  <c r="Y87" i="154"/>
  <c r="N89" i="154"/>
  <c r="AA89" i="154" s="1"/>
  <c r="X89" i="154"/>
  <c r="Z89" i="154"/>
  <c r="N91" i="154"/>
  <c r="AA91" i="154" s="1"/>
  <c r="Z91" i="154" s="1"/>
  <c r="Y91" i="154"/>
  <c r="AA13" i="155"/>
  <c r="X13" i="155"/>
  <c r="U102" i="155"/>
  <c r="X66" i="155"/>
  <c r="Y66" i="155"/>
  <c r="AE102" i="155"/>
  <c r="Y68" i="155"/>
  <c r="N85" i="155"/>
  <c r="AA85" i="155" s="1"/>
  <c r="Z85" i="155" s="1"/>
  <c r="Y85" i="155"/>
  <c r="X85" i="155" s="1"/>
  <c r="AA69" i="149"/>
  <c r="Z69" i="149" s="1"/>
  <c r="AA73" i="149"/>
  <c r="Z73" i="149" s="1"/>
  <c r="N84" i="149"/>
  <c r="AA84" i="149" s="1"/>
  <c r="N87" i="149"/>
  <c r="AA87" i="149" s="1"/>
  <c r="Z87" i="149" s="1"/>
  <c r="AA89" i="149"/>
  <c r="Z89" i="149" s="1"/>
  <c r="N100" i="149"/>
  <c r="AA100" i="149" s="1"/>
  <c r="N20" i="150"/>
  <c r="AA20" i="150" s="1"/>
  <c r="Y20" i="150"/>
  <c r="N22" i="150"/>
  <c r="AA22" i="150" s="1"/>
  <c r="N23" i="150"/>
  <c r="AA23" i="150" s="1"/>
  <c r="N31" i="150"/>
  <c r="AA31" i="150" s="1"/>
  <c r="Y31" i="150"/>
  <c r="N32" i="150"/>
  <c r="AA32" i="150" s="1"/>
  <c r="N37" i="150"/>
  <c r="AA37" i="150" s="1"/>
  <c r="AA40" i="150"/>
  <c r="N44" i="150"/>
  <c r="AA44" i="150" s="1"/>
  <c r="Y44" i="150"/>
  <c r="N46" i="150"/>
  <c r="AA46" i="150" s="1"/>
  <c r="N71" i="150"/>
  <c r="AA71" i="150" s="1"/>
  <c r="N74" i="150"/>
  <c r="AA74" i="150" s="1"/>
  <c r="Z74" i="150" s="1"/>
  <c r="AA76" i="150"/>
  <c r="Z76" i="150" s="1"/>
  <c r="N87" i="150"/>
  <c r="AA87" i="150" s="1"/>
  <c r="N90" i="150"/>
  <c r="AA90" i="150" s="1"/>
  <c r="Z90" i="150" s="1"/>
  <c r="AA92" i="150"/>
  <c r="Z92" i="150" s="1"/>
  <c r="AA14" i="151"/>
  <c r="AA15" i="151"/>
  <c r="Z15" i="151" s="1"/>
  <c r="AA20" i="151"/>
  <c r="AA21" i="151"/>
  <c r="Z21" i="151" s="1"/>
  <c r="N32" i="151"/>
  <c r="AA32" i="151" s="1"/>
  <c r="Z32" i="151" s="1"/>
  <c r="Y32" i="151"/>
  <c r="N41" i="151"/>
  <c r="AA44" i="151"/>
  <c r="N67" i="151"/>
  <c r="N70" i="151"/>
  <c r="AA70" i="151" s="1"/>
  <c r="Z70" i="151" s="1"/>
  <c r="AA72" i="151"/>
  <c r="Z72" i="151" s="1"/>
  <c r="N79" i="151"/>
  <c r="AA79" i="151" s="1"/>
  <c r="Y79" i="151"/>
  <c r="N81" i="151"/>
  <c r="AA81" i="151" s="1"/>
  <c r="N82" i="151"/>
  <c r="AA82" i="151" s="1"/>
  <c r="AA85" i="151"/>
  <c r="AA86" i="151"/>
  <c r="Z86" i="151" s="1"/>
  <c r="AA91" i="151"/>
  <c r="AA92" i="151"/>
  <c r="Z92" i="151" s="1"/>
  <c r="Y13" i="152"/>
  <c r="N14" i="152"/>
  <c r="Y14" i="152"/>
  <c r="AA15" i="152"/>
  <c r="AA20" i="152"/>
  <c r="N24" i="152"/>
  <c r="AA24" i="152" s="1"/>
  <c r="N25" i="152"/>
  <c r="AA25" i="152" s="1"/>
  <c r="Z25" i="152" s="1"/>
  <c r="N31" i="152"/>
  <c r="AA31" i="152" s="1"/>
  <c r="Z31" i="152" s="1"/>
  <c r="Y31" i="152"/>
  <c r="N37" i="152"/>
  <c r="AA37" i="152" s="1"/>
  <c r="AA41" i="152"/>
  <c r="AA42" i="152"/>
  <c r="AA43" i="152"/>
  <c r="Z43" i="152" s="1"/>
  <c r="AE102" i="152"/>
  <c r="N67" i="152"/>
  <c r="AA67" i="152" s="1"/>
  <c r="Z67" i="152" s="1"/>
  <c r="Y67" i="152"/>
  <c r="Y84" i="152"/>
  <c r="Y85" i="152"/>
  <c r="Y86" i="152"/>
  <c r="Y87" i="152"/>
  <c r="N91" i="152"/>
  <c r="AA91" i="152" s="1"/>
  <c r="Z91" i="152" s="1"/>
  <c r="X91" i="152"/>
  <c r="N97" i="152"/>
  <c r="AA97" i="152" s="1"/>
  <c r="Z97" i="152" s="1"/>
  <c r="Y97" i="152"/>
  <c r="Y21" i="153"/>
  <c r="X21" i="153" s="1"/>
  <c r="AA21" i="153"/>
  <c r="Y23" i="153"/>
  <c r="X23" i="153" s="1"/>
  <c r="AA23" i="153"/>
  <c r="AA25" i="153"/>
  <c r="Z25" i="153" s="1"/>
  <c r="Z30" i="153"/>
  <c r="Y41" i="153"/>
  <c r="V102" i="153"/>
  <c r="AA68" i="153"/>
  <c r="X89" i="153"/>
  <c r="Y89" i="153"/>
  <c r="AA89" i="153"/>
  <c r="AA95" i="153"/>
  <c r="Y13" i="154"/>
  <c r="Z21" i="154"/>
  <c r="N24" i="154"/>
  <c r="AA24" i="154" s="1"/>
  <c r="Y24" i="154"/>
  <c r="X24" i="154" s="1"/>
  <c r="Z27" i="154"/>
  <c r="N28" i="154"/>
  <c r="AA28" i="154" s="1"/>
  <c r="Y28" i="154"/>
  <c r="X28" i="154" s="1"/>
  <c r="Y31" i="154"/>
  <c r="AA31" i="154"/>
  <c r="Z33" i="154"/>
  <c r="Z37" i="154"/>
  <c r="Y41" i="154"/>
  <c r="X41" i="154" s="1"/>
  <c r="N72" i="154"/>
  <c r="AA72" i="154" s="1"/>
  <c r="Y72" i="154"/>
  <c r="X72" i="154" s="1"/>
  <c r="N82" i="154"/>
  <c r="AA82" i="154" s="1"/>
  <c r="Y82" i="154"/>
  <c r="X82" i="154" s="1"/>
  <c r="Z99" i="154"/>
  <c r="F48" i="155"/>
  <c r="AF48" i="155"/>
  <c r="AE48" i="155" s="1"/>
  <c r="Y14" i="155"/>
  <c r="AA14" i="155"/>
  <c r="Z14" i="155" s="1"/>
  <c r="AC48" i="155"/>
  <c r="AA16" i="155"/>
  <c r="Z23" i="155"/>
  <c r="AA26" i="155"/>
  <c r="Z26" i="155" s="1"/>
  <c r="X31" i="155"/>
  <c r="Y31" i="155"/>
  <c r="Y34" i="155"/>
  <c r="N68" i="155"/>
  <c r="AA68" i="155" s="1"/>
  <c r="Z68" i="155" s="1"/>
  <c r="F102" i="155"/>
  <c r="N74" i="155"/>
  <c r="AA74" i="155" s="1"/>
  <c r="Y74" i="155"/>
  <c r="X74" i="155" s="1"/>
  <c r="N94" i="155"/>
  <c r="AA94" i="155" s="1"/>
  <c r="X94" i="155"/>
  <c r="Z94" i="155"/>
  <c r="X96" i="155"/>
  <c r="Y96" i="155"/>
  <c r="Y97" i="155"/>
  <c r="X97" i="155" s="1"/>
  <c r="AA86" i="152"/>
  <c r="N92" i="152"/>
  <c r="AA92" i="152" s="1"/>
  <c r="Z92" i="152" s="1"/>
  <c r="Y92" i="152"/>
  <c r="N93" i="152"/>
  <c r="AA93" i="152" s="1"/>
  <c r="Z93" i="152" s="1"/>
  <c r="Y93" i="152"/>
  <c r="N94" i="152"/>
  <c r="AA94" i="152" s="1"/>
  <c r="Y94" i="152"/>
  <c r="N95" i="152"/>
  <c r="AA95" i="152" s="1"/>
  <c r="Z95" i="152" s="1"/>
  <c r="Y95" i="152"/>
  <c r="AE48" i="153"/>
  <c r="N14" i="153"/>
  <c r="AA14" i="153" s="1"/>
  <c r="Y14" i="153"/>
  <c r="N19" i="153"/>
  <c r="AA19" i="153" s="1"/>
  <c r="Y19" i="153"/>
  <c r="N26" i="153"/>
  <c r="AA26" i="153" s="1"/>
  <c r="Y26" i="153"/>
  <c r="N28" i="153"/>
  <c r="AA28" i="153" s="1"/>
  <c r="AA39" i="153"/>
  <c r="AA45" i="153"/>
  <c r="AD102" i="153"/>
  <c r="Z68" i="153"/>
  <c r="Z69" i="153"/>
  <c r="Z72" i="153"/>
  <c r="Z81" i="153"/>
  <c r="Y83" i="153"/>
  <c r="N85" i="153"/>
  <c r="AA85" i="153" s="1"/>
  <c r="Y85" i="153"/>
  <c r="Y86" i="153"/>
  <c r="AA86" i="153"/>
  <c r="Z86" i="153" s="1"/>
  <c r="N90" i="153"/>
  <c r="AA90" i="153" s="1"/>
  <c r="Y90" i="153"/>
  <c r="X90" i="153" s="1"/>
  <c r="N93" i="153"/>
  <c r="AA93" i="153" s="1"/>
  <c r="X93" i="153"/>
  <c r="Z93" i="153"/>
  <c r="AA97" i="153"/>
  <c r="AA100" i="153"/>
  <c r="F48" i="154"/>
  <c r="AA13" i="154"/>
  <c r="AC48" i="154"/>
  <c r="N16" i="154"/>
  <c r="Y16" i="154"/>
  <c r="X16" i="154" s="1"/>
  <c r="N30" i="154"/>
  <c r="AA30" i="154" s="1"/>
  <c r="Z30" i="154" s="1"/>
  <c r="Y30" i="154"/>
  <c r="AA33" i="154"/>
  <c r="AA39" i="154"/>
  <c r="N46" i="154"/>
  <c r="AA46" i="154" s="1"/>
  <c r="Z46" i="154" s="1"/>
  <c r="X46" i="154"/>
  <c r="Y66" i="154"/>
  <c r="N67" i="154"/>
  <c r="AA67" i="154" s="1"/>
  <c r="Y67" i="154"/>
  <c r="X67" i="154" s="1"/>
  <c r="Z74" i="154"/>
  <c r="Y83" i="154"/>
  <c r="N88" i="154"/>
  <c r="AA88" i="154" s="1"/>
  <c r="X88" i="154"/>
  <c r="Z88" i="154"/>
  <c r="Y98" i="154"/>
  <c r="X98" i="154" s="1"/>
  <c r="U102" i="154"/>
  <c r="N25" i="155"/>
  <c r="AA25" i="155" s="1"/>
  <c r="Z25" i="155" s="1"/>
  <c r="X25" i="155"/>
  <c r="Z41" i="155"/>
  <c r="Y45" i="155"/>
  <c r="N75" i="155"/>
  <c r="AA75" i="155" s="1"/>
  <c r="Z75" i="155" s="1"/>
  <c r="X75" i="155"/>
  <c r="AA76" i="155"/>
  <c r="Z76" i="155" s="1"/>
  <c r="N89" i="155"/>
  <c r="AA89" i="155" s="1"/>
  <c r="Z89" i="155" s="1"/>
  <c r="Y89" i="155"/>
  <c r="X89" i="155" s="1"/>
  <c r="N73" i="153"/>
  <c r="AA73" i="153" s="1"/>
  <c r="Y73" i="153"/>
  <c r="N74" i="153"/>
  <c r="AA74" i="153" s="1"/>
  <c r="N77" i="153"/>
  <c r="AA77" i="153" s="1"/>
  <c r="Y77" i="153"/>
  <c r="N91" i="153"/>
  <c r="AA91" i="153" s="1"/>
  <c r="Y91" i="153"/>
  <c r="N96" i="153"/>
  <c r="AA96" i="153" s="1"/>
  <c r="Y96" i="153"/>
  <c r="N99" i="153"/>
  <c r="AA99" i="153" s="1"/>
  <c r="Y99" i="153"/>
  <c r="N14" i="154"/>
  <c r="AA14" i="154" s="1"/>
  <c r="Y14" i="154"/>
  <c r="AA21" i="154"/>
  <c r="AA23" i="154"/>
  <c r="AA25" i="154"/>
  <c r="N41" i="154"/>
  <c r="AA41" i="154" s="1"/>
  <c r="N42" i="154"/>
  <c r="AA42" i="154" s="1"/>
  <c r="Z42" i="154" s="1"/>
  <c r="Y42" i="154"/>
  <c r="AA71" i="154"/>
  <c r="AA73" i="154"/>
  <c r="N78" i="154"/>
  <c r="AA78" i="154" s="1"/>
  <c r="Y78" i="154"/>
  <c r="N79" i="154"/>
  <c r="AA79" i="154" s="1"/>
  <c r="Y79" i="154"/>
  <c r="N80" i="154"/>
  <c r="AA80" i="154" s="1"/>
  <c r="Y80" i="154"/>
  <c r="N81" i="154"/>
  <c r="AA81" i="154" s="1"/>
  <c r="AA83" i="154"/>
  <c r="AA84" i="154"/>
  <c r="AA85" i="154"/>
  <c r="Z85" i="154" s="1"/>
  <c r="Y90" i="154"/>
  <c r="X90" i="154" s="1"/>
  <c r="Y95" i="154"/>
  <c r="N98" i="154"/>
  <c r="AA98" i="154" s="1"/>
  <c r="N17" i="155"/>
  <c r="X17" i="155"/>
  <c r="Z19" i="155"/>
  <c r="X26" i="155"/>
  <c r="Y26" i="155"/>
  <c r="N28" i="155"/>
  <c r="AA28" i="155" s="1"/>
  <c r="Y28" i="155"/>
  <c r="X28" i="155" s="1"/>
  <c r="Y35" i="155"/>
  <c r="AA35" i="155"/>
  <c r="Z39" i="155"/>
  <c r="Y40" i="155"/>
  <c r="AA40" i="155"/>
  <c r="Z40" i="155" s="1"/>
  <c r="Y80" i="155"/>
  <c r="N90" i="154"/>
  <c r="AA90" i="154" s="1"/>
  <c r="N96" i="154"/>
  <c r="AA96" i="154" s="1"/>
  <c r="Y96" i="154"/>
  <c r="N97" i="154"/>
  <c r="AA97" i="154" s="1"/>
  <c r="AA100" i="154"/>
  <c r="W48" i="155"/>
  <c r="V48" i="155" s="1"/>
  <c r="N20" i="155"/>
  <c r="AA20" i="155" s="1"/>
  <c r="Y23" i="155"/>
  <c r="AA27" i="155"/>
  <c r="Y33" i="155"/>
  <c r="Y36" i="155"/>
  <c r="AA36" i="155"/>
  <c r="Z36" i="155" s="1"/>
  <c r="Y41" i="155"/>
  <c r="Y44" i="155"/>
  <c r="AA44" i="155"/>
  <c r="Z44" i="155" s="1"/>
  <c r="Z66" i="155"/>
  <c r="AC102" i="155"/>
  <c r="Z78" i="155"/>
  <c r="Z98" i="155"/>
  <c r="M102" i="155"/>
  <c r="AA18" i="155"/>
  <c r="Z18" i="155" s="1"/>
  <c r="AA21" i="155"/>
  <c r="Z21" i="155" s="1"/>
  <c r="N24" i="155"/>
  <c r="AA24" i="155" s="1"/>
  <c r="Y24" i="155"/>
  <c r="AA30" i="155"/>
  <c r="AA38" i="155"/>
  <c r="AA46" i="155"/>
  <c r="N67" i="155"/>
  <c r="Y67" i="155"/>
  <c r="N69" i="155"/>
  <c r="AA69" i="155" s="1"/>
  <c r="Z69" i="155" s="1"/>
  <c r="N71" i="155"/>
  <c r="AA71" i="155" s="1"/>
  <c r="Z71" i="155" s="1"/>
  <c r="Y71" i="155"/>
  <c r="N73" i="155"/>
  <c r="AA73" i="155" s="1"/>
  <c r="Z73" i="155" s="1"/>
  <c r="N79" i="155"/>
  <c r="AA79" i="155" s="1"/>
  <c r="Z79" i="155" s="1"/>
  <c r="AA80" i="155"/>
  <c r="Z80" i="155" s="1"/>
  <c r="N82" i="155"/>
  <c r="AA82" i="155" s="1"/>
  <c r="Y82" i="155"/>
  <c r="N83" i="155"/>
  <c r="AA83" i="155" s="1"/>
  <c r="Z83" i="155" s="1"/>
  <c r="AA84" i="155"/>
  <c r="Z84" i="155" s="1"/>
  <c r="N86" i="155"/>
  <c r="AA86" i="155" s="1"/>
  <c r="Y86" i="155"/>
  <c r="N87" i="155"/>
  <c r="AA87" i="155" s="1"/>
  <c r="Z87" i="155" s="1"/>
  <c r="AA88" i="155"/>
  <c r="Z88" i="155" s="1"/>
  <c r="N90" i="155"/>
  <c r="AA90" i="155" s="1"/>
  <c r="Y90" i="155"/>
  <c r="N91" i="155"/>
  <c r="AA91" i="155" s="1"/>
  <c r="Z91" i="155" s="1"/>
  <c r="AA92" i="155"/>
  <c r="Z92" i="155" s="1"/>
  <c r="N97" i="155"/>
  <c r="AA97" i="155" s="1"/>
  <c r="N99" i="155"/>
  <c r="AA99" i="155" s="1"/>
  <c r="Z99" i="155" s="1"/>
  <c r="AA100" i="155"/>
  <c r="Z100" i="155" s="1"/>
  <c r="Y95" i="125"/>
  <c r="Z120" i="124"/>
  <c r="AA120" i="124"/>
  <c r="Y121" i="124"/>
  <c r="Z97" i="125"/>
  <c r="Z92" i="125"/>
  <c r="Y84" i="125"/>
  <c r="X84" i="125" s="1"/>
  <c r="Y94" i="125"/>
  <c r="X95" i="125"/>
  <c r="AF95" i="125" s="1"/>
  <c r="AF192" i="125" s="1"/>
  <c r="Y89" i="125"/>
  <c r="X89" i="125" s="1"/>
  <c r="AC89" i="125" s="1"/>
  <c r="Z91" i="125"/>
  <c r="Z96" i="125"/>
  <c r="Y119" i="124"/>
  <c r="Z118" i="124"/>
  <c r="AA121" i="124"/>
  <c r="M192" i="125"/>
  <c r="Y93" i="125"/>
  <c r="X93" i="125"/>
  <c r="Z121" i="124"/>
  <c r="V192" i="125"/>
  <c r="Y97" i="125"/>
  <c r="X97" i="125" s="1"/>
  <c r="C5" i="91"/>
  <c r="AE192" i="125"/>
  <c r="Y120" i="124"/>
  <c r="Z119" i="124"/>
  <c r="Y118" i="124"/>
  <c r="Y96" i="125"/>
  <c r="AA96" i="125"/>
  <c r="Z95" i="125"/>
  <c r="AA95" i="125"/>
  <c r="Z94" i="125"/>
  <c r="Y92" i="125"/>
  <c r="X92" i="125" s="1"/>
  <c r="AA92" i="125"/>
  <c r="Y91" i="125"/>
  <c r="X91" i="125" s="1"/>
  <c r="AC91" i="125" s="1"/>
  <c r="AA91" i="125"/>
  <c r="Z89" i="125"/>
  <c r="AA88" i="125"/>
  <c r="Z88" i="125"/>
  <c r="Z87" i="125"/>
  <c r="Y87" i="125" s="1"/>
  <c r="AA87" i="125"/>
  <c r="Z86" i="125"/>
  <c r="Y86" i="125" s="1"/>
  <c r="Z85" i="125"/>
  <c r="Z84" i="125"/>
  <c r="Z83" i="125"/>
  <c r="AA82" i="125"/>
  <c r="Z82" i="125"/>
  <c r="Z81" i="125"/>
  <c r="Z80" i="125"/>
  <c r="Y80" i="125" s="1"/>
  <c r="Z79" i="125"/>
  <c r="AA77" i="125"/>
  <c r="AA89" i="125"/>
  <c r="Y79" i="125"/>
  <c r="X79" i="125" s="1"/>
  <c r="Y81" i="125"/>
  <c r="X81" i="125" s="1"/>
  <c r="Y83" i="125"/>
  <c r="X83" i="125" s="1"/>
  <c r="Y85" i="125"/>
  <c r="X85" i="125" s="1"/>
  <c r="AC85" i="125" s="1"/>
  <c r="Y77" i="125"/>
  <c r="AA79" i="125"/>
  <c r="AA80" i="125"/>
  <c r="AA81" i="125"/>
  <c r="AA83" i="125"/>
  <c r="AA84" i="125"/>
  <c r="X86" i="125"/>
  <c r="AC86" i="125" s="1"/>
  <c r="AA86" i="125"/>
  <c r="X87" i="125"/>
  <c r="Y88" i="125"/>
  <c r="X88" i="125" s="1"/>
  <c r="Y90" i="125"/>
  <c r="U192" i="125"/>
  <c r="X77" i="125"/>
  <c r="AA90" i="125"/>
  <c r="Z90" i="125" s="1"/>
  <c r="Z24" i="125"/>
  <c r="Y24" i="125" s="1"/>
  <c r="Z25" i="125"/>
  <c r="AF48" i="125"/>
  <c r="Z29" i="125"/>
  <c r="AA24" i="125"/>
  <c r="U48" i="125"/>
  <c r="Y48" i="125" s="1"/>
  <c r="AE48" i="125"/>
  <c r="Y28" i="125"/>
  <c r="X28" i="125" s="1"/>
  <c r="AC28" i="125" s="1"/>
  <c r="AA28" i="125" s="1"/>
  <c r="AA29" i="125"/>
  <c r="Z30" i="125"/>
  <c r="Z31" i="125"/>
  <c r="Z26" i="125"/>
  <c r="Y27" i="125"/>
  <c r="AA27" i="125"/>
  <c r="V48" i="125"/>
  <c r="Y26" i="125"/>
  <c r="X26" i="125" s="1"/>
  <c r="AC26" i="125" s="1"/>
  <c r="X27" i="125"/>
  <c r="AD48" i="125"/>
  <c r="C5" i="88"/>
  <c r="C7" i="88"/>
  <c r="C6" i="89"/>
  <c r="C6" i="90"/>
  <c r="C7" i="165"/>
  <c r="C6" i="165" s="1"/>
  <c r="A4" i="115"/>
  <c r="C6" i="88"/>
  <c r="C5" i="89"/>
  <c r="C7" i="89"/>
  <c r="B11" i="89"/>
  <c r="C5" i="90"/>
  <c r="B11" i="90"/>
  <c r="V117" i="124"/>
  <c r="U117" i="124"/>
  <c r="X117" i="124" s="1"/>
  <c r="K117" i="124"/>
  <c r="M117" i="124" s="1"/>
  <c r="F117" i="124"/>
  <c r="V116" i="124"/>
  <c r="U116" i="124"/>
  <c r="X116" i="124" s="1"/>
  <c r="AC116" i="124" s="1"/>
  <c r="K116" i="124"/>
  <c r="M116" i="124" s="1"/>
  <c r="F116" i="124"/>
  <c r="V115" i="124"/>
  <c r="U115" i="124"/>
  <c r="X115" i="124" s="1"/>
  <c r="AC115" i="124" s="1"/>
  <c r="M115" i="124"/>
  <c r="F115" i="124"/>
  <c r="L115" i="124" s="1"/>
  <c r="N115" i="124" s="1"/>
  <c r="V114" i="124"/>
  <c r="U114" i="124"/>
  <c r="X114" i="124" s="1"/>
  <c r="K114" i="124"/>
  <c r="M114" i="124" s="1"/>
  <c r="F114" i="124"/>
  <c r="L114" i="124" s="1"/>
  <c r="N114" i="124" s="1"/>
  <c r="V113" i="124"/>
  <c r="U113" i="124"/>
  <c r="X113" i="124" s="1"/>
  <c r="AF113" i="124" s="1"/>
  <c r="M113" i="124"/>
  <c r="F113" i="124"/>
  <c r="N113" i="124" s="1"/>
  <c r="W112" i="124"/>
  <c r="V112" i="124"/>
  <c r="U112" i="124"/>
  <c r="X112" i="124" s="1"/>
  <c r="M112" i="124"/>
  <c r="F112" i="124"/>
  <c r="N112" i="124" s="1"/>
  <c r="W111" i="124"/>
  <c r="V111" i="124"/>
  <c r="U111" i="124"/>
  <c r="X111" i="124" s="1"/>
  <c r="K111" i="124"/>
  <c r="M111" i="124" s="1"/>
  <c r="F111" i="124"/>
  <c r="W110" i="124"/>
  <c r="V110" i="124"/>
  <c r="U110" i="124"/>
  <c r="X110" i="124" s="1"/>
  <c r="M110" i="124"/>
  <c r="F110" i="124"/>
  <c r="N110" i="124" s="1"/>
  <c r="W109" i="124"/>
  <c r="V109" i="124"/>
  <c r="U109" i="124"/>
  <c r="X109" i="124" s="1"/>
  <c r="M109" i="124"/>
  <c r="F109" i="124"/>
  <c r="N109" i="124" s="1"/>
  <c r="W108" i="124"/>
  <c r="V108" i="124"/>
  <c r="U108" i="124"/>
  <c r="X108" i="124" s="1"/>
  <c r="AF108" i="124" s="1"/>
  <c r="K108" i="124"/>
  <c r="F108" i="124"/>
  <c r="L108" i="124" s="1"/>
  <c r="N108" i="124" s="1"/>
  <c r="M108" i="124" s="1"/>
  <c r="W107" i="124"/>
  <c r="V107" i="124"/>
  <c r="U107" i="124"/>
  <c r="X107" i="124" s="1"/>
  <c r="M107" i="124"/>
  <c r="F107" i="124"/>
  <c r="N107" i="124" s="1"/>
  <c r="W106" i="124"/>
  <c r="V106" i="124"/>
  <c r="U106" i="124"/>
  <c r="M106" i="124"/>
  <c r="F106" i="124"/>
  <c r="W105" i="124"/>
  <c r="V105" i="124"/>
  <c r="U105" i="124"/>
  <c r="M105" i="124"/>
  <c r="F105" i="124"/>
  <c r="W104" i="124"/>
  <c r="V104" i="124"/>
  <c r="U104" i="124"/>
  <c r="M104" i="124"/>
  <c r="F104" i="124"/>
  <c r="W103" i="124"/>
  <c r="V103" i="124"/>
  <c r="U103" i="124"/>
  <c r="M103" i="124"/>
  <c r="K103" i="124"/>
  <c r="F103" i="124"/>
  <c r="W102" i="124"/>
  <c r="V102" i="124"/>
  <c r="U102" i="124"/>
  <c r="K102" i="124"/>
  <c r="F102" i="124"/>
  <c r="AF101" i="124"/>
  <c r="AE101" i="124"/>
  <c r="AD101" i="124"/>
  <c r="AC101" i="124"/>
  <c r="W101" i="124"/>
  <c r="V101" i="124"/>
  <c r="U101" i="124"/>
  <c r="M101" i="124"/>
  <c r="K101" i="124"/>
  <c r="F101" i="124"/>
  <c r="AF100" i="124"/>
  <c r="AE100" i="124"/>
  <c r="AD100" i="124"/>
  <c r="AC100" i="124"/>
  <c r="W100" i="124"/>
  <c r="V100" i="124"/>
  <c r="U100" i="124"/>
  <c r="M100" i="124"/>
  <c r="F100" i="124"/>
  <c r="AF99" i="124"/>
  <c r="AE99" i="124"/>
  <c r="AD99" i="124"/>
  <c r="AC99" i="124"/>
  <c r="W99" i="124"/>
  <c r="V99" i="124"/>
  <c r="U99" i="124"/>
  <c r="M99" i="124"/>
  <c r="F99" i="124"/>
  <c r="N99" i="124" s="1"/>
  <c r="AF98" i="124"/>
  <c r="AE98" i="124"/>
  <c r="AD98" i="124"/>
  <c r="AC98" i="124"/>
  <c r="W98" i="124"/>
  <c r="V98" i="124"/>
  <c r="U98" i="124"/>
  <c r="X98" i="124" s="1"/>
  <c r="M98" i="124"/>
  <c r="F98" i="124"/>
  <c r="AF97" i="124"/>
  <c r="AE97" i="124"/>
  <c r="AD97" i="124"/>
  <c r="AC97" i="124"/>
  <c r="W97" i="124"/>
  <c r="V97" i="124"/>
  <c r="U97" i="124"/>
  <c r="M97" i="124"/>
  <c r="F97" i="124"/>
  <c r="N97" i="124" s="1"/>
  <c r="AF96" i="124"/>
  <c r="AE96" i="124"/>
  <c r="AD96" i="124"/>
  <c r="AC96" i="124"/>
  <c r="W96" i="124"/>
  <c r="V96" i="124"/>
  <c r="U96" i="124"/>
  <c r="M96" i="124"/>
  <c r="F96" i="124"/>
  <c r="AF95" i="124"/>
  <c r="AE95" i="124"/>
  <c r="AD95" i="124"/>
  <c r="AC95" i="124"/>
  <c r="W95" i="124"/>
  <c r="V95" i="124"/>
  <c r="U95" i="124"/>
  <c r="M95" i="124"/>
  <c r="F95" i="124"/>
  <c r="AF94" i="124"/>
  <c r="AE94" i="124"/>
  <c r="AD94" i="124"/>
  <c r="AC94" i="124"/>
  <c r="W94" i="124"/>
  <c r="V94" i="124"/>
  <c r="U94" i="124"/>
  <c r="M94" i="124"/>
  <c r="F94" i="124"/>
  <c r="N94" i="124" s="1"/>
  <c r="AF93" i="124"/>
  <c r="AE93" i="124"/>
  <c r="AD93" i="124"/>
  <c r="AC93" i="124"/>
  <c r="W93" i="124"/>
  <c r="V93" i="124"/>
  <c r="U93" i="124"/>
  <c r="M93" i="124"/>
  <c r="F93" i="124"/>
  <c r="AF92" i="124"/>
  <c r="AE92" i="124"/>
  <c r="AD92" i="124"/>
  <c r="AC92" i="124"/>
  <c r="W92" i="124"/>
  <c r="V92" i="124"/>
  <c r="U92" i="124"/>
  <c r="X92" i="124" s="1"/>
  <c r="M92" i="124"/>
  <c r="F92" i="124"/>
  <c r="N92" i="124" s="1"/>
  <c r="AF91" i="124"/>
  <c r="AE91" i="124"/>
  <c r="AD91" i="124"/>
  <c r="AC91" i="124"/>
  <c r="W91" i="124"/>
  <c r="V91" i="124"/>
  <c r="U91" i="124"/>
  <c r="M91" i="124"/>
  <c r="F91" i="124"/>
  <c r="AF90" i="124"/>
  <c r="AE90" i="124"/>
  <c r="AD90" i="124"/>
  <c r="AC90" i="124"/>
  <c r="W90" i="124"/>
  <c r="V90" i="124"/>
  <c r="U90" i="124"/>
  <c r="M90" i="124"/>
  <c r="F90" i="124"/>
  <c r="N90" i="124" s="1"/>
  <c r="AF89" i="124"/>
  <c r="AE89" i="124"/>
  <c r="AD89" i="124"/>
  <c r="AC89" i="124"/>
  <c r="W89" i="124"/>
  <c r="V89" i="124"/>
  <c r="U89" i="124"/>
  <c r="M89" i="124"/>
  <c r="F89" i="124"/>
  <c r="AF88" i="124"/>
  <c r="AE88" i="124"/>
  <c r="AD88" i="124"/>
  <c r="AC88" i="124"/>
  <c r="W88" i="124"/>
  <c r="V88" i="124"/>
  <c r="U88" i="124"/>
  <c r="M88" i="124"/>
  <c r="F88" i="124"/>
  <c r="AF87" i="124"/>
  <c r="AE87" i="124"/>
  <c r="AD87" i="124"/>
  <c r="AC87" i="124"/>
  <c r="W87" i="124"/>
  <c r="V87" i="124"/>
  <c r="U87" i="124"/>
  <c r="X87" i="124" s="1"/>
  <c r="M87" i="124"/>
  <c r="F87" i="124"/>
  <c r="AF86" i="124"/>
  <c r="AE86" i="124"/>
  <c r="AD86" i="124"/>
  <c r="AC86" i="124"/>
  <c r="W86" i="124"/>
  <c r="V86" i="124"/>
  <c r="U86" i="124"/>
  <c r="X86" i="124" s="1"/>
  <c r="M86" i="124"/>
  <c r="F86" i="124"/>
  <c r="AF85" i="124"/>
  <c r="AE85" i="124"/>
  <c r="AD85" i="124"/>
  <c r="AC85" i="124"/>
  <c r="W85" i="124"/>
  <c r="V85" i="124"/>
  <c r="U85" i="124"/>
  <c r="X85" i="124" s="1"/>
  <c r="M85" i="124"/>
  <c r="F85" i="124"/>
  <c r="N85" i="124" s="1"/>
  <c r="AF84" i="124"/>
  <c r="AE84" i="124"/>
  <c r="AD84" i="124"/>
  <c r="AC84" i="124"/>
  <c r="W84" i="124"/>
  <c r="V84" i="124"/>
  <c r="U84" i="124"/>
  <c r="X84" i="124" s="1"/>
  <c r="M84" i="124"/>
  <c r="F84" i="124"/>
  <c r="N84" i="124" s="1"/>
  <c r="AF83" i="124"/>
  <c r="AE83" i="124"/>
  <c r="AD83" i="124"/>
  <c r="AC83" i="124"/>
  <c r="W83" i="124"/>
  <c r="V83" i="124"/>
  <c r="U83" i="124"/>
  <c r="M83" i="124"/>
  <c r="F83" i="124"/>
  <c r="N83" i="124" s="1"/>
  <c r="AF82" i="124"/>
  <c r="AE82" i="124"/>
  <c r="AD82" i="124"/>
  <c r="AC82" i="124"/>
  <c r="W82" i="124"/>
  <c r="V82" i="124"/>
  <c r="U82" i="124"/>
  <c r="X82" i="124" s="1"/>
  <c r="M82" i="124"/>
  <c r="F82" i="124"/>
  <c r="N82" i="124" s="1"/>
  <c r="AF81" i="124"/>
  <c r="AE81" i="124"/>
  <c r="AD81" i="124"/>
  <c r="AC81" i="124"/>
  <c r="W81" i="124"/>
  <c r="V81" i="124"/>
  <c r="U81" i="124"/>
  <c r="M81" i="124"/>
  <c r="F81" i="124"/>
  <c r="N81" i="124" s="1"/>
  <c r="AF80" i="124"/>
  <c r="AE80" i="124"/>
  <c r="AD80" i="124"/>
  <c r="AC80" i="124"/>
  <c r="W80" i="124"/>
  <c r="V80" i="124"/>
  <c r="U80" i="124"/>
  <c r="M80" i="124"/>
  <c r="F80" i="124"/>
  <c r="AF79" i="124"/>
  <c r="AE79" i="124"/>
  <c r="AD79" i="124"/>
  <c r="AC79" i="124"/>
  <c r="W79" i="124"/>
  <c r="V79" i="124"/>
  <c r="U79" i="124"/>
  <c r="M79" i="124"/>
  <c r="F79" i="124"/>
  <c r="AF78" i="124"/>
  <c r="AE78" i="124"/>
  <c r="AD78" i="124"/>
  <c r="AC78" i="124"/>
  <c r="W78" i="124"/>
  <c r="V78" i="124"/>
  <c r="U78" i="124"/>
  <c r="M78" i="124"/>
  <c r="F78" i="124"/>
  <c r="AF77" i="124"/>
  <c r="AE77" i="124"/>
  <c r="AD77" i="124"/>
  <c r="AC77" i="124"/>
  <c r="W77" i="124"/>
  <c r="V77" i="124"/>
  <c r="U77" i="124"/>
  <c r="M77" i="124"/>
  <c r="F77" i="124"/>
  <c r="AF76" i="124"/>
  <c r="AE76" i="124"/>
  <c r="AD76" i="124"/>
  <c r="AC76" i="124"/>
  <c r="W76" i="124"/>
  <c r="V76" i="124"/>
  <c r="U76" i="124"/>
  <c r="X76" i="124" s="1"/>
  <c r="M76" i="124"/>
  <c r="F76" i="124"/>
  <c r="AF75" i="124"/>
  <c r="AE75" i="124"/>
  <c r="AD75" i="124"/>
  <c r="AC75" i="124"/>
  <c r="W75" i="124"/>
  <c r="V75" i="124"/>
  <c r="U75" i="124"/>
  <c r="X75" i="124" s="1"/>
  <c r="M75" i="124"/>
  <c r="F75" i="124"/>
  <c r="AF74" i="124"/>
  <c r="AE74" i="124"/>
  <c r="AD74" i="124"/>
  <c r="AC74" i="124"/>
  <c r="W74" i="124"/>
  <c r="V74" i="124"/>
  <c r="U74" i="124"/>
  <c r="X74" i="124" s="1"/>
  <c r="M74" i="124"/>
  <c r="F74" i="124"/>
  <c r="AF73" i="124"/>
  <c r="AE73" i="124"/>
  <c r="AD73" i="124"/>
  <c r="AC73" i="124" s="1"/>
  <c r="W73" i="124"/>
  <c r="V73" i="124"/>
  <c r="U73" i="124"/>
  <c r="M73" i="124"/>
  <c r="F73" i="124"/>
  <c r="N73" i="124" s="1"/>
  <c r="AF72" i="124"/>
  <c r="AE72" i="124"/>
  <c r="AD72" i="124"/>
  <c r="AC72" i="124"/>
  <c r="W72" i="124"/>
  <c r="V72" i="124"/>
  <c r="U72" i="124"/>
  <c r="X72" i="124" s="1"/>
  <c r="M72" i="124"/>
  <c r="F72" i="124"/>
  <c r="AF71" i="124"/>
  <c r="AE71" i="124"/>
  <c r="AD71" i="124"/>
  <c r="AC71" i="124"/>
  <c r="W71" i="124"/>
  <c r="V71" i="124"/>
  <c r="U71" i="124"/>
  <c r="M71" i="124"/>
  <c r="F71" i="124"/>
  <c r="AF70" i="124"/>
  <c r="AE70" i="124"/>
  <c r="AD70" i="124"/>
  <c r="AC70" i="124"/>
  <c r="W70" i="124"/>
  <c r="V70" i="124"/>
  <c r="U70" i="124"/>
  <c r="M70" i="124"/>
  <c r="F70" i="124"/>
  <c r="AF69" i="124"/>
  <c r="AE69" i="124"/>
  <c r="AD69" i="124"/>
  <c r="AC69" i="124"/>
  <c r="W69" i="124"/>
  <c r="V69" i="124"/>
  <c r="U69" i="124"/>
  <c r="M69" i="124"/>
  <c r="F69" i="124"/>
  <c r="N69" i="124" s="1"/>
  <c r="A69" i="124"/>
  <c r="AF68" i="124"/>
  <c r="AE68" i="124"/>
  <c r="AD68" i="124"/>
  <c r="AC68" i="124"/>
  <c r="W68" i="124"/>
  <c r="V68" i="124"/>
  <c r="U68" i="124"/>
  <c r="X68" i="124" s="1"/>
  <c r="M68" i="124"/>
  <c r="F68" i="124"/>
  <c r="N68" i="124" s="1"/>
  <c r="E49" i="124"/>
  <c r="D49" i="124"/>
  <c r="T48" i="124"/>
  <c r="S48" i="124"/>
  <c r="R48" i="124"/>
  <c r="Q48" i="124"/>
  <c r="P48" i="124"/>
  <c r="O48" i="124"/>
  <c r="E48" i="124"/>
  <c r="D48" i="124"/>
  <c r="AF46" i="124"/>
  <c r="AE46" i="124"/>
  <c r="AD46" i="124"/>
  <c r="AC46" i="124"/>
  <c r="W46" i="124"/>
  <c r="V46" i="124"/>
  <c r="U46" i="124"/>
  <c r="X46" i="124" s="1"/>
  <c r="M46" i="124"/>
  <c r="F46" i="124"/>
  <c r="AF45" i="124"/>
  <c r="AE45" i="124"/>
  <c r="AD45" i="124"/>
  <c r="AC45" i="124"/>
  <c r="W45" i="124"/>
  <c r="V45" i="124"/>
  <c r="U45" i="124"/>
  <c r="M45" i="124"/>
  <c r="F45" i="124"/>
  <c r="AF44" i="124"/>
  <c r="AE44" i="124"/>
  <c r="AD44" i="124"/>
  <c r="AC44" i="124"/>
  <c r="W44" i="124"/>
  <c r="V44" i="124"/>
  <c r="U44" i="124"/>
  <c r="X44" i="124" s="1"/>
  <c r="M44" i="124"/>
  <c r="F44" i="124"/>
  <c r="AF43" i="124"/>
  <c r="AE43" i="124"/>
  <c r="AD43" i="124"/>
  <c r="AC43" i="124"/>
  <c r="W43" i="124"/>
  <c r="V43" i="124"/>
  <c r="U43" i="124"/>
  <c r="X43" i="124" s="1"/>
  <c r="M43" i="124"/>
  <c r="F43" i="124"/>
  <c r="AF42" i="124"/>
  <c r="AE42" i="124"/>
  <c r="AD42" i="124"/>
  <c r="AC42" i="124"/>
  <c r="W42" i="124"/>
  <c r="V42" i="124"/>
  <c r="U42" i="124"/>
  <c r="X42" i="124" s="1"/>
  <c r="M42" i="124"/>
  <c r="F42" i="124"/>
  <c r="AF41" i="124"/>
  <c r="AE41" i="124"/>
  <c r="AD41" i="124"/>
  <c r="AC41" i="124"/>
  <c r="W41" i="124"/>
  <c r="V41" i="124"/>
  <c r="U41" i="124"/>
  <c r="X41" i="124" s="1"/>
  <c r="M41" i="124"/>
  <c r="F41" i="124"/>
  <c r="AF40" i="124"/>
  <c r="AE40" i="124"/>
  <c r="AD40" i="124"/>
  <c r="AC40" i="124"/>
  <c r="W40" i="124"/>
  <c r="V40" i="124"/>
  <c r="U40" i="124"/>
  <c r="X40" i="124" s="1"/>
  <c r="M40" i="124"/>
  <c r="F40" i="124"/>
  <c r="L40" i="124" s="1"/>
  <c r="N40" i="124" s="1"/>
  <c r="AF39" i="124"/>
  <c r="AE39" i="124"/>
  <c r="AD39" i="124"/>
  <c r="AC39" i="124"/>
  <c r="W39" i="124"/>
  <c r="V39" i="124"/>
  <c r="U39" i="124"/>
  <c r="X39" i="124" s="1"/>
  <c r="M39" i="124"/>
  <c r="F39" i="124"/>
  <c r="AF38" i="124"/>
  <c r="AE38" i="124"/>
  <c r="AD38" i="124"/>
  <c r="AC38" i="124"/>
  <c r="W38" i="124"/>
  <c r="V38" i="124"/>
  <c r="U38" i="124"/>
  <c r="X38" i="124" s="1"/>
  <c r="M38" i="124"/>
  <c r="F38" i="124"/>
  <c r="AF37" i="124"/>
  <c r="AE37" i="124"/>
  <c r="AD37" i="124"/>
  <c r="AC37" i="124"/>
  <c r="W37" i="124"/>
  <c r="V37" i="124"/>
  <c r="U37" i="124"/>
  <c r="M37" i="124"/>
  <c r="F37" i="124"/>
  <c r="AF36" i="124"/>
  <c r="AE36" i="124"/>
  <c r="AD36" i="124"/>
  <c r="AC36" i="124"/>
  <c r="W36" i="124"/>
  <c r="V36" i="124"/>
  <c r="U36" i="124"/>
  <c r="X36" i="124" s="1"/>
  <c r="M36" i="124"/>
  <c r="F36" i="124"/>
  <c r="AF35" i="124"/>
  <c r="AE35" i="124"/>
  <c r="AD35" i="124"/>
  <c r="AC35" i="124"/>
  <c r="W35" i="124"/>
  <c r="V35" i="124"/>
  <c r="U35" i="124"/>
  <c r="M35" i="124"/>
  <c r="F35" i="124"/>
  <c r="N35" i="124" s="1"/>
  <c r="AF34" i="124"/>
  <c r="AE34" i="124"/>
  <c r="AD34" i="124"/>
  <c r="AC34" i="124"/>
  <c r="W34" i="124"/>
  <c r="V34" i="124"/>
  <c r="U34" i="124"/>
  <c r="M34" i="124"/>
  <c r="F34" i="124"/>
  <c r="AF33" i="124"/>
  <c r="AE33" i="124"/>
  <c r="AD33" i="124"/>
  <c r="AC33" i="124"/>
  <c r="W33" i="124"/>
  <c r="V33" i="124"/>
  <c r="U33" i="124"/>
  <c r="M33" i="124"/>
  <c r="F33" i="124"/>
  <c r="AF32" i="124"/>
  <c r="AE32" i="124"/>
  <c r="AD32" i="124"/>
  <c r="AC32" i="124"/>
  <c r="W32" i="124"/>
  <c r="V32" i="124"/>
  <c r="U32" i="124"/>
  <c r="M32" i="124"/>
  <c r="F32" i="124"/>
  <c r="N32" i="124" s="1"/>
  <c r="AF31" i="124"/>
  <c r="AE31" i="124"/>
  <c r="AD31" i="124"/>
  <c r="AC31" i="124"/>
  <c r="W31" i="124"/>
  <c r="V31" i="124"/>
  <c r="U31" i="124"/>
  <c r="M31" i="124"/>
  <c r="F31" i="124"/>
  <c r="AF30" i="124"/>
  <c r="AE30" i="124"/>
  <c r="AD30" i="124"/>
  <c r="AC30" i="124" s="1"/>
  <c r="W30" i="124"/>
  <c r="V30" i="124"/>
  <c r="U30" i="124"/>
  <c r="M30" i="124"/>
  <c r="F30" i="124"/>
  <c r="AF29" i="124"/>
  <c r="AE29" i="124"/>
  <c r="AD29" i="124"/>
  <c r="AC29" i="124"/>
  <c r="W29" i="124"/>
  <c r="V29" i="124"/>
  <c r="U29" i="124"/>
  <c r="M29" i="124"/>
  <c r="F29" i="124"/>
  <c r="N29" i="124" s="1"/>
  <c r="AF28" i="124"/>
  <c r="AE28" i="124"/>
  <c r="AD28" i="124"/>
  <c r="AC28" i="124"/>
  <c r="W28" i="124"/>
  <c r="V28" i="124"/>
  <c r="U28" i="124"/>
  <c r="M28" i="124"/>
  <c r="F28" i="124"/>
  <c r="AF27" i="124"/>
  <c r="AE27" i="124"/>
  <c r="AD27" i="124"/>
  <c r="AC27" i="124" s="1"/>
  <c r="W27" i="124"/>
  <c r="V27" i="124"/>
  <c r="U27" i="124"/>
  <c r="M27" i="124"/>
  <c r="F27" i="124"/>
  <c r="N27" i="124" s="1"/>
  <c r="AF26" i="124"/>
  <c r="AE26" i="124"/>
  <c r="AD26" i="124"/>
  <c r="AC26" i="124" s="1"/>
  <c r="W26" i="124"/>
  <c r="V26" i="124"/>
  <c r="U26" i="124"/>
  <c r="M26" i="124"/>
  <c r="F26" i="124"/>
  <c r="N26" i="124" s="1"/>
  <c r="AF25" i="124"/>
  <c r="AE25" i="124"/>
  <c r="AD25" i="124"/>
  <c r="AC25" i="124"/>
  <c r="W25" i="124"/>
  <c r="V25" i="124"/>
  <c r="U25" i="124"/>
  <c r="X25" i="124" s="1"/>
  <c r="M25" i="124"/>
  <c r="F25" i="124"/>
  <c r="AF24" i="124"/>
  <c r="AE24" i="124"/>
  <c r="AD24" i="124"/>
  <c r="AC24" i="124"/>
  <c r="W24" i="124"/>
  <c r="V24" i="124"/>
  <c r="U24" i="124"/>
  <c r="M24" i="124"/>
  <c r="F24" i="124"/>
  <c r="N24" i="124" s="1"/>
  <c r="AF23" i="124"/>
  <c r="AE23" i="124"/>
  <c r="AD23" i="124"/>
  <c r="AC23" i="124"/>
  <c r="W23" i="124"/>
  <c r="V23" i="124"/>
  <c r="U23" i="124"/>
  <c r="M23" i="124"/>
  <c r="F23" i="124"/>
  <c r="N23" i="124" s="1"/>
  <c r="AF22" i="124"/>
  <c r="AE22" i="124"/>
  <c r="AD22" i="124"/>
  <c r="AC22" i="124"/>
  <c r="W22" i="124"/>
  <c r="V22" i="124"/>
  <c r="U22" i="124"/>
  <c r="M22" i="124"/>
  <c r="F22" i="124"/>
  <c r="N22" i="124" s="1"/>
  <c r="AF21" i="124"/>
  <c r="AE21" i="124"/>
  <c r="AD21" i="124"/>
  <c r="AC21" i="124"/>
  <c r="W21" i="124"/>
  <c r="V21" i="124"/>
  <c r="U21" i="124"/>
  <c r="X21" i="124" s="1"/>
  <c r="M21" i="124"/>
  <c r="F21" i="124"/>
  <c r="N21" i="124" s="1"/>
  <c r="AF20" i="124"/>
  <c r="AE20" i="124"/>
  <c r="AD20" i="124"/>
  <c r="AC20" i="124"/>
  <c r="W20" i="124"/>
  <c r="V20" i="124"/>
  <c r="U20" i="124"/>
  <c r="X20" i="124" s="1"/>
  <c r="M20" i="124"/>
  <c r="F20" i="124"/>
  <c r="N20" i="124" s="1"/>
  <c r="AF19" i="124"/>
  <c r="AE19" i="124"/>
  <c r="AD19" i="124"/>
  <c r="AC19" i="124"/>
  <c r="W19" i="124"/>
  <c r="V19" i="124"/>
  <c r="U19" i="124"/>
  <c r="X19" i="124" s="1"/>
  <c r="M19" i="124"/>
  <c r="F19" i="124"/>
  <c r="N19" i="124" s="1"/>
  <c r="AF18" i="124"/>
  <c r="AE18" i="124"/>
  <c r="AD18" i="124"/>
  <c r="AC18" i="124"/>
  <c r="W18" i="124"/>
  <c r="V18" i="124"/>
  <c r="U18" i="124"/>
  <c r="X18" i="124" s="1"/>
  <c r="M18" i="124"/>
  <c r="F18" i="124"/>
  <c r="N18" i="124" s="1"/>
  <c r="AF17" i="124"/>
  <c r="AE17" i="124"/>
  <c r="AD17" i="124"/>
  <c r="AC17" i="124"/>
  <c r="W17" i="124"/>
  <c r="V17" i="124"/>
  <c r="U17" i="124"/>
  <c r="X17" i="124" s="1"/>
  <c r="M17" i="124"/>
  <c r="F17" i="124"/>
  <c r="AF16" i="124"/>
  <c r="AE16" i="124"/>
  <c r="AD16" i="124"/>
  <c r="AC16" i="124"/>
  <c r="W16" i="124"/>
  <c r="V16" i="124"/>
  <c r="U16" i="124"/>
  <c r="X16" i="124" s="1"/>
  <c r="M16" i="124"/>
  <c r="F16" i="124"/>
  <c r="AF15" i="124"/>
  <c r="AE15" i="124"/>
  <c r="AD15" i="124"/>
  <c r="AC15" i="124"/>
  <c r="W15" i="124"/>
  <c r="V15" i="124"/>
  <c r="U15" i="124"/>
  <c r="X15" i="124" s="1"/>
  <c r="M15" i="124"/>
  <c r="F15" i="124"/>
  <c r="AF14" i="124"/>
  <c r="AE14" i="124"/>
  <c r="AD14" i="124"/>
  <c r="AC14" i="124"/>
  <c r="W14" i="124"/>
  <c r="V14" i="124"/>
  <c r="U14" i="124"/>
  <c r="M14" i="124"/>
  <c r="F14" i="124"/>
  <c r="N14" i="124" s="1"/>
  <c r="A14" i="124"/>
  <c r="AF13" i="124"/>
  <c r="AE13" i="124"/>
  <c r="AD13" i="124"/>
  <c r="AC13" i="124"/>
  <c r="W13" i="124"/>
  <c r="V13" i="124"/>
  <c r="U13" i="124"/>
  <c r="M13" i="124"/>
  <c r="F13" i="124"/>
  <c r="N13" i="124" s="1"/>
  <c r="E5" i="124"/>
  <c r="A2" i="124"/>
  <c r="D168" i="123"/>
  <c r="T167" i="123"/>
  <c r="S167" i="123"/>
  <c r="R167" i="123"/>
  <c r="Q167" i="123"/>
  <c r="P167" i="123"/>
  <c r="O167" i="123"/>
  <c r="E167" i="123"/>
  <c r="D167" i="123"/>
  <c r="AF98" i="123"/>
  <c r="AE98" i="123"/>
  <c r="AD98" i="123"/>
  <c r="AC98" i="123"/>
  <c r="W98" i="123"/>
  <c r="M98" i="123"/>
  <c r="F98" i="123"/>
  <c r="AF97" i="123"/>
  <c r="AE97" i="123"/>
  <c r="AD97" i="123"/>
  <c r="AC97" i="123"/>
  <c r="W97" i="123"/>
  <c r="M97" i="123"/>
  <c r="F97" i="123"/>
  <c r="N97" i="123" s="1"/>
  <c r="AF96" i="123"/>
  <c r="AE96" i="123"/>
  <c r="AD96" i="123"/>
  <c r="AC96" i="123"/>
  <c r="W96" i="123"/>
  <c r="V96" i="123"/>
  <c r="U96" i="123"/>
  <c r="M96" i="123"/>
  <c r="F96" i="123"/>
  <c r="L96" i="123" s="1"/>
  <c r="AF95" i="123"/>
  <c r="AE95" i="123"/>
  <c r="AD95" i="123"/>
  <c r="AC95" i="123"/>
  <c r="W95" i="123"/>
  <c r="V95" i="123"/>
  <c r="U95" i="123"/>
  <c r="X95" i="123" s="1"/>
  <c r="M95" i="123"/>
  <c r="F95" i="123"/>
  <c r="N95" i="123" s="1"/>
  <c r="AF94" i="123"/>
  <c r="AE94" i="123"/>
  <c r="AD94" i="123"/>
  <c r="AC94" i="123"/>
  <c r="W94" i="123"/>
  <c r="V94" i="123"/>
  <c r="U94" i="123"/>
  <c r="X94" i="123" s="1"/>
  <c r="M94" i="123"/>
  <c r="F94" i="123"/>
  <c r="N94" i="123" s="1"/>
  <c r="AF93" i="123"/>
  <c r="AE93" i="123"/>
  <c r="AD93" i="123"/>
  <c r="AC93" i="123"/>
  <c r="W93" i="123"/>
  <c r="V93" i="123"/>
  <c r="U93" i="123"/>
  <c r="X93" i="123" s="1"/>
  <c r="M93" i="123"/>
  <c r="F93" i="123"/>
  <c r="N93" i="123" s="1"/>
  <c r="AF92" i="123"/>
  <c r="AE92" i="123"/>
  <c r="AD92" i="123"/>
  <c r="AC92" i="123"/>
  <c r="W92" i="123"/>
  <c r="V92" i="123"/>
  <c r="U92" i="123"/>
  <c r="X92" i="123" s="1"/>
  <c r="M92" i="123"/>
  <c r="F92" i="123"/>
  <c r="AF91" i="123"/>
  <c r="AE91" i="123"/>
  <c r="AD91" i="123"/>
  <c r="AC91" i="123"/>
  <c r="W91" i="123"/>
  <c r="V91" i="123"/>
  <c r="U91" i="123"/>
  <c r="M91" i="123"/>
  <c r="F91" i="123"/>
  <c r="N91" i="123" s="1"/>
  <c r="AF90" i="123"/>
  <c r="AE90" i="123"/>
  <c r="AD90" i="123"/>
  <c r="W90" i="123"/>
  <c r="V90" i="123"/>
  <c r="U90" i="123"/>
  <c r="X90" i="123" s="1"/>
  <c r="AC90" i="123" s="1"/>
  <c r="M90" i="123"/>
  <c r="N90" i="123"/>
  <c r="AF89" i="123"/>
  <c r="AE89" i="123"/>
  <c r="AD89" i="123"/>
  <c r="AC89" i="123"/>
  <c r="W89" i="123"/>
  <c r="V89" i="123"/>
  <c r="U89" i="123"/>
  <c r="X89" i="123" s="1"/>
  <c r="M89" i="123"/>
  <c r="F89" i="123"/>
  <c r="AF88" i="123"/>
  <c r="AE88" i="123"/>
  <c r="AD88" i="123"/>
  <c r="AC88" i="123"/>
  <c r="W88" i="123"/>
  <c r="V88" i="123"/>
  <c r="U88" i="123"/>
  <c r="X88" i="123" s="1"/>
  <c r="M88" i="123"/>
  <c r="F88" i="123"/>
  <c r="L88" i="123" s="1"/>
  <c r="AF87" i="123"/>
  <c r="AE87" i="123"/>
  <c r="AD87" i="123"/>
  <c r="AC87" i="123"/>
  <c r="W87" i="123"/>
  <c r="V87" i="123"/>
  <c r="U87" i="123"/>
  <c r="X87" i="123" s="1"/>
  <c r="M87" i="123"/>
  <c r="F87" i="123"/>
  <c r="N87" i="123" s="1"/>
  <c r="AF86" i="123"/>
  <c r="AE86" i="123"/>
  <c r="AD86" i="123"/>
  <c r="AC86" i="123"/>
  <c r="W86" i="123"/>
  <c r="V86" i="123"/>
  <c r="U86" i="123"/>
  <c r="X86" i="123" s="1"/>
  <c r="M86" i="123"/>
  <c r="F86" i="123"/>
  <c r="N86" i="123" s="1"/>
  <c r="AF85" i="123"/>
  <c r="AE85" i="123"/>
  <c r="AD85" i="123"/>
  <c r="AC85" i="123"/>
  <c r="W85" i="123"/>
  <c r="V85" i="123"/>
  <c r="U85" i="123"/>
  <c r="K85" i="123"/>
  <c r="M85" i="123" s="1"/>
  <c r="F85" i="123"/>
  <c r="AF84" i="123"/>
  <c r="AE84" i="123"/>
  <c r="AD84" i="123"/>
  <c r="AC84" i="123"/>
  <c r="W84" i="123"/>
  <c r="V84" i="123"/>
  <c r="U84" i="123"/>
  <c r="Y102" i="152" l="1"/>
  <c r="Y102" i="131"/>
  <c r="Y48" i="154"/>
  <c r="Y102" i="127"/>
  <c r="Y102" i="147"/>
  <c r="Y102" i="129"/>
  <c r="Y48" i="127"/>
  <c r="L42" i="124"/>
  <c r="N42" i="124" s="1"/>
  <c r="AA42" i="124" s="1"/>
  <c r="L41" i="124"/>
  <c r="N41" i="124" s="1"/>
  <c r="AA41" i="124" s="1"/>
  <c r="AC107" i="124"/>
  <c r="AF107" i="124"/>
  <c r="AF253" i="124" s="1"/>
  <c r="Z41" i="124"/>
  <c r="Y41" i="124" s="1"/>
  <c r="N101" i="124"/>
  <c r="AA101" i="124" s="1"/>
  <c r="Y102" i="154"/>
  <c r="Z74" i="124"/>
  <c r="Y74" i="124" s="1"/>
  <c r="Z84" i="124"/>
  <c r="Y84" i="124" s="1"/>
  <c r="Z88" i="124"/>
  <c r="L92" i="123"/>
  <c r="N92" i="123"/>
  <c r="AA92" i="123" s="1"/>
  <c r="AA22" i="124"/>
  <c r="Y24" i="124"/>
  <c r="X24" i="124" s="1"/>
  <c r="Y48" i="155"/>
  <c r="Z20" i="124"/>
  <c r="Y20" i="124" s="1"/>
  <c r="Z46" i="124"/>
  <c r="Z72" i="124"/>
  <c r="Y72" i="124" s="1"/>
  <c r="Z76" i="124"/>
  <c r="Y76" i="124" s="1"/>
  <c r="Z79" i="124"/>
  <c r="Y48" i="126"/>
  <c r="AA13" i="124"/>
  <c r="Z19" i="124"/>
  <c r="Z23" i="124"/>
  <c r="Z86" i="124"/>
  <c r="Y86" i="124" s="1"/>
  <c r="Z39" i="124"/>
  <c r="AA20" i="124"/>
  <c r="L117" i="124"/>
  <c r="N117" i="124"/>
  <c r="AA117" i="124" s="1"/>
  <c r="Y13" i="124"/>
  <c r="X13" i="124" s="1"/>
  <c r="Y22" i="124"/>
  <c r="X22" i="124" s="1"/>
  <c r="AA24" i="124"/>
  <c r="Y73" i="124"/>
  <c r="X73" i="124" s="1"/>
  <c r="Y79" i="124"/>
  <c r="X79" i="124" s="1"/>
  <c r="AA85" i="124"/>
  <c r="Z85" i="124" s="1"/>
  <c r="Z48" i="143"/>
  <c r="N102" i="141"/>
  <c r="X102" i="141"/>
  <c r="W102" i="141" s="1"/>
  <c r="Y102" i="141"/>
  <c r="Y102" i="130"/>
  <c r="Y48" i="141"/>
  <c r="Y48" i="129"/>
  <c r="AA118" i="124"/>
  <c r="L33" i="124"/>
  <c r="N33" i="124"/>
  <c r="AA33" i="124" s="1"/>
  <c r="AA68" i="124"/>
  <c r="Z68" i="124" s="1"/>
  <c r="L111" i="124"/>
  <c r="N111" i="124"/>
  <c r="AA111" i="124" s="1"/>
  <c r="Z111" i="124" s="1"/>
  <c r="L116" i="124"/>
  <c r="N116" i="124"/>
  <c r="AA116" i="124" s="1"/>
  <c r="Z116" i="124" s="1"/>
  <c r="N48" i="151"/>
  <c r="Y48" i="131"/>
  <c r="Z24" i="124"/>
  <c r="Z42" i="124"/>
  <c r="Y42" i="124" s="1"/>
  <c r="Z44" i="124"/>
  <c r="Z75" i="124"/>
  <c r="Y75" i="124" s="1"/>
  <c r="Y77" i="124"/>
  <c r="Y80" i="124"/>
  <c r="X80" i="124" s="1"/>
  <c r="AA82" i="124"/>
  <c r="X102" i="149"/>
  <c r="X102" i="143"/>
  <c r="W102" i="143" s="1"/>
  <c r="L94" i="123"/>
  <c r="AA94" i="123" s="1"/>
  <c r="Z97" i="123"/>
  <c r="Y97" i="123"/>
  <c r="L98" i="123"/>
  <c r="N98" i="123" s="1"/>
  <c r="AA98" i="123" s="1"/>
  <c r="L105" i="124"/>
  <c r="N105" i="124"/>
  <c r="AA105" i="124" s="1"/>
  <c r="AA14" i="124"/>
  <c r="Y17" i="124"/>
  <c r="Z18" i="124"/>
  <c r="Z21" i="124"/>
  <c r="Y21" i="124" s="1"/>
  <c r="Y26" i="124"/>
  <c r="X26" i="124" s="1"/>
  <c r="Z31" i="124"/>
  <c r="Z45" i="124"/>
  <c r="Y68" i="124"/>
  <c r="AA69" i="124"/>
  <c r="Z71" i="124"/>
  <c r="N76" i="124"/>
  <c r="AA76" i="124" s="1"/>
  <c r="Y78" i="124"/>
  <c r="X78" i="124" s="1"/>
  <c r="Y85" i="124"/>
  <c r="Y87" i="124"/>
  <c r="L101" i="124"/>
  <c r="Z48" i="151"/>
  <c r="X102" i="150"/>
  <c r="W102" i="150" s="1"/>
  <c r="V102" i="150" s="1"/>
  <c r="X48" i="154"/>
  <c r="X102" i="147"/>
  <c r="X48" i="147"/>
  <c r="Y48" i="148"/>
  <c r="Z102" i="130"/>
  <c r="Z102" i="144"/>
  <c r="N48" i="144"/>
  <c r="Y48" i="145"/>
  <c r="AA41" i="151"/>
  <c r="AA48" i="151" s="1"/>
  <c r="Y102" i="146"/>
  <c r="N48" i="142"/>
  <c r="X48" i="143"/>
  <c r="N48" i="126"/>
  <c r="X48" i="129"/>
  <c r="L85" i="123"/>
  <c r="N85" i="123"/>
  <c r="AA85" i="123" s="1"/>
  <c r="L91" i="123"/>
  <c r="AA91" i="123" s="1"/>
  <c r="L93" i="123"/>
  <c r="AA93" i="123" s="1"/>
  <c r="L95" i="123"/>
  <c r="AA95" i="123" s="1"/>
  <c r="AA97" i="123"/>
  <c r="L97" i="123"/>
  <c r="Y98" i="123"/>
  <c r="Z98" i="123"/>
  <c r="N36" i="124"/>
  <c r="AA36" i="124" s="1"/>
  <c r="Z36" i="124" s="1"/>
  <c r="L36" i="124"/>
  <c r="L103" i="124"/>
  <c r="N103" i="124"/>
  <c r="AA103" i="124" s="1"/>
  <c r="L104" i="124"/>
  <c r="N104" i="124"/>
  <c r="AA104" i="124" s="1"/>
  <c r="L106" i="124"/>
  <c r="N106" i="124"/>
  <c r="AA106" i="124" s="1"/>
  <c r="Z13" i="124"/>
  <c r="A15" i="124"/>
  <c r="A16" i="124" s="1"/>
  <c r="A17" i="124" s="1"/>
  <c r="A18" i="124" s="1"/>
  <c r="A19" i="124" s="1"/>
  <c r="A20" i="124" s="1"/>
  <c r="A21" i="124" s="1"/>
  <c r="A22" i="124" s="1"/>
  <c r="A23" i="124" s="1"/>
  <c r="A24" i="124" s="1"/>
  <c r="A25" i="124" s="1"/>
  <c r="A26" i="124" s="1"/>
  <c r="A27" i="124" s="1"/>
  <c r="A28" i="124" s="1"/>
  <c r="A29" i="124" s="1"/>
  <c r="A30" i="124" s="1"/>
  <c r="A31" i="124" s="1"/>
  <c r="A32" i="124" s="1"/>
  <c r="Z22" i="124"/>
  <c r="Y29" i="124"/>
  <c r="X29" i="124" s="1"/>
  <c r="Z73" i="124"/>
  <c r="Y81" i="124"/>
  <c r="X81" i="124" s="1"/>
  <c r="N102" i="155"/>
  <c r="X48" i="150"/>
  <c r="N102" i="145"/>
  <c r="AA71" i="145"/>
  <c r="Z71" i="145" s="1"/>
  <c r="X102" i="148"/>
  <c r="Z48" i="146"/>
  <c r="Y48" i="146" s="1"/>
  <c r="X48" i="146" s="1"/>
  <c r="W48" i="146" s="1"/>
  <c r="X48" i="144"/>
  <c r="X102" i="142"/>
  <c r="X48" i="126"/>
  <c r="AA40" i="124"/>
  <c r="Z38" i="124"/>
  <c r="L38" i="124"/>
  <c r="N38" i="124" s="1"/>
  <c r="AA38" i="124" s="1"/>
  <c r="L39" i="124"/>
  <c r="N39" i="124" s="1"/>
  <c r="AA39" i="124" s="1"/>
  <c r="L37" i="124"/>
  <c r="N37" i="124" s="1"/>
  <c r="AA37" i="124" s="1"/>
  <c r="Y38" i="124"/>
  <c r="Y96" i="123"/>
  <c r="Z95" i="123"/>
  <c r="Z93" i="123"/>
  <c r="Z92" i="123"/>
  <c r="AC95" i="125"/>
  <c r="AC192" i="125" s="1"/>
  <c r="AD95" i="125"/>
  <c r="AD192" i="125" s="1"/>
  <c r="AC108" i="124"/>
  <c r="AD108" i="124"/>
  <c r="Y37" i="124"/>
  <c r="X37" i="124" s="1"/>
  <c r="Z96" i="123"/>
  <c r="Z94" i="123"/>
  <c r="Z91" i="123"/>
  <c r="Z37" i="124"/>
  <c r="Y36" i="124"/>
  <c r="Z90" i="123"/>
  <c r="Z89" i="123"/>
  <c r="AC113" i="124"/>
  <c r="AD113" i="124"/>
  <c r="AA90" i="123"/>
  <c r="Y91" i="123"/>
  <c r="Z69" i="124"/>
  <c r="Y69" i="124"/>
  <c r="X69" i="124" s="1"/>
  <c r="Z81" i="124"/>
  <c r="N93" i="124"/>
  <c r="AA93" i="124" s="1"/>
  <c r="N48" i="154"/>
  <c r="AA16" i="154"/>
  <c r="AA48" i="154" s="1"/>
  <c r="Z48" i="154" s="1"/>
  <c r="AA68" i="144"/>
  <c r="AA102" i="144" s="1"/>
  <c r="N102" i="144"/>
  <c r="N74" i="124"/>
  <c r="AA74" i="124" s="1"/>
  <c r="N91" i="124"/>
  <c r="AA91" i="124" s="1"/>
  <c r="AA27" i="143"/>
  <c r="AA48" i="143" s="1"/>
  <c r="N48" i="143"/>
  <c r="N102" i="142"/>
  <c r="AA66" i="142"/>
  <c r="AA102" i="142" s="1"/>
  <c r="Z102" i="142" s="1"/>
  <c r="AA13" i="131"/>
  <c r="AA48" i="131" s="1"/>
  <c r="N48" i="131"/>
  <c r="Z102" i="129"/>
  <c r="N48" i="127"/>
  <c r="Z14" i="124"/>
  <c r="Y14" i="124"/>
  <c r="X14" i="124" s="1"/>
  <c r="F253" i="124"/>
  <c r="N77" i="124"/>
  <c r="AA77" i="124" s="1"/>
  <c r="Z77" i="124" s="1"/>
  <c r="X77" i="124"/>
  <c r="N48" i="155"/>
  <c r="AA17" i="155"/>
  <c r="Z17" i="155" s="1"/>
  <c r="Z48" i="155" s="1"/>
  <c r="N102" i="153"/>
  <c r="AA67" i="155"/>
  <c r="Z67" i="155" s="1"/>
  <c r="Z102" i="155" s="1"/>
  <c r="N102" i="151"/>
  <c r="X102" i="145"/>
  <c r="N48" i="147"/>
  <c r="N48" i="129"/>
  <c r="AA21" i="129"/>
  <c r="AA48" i="129" s="1"/>
  <c r="Z48" i="129" s="1"/>
  <c r="AA20" i="142"/>
  <c r="AA48" i="142" s="1"/>
  <c r="Z48" i="142" s="1"/>
  <c r="N48" i="145"/>
  <c r="AA18" i="145"/>
  <c r="AA48" i="145" s="1"/>
  <c r="Z48" i="145" s="1"/>
  <c r="X102" i="130"/>
  <c r="N192" i="125"/>
  <c r="AA67" i="125"/>
  <c r="N48" i="128"/>
  <c r="AA13" i="128"/>
  <c r="AA48" i="128" s="1"/>
  <c r="Z48" i="128" s="1"/>
  <c r="N28" i="124"/>
  <c r="AA28" i="124" s="1"/>
  <c r="Y40" i="124"/>
  <c r="A70" i="124"/>
  <c r="A71" i="124" s="1"/>
  <c r="A72" i="124" s="1"/>
  <c r="A73" i="124" s="1"/>
  <c r="A74" i="124" s="1"/>
  <c r="A75" i="124" s="1"/>
  <c r="A76" i="124" s="1"/>
  <c r="A77" i="124" s="1"/>
  <c r="A78" i="124" s="1"/>
  <c r="A79" i="124" s="1"/>
  <c r="A80" i="124" s="1"/>
  <c r="A81" i="124" s="1"/>
  <c r="A82" i="124" s="1"/>
  <c r="A83" i="124" s="1"/>
  <c r="A84" i="124" s="1"/>
  <c r="A85" i="124" s="1"/>
  <c r="A86" i="124" s="1"/>
  <c r="A87" i="124" s="1"/>
  <c r="A88" i="124" s="1"/>
  <c r="A89" i="124" s="1"/>
  <c r="A90" i="124" s="1"/>
  <c r="A91" i="124" s="1"/>
  <c r="A92" i="124" s="1"/>
  <c r="A93" i="124" s="1"/>
  <c r="A94" i="124" s="1"/>
  <c r="A95" i="124" s="1"/>
  <c r="A96" i="124" s="1"/>
  <c r="A97" i="124" s="1"/>
  <c r="A98" i="124" s="1"/>
  <c r="A99" i="124" s="1"/>
  <c r="A100" i="124" s="1"/>
  <c r="A101" i="124" s="1"/>
  <c r="A102" i="124" s="1"/>
  <c r="N70" i="124"/>
  <c r="AA70" i="124" s="1"/>
  <c r="N72" i="124"/>
  <c r="AA72" i="124" s="1"/>
  <c r="N79" i="124"/>
  <c r="AA79" i="124" s="1"/>
  <c r="Z82" i="124"/>
  <c r="Y82" i="124" s="1"/>
  <c r="Z48" i="152"/>
  <c r="N102" i="131"/>
  <c r="AA48" i="127"/>
  <c r="Z48" i="127" s="1"/>
  <c r="L86" i="123"/>
  <c r="AA86" i="123" s="1"/>
  <c r="Y93" i="123"/>
  <c r="Y95" i="123"/>
  <c r="N96" i="123"/>
  <c r="AA96" i="123" s="1"/>
  <c r="X96" i="123"/>
  <c r="W48" i="124"/>
  <c r="N17" i="124"/>
  <c r="AA17" i="124" s="1"/>
  <c r="Z17" i="124" s="1"/>
  <c r="Y23" i="124"/>
  <c r="X23" i="124" s="1"/>
  <c r="N25" i="124"/>
  <c r="AA25" i="124" s="1"/>
  <c r="F48" i="124"/>
  <c r="Z70" i="124"/>
  <c r="Y70" i="124"/>
  <c r="X70" i="124" s="1"/>
  <c r="N86" i="124"/>
  <c r="AA86" i="124" s="1"/>
  <c r="N88" i="124"/>
  <c r="N102" i="152"/>
  <c r="AA15" i="153"/>
  <c r="AA48" i="153" s="1"/>
  <c r="Z48" i="153" s="1"/>
  <c r="Y48" i="153" s="1"/>
  <c r="N48" i="153"/>
  <c r="X102" i="152"/>
  <c r="N102" i="149"/>
  <c r="AA76" i="149"/>
  <c r="AA102" i="149" s="1"/>
  <c r="Z102" i="149" s="1"/>
  <c r="Z48" i="148"/>
  <c r="AA102" i="141"/>
  <c r="Z102" i="141" s="1"/>
  <c r="X102" i="131"/>
  <c r="AA48" i="146"/>
  <c r="N48" i="125"/>
  <c r="AA13" i="125"/>
  <c r="AA48" i="125" s="1"/>
  <c r="X48" i="140"/>
  <c r="AA66" i="128"/>
  <c r="Z66" i="128" s="1"/>
  <c r="N102" i="128"/>
  <c r="X102" i="128"/>
  <c r="X48" i="127"/>
  <c r="L87" i="123"/>
  <c r="AA87" i="123" s="1"/>
  <c r="Y94" i="123"/>
  <c r="N78" i="124"/>
  <c r="AA78" i="124" s="1"/>
  <c r="N80" i="124"/>
  <c r="AA80" i="124" s="1"/>
  <c r="Z83" i="124"/>
  <c r="Y83" i="124"/>
  <c r="X83" i="124" s="1"/>
  <c r="AA88" i="124"/>
  <c r="N89" i="124"/>
  <c r="AA89" i="124" s="1"/>
  <c r="Y90" i="123"/>
  <c r="X91" i="123"/>
  <c r="Y18" i="124"/>
  <c r="Y19" i="124"/>
  <c r="AA19" i="124"/>
  <c r="N30" i="124"/>
  <c r="AA30" i="124" s="1"/>
  <c r="N31" i="124"/>
  <c r="AA31" i="124" s="1"/>
  <c r="Y39" i="124"/>
  <c r="Z40" i="124"/>
  <c r="Z78" i="124"/>
  <c r="Z80" i="124"/>
  <c r="N87" i="124"/>
  <c r="AA87" i="124" s="1"/>
  <c r="Z87" i="124" s="1"/>
  <c r="N95" i="124"/>
  <c r="AA95" i="124" s="1"/>
  <c r="Y48" i="150"/>
  <c r="Z102" i="153"/>
  <c r="AA20" i="149"/>
  <c r="AA48" i="149" s="1"/>
  <c r="N48" i="149"/>
  <c r="N48" i="150"/>
  <c r="AA13" i="150"/>
  <c r="AA48" i="150" s="1"/>
  <c r="X48" i="151"/>
  <c r="N48" i="140"/>
  <c r="Y102" i="145"/>
  <c r="AA102" i="127"/>
  <c r="Z102" i="127" s="1"/>
  <c r="N102" i="126"/>
  <c r="X48" i="141"/>
  <c r="N48" i="141"/>
  <c r="AA13" i="141"/>
  <c r="Z13" i="141" s="1"/>
  <c r="AA102" i="150"/>
  <c r="X48" i="153"/>
  <c r="Y48" i="144"/>
  <c r="X102" i="146"/>
  <c r="X102" i="129"/>
  <c r="N34" i="124"/>
  <c r="AA34" i="124" s="1"/>
  <c r="AA14" i="152"/>
  <c r="AA48" i="152" s="1"/>
  <c r="N48" i="152"/>
  <c r="Y102" i="155"/>
  <c r="AA102" i="152"/>
  <c r="Z102" i="152" s="1"/>
  <c r="Y102" i="153"/>
  <c r="X102" i="153" s="1"/>
  <c r="AA67" i="151"/>
  <c r="AA102" i="151" s="1"/>
  <c r="Z102" i="151" s="1"/>
  <c r="Y102" i="151" s="1"/>
  <c r="X102" i="151" s="1"/>
  <c r="W102" i="151" s="1"/>
  <c r="Z102" i="150"/>
  <c r="Y102" i="150" s="1"/>
  <c r="AA13" i="148"/>
  <c r="AA48" i="148" s="1"/>
  <c r="N48" i="148"/>
  <c r="Y48" i="152"/>
  <c r="X48" i="152" s="1"/>
  <c r="X48" i="148"/>
  <c r="N48" i="146"/>
  <c r="Y102" i="142"/>
  <c r="N102" i="130"/>
  <c r="Y102" i="149"/>
  <c r="AA66" i="143"/>
  <c r="AA102" i="143" s="1"/>
  <c r="Z102" i="143" s="1"/>
  <c r="Y102" i="143" s="1"/>
  <c r="N102" i="143"/>
  <c r="N102" i="140"/>
  <c r="M102" i="140" s="1"/>
  <c r="Y102" i="140" s="1"/>
  <c r="X102" i="140" s="1"/>
  <c r="N102" i="129"/>
  <c r="AA66" i="129"/>
  <c r="AA102" i="129" s="1"/>
  <c r="X48" i="131"/>
  <c r="Y102" i="126"/>
  <c r="Y48" i="142"/>
  <c r="X48" i="130"/>
  <c r="N98" i="124"/>
  <c r="AA98" i="124" s="1"/>
  <c r="Z48" i="125"/>
  <c r="X102" i="155"/>
  <c r="W102" i="155" s="1"/>
  <c r="AA102" i="154"/>
  <c r="Z102" i="154" s="1"/>
  <c r="Z48" i="149"/>
  <c r="AA102" i="140"/>
  <c r="Z102" i="140" s="1"/>
  <c r="AA48" i="140"/>
  <c r="Z48" i="140" s="1"/>
  <c r="X48" i="145"/>
  <c r="AA48" i="144"/>
  <c r="Z48" i="144" s="1"/>
  <c r="Y48" i="143"/>
  <c r="AA69" i="131"/>
  <c r="Z69" i="131" s="1"/>
  <c r="Z102" i="131" s="1"/>
  <c r="Y102" i="144"/>
  <c r="X102" i="144" s="1"/>
  <c r="W102" i="144" s="1"/>
  <c r="AA102" i="126"/>
  <c r="X48" i="142"/>
  <c r="X102" i="127"/>
  <c r="W102" i="127" s="1"/>
  <c r="Z102" i="126"/>
  <c r="Y92" i="123"/>
  <c r="AA21" i="124"/>
  <c r="AA26" i="124"/>
  <c r="Y27" i="124"/>
  <c r="X27" i="124" s="1"/>
  <c r="AA29" i="124"/>
  <c r="Y32" i="124"/>
  <c r="Y45" i="124"/>
  <c r="X45" i="124" s="1"/>
  <c r="Y71" i="124"/>
  <c r="X71" i="124" s="1"/>
  <c r="N75" i="124"/>
  <c r="AA75" i="124" s="1"/>
  <c r="AA81" i="124"/>
  <c r="Y88" i="124"/>
  <c r="X88" i="124" s="1"/>
  <c r="N96" i="124"/>
  <c r="AA96" i="124" s="1"/>
  <c r="L100" i="124"/>
  <c r="N102" i="124"/>
  <c r="M102" i="124" s="1"/>
  <c r="L102" i="124" s="1"/>
  <c r="N102" i="154"/>
  <c r="L89" i="123"/>
  <c r="N89" i="123" s="1"/>
  <c r="AA89" i="123" s="1"/>
  <c r="N15" i="124"/>
  <c r="AA15" i="124" s="1"/>
  <c r="Z15" i="124" s="1"/>
  <c r="Y15" i="124"/>
  <c r="N16" i="124"/>
  <c r="AA16" i="124" s="1"/>
  <c r="Z16" i="124" s="1"/>
  <c r="Y16" i="124"/>
  <c r="AA18" i="124"/>
  <c r="AA23" i="124"/>
  <c r="Y28" i="124"/>
  <c r="Y30" i="124"/>
  <c r="AA32" i="124"/>
  <c r="AA35" i="124"/>
  <c r="N43" i="124"/>
  <c r="AA43" i="124" s="1"/>
  <c r="Z43" i="124" s="1"/>
  <c r="Y43" i="124"/>
  <c r="N44" i="124"/>
  <c r="AA44" i="124" s="1"/>
  <c r="Y44" i="124"/>
  <c r="N45" i="124"/>
  <c r="AA45" i="124" s="1"/>
  <c r="N46" i="124"/>
  <c r="AA46" i="124" s="1"/>
  <c r="Y46" i="124"/>
  <c r="W253" i="124"/>
  <c r="N71" i="124"/>
  <c r="AA71" i="124" s="1"/>
  <c r="AA83" i="124"/>
  <c r="AA84" i="124"/>
  <c r="N100" i="124"/>
  <c r="AA100" i="124" s="1"/>
  <c r="X102" i="154"/>
  <c r="Z48" i="150"/>
  <c r="X48" i="155"/>
  <c r="N102" i="150"/>
  <c r="X48" i="149"/>
  <c r="AA67" i="148"/>
  <c r="N102" i="148"/>
  <c r="AA102" i="153"/>
  <c r="Y48" i="147"/>
  <c r="Y48" i="149"/>
  <c r="AA66" i="147"/>
  <c r="AA102" i="147" s="1"/>
  <c r="Z102" i="147" s="1"/>
  <c r="N102" i="147"/>
  <c r="Y48" i="151"/>
  <c r="AA48" i="147"/>
  <c r="Y48" i="140"/>
  <c r="Z48" i="147"/>
  <c r="Z102" i="146"/>
  <c r="N102" i="146"/>
  <c r="AA66" i="146"/>
  <c r="AA102" i="146" s="1"/>
  <c r="Z48" i="131"/>
  <c r="Y48" i="130"/>
  <c r="AA66" i="130"/>
  <c r="AA102" i="130" s="1"/>
  <c r="N48" i="130"/>
  <c r="AA13" i="130"/>
  <c r="AA48" i="130" s="1"/>
  <c r="Z48" i="130" s="1"/>
  <c r="Y48" i="128"/>
  <c r="X48" i="128" s="1"/>
  <c r="X102" i="126"/>
  <c r="AA16" i="126"/>
  <c r="AA48" i="126" s="1"/>
  <c r="Z48" i="126" s="1"/>
  <c r="N102" i="127"/>
  <c r="AF48" i="124"/>
  <c r="Z34" i="124"/>
  <c r="Y109" i="124"/>
  <c r="Y112" i="124"/>
  <c r="Y107" i="124"/>
  <c r="Y115" i="124"/>
  <c r="Y89" i="123"/>
  <c r="V48" i="124"/>
  <c r="U48" i="124" s="1"/>
  <c r="AE48" i="124"/>
  <c r="AD48" i="124" s="1"/>
  <c r="Z33" i="124"/>
  <c r="Y105" i="124"/>
  <c r="X105" i="124" s="1"/>
  <c r="Y110" i="124"/>
  <c r="Y111" i="124"/>
  <c r="Y113" i="124"/>
  <c r="Y116" i="124"/>
  <c r="Y94" i="124"/>
  <c r="X94" i="124" s="1"/>
  <c r="Y106" i="124"/>
  <c r="X106" i="124" s="1"/>
  <c r="Y114" i="124"/>
  <c r="Y117" i="124"/>
  <c r="Y88" i="123"/>
  <c r="Y86" i="123"/>
  <c r="X192" i="125"/>
  <c r="Z88" i="123"/>
  <c r="N88" i="123"/>
  <c r="AA88" i="123" s="1"/>
  <c r="Z87" i="123"/>
  <c r="Y192" i="125"/>
  <c r="X35" i="124"/>
  <c r="Z35" i="124"/>
  <c r="Y34" i="124"/>
  <c r="X34" i="124" s="1"/>
  <c r="Y35" i="124"/>
  <c r="AA85" i="125"/>
  <c r="Y108" i="124"/>
  <c r="Y104" i="124"/>
  <c r="X104" i="124" s="1"/>
  <c r="X103" i="124"/>
  <c r="Y87" i="123"/>
  <c r="Y33" i="124"/>
  <c r="Z86" i="123"/>
  <c r="Z117" i="124"/>
  <c r="Z192" i="125"/>
  <c r="AA115" i="124"/>
  <c r="Z115" i="124" s="1"/>
  <c r="AA114" i="124"/>
  <c r="Z114" i="124" s="1"/>
  <c r="AA113" i="124"/>
  <c r="Z113" i="124" s="1"/>
  <c r="AA112" i="124"/>
  <c r="Z112" i="124" s="1"/>
  <c r="AA110" i="124"/>
  <c r="Z110" i="124" s="1"/>
  <c r="AA109" i="124"/>
  <c r="Z109" i="124" s="1"/>
  <c r="AA108" i="124"/>
  <c r="Z108" i="124" s="1"/>
  <c r="AA107" i="124"/>
  <c r="Z107" i="124" s="1"/>
  <c r="Z106" i="124"/>
  <c r="Z105" i="124"/>
  <c r="Y99" i="124"/>
  <c r="X99" i="124" s="1"/>
  <c r="Z98" i="124"/>
  <c r="Y98" i="124" s="1"/>
  <c r="Z97" i="124"/>
  <c r="Y97" i="124" s="1"/>
  <c r="Z96" i="124"/>
  <c r="Y95" i="124"/>
  <c r="Z94" i="124"/>
  <c r="Z93" i="124"/>
  <c r="Y92" i="124"/>
  <c r="Y91" i="124"/>
  <c r="X91" i="124" s="1"/>
  <c r="Y90" i="124"/>
  <c r="X90" i="124" s="1"/>
  <c r="X33" i="124"/>
  <c r="M48" i="124"/>
  <c r="Y85" i="123"/>
  <c r="X85" i="123" s="1"/>
  <c r="AC48" i="125"/>
  <c r="X48" i="125"/>
  <c r="W48" i="125" s="1"/>
  <c r="Z28" i="124"/>
  <c r="Z30" i="124"/>
  <c r="X32" i="124"/>
  <c r="AC48" i="124"/>
  <c r="X28" i="124"/>
  <c r="X30" i="124"/>
  <c r="Z32" i="124"/>
  <c r="Z25" i="124"/>
  <c r="Y25" i="124" s="1"/>
  <c r="Z26" i="124"/>
  <c r="Z27" i="124"/>
  <c r="Z29" i="124"/>
  <c r="Y31" i="124"/>
  <c r="AA27" i="124"/>
  <c r="X31" i="124"/>
  <c r="AA73" i="124"/>
  <c r="Z95" i="124"/>
  <c r="Z100" i="124"/>
  <c r="Z101" i="124"/>
  <c r="U253" i="124"/>
  <c r="Y93" i="124"/>
  <c r="X93" i="124" s="1"/>
  <c r="X95" i="124"/>
  <c r="X97" i="124"/>
  <c r="X100" i="124"/>
  <c r="X101" i="124"/>
  <c r="Z103" i="124"/>
  <c r="Y89" i="124"/>
  <c r="Z90" i="124"/>
  <c r="Z91" i="124"/>
  <c r="AA92" i="124"/>
  <c r="Z92" i="124" s="1"/>
  <c r="AA94" i="124"/>
  <c r="Y96" i="124"/>
  <c r="AA97" i="124"/>
  <c r="Z99" i="124"/>
  <c r="V253" i="124"/>
  <c r="X89" i="124"/>
  <c r="AE253" i="124"/>
  <c r="AA90" i="124"/>
  <c r="X96" i="124"/>
  <c r="AA99" i="124"/>
  <c r="Y100" i="124"/>
  <c r="Y101" i="124"/>
  <c r="X102" i="124"/>
  <c r="Y103" i="124"/>
  <c r="Z104" i="124"/>
  <c r="Z85" i="123"/>
  <c r="E60" i="124"/>
  <c r="K84" i="123"/>
  <c r="M84" i="123" s="1"/>
  <c r="Y84" i="123" s="1"/>
  <c r="X84" i="123" s="1"/>
  <c r="F84" i="123"/>
  <c r="AF83" i="123"/>
  <c r="AE83" i="123"/>
  <c r="AD83" i="123"/>
  <c r="AC83" i="123"/>
  <c r="W83" i="123"/>
  <c r="V83" i="123"/>
  <c r="U83" i="123"/>
  <c r="K83" i="123"/>
  <c r="M83" i="123" s="1"/>
  <c r="F83" i="123"/>
  <c r="L83" i="123" s="1"/>
  <c r="N83" i="123" s="1"/>
  <c r="AF82" i="123"/>
  <c r="AE82" i="123"/>
  <c r="AD82" i="123"/>
  <c r="AC82" i="123"/>
  <c r="W82" i="123"/>
  <c r="V82" i="123"/>
  <c r="U82" i="123"/>
  <c r="X82" i="123" s="1"/>
  <c r="M82" i="123"/>
  <c r="F82" i="123"/>
  <c r="AF81" i="123"/>
  <c r="AE81" i="123"/>
  <c r="AD81" i="123"/>
  <c r="AC81" i="123"/>
  <c r="W81" i="123"/>
  <c r="V81" i="123"/>
  <c r="U81" i="123"/>
  <c r="X81" i="123" s="1"/>
  <c r="M81" i="123"/>
  <c r="F81" i="123"/>
  <c r="AF80" i="123"/>
  <c r="AE80" i="123"/>
  <c r="AD80" i="123"/>
  <c r="AC80" i="123"/>
  <c r="W80" i="123"/>
  <c r="V80" i="123"/>
  <c r="U80" i="123"/>
  <c r="M80" i="123"/>
  <c r="F80" i="123"/>
  <c r="AF79" i="123"/>
  <c r="AE79" i="123"/>
  <c r="AD79" i="123"/>
  <c r="AC79" i="123"/>
  <c r="W79" i="123"/>
  <c r="V79" i="123"/>
  <c r="U79" i="123"/>
  <c r="M79" i="123"/>
  <c r="F79" i="123"/>
  <c r="AF78" i="123"/>
  <c r="AE78" i="123"/>
  <c r="AD78" i="123"/>
  <c r="W78" i="123"/>
  <c r="V78" i="123"/>
  <c r="U78" i="123"/>
  <c r="X78" i="123" s="1"/>
  <c r="K78" i="123"/>
  <c r="M78" i="123" s="1"/>
  <c r="F78" i="123"/>
  <c r="AF77" i="123"/>
  <c r="AE77" i="123"/>
  <c r="AD77" i="123"/>
  <c r="AC77" i="123"/>
  <c r="W77" i="123"/>
  <c r="V77" i="123"/>
  <c r="U77" i="123"/>
  <c r="M77" i="123"/>
  <c r="F77" i="123"/>
  <c r="L77" i="123" s="1"/>
  <c r="AF76" i="123"/>
  <c r="AE76" i="123"/>
  <c r="AD76" i="123"/>
  <c r="AC76" i="123"/>
  <c r="W76" i="123"/>
  <c r="V76" i="123"/>
  <c r="U76" i="123"/>
  <c r="X76" i="123" s="1"/>
  <c r="M76" i="123"/>
  <c r="F76" i="123"/>
  <c r="AF75" i="123"/>
  <c r="AE75" i="123"/>
  <c r="AD75" i="123"/>
  <c r="AC75" i="123"/>
  <c r="W75" i="123"/>
  <c r="V75" i="123"/>
  <c r="U75" i="123"/>
  <c r="M75" i="123"/>
  <c r="F75" i="123"/>
  <c r="AF74" i="123"/>
  <c r="AE74" i="123"/>
  <c r="AD74" i="123"/>
  <c r="AC74" i="123"/>
  <c r="W74" i="123"/>
  <c r="V74" i="123"/>
  <c r="U74" i="123"/>
  <c r="M74" i="123"/>
  <c r="F74" i="123"/>
  <c r="AF73" i="123"/>
  <c r="AE73" i="123"/>
  <c r="AD73" i="123"/>
  <c r="AC73" i="123"/>
  <c r="W73" i="123"/>
  <c r="V73" i="123"/>
  <c r="U73" i="123"/>
  <c r="X73" i="123" s="1"/>
  <c r="M73" i="123"/>
  <c r="F73" i="123"/>
  <c r="N73" i="123" s="1"/>
  <c r="AF72" i="123"/>
  <c r="AE72" i="123"/>
  <c r="AD72" i="123"/>
  <c r="AC72" i="123"/>
  <c r="W72" i="123"/>
  <c r="V72" i="123"/>
  <c r="U72" i="123"/>
  <c r="M72" i="123"/>
  <c r="F72" i="123"/>
  <c r="N72" i="123" s="1"/>
  <c r="AF71" i="123"/>
  <c r="AE71" i="123"/>
  <c r="AD71" i="123"/>
  <c r="AC71" i="123"/>
  <c r="W71" i="123"/>
  <c r="V71" i="123"/>
  <c r="U71" i="123"/>
  <c r="X71" i="123" s="1"/>
  <c r="AA48" i="155" l="1"/>
  <c r="AA102" i="145"/>
  <c r="Z102" i="145" s="1"/>
  <c r="M253" i="124"/>
  <c r="Y253" i="124" s="1"/>
  <c r="Z102" i="124"/>
  <c r="AA102" i="155"/>
  <c r="Y102" i="124"/>
  <c r="AA102" i="124"/>
  <c r="AA253" i="124" s="1"/>
  <c r="AA102" i="128"/>
  <c r="Z102" i="128" s="1"/>
  <c r="Z72" i="123"/>
  <c r="AD253" i="124"/>
  <c r="L78" i="123"/>
  <c r="N78" i="123" s="1"/>
  <c r="AA48" i="141"/>
  <c r="Z48" i="141" s="1"/>
  <c r="L79" i="123"/>
  <c r="N79" i="123"/>
  <c r="AA79" i="123" s="1"/>
  <c r="L81" i="123"/>
  <c r="N81" i="123"/>
  <c r="AA81" i="123" s="1"/>
  <c r="L80" i="123"/>
  <c r="N80" i="123"/>
  <c r="AA80" i="123" s="1"/>
  <c r="L82" i="123"/>
  <c r="N82" i="123"/>
  <c r="AA82" i="123" s="1"/>
  <c r="L84" i="123"/>
  <c r="N84" i="123"/>
  <c r="N77" i="123"/>
  <c r="AA77" i="123" s="1"/>
  <c r="AC253" i="124"/>
  <c r="N253" i="124"/>
  <c r="AA192" i="125"/>
  <c r="Z67" i="148"/>
  <c r="AA102" i="148"/>
  <c r="AA102" i="131"/>
  <c r="N76" i="123"/>
  <c r="AA76" i="123" s="1"/>
  <c r="Z76" i="123" s="1"/>
  <c r="Z73" i="123"/>
  <c r="Y73" i="123" s="1"/>
  <c r="N74" i="123"/>
  <c r="AA74" i="123" s="1"/>
  <c r="Z84" i="123"/>
  <c r="N75" i="123"/>
  <c r="AA75" i="123" s="1"/>
  <c r="N48" i="124"/>
  <c r="Y48" i="124"/>
  <c r="X48" i="124"/>
  <c r="Y72" i="123"/>
  <c r="X72" i="123" s="1"/>
  <c r="AA72" i="123"/>
  <c r="AA73" i="123"/>
  <c r="Z83" i="123"/>
  <c r="Y83" i="123" s="1"/>
  <c r="Y81" i="123"/>
  <c r="AA78" i="123"/>
  <c r="Z75" i="123"/>
  <c r="Y74" i="123"/>
  <c r="X74" i="123" s="1"/>
  <c r="AA48" i="124"/>
  <c r="Z48" i="124" s="1"/>
  <c r="Z89" i="124"/>
  <c r="X253" i="124"/>
  <c r="Y75" i="123"/>
  <c r="X75" i="123" s="1"/>
  <c r="Z81" i="123"/>
  <c r="X83" i="123"/>
  <c r="Y76" i="123"/>
  <c r="Y77" i="123"/>
  <c r="Z78" i="123"/>
  <c r="Y78" i="123" s="1"/>
  <c r="AC78" i="123"/>
  <c r="Y79" i="123"/>
  <c r="Y80" i="123"/>
  <c r="Z82" i="123"/>
  <c r="Y82" i="123" s="1"/>
  <c r="AA83" i="123"/>
  <c r="Z74" i="123"/>
  <c r="X77" i="123"/>
  <c r="Z77" i="123"/>
  <c r="X79" i="123"/>
  <c r="Z79" i="123"/>
  <c r="X80" i="123"/>
  <c r="Z80" i="123"/>
  <c r="M71" i="123"/>
  <c r="Z71" i="123" s="1"/>
  <c r="F71" i="123"/>
  <c r="N71" i="123" s="1"/>
  <c r="AA71" i="123" s="1"/>
  <c r="AF70" i="123"/>
  <c r="AE70" i="123"/>
  <c r="AD70" i="123"/>
  <c r="AC70" i="123"/>
  <c r="W70" i="123"/>
  <c r="V70" i="123"/>
  <c r="U70" i="123"/>
  <c r="Z253" i="124" l="1"/>
  <c r="AA84" i="123"/>
  <c r="Z102" i="148"/>
  <c r="Y71" i="123"/>
  <c r="M70" i="123"/>
  <c r="Z70" i="123" s="1"/>
  <c r="F70" i="123"/>
  <c r="N70" i="123" s="1"/>
  <c r="AA70" i="123" s="1"/>
  <c r="AF69" i="123"/>
  <c r="AE69" i="123"/>
  <c r="AD69" i="123"/>
  <c r="AC69" i="123"/>
  <c r="W69" i="123"/>
  <c r="V69" i="123"/>
  <c r="U69" i="123"/>
  <c r="M69" i="123"/>
  <c r="F69" i="123"/>
  <c r="N69" i="123" s="1"/>
  <c r="AF68" i="123"/>
  <c r="AE68" i="123"/>
  <c r="AD68" i="123"/>
  <c r="AC68" i="123"/>
  <c r="W68" i="123"/>
  <c r="V68" i="123"/>
  <c r="U68" i="123"/>
  <c r="M68" i="123"/>
  <c r="F68" i="123"/>
  <c r="N68" i="123" s="1"/>
  <c r="AF67" i="123"/>
  <c r="AE67" i="123"/>
  <c r="AD67" i="123"/>
  <c r="AC67" i="123"/>
  <c r="W67" i="123"/>
  <c r="V67" i="123"/>
  <c r="U67" i="123"/>
  <c r="M67" i="123"/>
  <c r="F67" i="123"/>
  <c r="A67" i="123"/>
  <c r="AF66" i="123"/>
  <c r="AE66" i="123"/>
  <c r="AD66" i="123"/>
  <c r="AC66" i="123"/>
  <c r="W66" i="123"/>
  <c r="V66" i="123"/>
  <c r="U66" i="123"/>
  <c r="M66" i="123"/>
  <c r="F66" i="123"/>
  <c r="E49" i="123"/>
  <c r="D49" i="123"/>
  <c r="T48" i="123"/>
  <c r="S48" i="123"/>
  <c r="R48" i="123"/>
  <c r="Q48" i="123"/>
  <c r="P48" i="123"/>
  <c r="O48" i="123"/>
  <c r="E48" i="123"/>
  <c r="D48" i="123"/>
  <c r="AF46" i="123"/>
  <c r="AE46" i="123"/>
  <c r="AD46" i="123"/>
  <c r="AC46" i="123"/>
  <c r="W46" i="123"/>
  <c r="V46" i="123"/>
  <c r="U46" i="123"/>
  <c r="M46" i="123"/>
  <c r="F46" i="123"/>
  <c r="AF45" i="123"/>
  <c r="AE45" i="123"/>
  <c r="AD45" i="123"/>
  <c r="AC45" i="123"/>
  <c r="W45" i="123"/>
  <c r="V45" i="123"/>
  <c r="U45" i="123"/>
  <c r="M45" i="123"/>
  <c r="F45" i="123"/>
  <c r="AF44" i="123"/>
  <c r="AE44" i="123"/>
  <c r="AD44" i="123"/>
  <c r="AC44" i="123"/>
  <c r="W44" i="123"/>
  <c r="V44" i="123"/>
  <c r="U44" i="123"/>
  <c r="M44" i="123"/>
  <c r="F44" i="123"/>
  <c r="AF43" i="123"/>
  <c r="AE43" i="123"/>
  <c r="AD43" i="123"/>
  <c r="AC43" i="123"/>
  <c r="W43" i="123"/>
  <c r="V43" i="123"/>
  <c r="U43" i="123"/>
  <c r="M43" i="123"/>
  <c r="F43" i="123"/>
  <c r="AF42" i="123"/>
  <c r="AE42" i="123"/>
  <c r="AD42" i="123"/>
  <c r="AC42" i="123"/>
  <c r="W42" i="123"/>
  <c r="V42" i="123"/>
  <c r="U42" i="123"/>
  <c r="X42" i="123" s="1"/>
  <c r="M42" i="123"/>
  <c r="F42" i="123"/>
  <c r="AF41" i="123"/>
  <c r="AE41" i="123"/>
  <c r="AD41" i="123"/>
  <c r="AC41" i="123"/>
  <c r="W41" i="123"/>
  <c r="V41" i="123"/>
  <c r="U41" i="123"/>
  <c r="M41" i="123"/>
  <c r="F41" i="123"/>
  <c r="AF40" i="123"/>
  <c r="AE40" i="123"/>
  <c r="AD40" i="123"/>
  <c r="AC40" i="123"/>
  <c r="W40" i="123"/>
  <c r="V40" i="123"/>
  <c r="U40" i="123"/>
  <c r="M40" i="123"/>
  <c r="F40" i="123"/>
  <c r="AF39" i="123"/>
  <c r="AE39" i="123"/>
  <c r="AD39" i="123"/>
  <c r="AC39" i="123"/>
  <c r="W39" i="123"/>
  <c r="V39" i="123"/>
  <c r="U39" i="123"/>
  <c r="M39" i="123"/>
  <c r="F39" i="123"/>
  <c r="AF38" i="123"/>
  <c r="AE38" i="123"/>
  <c r="AD38" i="123"/>
  <c r="AC38" i="123"/>
  <c r="W38" i="123"/>
  <c r="V38" i="123"/>
  <c r="U38" i="123"/>
  <c r="M38" i="123"/>
  <c r="F38" i="123"/>
  <c r="AF37" i="123"/>
  <c r="AE37" i="123"/>
  <c r="AD37" i="123"/>
  <c r="AC37" i="123"/>
  <c r="W37" i="123"/>
  <c r="V37" i="123"/>
  <c r="U37" i="123"/>
  <c r="M37" i="123"/>
  <c r="F37" i="123"/>
  <c r="AF36" i="123"/>
  <c r="AE36" i="123"/>
  <c r="AD36" i="123"/>
  <c r="AC36" i="123"/>
  <c r="W36" i="123"/>
  <c r="V36" i="123"/>
  <c r="U36" i="123"/>
  <c r="M36" i="123"/>
  <c r="F36" i="123"/>
  <c r="AF35" i="123"/>
  <c r="AE35" i="123"/>
  <c r="AD35" i="123"/>
  <c r="AC35" i="123"/>
  <c r="W35" i="123"/>
  <c r="V35" i="123"/>
  <c r="U35" i="123"/>
  <c r="M35" i="123"/>
  <c r="F35" i="123"/>
  <c r="AF34" i="123"/>
  <c r="AE34" i="123"/>
  <c r="AD34" i="123"/>
  <c r="AC34" i="123"/>
  <c r="W34" i="123"/>
  <c r="V34" i="123"/>
  <c r="U34" i="123"/>
  <c r="M34" i="123"/>
  <c r="F34" i="123"/>
  <c r="AF33" i="123"/>
  <c r="AE33" i="123"/>
  <c r="AD33" i="123"/>
  <c r="AC33" i="123"/>
  <c r="W33" i="123"/>
  <c r="V33" i="123"/>
  <c r="U33" i="123"/>
  <c r="M33" i="123"/>
  <c r="F33" i="123"/>
  <c r="AF32" i="123"/>
  <c r="AE32" i="123"/>
  <c r="AD32" i="123"/>
  <c r="AC32" i="123"/>
  <c r="W32" i="123"/>
  <c r="V32" i="123"/>
  <c r="U32" i="123"/>
  <c r="M32" i="123"/>
  <c r="F32" i="123"/>
  <c r="AF31" i="123"/>
  <c r="AE31" i="123"/>
  <c r="AD31" i="123"/>
  <c r="AC31" i="123"/>
  <c r="W31" i="123"/>
  <c r="V31" i="123"/>
  <c r="U31" i="123"/>
  <c r="X31" i="123" s="1"/>
  <c r="M31" i="123"/>
  <c r="F31" i="123"/>
  <c r="AF30" i="123"/>
  <c r="AE30" i="123"/>
  <c r="AD30" i="123"/>
  <c r="AC30" i="123"/>
  <c r="W30" i="123"/>
  <c r="V30" i="123"/>
  <c r="U30" i="123"/>
  <c r="X30" i="123" s="1"/>
  <c r="M30" i="123"/>
  <c r="F30" i="123"/>
  <c r="AF29" i="123"/>
  <c r="AE29" i="123"/>
  <c r="AD29" i="123"/>
  <c r="AC29" i="123"/>
  <c r="W29" i="123"/>
  <c r="V29" i="123"/>
  <c r="U29" i="123"/>
  <c r="X29" i="123" s="1"/>
  <c r="M29" i="123"/>
  <c r="F29" i="123"/>
  <c r="N29" i="123" s="1"/>
  <c r="AF28" i="123"/>
  <c r="AE28" i="123"/>
  <c r="AD28" i="123"/>
  <c r="AC28" i="123"/>
  <c r="W28" i="123"/>
  <c r="V28" i="123"/>
  <c r="U28" i="123"/>
  <c r="M28" i="123"/>
  <c r="F28" i="123"/>
  <c r="N28" i="123" s="1"/>
  <c r="AF27" i="123"/>
  <c r="AE27" i="123"/>
  <c r="AD27" i="123"/>
  <c r="AC27" i="123"/>
  <c r="W27" i="123"/>
  <c r="V27" i="123"/>
  <c r="U27" i="123"/>
  <c r="M27" i="123"/>
  <c r="F27" i="123"/>
  <c r="N27" i="123" s="1"/>
  <c r="AF26" i="123"/>
  <c r="AE26" i="123"/>
  <c r="AD26" i="123"/>
  <c r="AC26" i="123"/>
  <c r="W26" i="123"/>
  <c r="V26" i="123"/>
  <c r="U26" i="123"/>
  <c r="M26" i="123"/>
  <c r="F26" i="123"/>
  <c r="AF25" i="123"/>
  <c r="AE25" i="123"/>
  <c r="AD25" i="123"/>
  <c r="AC25" i="123"/>
  <c r="W25" i="123"/>
  <c r="V25" i="123"/>
  <c r="U25" i="123"/>
  <c r="M25" i="123"/>
  <c r="F25" i="123"/>
  <c r="L25" i="123" s="1"/>
  <c r="N25" i="123" s="1"/>
  <c r="AF24" i="123"/>
  <c r="AE24" i="123"/>
  <c r="AD24" i="123"/>
  <c r="AC24" i="123"/>
  <c r="W24" i="123"/>
  <c r="V24" i="123"/>
  <c r="U24" i="123"/>
  <c r="M24" i="123"/>
  <c r="F24" i="123"/>
  <c r="N24" i="123" s="1"/>
  <c r="AF23" i="123"/>
  <c r="AE23" i="123"/>
  <c r="AD23" i="123"/>
  <c r="AC23" i="123"/>
  <c r="W23" i="123"/>
  <c r="V23" i="123"/>
  <c r="U23" i="123"/>
  <c r="M23" i="123"/>
  <c r="F23" i="123"/>
  <c r="N23" i="123" s="1"/>
  <c r="AF22" i="123"/>
  <c r="AE22" i="123"/>
  <c r="AD22" i="123"/>
  <c r="AC22" i="123"/>
  <c r="W22" i="123"/>
  <c r="V22" i="123"/>
  <c r="U22" i="123"/>
  <c r="M22" i="123"/>
  <c r="F22" i="123"/>
  <c r="N22" i="123" s="1"/>
  <c r="AF21" i="123"/>
  <c r="AE21" i="123"/>
  <c r="AD21" i="123"/>
  <c r="AC21" i="123"/>
  <c r="W21" i="123"/>
  <c r="V21" i="123"/>
  <c r="U21" i="123"/>
  <c r="M21" i="123"/>
  <c r="F21" i="123"/>
  <c r="N21" i="123" s="1"/>
  <c r="AF20" i="123"/>
  <c r="AE20" i="123"/>
  <c r="AD20" i="123"/>
  <c r="AC20" i="123"/>
  <c r="W20" i="123"/>
  <c r="V20" i="123"/>
  <c r="U20" i="123"/>
  <c r="M20" i="123"/>
  <c r="F20" i="123"/>
  <c r="N20" i="123" s="1"/>
  <c r="AF19" i="123"/>
  <c r="AE19" i="123"/>
  <c r="AD19" i="123"/>
  <c r="AC19" i="123"/>
  <c r="W19" i="123"/>
  <c r="V19" i="123"/>
  <c r="U19" i="123"/>
  <c r="M19" i="123"/>
  <c r="F19" i="123"/>
  <c r="N19" i="123" s="1"/>
  <c r="AF18" i="123"/>
  <c r="AE18" i="123"/>
  <c r="AD18" i="123"/>
  <c r="AC18" i="123"/>
  <c r="W18" i="123"/>
  <c r="V18" i="123"/>
  <c r="U18" i="123"/>
  <c r="X18" i="123" s="1"/>
  <c r="M18" i="123"/>
  <c r="F18" i="123"/>
  <c r="N18" i="123" s="1"/>
  <c r="AF17" i="123"/>
  <c r="AE17" i="123"/>
  <c r="AD17" i="123"/>
  <c r="AC17" i="123"/>
  <c r="W17" i="123"/>
  <c r="V17" i="123"/>
  <c r="U17" i="123"/>
  <c r="M17" i="123"/>
  <c r="F17" i="123"/>
  <c r="AF16" i="123"/>
  <c r="AE16" i="123"/>
  <c r="AD16" i="123"/>
  <c r="AC16" i="123"/>
  <c r="W16" i="123"/>
  <c r="V16" i="123"/>
  <c r="U16" i="123"/>
  <c r="M16" i="123"/>
  <c r="F16" i="123"/>
  <c r="N16" i="123" s="1"/>
  <c r="AF15" i="123"/>
  <c r="AE15" i="123"/>
  <c r="AD15" i="123"/>
  <c r="AC15" i="123"/>
  <c r="W15" i="123"/>
  <c r="V15" i="123"/>
  <c r="U15" i="123"/>
  <c r="M15" i="123"/>
  <c r="F15" i="123"/>
  <c r="AF14" i="123"/>
  <c r="AE14" i="123"/>
  <c r="AD14" i="123"/>
  <c r="AC14" i="123"/>
  <c r="W14" i="123"/>
  <c r="V14" i="123"/>
  <c r="U14" i="123"/>
  <c r="M14" i="123"/>
  <c r="F14" i="123"/>
  <c r="N14" i="123" s="1"/>
  <c r="A14" i="123"/>
  <c r="AF13" i="123"/>
  <c r="AE13" i="123"/>
  <c r="AD13" i="123"/>
  <c r="AC13" i="123"/>
  <c r="W13" i="123"/>
  <c r="V13" i="123"/>
  <c r="U13" i="123"/>
  <c r="X13" i="123" s="1"/>
  <c r="M13" i="123"/>
  <c r="F13" i="123"/>
  <c r="E5" i="123"/>
  <c r="A2" i="123"/>
  <c r="D162" i="122"/>
  <c r="T161" i="122"/>
  <c r="S161" i="122"/>
  <c r="R161" i="122"/>
  <c r="Q161" i="122"/>
  <c r="P161" i="122"/>
  <c r="O161" i="122"/>
  <c r="E161" i="122"/>
  <c r="D161" i="122"/>
  <c r="AF100" i="122"/>
  <c r="AE100" i="122"/>
  <c r="AD100" i="122"/>
  <c r="AC100" i="122"/>
  <c r="W100" i="122"/>
  <c r="V100" i="122"/>
  <c r="U100" i="122"/>
  <c r="N100" i="122" s="1"/>
  <c r="M100" i="122"/>
  <c r="AF99" i="122"/>
  <c r="AE99" i="122"/>
  <c r="AD99" i="122"/>
  <c r="AC99" i="122"/>
  <c r="W99" i="122"/>
  <c r="V99" i="122"/>
  <c r="U99" i="122"/>
  <c r="N99" i="122"/>
  <c r="M99" i="122"/>
  <c r="AF96" i="122"/>
  <c r="AE96" i="122"/>
  <c r="AD96" i="122"/>
  <c r="AC96" i="122"/>
  <c r="W96" i="122"/>
  <c r="V96" i="122"/>
  <c r="U96" i="122"/>
  <c r="M96" i="122"/>
  <c r="AE95" i="122"/>
  <c r="W95" i="122"/>
  <c r="V95" i="122"/>
  <c r="U95" i="122"/>
  <c r="M95" i="122"/>
  <c r="Z14" i="123" l="1"/>
  <c r="Z17" i="123"/>
  <c r="Z29" i="123"/>
  <c r="Y29" i="123" s="1"/>
  <c r="Z32" i="123"/>
  <c r="Z36" i="123"/>
  <c r="Z40" i="123"/>
  <c r="Z16" i="123"/>
  <c r="Z31" i="123"/>
  <c r="Z39" i="123"/>
  <c r="Z27" i="123"/>
  <c r="AA28" i="123"/>
  <c r="Z30" i="123"/>
  <c r="Y30" i="123" s="1"/>
  <c r="Z38" i="123"/>
  <c r="AD167" i="123"/>
  <c r="F167" i="123"/>
  <c r="W167" i="123"/>
  <c r="AF167" i="123"/>
  <c r="AA69" i="123"/>
  <c r="AA14" i="123"/>
  <c r="AA29" i="123"/>
  <c r="V167" i="123"/>
  <c r="F48" i="123"/>
  <c r="Y15" i="123"/>
  <c r="X15" i="123" s="1"/>
  <c r="AA27" i="123"/>
  <c r="Z37" i="123"/>
  <c r="Z41" i="123"/>
  <c r="Z45" i="123"/>
  <c r="AC167" i="123"/>
  <c r="A15" i="123"/>
  <c r="A16" i="123" s="1"/>
  <c r="A17" i="123" s="1"/>
  <c r="A18" i="123" s="1"/>
  <c r="A19" i="123" s="1"/>
  <c r="A20" i="123" s="1"/>
  <c r="A21" i="123" s="1"/>
  <c r="A22" i="123" s="1"/>
  <c r="A23" i="123" s="1"/>
  <c r="A24" i="123" s="1"/>
  <c r="A25" i="123" s="1"/>
  <c r="A26" i="123" s="1"/>
  <c r="A27" i="123" s="1"/>
  <c r="AA16" i="123"/>
  <c r="Z18" i="123"/>
  <c r="Y18" i="123" s="1"/>
  <c r="Y20" i="123"/>
  <c r="Y27" i="123"/>
  <c r="X27" i="123" s="1"/>
  <c r="Z28" i="123"/>
  <c r="Y28" i="123" s="1"/>
  <c r="N34" i="123"/>
  <c r="AA34" i="123" s="1"/>
  <c r="Z34" i="123" s="1"/>
  <c r="N36" i="123"/>
  <c r="AA36" i="123" s="1"/>
  <c r="N38" i="123"/>
  <c r="AA38" i="123" s="1"/>
  <c r="N43" i="123"/>
  <c r="AA43" i="123" s="1"/>
  <c r="N45" i="123"/>
  <c r="AA45" i="123" s="1"/>
  <c r="N67" i="123"/>
  <c r="AA67" i="123" s="1"/>
  <c r="Z68" i="123"/>
  <c r="Y68" i="123" s="1"/>
  <c r="Z69" i="123"/>
  <c r="Y14" i="123"/>
  <c r="X14" i="123" s="1"/>
  <c r="Y16" i="123"/>
  <c r="X16" i="123" s="1"/>
  <c r="Z19" i="123"/>
  <c r="Y19" i="123" s="1"/>
  <c r="N26" i="123"/>
  <c r="AA26" i="123" s="1"/>
  <c r="N33" i="123"/>
  <c r="AA33" i="123" s="1"/>
  <c r="N35" i="123"/>
  <c r="AA35" i="123" s="1"/>
  <c r="X36" i="123"/>
  <c r="N37" i="123"/>
  <c r="AA37" i="123" s="1"/>
  <c r="N44" i="123"/>
  <c r="AA44" i="123" s="1"/>
  <c r="N46" i="123"/>
  <c r="AA46" i="123" s="1"/>
  <c r="Z46" i="123" s="1"/>
  <c r="Z66" i="123"/>
  <c r="AA23" i="123"/>
  <c r="Z100" i="122"/>
  <c r="Y99" i="122"/>
  <c r="X99" i="122" s="1"/>
  <c r="AA100" i="122"/>
  <c r="X19" i="123"/>
  <c r="L96" i="122"/>
  <c r="Z99" i="122"/>
  <c r="Z13" i="123"/>
  <c r="Y13" i="123" s="1"/>
  <c r="Y100" i="122"/>
  <c r="X100" i="122" s="1"/>
  <c r="N15" i="123"/>
  <c r="AA15" i="123" s="1"/>
  <c r="Z15" i="123" s="1"/>
  <c r="Y17" i="123"/>
  <c r="X17" i="123" s="1"/>
  <c r="AA18" i="123"/>
  <c r="AA19" i="123"/>
  <c r="M48" i="123"/>
  <c r="N66" i="123"/>
  <c r="U167" i="123"/>
  <c r="Y66" i="123"/>
  <c r="N13" i="123"/>
  <c r="AA13" i="123" s="1"/>
  <c r="N17" i="123"/>
  <c r="AA17" i="123" s="1"/>
  <c r="AA24" i="123"/>
  <c r="X28" i="123"/>
  <c r="Y33" i="123"/>
  <c r="X33" i="123" s="1"/>
  <c r="X34" i="123"/>
  <c r="Y35" i="123"/>
  <c r="X35" i="123" s="1"/>
  <c r="Y36" i="123"/>
  <c r="X37" i="123"/>
  <c r="X38" i="123"/>
  <c r="Y43" i="123"/>
  <c r="X43" i="123" s="1"/>
  <c r="Y44" i="123"/>
  <c r="X44" i="123" s="1"/>
  <c r="X45" i="123"/>
  <c r="Y46" i="123"/>
  <c r="X46" i="123" s="1"/>
  <c r="AE167" i="123"/>
  <c r="X67" i="123"/>
  <c r="X68" i="123"/>
  <c r="Y69" i="123"/>
  <c r="X69" i="123" s="1"/>
  <c r="W48" i="123"/>
  <c r="Y32" i="123"/>
  <c r="X32" i="123" s="1"/>
  <c r="Z33" i="123"/>
  <c r="Y34" i="123"/>
  <c r="Z35" i="123"/>
  <c r="Y37" i="123"/>
  <c r="Y38" i="123"/>
  <c r="Y39" i="123"/>
  <c r="X39" i="123" s="1"/>
  <c r="Y40" i="123"/>
  <c r="X40" i="123" s="1"/>
  <c r="Y41" i="123"/>
  <c r="X41" i="123" s="1"/>
  <c r="Z43" i="123"/>
  <c r="Z44" i="123"/>
  <c r="Y45" i="123"/>
  <c r="Z67" i="123"/>
  <c r="Y67" i="123" s="1"/>
  <c r="AA99" i="122"/>
  <c r="AA25" i="123"/>
  <c r="N30" i="123"/>
  <c r="AA30" i="123" s="1"/>
  <c r="N31" i="123"/>
  <c r="AA31" i="123" s="1"/>
  <c r="Y31" i="123"/>
  <c r="N32" i="123"/>
  <c r="AA32" i="123" s="1"/>
  <c r="N39" i="123"/>
  <c r="AA39" i="123" s="1"/>
  <c r="N40" i="123"/>
  <c r="AA40" i="123" s="1"/>
  <c r="N41" i="123"/>
  <c r="AA41" i="123" s="1"/>
  <c r="N42" i="123"/>
  <c r="AA42" i="123" s="1"/>
  <c r="Z42" i="123" s="1"/>
  <c r="Y42" i="123"/>
  <c r="M167" i="123"/>
  <c r="X66" i="123"/>
  <c r="A68" i="123"/>
  <c r="A69" i="123" s="1"/>
  <c r="A70" i="123" s="1"/>
  <c r="A71" i="123" s="1"/>
  <c r="A72" i="123" s="1"/>
  <c r="A73" i="123" s="1"/>
  <c r="A74" i="123" s="1"/>
  <c r="A75" i="123" s="1"/>
  <c r="A76" i="123" s="1"/>
  <c r="AA68" i="123"/>
  <c r="Y70" i="123"/>
  <c r="X70" i="123" s="1"/>
  <c r="Z20" i="123"/>
  <c r="X20" i="123"/>
  <c r="U48" i="123"/>
  <c r="N96" i="122"/>
  <c r="AA96" i="122" s="1"/>
  <c r="Z96" i="122" s="1"/>
  <c r="AD48" i="123"/>
  <c r="AF48" i="123"/>
  <c r="AA20" i="123"/>
  <c r="V48" i="123"/>
  <c r="AC48" i="123"/>
  <c r="AE48" i="123"/>
  <c r="X26" i="123"/>
  <c r="Z26" i="123"/>
  <c r="Y26" i="123"/>
  <c r="AA22" i="123"/>
  <c r="Y22" i="123"/>
  <c r="X22" i="123" s="1"/>
  <c r="X21" i="123"/>
  <c r="Y24" i="123"/>
  <c r="X24" i="123" s="1"/>
  <c r="X25" i="123"/>
  <c r="Z25" i="123"/>
  <c r="Z24" i="123"/>
  <c r="Y25" i="123"/>
  <c r="AA21" i="123"/>
  <c r="Z22" i="123"/>
  <c r="Z23" i="123"/>
  <c r="Z21" i="123"/>
  <c r="Y23" i="123"/>
  <c r="X23" i="123" s="1"/>
  <c r="Y96" i="122"/>
  <c r="X96" i="122"/>
  <c r="Y95" i="122"/>
  <c r="X95" i="122" s="1"/>
  <c r="AF95" i="122" s="1"/>
  <c r="Z95" i="122"/>
  <c r="F95" i="122"/>
  <c r="L95" i="122" s="1"/>
  <c r="N95" i="122" s="1"/>
  <c r="AA95" i="122" s="1"/>
  <c r="AF94" i="122"/>
  <c r="AE94" i="122"/>
  <c r="AD94" i="122"/>
  <c r="AC94" i="122"/>
  <c r="W94" i="122"/>
  <c r="V94" i="122"/>
  <c r="U94" i="122"/>
  <c r="M94" i="122"/>
  <c r="F94" i="122"/>
  <c r="AF93" i="122"/>
  <c r="AE93" i="122"/>
  <c r="AD93" i="122"/>
  <c r="AC93" i="122"/>
  <c r="W93" i="122"/>
  <c r="V93" i="122"/>
  <c r="U93" i="122"/>
  <c r="M93" i="122"/>
  <c r="F93" i="122"/>
  <c r="L93" i="122" s="1"/>
  <c r="AF92" i="122"/>
  <c r="AE92" i="122"/>
  <c r="AD92" i="122"/>
  <c r="W92" i="122"/>
  <c r="V92" i="122"/>
  <c r="U92" i="122"/>
  <c r="M92" i="122"/>
  <c r="F92" i="122"/>
  <c r="N92" i="122" s="1"/>
  <c r="AF91" i="122"/>
  <c r="AE91" i="122"/>
  <c r="AD91" i="122"/>
  <c r="AC91" i="122"/>
  <c r="W91" i="122"/>
  <c r="V91" i="122"/>
  <c r="U91" i="122"/>
  <c r="M91" i="122"/>
  <c r="F91" i="122"/>
  <c r="N91" i="122" s="1"/>
  <c r="AF90" i="122"/>
  <c r="AE90" i="122"/>
  <c r="W90" i="122"/>
  <c r="V90" i="122"/>
  <c r="U90" i="122"/>
  <c r="M90" i="122"/>
  <c r="F90" i="122"/>
  <c r="L90" i="122" s="1"/>
  <c r="AF89" i="122"/>
  <c r="AE89" i="122"/>
  <c r="AD89" i="122"/>
  <c r="W89" i="122"/>
  <c r="V89" i="122"/>
  <c r="U89" i="122"/>
  <c r="M89" i="122"/>
  <c r="F89" i="122"/>
  <c r="N89" i="122" s="1"/>
  <c r="AF88" i="122"/>
  <c r="AE88" i="122"/>
  <c r="AD88" i="122"/>
  <c r="AC88" i="122"/>
  <c r="W88" i="122"/>
  <c r="V88" i="122"/>
  <c r="U88" i="122"/>
  <c r="M88" i="122"/>
  <c r="F88" i="122"/>
  <c r="AF87" i="122"/>
  <c r="AE87" i="122"/>
  <c r="AD87" i="122"/>
  <c r="AC87" i="122"/>
  <c r="W87" i="122"/>
  <c r="V87" i="122"/>
  <c r="U87" i="122"/>
  <c r="K87" i="122"/>
  <c r="M87" i="122" s="1"/>
  <c r="F87" i="122"/>
  <c r="AF86" i="122"/>
  <c r="AE86" i="122"/>
  <c r="AD86" i="122"/>
  <c r="AC86" i="122"/>
  <c r="W86" i="122"/>
  <c r="V86" i="122"/>
  <c r="U86" i="122"/>
  <c r="M86" i="122"/>
  <c r="K86" i="122"/>
  <c r="F86" i="122"/>
  <c r="AF85" i="122"/>
  <c r="AE85" i="122"/>
  <c r="AD85" i="122"/>
  <c r="AC85" i="122"/>
  <c r="W85" i="122"/>
  <c r="V85" i="122"/>
  <c r="U85" i="122"/>
  <c r="M85" i="122"/>
  <c r="K85" i="122"/>
  <c r="F85" i="122"/>
  <c r="N85" i="122" s="1"/>
  <c r="AE84" i="122"/>
  <c r="AD84" i="122"/>
  <c r="AC84" i="122"/>
  <c r="W84" i="122"/>
  <c r="V84" i="122"/>
  <c r="U84" i="122"/>
  <c r="X84" i="122" s="1"/>
  <c r="M84" i="122"/>
  <c r="F84" i="122"/>
  <c r="N84" i="122" s="1"/>
  <c r="AD83" i="122"/>
  <c r="W83" i="122"/>
  <c r="V83" i="122"/>
  <c r="U83" i="122"/>
  <c r="X83" i="122" s="1"/>
  <c r="AE83" i="122" s="1"/>
  <c r="M83" i="122"/>
  <c r="F83" i="122"/>
  <c r="A83" i="122" s="1"/>
  <c r="W82" i="122"/>
  <c r="V82" i="122"/>
  <c r="U82" i="122"/>
  <c r="M82" i="122"/>
  <c r="F82" i="122"/>
  <c r="N82" i="122" s="1"/>
  <c r="AF81" i="122"/>
  <c r="AE81" i="122"/>
  <c r="AD81" i="122"/>
  <c r="AC81" i="122"/>
  <c r="W81" i="122"/>
  <c r="V81" i="122"/>
  <c r="U81" i="122"/>
  <c r="M81" i="122"/>
  <c r="F81" i="122"/>
  <c r="N81" i="122" s="1"/>
  <c r="AE80" i="122"/>
  <c r="W80" i="122"/>
  <c r="V80" i="122"/>
  <c r="U80" i="122"/>
  <c r="X80" i="122" s="1"/>
  <c r="AD80" i="122" s="1"/>
  <c r="M80" i="122"/>
  <c r="F80" i="122"/>
  <c r="N80" i="122" s="1"/>
  <c r="AF79" i="122"/>
  <c r="AE79" i="122"/>
  <c r="AD79" i="122"/>
  <c r="AC79" i="122"/>
  <c r="W79" i="122"/>
  <c r="V79" i="122"/>
  <c r="U79" i="122"/>
  <c r="M79" i="122"/>
  <c r="F79" i="122"/>
  <c r="N79" i="122" s="1"/>
  <c r="AF78" i="122"/>
  <c r="AE78" i="122"/>
  <c r="AD78" i="122"/>
  <c r="AC78" i="122"/>
  <c r="W78" i="122"/>
  <c r="V78" i="122"/>
  <c r="U78" i="122"/>
  <c r="M78" i="122"/>
  <c r="F78" i="122"/>
  <c r="N78" i="122" s="1"/>
  <c r="AE77" i="122"/>
  <c r="AD77" i="122"/>
  <c r="W77" i="122"/>
  <c r="V77" i="122"/>
  <c r="U77" i="122"/>
  <c r="X77" i="122" s="1"/>
  <c r="AF77" i="122" s="1"/>
  <c r="M77" i="122"/>
  <c r="F77" i="122"/>
  <c r="N77" i="122" s="1"/>
  <c r="AF76" i="122"/>
  <c r="AE76" i="122"/>
  <c r="AD76" i="122"/>
  <c r="AC76" i="122"/>
  <c r="W76" i="122"/>
  <c r="V76" i="122"/>
  <c r="U76" i="122"/>
  <c r="X76" i="122" s="1"/>
  <c r="M76" i="122"/>
  <c r="F76" i="122"/>
  <c r="N76" i="122" s="1"/>
  <c r="AF75" i="122"/>
  <c r="AE75" i="122"/>
  <c r="AD75" i="122"/>
  <c r="AC75" i="122"/>
  <c r="W75" i="122"/>
  <c r="V75" i="122"/>
  <c r="U75" i="122"/>
  <c r="X75" i="122" s="1"/>
  <c r="M75" i="122"/>
  <c r="F75" i="122"/>
  <c r="N75" i="122" s="1"/>
  <c r="AF74" i="122"/>
  <c r="AE74" i="122"/>
  <c r="AD74" i="122"/>
  <c r="AC74" i="122" s="1"/>
  <c r="W74" i="122"/>
  <c r="V74" i="122"/>
  <c r="U74" i="122"/>
  <c r="M74" i="122"/>
  <c r="F74" i="122"/>
  <c r="N74" i="122" s="1"/>
  <c r="AF73" i="122"/>
  <c r="AE73" i="122"/>
  <c r="AD73" i="122"/>
  <c r="AC73" i="122"/>
  <c r="W73" i="122"/>
  <c r="V73" i="122"/>
  <c r="U73" i="122"/>
  <c r="M73" i="122"/>
  <c r="F73" i="122"/>
  <c r="N73" i="122" s="1"/>
  <c r="AF72" i="122"/>
  <c r="AE72" i="122"/>
  <c r="AD72" i="122"/>
  <c r="AC72" i="122"/>
  <c r="W72" i="122"/>
  <c r="V72" i="122"/>
  <c r="U72" i="122"/>
  <c r="M72" i="122"/>
  <c r="F72" i="122"/>
  <c r="AF71" i="122"/>
  <c r="AE71" i="122"/>
  <c r="AD71" i="122"/>
  <c r="AC71" i="122" s="1"/>
  <c r="W71" i="122"/>
  <c r="V71" i="122"/>
  <c r="U71" i="122"/>
  <c r="M71" i="122"/>
  <c r="F71" i="122"/>
  <c r="AF70" i="122"/>
  <c r="AE70" i="122"/>
  <c r="AD70" i="122"/>
  <c r="AC70" i="122"/>
  <c r="W70" i="122"/>
  <c r="V70" i="122"/>
  <c r="U70" i="122"/>
  <c r="X70" i="122" s="1"/>
  <c r="M70" i="122"/>
  <c r="F70" i="122"/>
  <c r="N70" i="122" s="1"/>
  <c r="AF69" i="122"/>
  <c r="AE69" i="122"/>
  <c r="AD69" i="122"/>
  <c r="AC69" i="122"/>
  <c r="W69" i="122"/>
  <c r="V69" i="122"/>
  <c r="U69" i="122"/>
  <c r="M69" i="122"/>
  <c r="F69" i="122"/>
  <c r="N69" i="122" s="1"/>
  <c r="AF68" i="122"/>
  <c r="AE68" i="122"/>
  <c r="AD68" i="122"/>
  <c r="AC68" i="122"/>
  <c r="W68" i="122"/>
  <c r="V68" i="122"/>
  <c r="U68" i="122"/>
  <c r="X68" i="122" s="1"/>
  <c r="M68" i="122"/>
  <c r="F68" i="122"/>
  <c r="AF67" i="122"/>
  <c r="AE67" i="122"/>
  <c r="AD67" i="122"/>
  <c r="AC67" i="122"/>
  <c r="W67" i="122"/>
  <c r="V67" i="122"/>
  <c r="U67" i="122"/>
  <c r="X67" i="122" s="1"/>
  <c r="M67" i="122"/>
  <c r="F67" i="122"/>
  <c r="N67" i="122" s="1"/>
  <c r="A67" i="122"/>
  <c r="AF66" i="122"/>
  <c r="AE66" i="122"/>
  <c r="AD66" i="122"/>
  <c r="AC66" i="122"/>
  <c r="W66" i="122"/>
  <c r="V66" i="122"/>
  <c r="U66" i="122"/>
  <c r="X66" i="122" s="1"/>
  <c r="M66" i="122"/>
  <c r="F66" i="122"/>
  <c r="E49" i="122"/>
  <c r="D49" i="122"/>
  <c r="T48" i="122"/>
  <c r="S48" i="122"/>
  <c r="R48" i="122"/>
  <c r="Q48" i="122"/>
  <c r="P48" i="122"/>
  <c r="O48" i="122"/>
  <c r="E48" i="122"/>
  <c r="D48" i="122"/>
  <c r="AF46" i="122"/>
  <c r="AE46" i="122"/>
  <c r="AD46" i="122"/>
  <c r="AC46" i="122"/>
  <c r="W46" i="122"/>
  <c r="V46" i="122"/>
  <c r="U46" i="122"/>
  <c r="M46" i="122"/>
  <c r="F46" i="122"/>
  <c r="N46" i="122" s="1"/>
  <c r="AF45" i="122"/>
  <c r="AE45" i="122"/>
  <c r="AD45" i="122"/>
  <c r="AC45" i="122"/>
  <c r="W45" i="122"/>
  <c r="V45" i="122"/>
  <c r="U45" i="122"/>
  <c r="X45" i="122" s="1"/>
  <c r="M45" i="122"/>
  <c r="F45" i="122"/>
  <c r="N45" i="122" s="1"/>
  <c r="AF44" i="122"/>
  <c r="AE44" i="122"/>
  <c r="AD44" i="122"/>
  <c r="AC44" i="122"/>
  <c r="W44" i="122"/>
  <c r="V44" i="122"/>
  <c r="U44" i="122"/>
  <c r="M44" i="122"/>
  <c r="F44" i="122"/>
  <c r="AF43" i="122"/>
  <c r="AE43" i="122"/>
  <c r="AD43" i="122"/>
  <c r="AC43" i="122"/>
  <c r="W43" i="122"/>
  <c r="V43" i="122"/>
  <c r="U43" i="122"/>
  <c r="M43" i="122"/>
  <c r="F43" i="122"/>
  <c r="AF42" i="122"/>
  <c r="AE42" i="122"/>
  <c r="AD42" i="122"/>
  <c r="AC42" i="122"/>
  <c r="W42" i="122"/>
  <c r="V42" i="122"/>
  <c r="U42" i="122"/>
  <c r="M42" i="122"/>
  <c r="F42" i="122"/>
  <c r="AF41" i="122"/>
  <c r="AE41" i="122"/>
  <c r="AD41" i="122"/>
  <c r="AC41" i="122"/>
  <c r="W41" i="122"/>
  <c r="V41" i="122"/>
  <c r="U41" i="122"/>
  <c r="X41" i="122" s="1"/>
  <c r="M41" i="122"/>
  <c r="F41" i="122"/>
  <c r="AF40" i="122"/>
  <c r="AE40" i="122"/>
  <c r="AD40" i="122"/>
  <c r="AC40" i="122"/>
  <c r="W40" i="122"/>
  <c r="V40" i="122"/>
  <c r="U40" i="122"/>
  <c r="X40" i="122" s="1"/>
  <c r="M40" i="122"/>
  <c r="F40" i="122"/>
  <c r="N40" i="122" s="1"/>
  <c r="AF39" i="122"/>
  <c r="AE39" i="122"/>
  <c r="AD39" i="122"/>
  <c r="AC39" i="122"/>
  <c r="W39" i="122"/>
  <c r="V39" i="122"/>
  <c r="U39" i="122"/>
  <c r="M39" i="122"/>
  <c r="F39" i="122"/>
  <c r="N39" i="122" s="1"/>
  <c r="AF38" i="122"/>
  <c r="AE38" i="122"/>
  <c r="AD38" i="122"/>
  <c r="AC38" i="122"/>
  <c r="W38" i="122"/>
  <c r="V38" i="122"/>
  <c r="U38" i="122"/>
  <c r="M38" i="122"/>
  <c r="F38" i="122"/>
  <c r="N38" i="122" s="1"/>
  <c r="AF37" i="122"/>
  <c r="AE37" i="122"/>
  <c r="AD37" i="122"/>
  <c r="AC37" i="122"/>
  <c r="W37" i="122"/>
  <c r="V37" i="122"/>
  <c r="U37" i="122"/>
  <c r="X37" i="122" s="1"/>
  <c r="M37" i="122"/>
  <c r="F37" i="122"/>
  <c r="N37" i="122" s="1"/>
  <c r="AF36" i="122"/>
  <c r="AE36" i="122"/>
  <c r="AD36" i="122"/>
  <c r="AC36" i="122"/>
  <c r="W36" i="122"/>
  <c r="V36" i="122"/>
  <c r="U36" i="122"/>
  <c r="X36" i="122" s="1"/>
  <c r="M36" i="122"/>
  <c r="F36" i="122"/>
  <c r="AF35" i="122"/>
  <c r="AE35" i="122"/>
  <c r="AD35" i="122"/>
  <c r="AC35" i="122"/>
  <c r="W35" i="122"/>
  <c r="V35" i="122"/>
  <c r="U35" i="122"/>
  <c r="X35" i="122" s="1"/>
  <c r="M35" i="122"/>
  <c r="F35" i="122"/>
  <c r="AF34" i="122"/>
  <c r="AE34" i="122"/>
  <c r="AD34" i="122"/>
  <c r="AC34" i="122"/>
  <c r="W34" i="122"/>
  <c r="V34" i="122"/>
  <c r="U34" i="122"/>
  <c r="M34" i="122"/>
  <c r="F34" i="122"/>
  <c r="AF33" i="122"/>
  <c r="AE33" i="122"/>
  <c r="AD33" i="122"/>
  <c r="AC33" i="122"/>
  <c r="W33" i="122"/>
  <c r="V33" i="122"/>
  <c r="U33" i="122"/>
  <c r="M33" i="122"/>
  <c r="F33" i="122"/>
  <c r="AF32" i="122"/>
  <c r="AE32" i="122"/>
  <c r="AD32" i="122"/>
  <c r="AC32" i="122"/>
  <c r="W32" i="122"/>
  <c r="V32" i="122"/>
  <c r="U32" i="122"/>
  <c r="M32" i="122"/>
  <c r="F32" i="122"/>
  <c r="N32" i="122" s="1"/>
  <c r="AF31" i="122"/>
  <c r="AE31" i="122"/>
  <c r="AD31" i="122"/>
  <c r="AC31" i="122"/>
  <c r="W31" i="122"/>
  <c r="V31" i="122"/>
  <c r="U31" i="122"/>
  <c r="M31" i="122"/>
  <c r="F31" i="122"/>
  <c r="AF30" i="122"/>
  <c r="AE30" i="122"/>
  <c r="AD30" i="122"/>
  <c r="AC30" i="122" s="1"/>
  <c r="W30" i="122"/>
  <c r="V30" i="122"/>
  <c r="U30" i="122"/>
  <c r="M30" i="122"/>
  <c r="F30" i="122"/>
  <c r="N30" i="122" s="1"/>
  <c r="AF29" i="122"/>
  <c r="AE29" i="122"/>
  <c r="AD29" i="122"/>
  <c r="AC29" i="122" s="1"/>
  <c r="W29" i="122"/>
  <c r="V29" i="122"/>
  <c r="U29" i="122"/>
  <c r="M29" i="122"/>
  <c r="F29" i="122"/>
  <c r="N29" i="122" s="1"/>
  <c r="AF28" i="122"/>
  <c r="AE28" i="122"/>
  <c r="AD28" i="122"/>
  <c r="AC28" i="122" s="1"/>
  <c r="W28" i="122"/>
  <c r="V28" i="122"/>
  <c r="U28" i="122"/>
  <c r="M28" i="122"/>
  <c r="F28" i="122"/>
  <c r="N28" i="122" s="1"/>
  <c r="AF27" i="122"/>
  <c r="AE27" i="122"/>
  <c r="AD27" i="122"/>
  <c r="AC27" i="122"/>
  <c r="W27" i="122"/>
  <c r="V27" i="122"/>
  <c r="U27" i="122"/>
  <c r="M27" i="122"/>
  <c r="F27" i="122"/>
  <c r="N27" i="122" s="1"/>
  <c r="AF26" i="122"/>
  <c r="AE26" i="122"/>
  <c r="AD26" i="122"/>
  <c r="AC26" i="122"/>
  <c r="W26" i="122"/>
  <c r="V26" i="122"/>
  <c r="U26" i="122"/>
  <c r="M26" i="122"/>
  <c r="F26" i="122"/>
  <c r="N26" i="122" s="1"/>
  <c r="AF25" i="122"/>
  <c r="AE25" i="122"/>
  <c r="AD25" i="122"/>
  <c r="AC25" i="122"/>
  <c r="W25" i="122"/>
  <c r="V25" i="122"/>
  <c r="U25" i="122"/>
  <c r="M25" i="122"/>
  <c r="F25" i="122"/>
  <c r="N25" i="122" s="1"/>
  <c r="AF24" i="122"/>
  <c r="AE24" i="122"/>
  <c r="AD24" i="122"/>
  <c r="AC24" i="122"/>
  <c r="W24" i="122"/>
  <c r="V24" i="122"/>
  <c r="U24" i="122"/>
  <c r="X24" i="122" s="1"/>
  <c r="M24" i="122"/>
  <c r="F24" i="122"/>
  <c r="N24" i="122" s="1"/>
  <c r="AF23" i="122"/>
  <c r="AE23" i="122"/>
  <c r="AD23" i="122"/>
  <c r="AC23" i="122"/>
  <c r="W23" i="122"/>
  <c r="V23" i="122"/>
  <c r="U23" i="122"/>
  <c r="X23" i="122" s="1"/>
  <c r="M23" i="122"/>
  <c r="F23" i="122"/>
  <c r="N23" i="122" s="1"/>
  <c r="AF22" i="122"/>
  <c r="AE22" i="122"/>
  <c r="AD22" i="122"/>
  <c r="AC22" i="122"/>
  <c r="W22" i="122"/>
  <c r="V22" i="122"/>
  <c r="U22" i="122"/>
  <c r="M22" i="122"/>
  <c r="F22" i="122"/>
  <c r="N22" i="122" s="1"/>
  <c r="AF21" i="122"/>
  <c r="AE21" i="122"/>
  <c r="AD21" i="122"/>
  <c r="AC21" i="122"/>
  <c r="W21" i="122"/>
  <c r="V21" i="122"/>
  <c r="U21" i="122"/>
  <c r="M21" i="122"/>
  <c r="F21" i="122"/>
  <c r="N21" i="122" s="1"/>
  <c r="AF20" i="122"/>
  <c r="AE20" i="122"/>
  <c r="AD20" i="122"/>
  <c r="AC20" i="122"/>
  <c r="W20" i="122"/>
  <c r="V20" i="122"/>
  <c r="U20" i="122"/>
  <c r="X20" i="122" s="1"/>
  <c r="M20" i="122"/>
  <c r="F20" i="122"/>
  <c r="N20" i="122" s="1"/>
  <c r="AF19" i="122"/>
  <c r="AE19" i="122"/>
  <c r="AD19" i="122"/>
  <c r="AC19" i="122"/>
  <c r="W19" i="122"/>
  <c r="V19" i="122"/>
  <c r="U19" i="122"/>
  <c r="M19" i="122"/>
  <c r="F19" i="122"/>
  <c r="AF18" i="122"/>
  <c r="AE18" i="122"/>
  <c r="AD18" i="122"/>
  <c r="AC18" i="122"/>
  <c r="W18" i="122"/>
  <c r="V18" i="122"/>
  <c r="U18" i="122"/>
  <c r="M18" i="122"/>
  <c r="F18" i="122"/>
  <c r="AF17" i="122"/>
  <c r="AE17" i="122"/>
  <c r="AD17" i="122"/>
  <c r="AC17" i="122"/>
  <c r="W17" i="122"/>
  <c r="V17" i="122"/>
  <c r="U17" i="122"/>
  <c r="X17" i="122" s="1"/>
  <c r="M17" i="122"/>
  <c r="F17" i="122"/>
  <c r="N17" i="122" s="1"/>
  <c r="AF16" i="122"/>
  <c r="AE16" i="122"/>
  <c r="AD16" i="122"/>
  <c r="AC16" i="122"/>
  <c r="W16" i="122"/>
  <c r="V16" i="122"/>
  <c r="U16" i="122"/>
  <c r="X16" i="122" s="1"/>
  <c r="M16" i="122"/>
  <c r="F16" i="122"/>
  <c r="N16" i="122" s="1"/>
  <c r="AF15" i="122"/>
  <c r="AE15" i="122"/>
  <c r="AD15" i="122"/>
  <c r="AC15" i="122"/>
  <c r="W15" i="122"/>
  <c r="V15" i="122"/>
  <c r="U15" i="122"/>
  <c r="M15" i="122"/>
  <c r="F15" i="122"/>
  <c r="AF14" i="122"/>
  <c r="AE14" i="122"/>
  <c r="AD14" i="122"/>
  <c r="AC14" i="122"/>
  <c r="W14" i="122"/>
  <c r="V14" i="122"/>
  <c r="U14" i="122"/>
  <c r="M14" i="122"/>
  <c r="F14" i="122"/>
  <c r="A14" i="122"/>
  <c r="AF13" i="122"/>
  <c r="AE13" i="122"/>
  <c r="AD13" i="122"/>
  <c r="AC13" i="122"/>
  <c r="W13" i="122"/>
  <c r="V13" i="122"/>
  <c r="U13" i="122"/>
  <c r="M13" i="122"/>
  <c r="F13" i="122"/>
  <c r="N13" i="122" s="1"/>
  <c r="E5" i="122"/>
  <c r="A2" i="122"/>
  <c r="D221" i="121"/>
  <c r="T220" i="121"/>
  <c r="S220" i="121"/>
  <c r="R220" i="121"/>
  <c r="Q220" i="121"/>
  <c r="P220" i="121"/>
  <c r="O220" i="121"/>
  <c r="E220" i="121"/>
  <c r="D220" i="121"/>
  <c r="F101" i="121"/>
  <c r="L101" i="121" s="1"/>
  <c r="N101" i="121" s="1"/>
  <c r="AA101" i="121" s="1"/>
  <c r="M100" i="121"/>
  <c r="F100" i="121"/>
  <c r="L100" i="121" s="1"/>
  <c r="N100" i="121" s="1"/>
  <c r="AA100" i="121" s="1"/>
  <c r="AF99" i="121"/>
  <c r="AE99" i="121"/>
  <c r="AD99" i="121"/>
  <c r="AC99" i="121"/>
  <c r="W99" i="121"/>
  <c r="V99" i="121"/>
  <c r="U99" i="121"/>
  <c r="AF83" i="122" l="1"/>
  <c r="Z45" i="122"/>
  <c r="Y45" i="122" s="1"/>
  <c r="Z17" i="122"/>
  <c r="Z25" i="122"/>
  <c r="Z67" i="122"/>
  <c r="F161" i="122"/>
  <c r="AA74" i="122"/>
  <c r="AA75" i="122"/>
  <c r="Z20" i="122"/>
  <c r="Y20" i="122" s="1"/>
  <c r="Z24" i="122"/>
  <c r="Y24" i="122" s="1"/>
  <c r="Z46" i="122"/>
  <c r="Z13" i="122"/>
  <c r="Z19" i="122"/>
  <c r="AA20" i="122"/>
  <c r="Y22" i="122"/>
  <c r="Y26" i="122"/>
  <c r="X26" i="122" s="1"/>
  <c r="Z66" i="122"/>
  <c r="AA21" i="122"/>
  <c r="Z21" i="122" s="1"/>
  <c r="Y27" i="122"/>
  <c r="Y69" i="122"/>
  <c r="X69" i="122" s="1"/>
  <c r="AA22" i="122"/>
  <c r="Z22" i="122" s="1"/>
  <c r="AA26" i="122"/>
  <c r="Z30" i="122"/>
  <c r="Y30" i="122" s="1"/>
  <c r="AA37" i="122"/>
  <c r="Y74" i="122"/>
  <c r="AA78" i="122"/>
  <c r="Y38" i="122"/>
  <c r="Y73" i="122"/>
  <c r="X73" i="122" s="1"/>
  <c r="L84" i="122"/>
  <c r="W48" i="122"/>
  <c r="Y21" i="122"/>
  <c r="AA23" i="122"/>
  <c r="AA27" i="122"/>
  <c r="Z37" i="122"/>
  <c r="Y37" i="122" s="1"/>
  <c r="Z41" i="122"/>
  <c r="AA73" i="122"/>
  <c r="Z76" i="122"/>
  <c r="Y76" i="122" s="1"/>
  <c r="Y13" i="122"/>
  <c r="X13" i="122" s="1"/>
  <c r="F48" i="122"/>
  <c r="AA16" i="122"/>
  <c r="Z16" i="122" s="1"/>
  <c r="Y16" i="122"/>
  <c r="AA17" i="122"/>
  <c r="Z18" i="122"/>
  <c r="N19" i="122"/>
  <c r="AA19" i="122" s="1"/>
  <c r="X21" i="122"/>
  <c r="Y25" i="122"/>
  <c r="X25" i="122" s="1"/>
  <c r="Z26" i="122"/>
  <c r="Z28" i="122"/>
  <c r="Z36" i="122"/>
  <c r="X38" i="122"/>
  <c r="Z39" i="122"/>
  <c r="Y39" i="122" s="1"/>
  <c r="N43" i="122"/>
  <c r="AA43" i="122" s="1"/>
  <c r="Z44" i="122"/>
  <c r="AA45" i="122"/>
  <c r="Y46" i="122"/>
  <c r="Y66" i="122"/>
  <c r="AA67" i="122"/>
  <c r="Y67" i="122"/>
  <c r="Z68" i="122"/>
  <c r="Y68" i="122" s="1"/>
  <c r="Z70" i="122"/>
  <c r="Y70" i="122" s="1"/>
  <c r="N71" i="122"/>
  <c r="AA71" i="122" s="1"/>
  <c r="Z73" i="122"/>
  <c r="Z74" i="122"/>
  <c r="Z75" i="122"/>
  <c r="Y75" i="122" s="1"/>
  <c r="AF80" i="122"/>
  <c r="L85" i="122"/>
  <c r="L87" i="122"/>
  <c r="N87" i="122" s="1"/>
  <c r="L89" i="122"/>
  <c r="L91" i="122"/>
  <c r="L92" i="122"/>
  <c r="L31" i="122"/>
  <c r="N31" i="122"/>
  <c r="AA31" i="122" s="1"/>
  <c r="L94" i="122"/>
  <c r="N94" i="122"/>
  <c r="AA94" i="122" s="1"/>
  <c r="A15" i="122"/>
  <c r="A16" i="122" s="1"/>
  <c r="A17" i="122" s="1"/>
  <c r="A18" i="122" s="1"/>
  <c r="A19" i="122" s="1"/>
  <c r="A20" i="122" s="1"/>
  <c r="A21" i="122" s="1"/>
  <c r="A22" i="122" s="1"/>
  <c r="A23" i="122" s="1"/>
  <c r="A24" i="122" s="1"/>
  <c r="A25" i="122" s="1"/>
  <c r="A26" i="122" s="1"/>
  <c r="A27" i="122" s="1"/>
  <c r="A28" i="122" s="1"/>
  <c r="A29" i="122" s="1"/>
  <c r="A30" i="122" s="1"/>
  <c r="N18" i="122"/>
  <c r="AA18" i="122" s="1"/>
  <c r="Z23" i="122"/>
  <c r="Y23" i="122" s="1"/>
  <c r="N33" i="122"/>
  <c r="AA33" i="122" s="1"/>
  <c r="N36" i="122"/>
  <c r="AA36" i="122" s="1"/>
  <c r="Z38" i="122"/>
  <c r="N42" i="122"/>
  <c r="AA42" i="122" s="1"/>
  <c r="Z42" i="122" s="1"/>
  <c r="N66" i="122"/>
  <c r="AA66" i="122" s="1"/>
  <c r="A68" i="122"/>
  <c r="A69" i="122" s="1"/>
  <c r="A70" i="122" s="1"/>
  <c r="A71" i="122" s="1"/>
  <c r="A72" i="122" s="1"/>
  <c r="A73" i="122" s="1"/>
  <c r="A74" i="122" s="1"/>
  <c r="A75" i="122" s="1"/>
  <c r="A76" i="122" s="1"/>
  <c r="A77" i="122" s="1"/>
  <c r="A78" i="122" s="1"/>
  <c r="A79" i="122" s="1"/>
  <c r="A80" i="122" s="1"/>
  <c r="A81" i="122" s="1"/>
  <c r="N68" i="122"/>
  <c r="AA68" i="122" s="1"/>
  <c r="Z69" i="122"/>
  <c r="L86" i="122"/>
  <c r="N86" i="122" s="1"/>
  <c r="AA86" i="122" s="1"/>
  <c r="AC95" i="122"/>
  <c r="AD95" i="122"/>
  <c r="Y32" i="122"/>
  <c r="Y82" i="122"/>
  <c r="X82" i="122" s="1"/>
  <c r="Z77" i="122"/>
  <c r="AA79" i="122"/>
  <c r="Y78" i="122"/>
  <c r="X78" i="122" s="1"/>
  <c r="AA77" i="122"/>
  <c r="Y79" i="122"/>
  <c r="Z78" i="122"/>
  <c r="Z79" i="122"/>
  <c r="Y48" i="123"/>
  <c r="Y17" i="122"/>
  <c r="Y18" i="122"/>
  <c r="X18" i="122" s="1"/>
  <c r="Y19" i="122"/>
  <c r="X19" i="122" s="1"/>
  <c r="M48" i="122"/>
  <c r="Z40" i="122"/>
  <c r="Y40" i="122" s="1"/>
  <c r="Y42" i="122"/>
  <c r="N14" i="122"/>
  <c r="AA14" i="122" s="1"/>
  <c r="Z14" i="122"/>
  <c r="N15" i="122"/>
  <c r="AA15" i="122" s="1"/>
  <c r="Z15" i="122" s="1"/>
  <c r="Y15" i="122"/>
  <c r="Z29" i="122"/>
  <c r="Y29" i="122" s="1"/>
  <c r="N34" i="122"/>
  <c r="AA34" i="122" s="1"/>
  <c r="Y44" i="122"/>
  <c r="X44" i="122" s="1"/>
  <c r="AA46" i="122"/>
  <c r="AA69" i="122"/>
  <c r="AA70" i="122"/>
  <c r="N72" i="122"/>
  <c r="AA72" i="122" s="1"/>
  <c r="Z72" i="122"/>
  <c r="Y77" i="122"/>
  <c r="AC80" i="122"/>
  <c r="N83" i="122"/>
  <c r="AA83" i="122" s="1"/>
  <c r="Z83" i="122" s="1"/>
  <c r="AA91" i="122"/>
  <c r="N167" i="123"/>
  <c r="AA66" i="123"/>
  <c r="AA167" i="123" s="1"/>
  <c r="AA13" i="122"/>
  <c r="X22" i="122"/>
  <c r="AA24" i="122"/>
  <c r="AA25" i="122"/>
  <c r="X27" i="122"/>
  <c r="X28" i="122"/>
  <c r="N35" i="122"/>
  <c r="AA35" i="122" s="1"/>
  <c r="X39" i="122"/>
  <c r="N41" i="122"/>
  <c r="AA41" i="122" s="1"/>
  <c r="Y41" i="122"/>
  <c r="X42" i="122"/>
  <c r="Y43" i="122"/>
  <c r="X43" i="122" s="1"/>
  <c r="N44" i="122"/>
  <c r="AA44" i="122" s="1"/>
  <c r="X46" i="122"/>
  <c r="W161" i="122"/>
  <c r="Y71" i="122"/>
  <c r="X71" i="122" s="1"/>
  <c r="X74" i="122"/>
  <c r="AA76" i="122"/>
  <c r="X79" i="122"/>
  <c r="Z43" i="122"/>
  <c r="Z71" i="122"/>
  <c r="Y14" i="122"/>
  <c r="X14" i="122" s="1"/>
  <c r="X15" i="122"/>
  <c r="Y36" i="122"/>
  <c r="AA38" i="122"/>
  <c r="AA39" i="122"/>
  <c r="AA40" i="122"/>
  <c r="Y72" i="122"/>
  <c r="X72" i="122" s="1"/>
  <c r="AC77" i="122"/>
  <c r="L88" i="122"/>
  <c r="N88" i="122" s="1"/>
  <c r="AA88" i="122" s="1"/>
  <c r="N90" i="122"/>
  <c r="AA90" i="122" s="1"/>
  <c r="N93" i="122"/>
  <c r="AA93" i="122" s="1"/>
  <c r="X167" i="123"/>
  <c r="N48" i="123"/>
  <c r="Y167" i="123"/>
  <c r="Z167" i="123"/>
  <c r="X34" i="122"/>
  <c r="M161" i="122"/>
  <c r="X48" i="123"/>
  <c r="AA48" i="123"/>
  <c r="X30" i="122"/>
  <c r="Z33" i="122"/>
  <c r="Z35" i="122"/>
  <c r="Y35" i="122" s="1"/>
  <c r="X29" i="122"/>
  <c r="Z27" i="122"/>
  <c r="U48" i="122"/>
  <c r="Z100" i="121"/>
  <c r="Y100" i="121"/>
  <c r="X32" i="122"/>
  <c r="Z32" i="122"/>
  <c r="X33" i="122"/>
  <c r="Y92" i="122"/>
  <c r="X92" i="122" s="1"/>
  <c r="AC92" i="122" s="1"/>
  <c r="AA92" i="122"/>
  <c r="AA89" i="122"/>
  <c r="Y88" i="122"/>
  <c r="X88" i="122" s="1"/>
  <c r="Z87" i="122"/>
  <c r="AA87" i="122"/>
  <c r="Y87" i="122"/>
  <c r="X87" i="122" s="1"/>
  <c r="Z86" i="122"/>
  <c r="Y86" i="122"/>
  <c r="X86" i="122" s="1"/>
  <c r="Z85" i="122"/>
  <c r="AA85" i="122"/>
  <c r="Y85" i="122"/>
  <c r="X85" i="122" s="1"/>
  <c r="Z84" i="122"/>
  <c r="Y84" i="122" s="1"/>
  <c r="AA84" i="122"/>
  <c r="Y83" i="122"/>
  <c r="Z82" i="122"/>
  <c r="AA80" i="122"/>
  <c r="Z80" i="122"/>
  <c r="Y80" i="122" s="1"/>
  <c r="Y31" i="122"/>
  <c r="Y21" i="123"/>
  <c r="Z48" i="123"/>
  <c r="Y28" i="122"/>
  <c r="AA28" i="122"/>
  <c r="Z31" i="122"/>
  <c r="AD48" i="122"/>
  <c r="AF48" i="122"/>
  <c r="AA32" i="122"/>
  <c r="Y33" i="122"/>
  <c r="Z34" i="122"/>
  <c r="Y34" i="122" s="1"/>
  <c r="AA29" i="122"/>
  <c r="AA30" i="122"/>
  <c r="V48" i="122"/>
  <c r="X31" i="122"/>
  <c r="AE48" i="122"/>
  <c r="AC48" i="122"/>
  <c r="U161" i="122"/>
  <c r="Y90" i="122"/>
  <c r="X90" i="122" s="1"/>
  <c r="Y81" i="122"/>
  <c r="AA82" i="122"/>
  <c r="Z89" i="122"/>
  <c r="Z91" i="122"/>
  <c r="Y93" i="122"/>
  <c r="Y94" i="122"/>
  <c r="V161" i="122"/>
  <c r="X81" i="122"/>
  <c r="AA81" i="122"/>
  <c r="AC83" i="122"/>
  <c r="Z88" i="122"/>
  <c r="Y89" i="122"/>
  <c r="X89" i="122" s="1"/>
  <c r="AC89" i="122" s="1"/>
  <c r="Z90" i="122"/>
  <c r="Y91" i="122"/>
  <c r="X91" i="122" s="1"/>
  <c r="Z92" i="122"/>
  <c r="X93" i="122"/>
  <c r="Z93" i="122"/>
  <c r="X94" i="122"/>
  <c r="Z94" i="122"/>
  <c r="K99" i="121"/>
  <c r="M99" i="121" s="1"/>
  <c r="Z99" i="121" s="1"/>
  <c r="F99" i="121"/>
  <c r="L99" i="121" s="1"/>
  <c r="N99" i="121" s="1"/>
  <c r="AA99" i="121" s="1"/>
  <c r="AF98" i="121"/>
  <c r="AE98" i="121"/>
  <c r="AD98" i="121"/>
  <c r="AC98" i="121"/>
  <c r="W98" i="121"/>
  <c r="V98" i="121"/>
  <c r="U98" i="121"/>
  <c r="K98" i="121"/>
  <c r="M98" i="121" s="1"/>
  <c r="F98" i="121"/>
  <c r="AF97" i="121"/>
  <c r="AE97" i="121"/>
  <c r="AD97" i="121"/>
  <c r="AC97" i="121"/>
  <c r="W97" i="121"/>
  <c r="V97" i="121"/>
  <c r="U97" i="121"/>
  <c r="X97" i="121" s="1"/>
  <c r="K97" i="121"/>
  <c r="M97" i="121" s="1"/>
  <c r="F97" i="121"/>
  <c r="AF96" i="121"/>
  <c r="AE96" i="121"/>
  <c r="AD96" i="121"/>
  <c r="AC96" i="121"/>
  <c r="W96" i="121"/>
  <c r="V96" i="121"/>
  <c r="U96" i="121"/>
  <c r="K96" i="121"/>
  <c r="M96" i="121" s="1"/>
  <c r="F96" i="121"/>
  <c r="AF95" i="121"/>
  <c r="AE95" i="121"/>
  <c r="AD95" i="121"/>
  <c r="AC95" i="121"/>
  <c r="W95" i="121"/>
  <c r="V95" i="121"/>
  <c r="U95" i="121"/>
  <c r="M95" i="121"/>
  <c r="K95" i="121"/>
  <c r="F95" i="121"/>
  <c r="AF94" i="121"/>
  <c r="AE94" i="121"/>
  <c r="AD94" i="121"/>
  <c r="AC94" i="121"/>
  <c r="W94" i="121"/>
  <c r="V94" i="121"/>
  <c r="U94" i="121"/>
  <c r="M94" i="121"/>
  <c r="K94" i="121"/>
  <c r="F94" i="121"/>
  <c r="N94" i="121" s="1"/>
  <c r="AF93" i="121"/>
  <c r="AE93" i="121"/>
  <c r="AD93" i="121"/>
  <c r="AC93" i="121"/>
  <c r="W93" i="121"/>
  <c r="V93" i="121"/>
  <c r="U93" i="121"/>
  <c r="K93" i="121"/>
  <c r="M93" i="121" s="1"/>
  <c r="F93" i="121"/>
  <c r="N93" i="121" s="1"/>
  <c r="AF92" i="121"/>
  <c r="AE92" i="121"/>
  <c r="AD92" i="121"/>
  <c r="AC92" i="121"/>
  <c r="W92" i="121"/>
  <c r="V92" i="121"/>
  <c r="U92" i="121"/>
  <c r="M92" i="121"/>
  <c r="K92" i="121"/>
  <c r="F92" i="121"/>
  <c r="AF91" i="121"/>
  <c r="AE91" i="121"/>
  <c r="AD91" i="121"/>
  <c r="W91" i="121"/>
  <c r="V91" i="121"/>
  <c r="U91" i="121"/>
  <c r="K91" i="121"/>
  <c r="M91" i="121" s="1"/>
  <c r="F91" i="121"/>
  <c r="AF90" i="121"/>
  <c r="AE90" i="121"/>
  <c r="AD90" i="121"/>
  <c r="AC90" i="121"/>
  <c r="W90" i="121"/>
  <c r="V90" i="121"/>
  <c r="U90" i="121"/>
  <c r="M90" i="121"/>
  <c r="F90" i="121"/>
  <c r="N90" i="121" s="1"/>
  <c r="AF89" i="121"/>
  <c r="AE89" i="121"/>
  <c r="AD89" i="121"/>
  <c r="AC89" i="121"/>
  <c r="W89" i="121"/>
  <c r="V89" i="121"/>
  <c r="U89" i="121"/>
  <c r="M89" i="121"/>
  <c r="F89" i="121"/>
  <c r="N89" i="121" s="1"/>
  <c r="AF88" i="121"/>
  <c r="AE88" i="121"/>
  <c r="AD88" i="121"/>
  <c r="W88" i="121"/>
  <c r="V88" i="121"/>
  <c r="U88" i="121"/>
  <c r="M88" i="121"/>
  <c r="K88" i="121"/>
  <c r="F88" i="121"/>
  <c r="N88" i="121" s="1"/>
  <c r="AF87" i="121"/>
  <c r="AE87" i="121"/>
  <c r="AD87" i="121"/>
  <c r="AC87" i="121"/>
  <c r="W87" i="121"/>
  <c r="V87" i="121"/>
  <c r="U87" i="121"/>
  <c r="X87" i="121" s="1"/>
  <c r="M87" i="121"/>
  <c r="K87" i="121"/>
  <c r="F87" i="121"/>
  <c r="N87" i="121" s="1"/>
  <c r="AF86" i="121"/>
  <c r="AE86" i="121"/>
  <c r="AD86" i="121"/>
  <c r="AC86" i="121"/>
  <c r="W86" i="121"/>
  <c r="V86" i="121"/>
  <c r="U86" i="121"/>
  <c r="M86" i="121"/>
  <c r="K86" i="121"/>
  <c r="F86" i="121"/>
  <c r="AF85" i="121"/>
  <c r="AE85" i="121"/>
  <c r="AD85" i="121"/>
  <c r="AC85" i="121"/>
  <c r="W85" i="121"/>
  <c r="V85" i="121"/>
  <c r="U85" i="121"/>
  <c r="M85" i="121"/>
  <c r="F85" i="121"/>
  <c r="N85" i="121" s="1"/>
  <c r="AF84" i="121"/>
  <c r="AE84" i="121"/>
  <c r="AD84" i="121"/>
  <c r="AC84" i="121"/>
  <c r="W84" i="121"/>
  <c r="V84" i="121"/>
  <c r="U84" i="121"/>
  <c r="M84" i="121"/>
  <c r="F84" i="121"/>
  <c r="N84" i="121" s="1"/>
  <c r="AF83" i="121"/>
  <c r="AE83" i="121"/>
  <c r="AD83" i="121"/>
  <c r="AC83" i="121"/>
  <c r="W83" i="121"/>
  <c r="V83" i="121"/>
  <c r="U83" i="121"/>
  <c r="M83" i="121"/>
  <c r="F83" i="121"/>
  <c r="N83" i="121" s="1"/>
  <c r="AF82" i="121"/>
  <c r="AE82" i="121"/>
  <c r="AD82" i="121"/>
  <c r="AC82" i="121"/>
  <c r="W82" i="121"/>
  <c r="V82" i="121"/>
  <c r="U82" i="121"/>
  <c r="M82" i="121"/>
  <c r="F82" i="121"/>
  <c r="N82" i="121" s="1"/>
  <c r="AF81" i="121"/>
  <c r="AE81" i="121"/>
  <c r="AD81" i="121"/>
  <c r="AC81" i="121"/>
  <c r="W81" i="121"/>
  <c r="V81" i="121"/>
  <c r="U81" i="121"/>
  <c r="M81" i="121"/>
  <c r="F81" i="121"/>
  <c r="N81" i="121" s="1"/>
  <c r="AF80" i="121"/>
  <c r="AE80" i="121"/>
  <c r="AD80" i="121"/>
  <c r="AC80" i="121"/>
  <c r="W80" i="121"/>
  <c r="V80" i="121"/>
  <c r="U80" i="121"/>
  <c r="X80" i="121" s="1"/>
  <c r="M80" i="121"/>
  <c r="F80" i="121"/>
  <c r="N80" i="121" s="1"/>
  <c r="AF79" i="121"/>
  <c r="AE79" i="121"/>
  <c r="AD79" i="121"/>
  <c r="AC79" i="121"/>
  <c r="W79" i="121"/>
  <c r="V79" i="121"/>
  <c r="U79" i="121"/>
  <c r="M79" i="121"/>
  <c r="F79" i="121"/>
  <c r="AF78" i="121"/>
  <c r="AE78" i="121"/>
  <c r="AD78" i="121"/>
  <c r="AC78" i="121"/>
  <c r="W78" i="121"/>
  <c r="V78" i="121"/>
  <c r="U78" i="121"/>
  <c r="X78" i="121" s="1"/>
  <c r="M78" i="121"/>
  <c r="F78" i="121"/>
  <c r="N78" i="121" s="1"/>
  <c r="AF77" i="121"/>
  <c r="AE77" i="121"/>
  <c r="AD77" i="121"/>
  <c r="AC77" i="121"/>
  <c r="W77" i="121"/>
  <c r="V77" i="121"/>
  <c r="U77" i="121"/>
  <c r="X77" i="121" s="1"/>
  <c r="M77" i="121"/>
  <c r="F77" i="121"/>
  <c r="N77" i="121" s="1"/>
  <c r="A77" i="121"/>
  <c r="AF76" i="121"/>
  <c r="AE76" i="121"/>
  <c r="AD76" i="121"/>
  <c r="AC76" i="121"/>
  <c r="W76" i="121"/>
  <c r="V76" i="121"/>
  <c r="U76" i="121"/>
  <c r="M76" i="121"/>
  <c r="Y76" i="121" s="1"/>
  <c r="X76" i="121" s="1"/>
  <c r="F76" i="121"/>
  <c r="N76" i="121" s="1"/>
  <c r="AF75" i="121"/>
  <c r="AE75" i="121"/>
  <c r="AD75" i="121"/>
  <c r="AC75" i="121"/>
  <c r="W75" i="121"/>
  <c r="V75" i="121"/>
  <c r="U75" i="121"/>
  <c r="M75" i="121"/>
  <c r="F75" i="121"/>
  <c r="N75" i="121" s="1"/>
  <c r="AF74" i="121"/>
  <c r="AE74" i="121"/>
  <c r="AD74" i="121"/>
  <c r="AC74" i="121"/>
  <c r="W74" i="121"/>
  <c r="V74" i="121"/>
  <c r="U74" i="121"/>
  <c r="M74" i="121"/>
  <c r="F74" i="121"/>
  <c r="N74" i="121" s="1"/>
  <c r="AF73" i="121"/>
  <c r="AE73" i="121"/>
  <c r="AD73" i="121"/>
  <c r="AC73" i="121"/>
  <c r="W73" i="121"/>
  <c r="V73" i="121"/>
  <c r="U73" i="121"/>
  <c r="M73" i="121"/>
  <c r="F73" i="121"/>
  <c r="N73" i="121" s="1"/>
  <c r="AF72" i="121"/>
  <c r="AE72" i="121"/>
  <c r="AD72" i="121"/>
  <c r="AC72" i="121"/>
  <c r="W72" i="121"/>
  <c r="V72" i="121"/>
  <c r="U72" i="121"/>
  <c r="X72" i="121" s="1"/>
  <c r="M72" i="121"/>
  <c r="F72" i="121"/>
  <c r="N72" i="121" s="1"/>
  <c r="AF71" i="121"/>
  <c r="AE71" i="121"/>
  <c r="AD71" i="121"/>
  <c r="AC71" i="121"/>
  <c r="W71" i="121"/>
  <c r="V71" i="121"/>
  <c r="U71" i="121"/>
  <c r="M71" i="121"/>
  <c r="F71" i="121"/>
  <c r="AF70" i="121"/>
  <c r="AE70" i="121"/>
  <c r="AD70" i="121"/>
  <c r="AC70" i="121"/>
  <c r="W70" i="121"/>
  <c r="V70" i="121"/>
  <c r="U70" i="121"/>
  <c r="X70" i="121" s="1"/>
  <c r="M70" i="121"/>
  <c r="F70" i="121"/>
  <c r="N70" i="121" s="1"/>
  <c r="AF69" i="121"/>
  <c r="AE69" i="121"/>
  <c r="AD69" i="121"/>
  <c r="AC69" i="121"/>
  <c r="W69" i="121"/>
  <c r="V69" i="121"/>
  <c r="U69" i="121"/>
  <c r="M69" i="121"/>
  <c r="F69" i="121"/>
  <c r="N69" i="121" s="1"/>
  <c r="AF68" i="121"/>
  <c r="AE68" i="121"/>
  <c r="AD68" i="121"/>
  <c r="AC68" i="121"/>
  <c r="W68" i="121"/>
  <c r="V68" i="121"/>
  <c r="U68" i="121"/>
  <c r="M68" i="121"/>
  <c r="F68" i="121"/>
  <c r="N68" i="121" s="1"/>
  <c r="AF67" i="121"/>
  <c r="AE67" i="121"/>
  <c r="AD67" i="121"/>
  <c r="AC67" i="121"/>
  <c r="W67" i="121"/>
  <c r="V67" i="121"/>
  <c r="U67" i="121"/>
  <c r="M67" i="121"/>
  <c r="F67" i="121"/>
  <c r="N67" i="121" s="1"/>
  <c r="A67" i="121"/>
  <c r="AF66" i="121"/>
  <c r="AE66" i="121"/>
  <c r="AD66" i="121"/>
  <c r="AC66" i="121"/>
  <c r="W66" i="121"/>
  <c r="V66" i="121"/>
  <c r="U66" i="121"/>
  <c r="M66" i="121"/>
  <c r="F66" i="121"/>
  <c r="N66" i="121" s="1"/>
  <c r="E49" i="121"/>
  <c r="D49" i="121"/>
  <c r="T48" i="121"/>
  <c r="S48" i="121"/>
  <c r="R48" i="121"/>
  <c r="Q48" i="121"/>
  <c r="P48" i="121"/>
  <c r="O48" i="121"/>
  <c r="E48" i="121"/>
  <c r="D48" i="121"/>
  <c r="AF46" i="121"/>
  <c r="AE46" i="121"/>
  <c r="AD46" i="121"/>
  <c r="AC46" i="121"/>
  <c r="W46" i="121"/>
  <c r="V46" i="121"/>
  <c r="U46" i="121"/>
  <c r="M46" i="121"/>
  <c r="F46" i="121"/>
  <c r="AF45" i="121"/>
  <c r="AE45" i="121"/>
  <c r="AD45" i="121"/>
  <c r="AC45" i="121"/>
  <c r="W45" i="121"/>
  <c r="V45" i="121"/>
  <c r="U45" i="121"/>
  <c r="X45" i="121" s="1"/>
  <c r="M45" i="121"/>
  <c r="F45" i="121"/>
  <c r="N45" i="121" s="1"/>
  <c r="AF44" i="121"/>
  <c r="AE44" i="121"/>
  <c r="AD44" i="121"/>
  <c r="AC44" i="121"/>
  <c r="W44" i="121"/>
  <c r="V44" i="121"/>
  <c r="U44" i="121"/>
  <c r="M44" i="121"/>
  <c r="F44" i="121"/>
  <c r="AF43" i="121"/>
  <c r="AE43" i="121"/>
  <c r="AD43" i="121"/>
  <c r="AC43" i="121"/>
  <c r="W43" i="121"/>
  <c r="V43" i="121"/>
  <c r="U43" i="121"/>
  <c r="X43" i="121" s="1"/>
  <c r="M43" i="121"/>
  <c r="F43" i="121"/>
  <c r="N43" i="121" s="1"/>
  <c r="AF42" i="121"/>
  <c r="AE42" i="121"/>
  <c r="AD42" i="121"/>
  <c r="AC42" i="121"/>
  <c r="W42" i="121"/>
  <c r="V42" i="121"/>
  <c r="U42" i="121"/>
  <c r="M42" i="121"/>
  <c r="F42" i="121"/>
  <c r="AF41" i="121"/>
  <c r="AE41" i="121"/>
  <c r="AD41" i="121"/>
  <c r="AC41" i="121"/>
  <c r="W41" i="121"/>
  <c r="V41" i="121"/>
  <c r="U41" i="121"/>
  <c r="X41" i="121" s="1"/>
  <c r="M41" i="121"/>
  <c r="F41" i="121"/>
  <c r="N41" i="121" s="1"/>
  <c r="AF40" i="121"/>
  <c r="AE40" i="121"/>
  <c r="AD40" i="121"/>
  <c r="AC40" i="121"/>
  <c r="W40" i="121"/>
  <c r="V40" i="121"/>
  <c r="U40" i="121"/>
  <c r="M40" i="121"/>
  <c r="F40" i="121"/>
  <c r="AF39" i="121"/>
  <c r="AE39" i="121"/>
  <c r="AD39" i="121"/>
  <c r="AC39" i="121"/>
  <c r="W39" i="121"/>
  <c r="V39" i="121"/>
  <c r="U39" i="121"/>
  <c r="M39" i="121"/>
  <c r="F39" i="121"/>
  <c r="AF38" i="121"/>
  <c r="AE38" i="121"/>
  <c r="AD38" i="121"/>
  <c r="AC38" i="121"/>
  <c r="W38" i="121"/>
  <c r="V38" i="121"/>
  <c r="U38" i="121"/>
  <c r="M38" i="121"/>
  <c r="F38" i="121"/>
  <c r="L38" i="121" s="1"/>
  <c r="AF37" i="121"/>
  <c r="AE37" i="121"/>
  <c r="AD37" i="121"/>
  <c r="AC37" i="121"/>
  <c r="W37" i="121"/>
  <c r="V37" i="121"/>
  <c r="U37" i="121"/>
  <c r="M37" i="121"/>
  <c r="F37" i="121"/>
  <c r="AF36" i="121"/>
  <c r="AE36" i="121"/>
  <c r="AD36" i="121"/>
  <c r="AC36" i="121"/>
  <c r="W36" i="121"/>
  <c r="V36" i="121"/>
  <c r="U36" i="121"/>
  <c r="M36" i="121"/>
  <c r="F36" i="121"/>
  <c r="L36" i="121" s="1"/>
  <c r="AF35" i="121"/>
  <c r="AE35" i="121"/>
  <c r="AD35" i="121"/>
  <c r="AC35" i="121"/>
  <c r="W35" i="121"/>
  <c r="V35" i="121"/>
  <c r="U35" i="121"/>
  <c r="X35" i="121" s="1"/>
  <c r="M35" i="121"/>
  <c r="F35" i="121"/>
  <c r="AF34" i="121"/>
  <c r="AE34" i="121"/>
  <c r="AD34" i="121"/>
  <c r="AC34" i="121"/>
  <c r="W34" i="121"/>
  <c r="V34" i="121"/>
  <c r="U34" i="121"/>
  <c r="X34" i="121" s="1"/>
  <c r="M34" i="121"/>
  <c r="F34" i="121"/>
  <c r="AF33" i="121"/>
  <c r="AE33" i="121"/>
  <c r="AD33" i="121"/>
  <c r="AC33" i="121"/>
  <c r="W33" i="121"/>
  <c r="V33" i="121"/>
  <c r="U33" i="121"/>
  <c r="M33" i="121"/>
  <c r="F33" i="121"/>
  <c r="AF32" i="121"/>
  <c r="AE32" i="121"/>
  <c r="AD32" i="121"/>
  <c r="AC32" i="121"/>
  <c r="W32" i="121"/>
  <c r="V32" i="121"/>
  <c r="U32" i="121"/>
  <c r="X32" i="121" s="1"/>
  <c r="M32" i="121"/>
  <c r="F32" i="121"/>
  <c r="AE31" i="121"/>
  <c r="AD31" i="121"/>
  <c r="AC31" i="121"/>
  <c r="W31" i="121"/>
  <c r="V31" i="121"/>
  <c r="U31" i="121"/>
  <c r="X31" i="121" s="1"/>
  <c r="AF31" i="121" s="1"/>
  <c r="M31" i="121"/>
  <c r="F31" i="121"/>
  <c r="AF30" i="121"/>
  <c r="AE30" i="121"/>
  <c r="AD30" i="121"/>
  <c r="AC30" i="121"/>
  <c r="W30" i="121"/>
  <c r="V30" i="121"/>
  <c r="U30" i="121"/>
  <c r="M30" i="121"/>
  <c r="F30" i="121"/>
  <c r="N30" i="121" s="1"/>
  <c r="AF29" i="121"/>
  <c r="AE29" i="121"/>
  <c r="AD29" i="121"/>
  <c r="AC29" i="121"/>
  <c r="W29" i="121"/>
  <c r="V29" i="121"/>
  <c r="U29" i="121"/>
  <c r="X29" i="121" s="1"/>
  <c r="M29" i="121"/>
  <c r="F29" i="121"/>
  <c r="N29" i="121" s="1"/>
  <c r="AF28" i="121"/>
  <c r="AE28" i="121"/>
  <c r="AD28" i="121"/>
  <c r="AC28" i="121"/>
  <c r="W28" i="121"/>
  <c r="V28" i="121"/>
  <c r="U28" i="121"/>
  <c r="M28" i="121"/>
  <c r="F28" i="121"/>
  <c r="N28" i="121" s="1"/>
  <c r="AF27" i="121"/>
  <c r="AE27" i="121"/>
  <c r="AD27" i="121"/>
  <c r="AC27" i="121"/>
  <c r="W27" i="121"/>
  <c r="V27" i="121"/>
  <c r="U27" i="121"/>
  <c r="M27" i="121"/>
  <c r="F27" i="121"/>
  <c r="L27" i="121" s="1"/>
  <c r="N27" i="121" s="1"/>
  <c r="AF26" i="121"/>
  <c r="AE26" i="121"/>
  <c r="AD26" i="121"/>
  <c r="AC26" i="121"/>
  <c r="W26" i="121"/>
  <c r="V26" i="121"/>
  <c r="U26" i="121"/>
  <c r="X26" i="121" s="1"/>
  <c r="M26" i="121"/>
  <c r="F26" i="121"/>
  <c r="N26" i="121" s="1"/>
  <c r="AF25" i="121"/>
  <c r="AE25" i="121"/>
  <c r="AD25" i="121"/>
  <c r="AC25" i="121"/>
  <c r="W25" i="121"/>
  <c r="V25" i="121"/>
  <c r="U25" i="121"/>
  <c r="M25" i="121"/>
  <c r="F25" i="121"/>
  <c r="N25" i="121" s="1"/>
  <c r="AF24" i="121"/>
  <c r="AE24" i="121"/>
  <c r="AD24" i="121"/>
  <c r="AC24" i="121"/>
  <c r="W24" i="121"/>
  <c r="V24" i="121"/>
  <c r="U24" i="121"/>
  <c r="M24" i="121"/>
  <c r="F24" i="121"/>
  <c r="N24" i="121" s="1"/>
  <c r="AF23" i="121"/>
  <c r="AE23" i="121"/>
  <c r="AD23" i="121"/>
  <c r="AC23" i="121"/>
  <c r="W23" i="121"/>
  <c r="V23" i="121"/>
  <c r="U23" i="121"/>
  <c r="M23" i="121"/>
  <c r="F23" i="121"/>
  <c r="N23" i="121" s="1"/>
  <c r="AF22" i="121"/>
  <c r="AE22" i="121"/>
  <c r="AD22" i="121"/>
  <c r="AC22" i="121"/>
  <c r="W22" i="121"/>
  <c r="V22" i="121"/>
  <c r="U22" i="121"/>
  <c r="M22" i="121"/>
  <c r="F22" i="121"/>
  <c r="N22" i="121" s="1"/>
  <c r="AF21" i="121"/>
  <c r="AE21" i="121"/>
  <c r="AD21" i="121"/>
  <c r="AC21" i="121"/>
  <c r="W21" i="121"/>
  <c r="V21" i="121"/>
  <c r="U21" i="121"/>
  <c r="M21" i="121"/>
  <c r="F21" i="121"/>
  <c r="N21" i="121" s="1"/>
  <c r="AF20" i="121"/>
  <c r="AE20" i="121"/>
  <c r="AD20" i="121"/>
  <c r="AC20" i="121"/>
  <c r="W20" i="121"/>
  <c r="V20" i="121"/>
  <c r="U20" i="121"/>
  <c r="X20" i="121" s="1"/>
  <c r="M20" i="121"/>
  <c r="F20" i="121"/>
  <c r="N20" i="121" s="1"/>
  <c r="AF19" i="121"/>
  <c r="AE19" i="121"/>
  <c r="AD19" i="121"/>
  <c r="AC19" i="121"/>
  <c r="W19" i="121"/>
  <c r="V19" i="121"/>
  <c r="U19" i="121"/>
  <c r="M19" i="121"/>
  <c r="F19" i="121"/>
  <c r="N19" i="121" s="1"/>
  <c r="AF18" i="121"/>
  <c r="AE18" i="121"/>
  <c r="AD18" i="121"/>
  <c r="AC18" i="121"/>
  <c r="W18" i="121"/>
  <c r="V18" i="121"/>
  <c r="U18" i="121"/>
  <c r="M18" i="121"/>
  <c r="F18" i="121"/>
  <c r="N18" i="121" s="1"/>
  <c r="AF17" i="121"/>
  <c r="AE17" i="121"/>
  <c r="AD17" i="121"/>
  <c r="AC17" i="121"/>
  <c r="W17" i="121"/>
  <c r="V17" i="121"/>
  <c r="U17" i="121"/>
  <c r="X17" i="121" s="1"/>
  <c r="M17" i="121"/>
  <c r="F17" i="121"/>
  <c r="AF16" i="121"/>
  <c r="AE16" i="121"/>
  <c r="AD16" i="121"/>
  <c r="AC16" i="121"/>
  <c r="W16" i="121"/>
  <c r="V16" i="121"/>
  <c r="U16" i="121"/>
  <c r="M16" i="121"/>
  <c r="F16" i="121"/>
  <c r="AF15" i="121"/>
  <c r="AE15" i="121"/>
  <c r="AD15" i="121"/>
  <c r="AC15" i="121"/>
  <c r="W15" i="121"/>
  <c r="V15" i="121"/>
  <c r="U15" i="121"/>
  <c r="M15" i="121"/>
  <c r="F15" i="121"/>
  <c r="N15" i="121" s="1"/>
  <c r="AF14" i="121"/>
  <c r="AE14" i="121"/>
  <c r="AD14" i="121"/>
  <c r="AC14" i="121"/>
  <c r="W14" i="121"/>
  <c r="V14" i="121"/>
  <c r="U14" i="121"/>
  <c r="M14" i="121"/>
  <c r="F14" i="121"/>
  <c r="A14" i="121"/>
  <c r="A15" i="121" s="1"/>
  <c r="AF13" i="121"/>
  <c r="AE13" i="121"/>
  <c r="AD13" i="121"/>
  <c r="AC13" i="121"/>
  <c r="W13" i="121"/>
  <c r="V13" i="121"/>
  <c r="U13" i="121"/>
  <c r="M13" i="121"/>
  <c r="F13" i="121"/>
  <c r="E5" i="121"/>
  <c r="A2" i="121"/>
  <c r="D182" i="120"/>
  <c r="T181" i="120"/>
  <c r="S181" i="120"/>
  <c r="R181" i="120"/>
  <c r="Q181" i="120"/>
  <c r="P181" i="120"/>
  <c r="O181" i="120"/>
  <c r="E181" i="120"/>
  <c r="D181" i="120"/>
  <c r="W98" i="120"/>
  <c r="V98" i="120"/>
  <c r="U98" i="120"/>
  <c r="K98" i="120"/>
  <c r="M98" i="120" s="1"/>
  <c r="F98" i="120"/>
  <c r="L98" i="120" s="1"/>
  <c r="AC97" i="120"/>
  <c r="W97" i="120"/>
  <c r="V97" i="120"/>
  <c r="U97" i="120"/>
  <c r="K97" i="120"/>
  <c r="M97" i="120" s="1"/>
  <c r="F97" i="120"/>
  <c r="L97" i="120" s="1"/>
  <c r="AE96" i="120"/>
  <c r="W96" i="120"/>
  <c r="V96" i="120"/>
  <c r="U96" i="120"/>
  <c r="K96" i="120"/>
  <c r="M96" i="120" s="1"/>
  <c r="F96" i="120"/>
  <c r="L96" i="120" s="1"/>
  <c r="N96" i="120" s="1"/>
  <c r="AF95" i="120"/>
  <c r="AE95" i="120"/>
  <c r="AD95" i="120"/>
  <c r="AC95" i="120"/>
  <c r="W95" i="120"/>
  <c r="V95" i="120"/>
  <c r="U95" i="120"/>
  <c r="X95" i="120" s="1"/>
  <c r="K95" i="120"/>
  <c r="M95" i="120" s="1"/>
  <c r="F95" i="120"/>
  <c r="AF94" i="120"/>
  <c r="AE94" i="120"/>
  <c r="AD94" i="120"/>
  <c r="W94" i="120"/>
  <c r="V94" i="120"/>
  <c r="U94" i="120"/>
  <c r="X94" i="120" s="1"/>
  <c r="AC94" i="120" s="1"/>
  <c r="M94" i="120"/>
  <c r="F94" i="120"/>
  <c r="AF93" i="120"/>
  <c r="AE93" i="120"/>
  <c r="AD93" i="120"/>
  <c r="AC93" i="120"/>
  <c r="W93" i="120"/>
  <c r="V93" i="120"/>
  <c r="U93" i="120"/>
  <c r="K93" i="120"/>
  <c r="M93" i="120" s="1"/>
  <c r="F93" i="120"/>
  <c r="L93" i="120" s="1"/>
  <c r="AF92" i="120"/>
  <c r="AE92" i="120"/>
  <c r="AD92" i="120"/>
  <c r="AC92" i="120"/>
  <c r="W92" i="120"/>
  <c r="V92" i="120"/>
  <c r="U92" i="120"/>
  <c r="K92" i="120"/>
  <c r="M92" i="120" s="1"/>
  <c r="F92" i="120"/>
  <c r="L92" i="120" s="1"/>
  <c r="AF91" i="120"/>
  <c r="AE91" i="120"/>
  <c r="AD91" i="120"/>
  <c r="W91" i="120"/>
  <c r="V91" i="120"/>
  <c r="U91" i="120"/>
  <c r="M91" i="120"/>
  <c r="F91" i="120"/>
  <c r="AF90" i="120"/>
  <c r="AE90" i="120"/>
  <c r="AD90" i="120"/>
  <c r="AC90" i="120"/>
  <c r="W90" i="120"/>
  <c r="V90" i="120"/>
  <c r="U90" i="120"/>
  <c r="K90" i="120"/>
  <c r="M90" i="120" s="1"/>
  <c r="F90" i="120"/>
  <c r="L90" i="120" s="1"/>
  <c r="AF89" i="120"/>
  <c r="AE89" i="120"/>
  <c r="AD89" i="120"/>
  <c r="W89" i="120"/>
  <c r="V89" i="120"/>
  <c r="U89" i="120"/>
  <c r="K89" i="120"/>
  <c r="M89" i="120" s="1"/>
  <c r="F89" i="120"/>
  <c r="L89" i="120" s="1"/>
  <c r="AF88" i="120"/>
  <c r="AE88" i="120"/>
  <c r="AD88" i="120"/>
  <c r="AC88" i="120"/>
  <c r="W88" i="120"/>
  <c r="V88" i="120"/>
  <c r="U88" i="120"/>
  <c r="M88" i="120"/>
  <c r="F88" i="120"/>
  <c r="L88" i="120" s="1"/>
  <c r="N88" i="120" s="1"/>
  <c r="AF87" i="120"/>
  <c r="AE87" i="120"/>
  <c r="AD87" i="120"/>
  <c r="AC87" i="120"/>
  <c r="W87" i="120"/>
  <c r="V87" i="120"/>
  <c r="U87" i="120"/>
  <c r="X87" i="120" s="1"/>
  <c r="K87" i="120"/>
  <c r="M87" i="120" s="1"/>
  <c r="F87" i="120"/>
  <c r="AF86" i="120"/>
  <c r="AE86" i="120"/>
  <c r="AD86" i="120"/>
  <c r="W86" i="120"/>
  <c r="V86" i="120"/>
  <c r="U86" i="120"/>
  <c r="M86" i="120"/>
  <c r="K86" i="120"/>
  <c r="F86" i="120"/>
  <c r="AF85" i="120"/>
  <c r="AE85" i="120"/>
  <c r="AD85" i="120"/>
  <c r="AC85" i="120"/>
  <c r="W85" i="120"/>
  <c r="V85" i="120"/>
  <c r="U85" i="120"/>
  <c r="M85" i="120"/>
  <c r="K85" i="120"/>
  <c r="F85" i="120"/>
  <c r="N85" i="120" s="1"/>
  <c r="AF84" i="120"/>
  <c r="AE84" i="120"/>
  <c r="AD84" i="120"/>
  <c r="AC84" i="120"/>
  <c r="W84" i="120"/>
  <c r="V84" i="120"/>
  <c r="U84" i="120"/>
  <c r="X84" i="120" s="1"/>
  <c r="M84" i="120"/>
  <c r="K84" i="120"/>
  <c r="F84" i="120"/>
  <c r="N84" i="120" s="1"/>
  <c r="A84" i="120"/>
  <c r="A85" i="120" s="1"/>
  <c r="AF83" i="120"/>
  <c r="AE83" i="120"/>
  <c r="AD83" i="120"/>
  <c r="W83" i="120"/>
  <c r="V83" i="120"/>
  <c r="U83" i="120"/>
  <c r="M83" i="120"/>
  <c r="K83" i="120"/>
  <c r="F83" i="120"/>
  <c r="N83" i="120" s="1"/>
  <c r="AF82" i="120"/>
  <c r="AE82" i="120"/>
  <c r="AD82" i="120"/>
  <c r="AC82" i="120"/>
  <c r="W82" i="120"/>
  <c r="V82" i="120"/>
  <c r="U82" i="120"/>
  <c r="X82" i="120" s="1"/>
  <c r="M82" i="120"/>
  <c r="F82" i="120"/>
  <c r="N82" i="120" s="1"/>
  <c r="AF81" i="120"/>
  <c r="AE81" i="120"/>
  <c r="AD81" i="120"/>
  <c r="AC81" i="120"/>
  <c r="W81" i="120"/>
  <c r="V81" i="120"/>
  <c r="U81" i="120"/>
  <c r="M81" i="120"/>
  <c r="F81" i="120"/>
  <c r="N81" i="120" s="1"/>
  <c r="AF80" i="120"/>
  <c r="AE80" i="120"/>
  <c r="AD80" i="120"/>
  <c r="AC80" i="120"/>
  <c r="W80" i="120"/>
  <c r="V80" i="120"/>
  <c r="U80" i="120"/>
  <c r="M80" i="120"/>
  <c r="F80" i="120"/>
  <c r="N80" i="120" s="1"/>
  <c r="AF79" i="120"/>
  <c r="AE79" i="120"/>
  <c r="AD79" i="120"/>
  <c r="W79" i="120"/>
  <c r="V79" i="120"/>
  <c r="U79" i="120"/>
  <c r="M79" i="120"/>
  <c r="F79" i="120"/>
  <c r="N79" i="120" s="1"/>
  <c r="AF78" i="120"/>
  <c r="AE78" i="120"/>
  <c r="AD78" i="120"/>
  <c r="AC78" i="120" s="1"/>
  <c r="W78" i="120"/>
  <c r="V78" i="120"/>
  <c r="U78" i="120"/>
  <c r="M78" i="120"/>
  <c r="F78" i="120"/>
  <c r="N78" i="120" s="1"/>
  <c r="AF77" i="120"/>
  <c r="AE77" i="120"/>
  <c r="AD77" i="120"/>
  <c r="AC77" i="120"/>
  <c r="W77" i="120"/>
  <c r="V77" i="120"/>
  <c r="U77" i="120"/>
  <c r="M77" i="120"/>
  <c r="F77" i="120"/>
  <c r="N77" i="120" s="1"/>
  <c r="AF76" i="120"/>
  <c r="AE76" i="120"/>
  <c r="AD76" i="120"/>
  <c r="AC76" i="120"/>
  <c r="W76" i="120"/>
  <c r="V76" i="120"/>
  <c r="U76" i="120"/>
  <c r="M76" i="120"/>
  <c r="F76" i="120"/>
  <c r="N76" i="120" s="1"/>
  <c r="AF75" i="120"/>
  <c r="AE75" i="120"/>
  <c r="AD75" i="120"/>
  <c r="AC75" i="120"/>
  <c r="W75" i="120"/>
  <c r="V75" i="120"/>
  <c r="U75" i="120"/>
  <c r="M75" i="120"/>
  <c r="F75" i="120"/>
  <c r="N75" i="120" s="1"/>
  <c r="AF74" i="120"/>
  <c r="AE74" i="120"/>
  <c r="AD74" i="120"/>
  <c r="AC74" i="120" s="1"/>
  <c r="W74" i="120"/>
  <c r="V74" i="120"/>
  <c r="U74" i="120"/>
  <c r="M74" i="120"/>
  <c r="F74" i="120"/>
  <c r="N74" i="120" s="1"/>
  <c r="AF73" i="120"/>
  <c r="AE73" i="120"/>
  <c r="AD73" i="120"/>
  <c r="AC73" i="120" s="1"/>
  <c r="W73" i="120"/>
  <c r="V73" i="120"/>
  <c r="U73" i="120"/>
  <c r="M73" i="120"/>
  <c r="F73" i="120"/>
  <c r="N73" i="120" s="1"/>
  <c r="AF72" i="120"/>
  <c r="AE72" i="120"/>
  <c r="AD72" i="120"/>
  <c r="AC72" i="120"/>
  <c r="W72" i="120"/>
  <c r="V72" i="120"/>
  <c r="U72" i="120"/>
  <c r="X72" i="120" s="1"/>
  <c r="M72" i="120"/>
  <c r="F72" i="120"/>
  <c r="AF71" i="120"/>
  <c r="AE71" i="120"/>
  <c r="AD71" i="120"/>
  <c r="AC71" i="120"/>
  <c r="W71" i="120"/>
  <c r="V71" i="120"/>
  <c r="U71" i="120"/>
  <c r="X71" i="120" s="1"/>
  <c r="M71" i="120"/>
  <c r="F71" i="120"/>
  <c r="N71" i="120" s="1"/>
  <c r="AF70" i="120"/>
  <c r="AE70" i="120"/>
  <c r="AD70" i="120"/>
  <c r="AC70" i="120"/>
  <c r="W70" i="120"/>
  <c r="V70" i="120"/>
  <c r="U70" i="120"/>
  <c r="M70" i="120"/>
  <c r="F70" i="120"/>
  <c r="N70" i="120" s="1"/>
  <c r="AF69" i="120"/>
  <c r="AE69" i="120"/>
  <c r="AD69" i="120"/>
  <c r="AC69" i="120"/>
  <c r="W69" i="120"/>
  <c r="V69" i="120"/>
  <c r="U69" i="120"/>
  <c r="M69" i="120"/>
  <c r="F69" i="120"/>
  <c r="N69" i="120" s="1"/>
  <c r="AF68" i="120"/>
  <c r="AE68" i="120"/>
  <c r="AD68" i="120"/>
  <c r="AC68" i="120"/>
  <c r="W68" i="120"/>
  <c r="V68" i="120"/>
  <c r="U68" i="120"/>
  <c r="M68" i="120"/>
  <c r="F68" i="120"/>
  <c r="AF67" i="120"/>
  <c r="AE67" i="120"/>
  <c r="AD67" i="120"/>
  <c r="AC67" i="120"/>
  <c r="W67" i="120"/>
  <c r="V67" i="120"/>
  <c r="U67" i="120"/>
  <c r="M67" i="120"/>
  <c r="F67" i="120"/>
  <c r="A67" i="120"/>
  <c r="A68" i="120" s="1"/>
  <c r="AF66" i="120"/>
  <c r="AE66" i="120"/>
  <c r="AD66" i="120"/>
  <c r="AC66" i="120"/>
  <c r="W66" i="120"/>
  <c r="V66" i="120"/>
  <c r="U66" i="120"/>
  <c r="M66" i="120"/>
  <c r="F66" i="120"/>
  <c r="N66" i="120" s="1"/>
  <c r="E49" i="120"/>
  <c r="D49" i="120"/>
  <c r="T48" i="120"/>
  <c r="S48" i="120"/>
  <c r="R48" i="120"/>
  <c r="Q48" i="120"/>
  <c r="P48" i="120"/>
  <c r="O48" i="120"/>
  <c r="E48" i="120"/>
  <c r="D48" i="120"/>
  <c r="AF46" i="120"/>
  <c r="AE46" i="120"/>
  <c r="AD46" i="120"/>
  <c r="AC46" i="120"/>
  <c r="W46" i="120"/>
  <c r="V46" i="120"/>
  <c r="U46" i="120"/>
  <c r="M46" i="120"/>
  <c r="F46" i="120"/>
  <c r="N46" i="120" s="1"/>
  <c r="AF45" i="120"/>
  <c r="AE45" i="120"/>
  <c r="AD45" i="120"/>
  <c r="AC45" i="120"/>
  <c r="W45" i="120"/>
  <c r="V45" i="120"/>
  <c r="U45" i="120"/>
  <c r="X45" i="120" s="1"/>
  <c r="M45" i="120"/>
  <c r="F45" i="120"/>
  <c r="N45" i="120" s="1"/>
  <c r="AF44" i="120"/>
  <c r="AE44" i="120"/>
  <c r="AD44" i="120"/>
  <c r="AC44" i="120"/>
  <c r="W44" i="120"/>
  <c r="V44" i="120"/>
  <c r="U44" i="120"/>
  <c r="M44" i="120"/>
  <c r="F44" i="120"/>
  <c r="AF43" i="120"/>
  <c r="AE43" i="120"/>
  <c r="AD43" i="120"/>
  <c r="AC43" i="120"/>
  <c r="W43" i="120"/>
  <c r="V43" i="120"/>
  <c r="U43" i="120"/>
  <c r="M43" i="120"/>
  <c r="F43" i="120"/>
  <c r="AF42" i="120"/>
  <c r="AE42" i="120"/>
  <c r="AD42" i="120"/>
  <c r="AC42" i="120"/>
  <c r="W42" i="120"/>
  <c r="V42" i="120"/>
  <c r="U42" i="120"/>
  <c r="M42" i="120"/>
  <c r="F42" i="120"/>
  <c r="N42" i="120" s="1"/>
  <c r="AF41" i="120"/>
  <c r="AE41" i="120"/>
  <c r="AD41" i="120"/>
  <c r="AC41" i="120"/>
  <c r="W41" i="120"/>
  <c r="V41" i="120"/>
  <c r="U41" i="120"/>
  <c r="M41" i="120"/>
  <c r="F41" i="120"/>
  <c r="AF40" i="120"/>
  <c r="AE40" i="120"/>
  <c r="AD40" i="120"/>
  <c r="AC40" i="120"/>
  <c r="W40" i="120"/>
  <c r="V40" i="120"/>
  <c r="U40" i="120"/>
  <c r="X40" i="120" s="1"/>
  <c r="M40" i="120"/>
  <c r="F40" i="120"/>
  <c r="AF39" i="120"/>
  <c r="AE39" i="120"/>
  <c r="AD39" i="120"/>
  <c r="AC39" i="120"/>
  <c r="W39" i="120"/>
  <c r="V39" i="120"/>
  <c r="U39" i="120"/>
  <c r="M39" i="120"/>
  <c r="F39" i="120"/>
  <c r="AF38" i="120"/>
  <c r="AE38" i="120"/>
  <c r="AD38" i="120"/>
  <c r="AC38" i="120"/>
  <c r="W38" i="120"/>
  <c r="V38" i="120"/>
  <c r="U38" i="120"/>
  <c r="X38" i="120" s="1"/>
  <c r="M38" i="120"/>
  <c r="F38" i="120"/>
  <c r="N38" i="120" s="1"/>
  <c r="AF37" i="120"/>
  <c r="AE37" i="120"/>
  <c r="AD37" i="120"/>
  <c r="AC37" i="120"/>
  <c r="W37" i="120"/>
  <c r="V37" i="120"/>
  <c r="U37" i="120"/>
  <c r="X37" i="120" s="1"/>
  <c r="M37" i="120"/>
  <c r="F37" i="120"/>
  <c r="N37" i="120" s="1"/>
  <c r="AF36" i="120"/>
  <c r="AE36" i="120"/>
  <c r="AD36" i="120"/>
  <c r="AC36" i="120"/>
  <c r="W36" i="120"/>
  <c r="V36" i="120"/>
  <c r="U36" i="120"/>
  <c r="X36" i="120" s="1"/>
  <c r="M36" i="120"/>
  <c r="F36" i="120"/>
  <c r="AF35" i="120"/>
  <c r="AE35" i="120"/>
  <c r="AD35" i="120"/>
  <c r="AC35" i="120"/>
  <c r="W35" i="120"/>
  <c r="V35" i="120"/>
  <c r="U35" i="120"/>
  <c r="M35" i="120"/>
  <c r="F35" i="120"/>
  <c r="AF34" i="120"/>
  <c r="AE34" i="120"/>
  <c r="AD34" i="120"/>
  <c r="AC34" i="120"/>
  <c r="W34" i="120"/>
  <c r="V34" i="120"/>
  <c r="U34" i="120"/>
  <c r="X34" i="120" s="1"/>
  <c r="M34" i="120"/>
  <c r="F34" i="120"/>
  <c r="N34" i="120" s="1"/>
  <c r="AF33" i="120"/>
  <c r="AE33" i="120"/>
  <c r="AD33" i="120"/>
  <c r="AC33" i="120"/>
  <c r="W33" i="120"/>
  <c r="V33" i="120"/>
  <c r="U33" i="120"/>
  <c r="X33" i="120" s="1"/>
  <c r="M33" i="120"/>
  <c r="F33" i="120"/>
  <c r="N33" i="120" s="1"/>
  <c r="AF32" i="120"/>
  <c r="AE32" i="120"/>
  <c r="AD32" i="120"/>
  <c r="AC32" i="120"/>
  <c r="W32" i="120"/>
  <c r="V32" i="120"/>
  <c r="U32" i="120"/>
  <c r="X32" i="120" s="1"/>
  <c r="M32" i="120"/>
  <c r="F32" i="120"/>
  <c r="AF31" i="120"/>
  <c r="AE31" i="120"/>
  <c r="AD31" i="120"/>
  <c r="AC31" i="120"/>
  <c r="W31" i="120"/>
  <c r="V31" i="120"/>
  <c r="U31" i="120"/>
  <c r="X31" i="120" s="1"/>
  <c r="M31" i="120"/>
  <c r="F31" i="120"/>
  <c r="AF30" i="120"/>
  <c r="AE30" i="120"/>
  <c r="AD30" i="120"/>
  <c r="AC30" i="120"/>
  <c r="W30" i="120"/>
  <c r="V30" i="120"/>
  <c r="U30" i="120"/>
  <c r="M30" i="120"/>
  <c r="F30" i="120"/>
  <c r="N30" i="120" s="1"/>
  <c r="AF29" i="120"/>
  <c r="AE29" i="120"/>
  <c r="AD29" i="120"/>
  <c r="AC29" i="120"/>
  <c r="W29" i="120"/>
  <c r="V29" i="120"/>
  <c r="U29" i="120"/>
  <c r="X29" i="120" s="1"/>
  <c r="M29" i="120"/>
  <c r="F29" i="120"/>
  <c r="N29" i="120" s="1"/>
  <c r="AF28" i="120"/>
  <c r="AE28" i="120"/>
  <c r="AD28" i="120"/>
  <c r="AC28" i="120" s="1"/>
  <c r="W28" i="120"/>
  <c r="V28" i="120"/>
  <c r="U28" i="120"/>
  <c r="M28" i="120"/>
  <c r="F28" i="120"/>
  <c r="N28" i="120" s="1"/>
  <c r="AF27" i="120"/>
  <c r="AE27" i="120"/>
  <c r="AD27" i="120"/>
  <c r="AC27" i="120"/>
  <c r="W27" i="120"/>
  <c r="V27" i="120"/>
  <c r="U27" i="120"/>
  <c r="M27" i="120"/>
  <c r="F27" i="120"/>
  <c r="N27" i="120" s="1"/>
  <c r="AF26" i="120"/>
  <c r="AE26" i="120"/>
  <c r="AD26" i="120"/>
  <c r="AC26" i="120"/>
  <c r="W26" i="120"/>
  <c r="V26" i="120"/>
  <c r="U26" i="120"/>
  <c r="M26" i="120"/>
  <c r="F26" i="120"/>
  <c r="N26" i="120" s="1"/>
  <c r="AF25" i="120"/>
  <c r="AE25" i="120"/>
  <c r="AD25" i="120"/>
  <c r="AC25" i="120"/>
  <c r="W25" i="120"/>
  <c r="V25" i="120"/>
  <c r="U25" i="120"/>
  <c r="M25" i="120"/>
  <c r="F25" i="120"/>
  <c r="AF24" i="120"/>
  <c r="AE24" i="120"/>
  <c r="AD24" i="120"/>
  <c r="AC24" i="120"/>
  <c r="W24" i="120"/>
  <c r="V24" i="120"/>
  <c r="U24" i="120"/>
  <c r="M24" i="120"/>
  <c r="F24" i="120"/>
  <c r="N24" i="120" s="1"/>
  <c r="AF23" i="120"/>
  <c r="AE23" i="120"/>
  <c r="AD23" i="120"/>
  <c r="AC23" i="120"/>
  <c r="W23" i="120"/>
  <c r="V23" i="120"/>
  <c r="U23" i="120"/>
  <c r="M23" i="120"/>
  <c r="F23" i="120"/>
  <c r="N23" i="120" s="1"/>
  <c r="AF22" i="120"/>
  <c r="AE22" i="120"/>
  <c r="AD22" i="120"/>
  <c r="AC22" i="120"/>
  <c r="W22" i="120"/>
  <c r="V22" i="120"/>
  <c r="U22" i="120"/>
  <c r="M22" i="120"/>
  <c r="F22" i="120"/>
  <c r="N22" i="120" s="1"/>
  <c r="AF21" i="120"/>
  <c r="AE21" i="120"/>
  <c r="AD21" i="120"/>
  <c r="AC21" i="120"/>
  <c r="W21" i="120"/>
  <c r="V21" i="120"/>
  <c r="U21" i="120"/>
  <c r="M21" i="120"/>
  <c r="F21" i="120"/>
  <c r="N21" i="120" s="1"/>
  <c r="AF20" i="120"/>
  <c r="AE20" i="120"/>
  <c r="AD20" i="120"/>
  <c r="AC20" i="120"/>
  <c r="W20" i="120"/>
  <c r="V20" i="120"/>
  <c r="U20" i="120"/>
  <c r="M20" i="120"/>
  <c r="F20" i="120"/>
  <c r="N20" i="120" s="1"/>
  <c r="AF19" i="120"/>
  <c r="AE19" i="120"/>
  <c r="AD19" i="120"/>
  <c r="AC19" i="120"/>
  <c r="W19" i="120"/>
  <c r="V19" i="120"/>
  <c r="U19" i="120"/>
  <c r="X19" i="120" s="1"/>
  <c r="M19" i="120"/>
  <c r="F19" i="120"/>
  <c r="N19" i="120" s="1"/>
  <c r="AF18" i="120"/>
  <c r="AE18" i="120"/>
  <c r="AD18" i="120"/>
  <c r="AC18" i="120"/>
  <c r="W18" i="120"/>
  <c r="V18" i="120"/>
  <c r="U18" i="120"/>
  <c r="M18" i="120"/>
  <c r="F18" i="120"/>
  <c r="N18" i="120" s="1"/>
  <c r="AF17" i="120"/>
  <c r="AE17" i="120"/>
  <c r="AD17" i="120"/>
  <c r="AC17" i="120"/>
  <c r="W17" i="120"/>
  <c r="V17" i="120"/>
  <c r="U17" i="120"/>
  <c r="M17" i="120"/>
  <c r="F17" i="120"/>
  <c r="N17" i="120" s="1"/>
  <c r="AF16" i="120"/>
  <c r="AE16" i="120"/>
  <c r="AD16" i="120"/>
  <c r="AC16" i="120"/>
  <c r="W16" i="120"/>
  <c r="V16" i="120"/>
  <c r="U16" i="120"/>
  <c r="M16" i="120"/>
  <c r="F16" i="120"/>
  <c r="N16" i="120" s="1"/>
  <c r="AF15" i="120"/>
  <c r="AE15" i="120"/>
  <c r="AD15" i="120"/>
  <c r="AC15" i="120"/>
  <c r="W15" i="120"/>
  <c r="V15" i="120"/>
  <c r="U15" i="120"/>
  <c r="X15" i="120" s="1"/>
  <c r="M15" i="120"/>
  <c r="F15" i="120"/>
  <c r="AF14" i="120"/>
  <c r="AE14" i="120"/>
  <c r="AD14" i="120"/>
  <c r="AC14" i="120"/>
  <c r="W14" i="120"/>
  <c r="V14" i="120"/>
  <c r="U14" i="120"/>
  <c r="X14" i="120" s="1"/>
  <c r="M14" i="120"/>
  <c r="F14" i="120"/>
  <c r="A14" i="120"/>
  <c r="AF13" i="120"/>
  <c r="AE13" i="120"/>
  <c r="AD13" i="120"/>
  <c r="AC13" i="120"/>
  <c r="W13" i="120"/>
  <c r="V13" i="120"/>
  <c r="U13" i="120"/>
  <c r="M13" i="120"/>
  <c r="F13" i="120"/>
  <c r="N13" i="120" s="1"/>
  <c r="E5" i="120"/>
  <c r="A2" i="120"/>
  <c r="D158" i="119"/>
  <c r="T157" i="119"/>
  <c r="S157" i="119"/>
  <c r="R157" i="119"/>
  <c r="N56" i="132" s="1"/>
  <c r="Q157" i="119"/>
  <c r="P157" i="119"/>
  <c r="O157" i="119"/>
  <c r="E157" i="119"/>
  <c r="D157" i="119"/>
  <c r="W98" i="119"/>
  <c r="M98" i="119"/>
  <c r="F98" i="119"/>
  <c r="L98" i="119" s="1"/>
  <c r="W97" i="119"/>
  <c r="M97" i="119"/>
  <c r="F97" i="119"/>
  <c r="L97" i="119" s="1"/>
  <c r="AF96" i="119"/>
  <c r="AE96" i="119"/>
  <c r="AD96" i="119"/>
  <c r="AC96" i="119"/>
  <c r="W96" i="119"/>
  <c r="V96" i="119"/>
  <c r="U96" i="119"/>
  <c r="X96" i="119" s="1"/>
  <c r="M96" i="119"/>
  <c r="F96" i="119"/>
  <c r="N96" i="119" s="1"/>
  <c r="AF95" i="119"/>
  <c r="AE95" i="119"/>
  <c r="AD95" i="119"/>
  <c r="AC95" i="119"/>
  <c r="W95" i="119"/>
  <c r="V95" i="119"/>
  <c r="U95" i="119"/>
  <c r="M95" i="119"/>
  <c r="AF94" i="119"/>
  <c r="AE94" i="119"/>
  <c r="AD94" i="119"/>
  <c r="AC94" i="119"/>
  <c r="W94" i="119"/>
  <c r="V94" i="119"/>
  <c r="U94" i="119"/>
  <c r="M94" i="119"/>
  <c r="AF93" i="119"/>
  <c r="AE93" i="119"/>
  <c r="AD93" i="119"/>
  <c r="AC93" i="119"/>
  <c r="X93" i="119"/>
  <c r="W93" i="119"/>
  <c r="AF92" i="119"/>
  <c r="AE92" i="119"/>
  <c r="AD92" i="119"/>
  <c r="AC92" i="119"/>
  <c r="W92" i="119"/>
  <c r="V92" i="119"/>
  <c r="U92" i="119"/>
  <c r="M92" i="119"/>
  <c r="F92" i="119"/>
  <c r="AF91" i="119"/>
  <c r="AE91" i="119"/>
  <c r="AD91" i="119"/>
  <c r="W91" i="119"/>
  <c r="V91" i="119"/>
  <c r="U91" i="119"/>
  <c r="M91" i="119"/>
  <c r="F91" i="119"/>
  <c r="N91" i="119" s="1"/>
  <c r="AF90" i="119"/>
  <c r="AE90" i="119"/>
  <c r="AD90" i="119"/>
  <c r="AC90" i="119"/>
  <c r="W90" i="119"/>
  <c r="V90" i="119"/>
  <c r="U90" i="119"/>
  <c r="K90" i="119"/>
  <c r="M90" i="119" s="1"/>
  <c r="F90" i="119"/>
  <c r="AF89" i="119"/>
  <c r="AE89" i="119"/>
  <c r="AD89" i="119"/>
  <c r="AC89" i="119"/>
  <c r="L39" i="121" l="1"/>
  <c r="L37" i="121"/>
  <c r="N37" i="121" s="1"/>
  <c r="AA37" i="121" s="1"/>
  <c r="Z40" i="120"/>
  <c r="Y40" i="120" s="1"/>
  <c r="Z45" i="121"/>
  <c r="Z66" i="121"/>
  <c r="Z69" i="121"/>
  <c r="AE82" i="122"/>
  <c r="AE161" i="122" s="1"/>
  <c r="AF82" i="122"/>
  <c r="AF161" i="122" s="1"/>
  <c r="Z19" i="121"/>
  <c r="AA15" i="121"/>
  <c r="Y21" i="121"/>
  <c r="X21" i="121" s="1"/>
  <c r="Z41" i="121"/>
  <c r="Z72" i="121"/>
  <c r="Y72" i="121" s="1"/>
  <c r="Z75" i="121"/>
  <c r="L29" i="121"/>
  <c r="Y39" i="121"/>
  <c r="AA41" i="121"/>
  <c r="AA68" i="121"/>
  <c r="L32" i="121"/>
  <c r="N32" i="121"/>
  <c r="AA32" i="121" s="1"/>
  <c r="Z41" i="120"/>
  <c r="Z45" i="120"/>
  <c r="L34" i="121"/>
  <c r="N34" i="121"/>
  <c r="AA34" i="121" s="1"/>
  <c r="Z34" i="121" s="1"/>
  <c r="Y34" i="121" s="1"/>
  <c r="Y17" i="120"/>
  <c r="X17" i="120" s="1"/>
  <c r="Y20" i="120"/>
  <c r="X20" i="120" s="1"/>
  <c r="Y21" i="120"/>
  <c r="X21" i="120" s="1"/>
  <c r="Z34" i="120"/>
  <c r="Y34" i="120" s="1"/>
  <c r="Z43" i="121"/>
  <c r="AA42" i="120"/>
  <c r="W181" i="120"/>
  <c r="Z20" i="121"/>
  <c r="Z36" i="121"/>
  <c r="U48" i="120"/>
  <c r="L91" i="120"/>
  <c r="N91" i="120"/>
  <c r="AA91" i="120" s="1"/>
  <c r="Z91" i="120" s="1"/>
  <c r="Y18" i="121"/>
  <c r="Z22" i="121"/>
  <c r="AA66" i="121"/>
  <c r="Z74" i="121"/>
  <c r="L91" i="119"/>
  <c r="AA13" i="120"/>
  <c r="W48" i="120"/>
  <c r="AA33" i="120"/>
  <c r="Z39" i="120"/>
  <c r="Y66" i="120"/>
  <c r="X66" i="120" s="1"/>
  <c r="L94" i="120"/>
  <c r="N94" i="120"/>
  <c r="AA94" i="120" s="1"/>
  <c r="Z94" i="120" s="1"/>
  <c r="L95" i="120"/>
  <c r="N95" i="120"/>
  <c r="AA95" i="120" s="1"/>
  <c r="Y15" i="121"/>
  <c r="AA21" i="121"/>
  <c r="L28" i="121"/>
  <c r="Y37" i="121"/>
  <c r="Y68" i="121"/>
  <c r="X68" i="121" s="1"/>
  <c r="AA70" i="121"/>
  <c r="L91" i="121"/>
  <c r="L87" i="120"/>
  <c r="N87" i="120"/>
  <c r="AA87" i="120" s="1"/>
  <c r="AA24" i="121"/>
  <c r="W220" i="121"/>
  <c r="Y67" i="121"/>
  <c r="Z24" i="121"/>
  <c r="Z70" i="121"/>
  <c r="Y70" i="121" s="1"/>
  <c r="L96" i="119"/>
  <c r="AA96" i="119" s="1"/>
  <c r="Z97" i="119"/>
  <c r="Y97" i="119"/>
  <c r="L30" i="120"/>
  <c r="AA30" i="120" s="1"/>
  <c r="L97" i="121"/>
  <c r="N97" i="121"/>
  <c r="AA97" i="121" s="1"/>
  <c r="Z24" i="120"/>
  <c r="Y25" i="120"/>
  <c r="Y27" i="120"/>
  <c r="X27" i="120" s="1"/>
  <c r="AA46" i="120"/>
  <c r="AA70" i="120"/>
  <c r="Z70" i="120" s="1"/>
  <c r="Y70" i="120"/>
  <c r="X70" i="120" s="1"/>
  <c r="Z71" i="120"/>
  <c r="Y71" i="120" s="1"/>
  <c r="F48" i="121"/>
  <c r="Z13" i="121"/>
  <c r="Y13" i="121" s="1"/>
  <c r="N14" i="121"/>
  <c r="AA14" i="121" s="1"/>
  <c r="X15" i="121"/>
  <c r="N16" i="121"/>
  <c r="AA16" i="121" s="1"/>
  <c r="Z16" i="121" s="1"/>
  <c r="Y16" i="121" s="1"/>
  <c r="X18" i="121"/>
  <c r="AA19" i="121"/>
  <c r="Y19" i="121"/>
  <c r="W48" i="121"/>
  <c r="Z21" i="121"/>
  <c r="Z23" i="121"/>
  <c r="N38" i="121"/>
  <c r="AA38" i="121" s="1"/>
  <c r="Z38" i="121" s="1"/>
  <c r="Z39" i="121"/>
  <c r="N40" i="121"/>
  <c r="AA40" i="121" s="1"/>
  <c r="Y41" i="121"/>
  <c r="AA43" i="121"/>
  <c r="Z67" i="121"/>
  <c r="Y69" i="121"/>
  <c r="X69" i="121" s="1"/>
  <c r="AA72" i="121"/>
  <c r="Y73" i="121"/>
  <c r="Y75" i="121"/>
  <c r="Z76" i="121"/>
  <c r="Y82" i="121"/>
  <c r="X82" i="121" s="1"/>
  <c r="L93" i="121"/>
  <c r="L94" i="121"/>
  <c r="L90" i="119"/>
  <c r="N90" i="119"/>
  <c r="AA90" i="119" s="1"/>
  <c r="Z98" i="119"/>
  <c r="Y98" i="119"/>
  <c r="L29" i="120"/>
  <c r="AA29" i="120" s="1"/>
  <c r="L31" i="121"/>
  <c r="N31" i="121" s="1"/>
  <c r="AA31" i="121" s="1"/>
  <c r="L33" i="121"/>
  <c r="N33" i="121" s="1"/>
  <c r="AA33" i="121" s="1"/>
  <c r="L35" i="121"/>
  <c r="N35" i="121" s="1"/>
  <c r="AA35" i="121" s="1"/>
  <c r="L95" i="121"/>
  <c r="N95" i="121"/>
  <c r="AA95" i="121" s="1"/>
  <c r="L96" i="121"/>
  <c r="N96" i="121"/>
  <c r="AA96" i="121" s="1"/>
  <c r="L98" i="121"/>
  <c r="N98" i="121"/>
  <c r="AA98" i="121" s="1"/>
  <c r="Z15" i="121"/>
  <c r="Z18" i="121"/>
  <c r="AA20" i="121"/>
  <c r="Y25" i="121"/>
  <c r="X25" i="121" s="1"/>
  <c r="AA45" i="121"/>
  <c r="Y66" i="121"/>
  <c r="X66" i="121" s="1"/>
  <c r="Z68" i="121"/>
  <c r="N79" i="121"/>
  <c r="AA79" i="121" s="1"/>
  <c r="L87" i="121"/>
  <c r="AC90" i="122"/>
  <c r="AD90" i="122"/>
  <c r="AC82" i="122"/>
  <c r="AD82" i="122"/>
  <c r="X37" i="121"/>
  <c r="Z37" i="121"/>
  <c r="N98" i="119"/>
  <c r="AA98" i="119" s="1"/>
  <c r="Z29" i="120"/>
  <c r="Y29" i="120" s="1"/>
  <c r="Z30" i="120"/>
  <c r="N97" i="119"/>
  <c r="AA97" i="119" s="1"/>
  <c r="Y69" i="120"/>
  <c r="AE48" i="120"/>
  <c r="Z16" i="120"/>
  <c r="Y18" i="120"/>
  <c r="X18" i="120" s="1"/>
  <c r="Y22" i="120"/>
  <c r="X22" i="120" s="1"/>
  <c r="Z23" i="120"/>
  <c r="AA24" i="120"/>
  <c r="Z31" i="120"/>
  <c r="Y31" i="120" s="1"/>
  <c r="Z32" i="120"/>
  <c r="AA34" i="120"/>
  <c r="Z37" i="120"/>
  <c r="AA38" i="120"/>
  <c r="Z44" i="120"/>
  <c r="AA66" i="120"/>
  <c r="AA71" i="120"/>
  <c r="AA73" i="120"/>
  <c r="Z35" i="121"/>
  <c r="AA30" i="121"/>
  <c r="Z30" i="121" s="1"/>
  <c r="Z95" i="119"/>
  <c r="X95" i="119"/>
  <c r="M48" i="120"/>
  <c r="Y15" i="120"/>
  <c r="Y16" i="120"/>
  <c r="Z17" i="120"/>
  <c r="Y19" i="120"/>
  <c r="Z21" i="120"/>
  <c r="Y23" i="120"/>
  <c r="X23" i="120" s="1"/>
  <c r="AD48" i="120"/>
  <c r="AC48" i="120" s="1"/>
  <c r="AF48" i="120"/>
  <c r="Y24" i="120"/>
  <c r="X24" i="120" s="1"/>
  <c r="X25" i="120"/>
  <c r="Y26" i="120"/>
  <c r="X26" i="120" s="1"/>
  <c r="Y28" i="120"/>
  <c r="Z33" i="120"/>
  <c r="Z36" i="120"/>
  <c r="Z38" i="120"/>
  <c r="Y38" i="120" s="1"/>
  <c r="X39" i="120"/>
  <c r="N43" i="120"/>
  <c r="AA43" i="120" s="1"/>
  <c r="Y45" i="120"/>
  <c r="N67" i="120"/>
  <c r="Z73" i="120"/>
  <c r="Z76" i="120"/>
  <c r="Z77" i="120"/>
  <c r="Z79" i="120"/>
  <c r="L85" i="120"/>
  <c r="V48" i="120"/>
  <c r="Z18" i="120"/>
  <c r="Z20" i="120"/>
  <c r="Z22" i="120"/>
  <c r="Z25" i="120"/>
  <c r="Y30" i="120"/>
  <c r="X30" i="120" s="1"/>
  <c r="N36" i="120"/>
  <c r="AA36" i="120" s="1"/>
  <c r="AA37" i="120"/>
  <c r="Z42" i="120"/>
  <c r="Y42" i="120" s="1"/>
  <c r="Y46" i="120"/>
  <c r="X46" i="120" s="1"/>
  <c r="Z67" i="120"/>
  <c r="F181" i="120"/>
  <c r="X69" i="120"/>
  <c r="Z74" i="120"/>
  <c r="Y76" i="120"/>
  <c r="X76" i="120" s="1"/>
  <c r="Z80" i="120"/>
  <c r="Y80" i="120" s="1"/>
  <c r="L84" i="120"/>
  <c r="L86" i="120"/>
  <c r="N86" i="120" s="1"/>
  <c r="AA86" i="120" s="1"/>
  <c r="AA67" i="120"/>
  <c r="Z96" i="119"/>
  <c r="Y96" i="119" s="1"/>
  <c r="Y48" i="122"/>
  <c r="Y99" i="121"/>
  <c r="X99" i="121" s="1"/>
  <c r="N161" i="122"/>
  <c r="A15" i="120"/>
  <c r="A16" i="120" s="1"/>
  <c r="A17" i="120" s="1"/>
  <c r="A18" i="120" s="1"/>
  <c r="A19" i="120" s="1"/>
  <c r="A20" i="120" s="1"/>
  <c r="A21" i="120" s="1"/>
  <c r="A22" i="120" s="1"/>
  <c r="A23" i="120" s="1"/>
  <c r="A24" i="120" s="1"/>
  <c r="A25" i="120" s="1"/>
  <c r="A26" i="120" s="1"/>
  <c r="A27" i="120" s="1"/>
  <c r="A28" i="120" s="1"/>
  <c r="Z26" i="120"/>
  <c r="Z27" i="120"/>
  <c r="Y33" i="120"/>
  <c r="Z46" i="120"/>
  <c r="F48" i="120"/>
  <c r="Z66" i="120"/>
  <c r="Y67" i="120"/>
  <c r="X67" i="120" s="1"/>
  <c r="AA91" i="119"/>
  <c r="AA94" i="119"/>
  <c r="Z94" i="119"/>
  <c r="Z13" i="120"/>
  <c r="N15" i="120"/>
  <c r="AA15" i="120" s="1"/>
  <c r="Z15" i="120" s="1"/>
  <c r="AA16" i="120"/>
  <c r="AA17" i="120"/>
  <c r="AA18" i="120"/>
  <c r="AA19" i="120"/>
  <c r="Z19" i="120" s="1"/>
  <c r="AA20" i="120"/>
  <c r="AA21" i="120"/>
  <c r="AA22" i="120"/>
  <c r="N25" i="120"/>
  <c r="AA25" i="120" s="1"/>
  <c r="N35" i="120"/>
  <c r="AA35" i="120" s="1"/>
  <c r="Z35" i="120"/>
  <c r="Y37" i="120"/>
  <c r="N41" i="120"/>
  <c r="AA41" i="120" s="1"/>
  <c r="Y41" i="120"/>
  <c r="Y44" i="120"/>
  <c r="X44" i="120" s="1"/>
  <c r="N68" i="120"/>
  <c r="AA68" i="120" s="1"/>
  <c r="Z68" i="120"/>
  <c r="Y75" i="120"/>
  <c r="X75" i="120" s="1"/>
  <c r="Z78" i="120"/>
  <c r="Y78" i="120" s="1"/>
  <c r="L83" i="120"/>
  <c r="A86" i="120"/>
  <c r="A87" i="120" s="1"/>
  <c r="A88" i="120" s="1"/>
  <c r="A89" i="120" s="1"/>
  <c r="A90" i="120" s="1"/>
  <c r="A91" i="120" s="1"/>
  <c r="A92" i="120" s="1"/>
  <c r="A93" i="120" s="1"/>
  <c r="A94" i="120" s="1"/>
  <c r="A95" i="120" s="1"/>
  <c r="A96" i="120" s="1"/>
  <c r="A97" i="120" s="1"/>
  <c r="A98" i="120" s="1"/>
  <c r="N98" i="120"/>
  <c r="AA98" i="120" s="1"/>
  <c r="Z98" i="120" s="1"/>
  <c r="A16" i="121"/>
  <c r="A17" i="121" s="1"/>
  <c r="A18" i="121" s="1"/>
  <c r="A19" i="121" s="1"/>
  <c r="A20" i="121" s="1"/>
  <c r="A21" i="121" s="1"/>
  <c r="A22" i="121" s="1"/>
  <c r="A23" i="121" s="1"/>
  <c r="A24" i="121" s="1"/>
  <c r="A25" i="121" s="1"/>
  <c r="A26" i="121" s="1"/>
  <c r="Y20" i="121"/>
  <c r="Z33" i="121"/>
  <c r="Y35" i="121"/>
  <c r="N36" i="121"/>
  <c r="AA36" i="121" s="1"/>
  <c r="Y36" i="121"/>
  <c r="N42" i="121"/>
  <c r="AA42" i="121" s="1"/>
  <c r="Z42" i="121" s="1"/>
  <c r="Y42" i="121"/>
  <c r="Y43" i="121"/>
  <c r="N44" i="121"/>
  <c r="AA44" i="121" s="1"/>
  <c r="Z44" i="121"/>
  <c r="Y44" i="121" s="1"/>
  <c r="Y45" i="121"/>
  <c r="N46" i="121"/>
  <c r="AA46" i="121" s="1"/>
  <c r="Z46" i="121" s="1"/>
  <c r="Y46" i="121"/>
  <c r="AA67" i="121"/>
  <c r="A68" i="121"/>
  <c r="A69" i="121" s="1"/>
  <c r="A70" i="121" s="1"/>
  <c r="A71" i="121" s="1"/>
  <c r="A72" i="121" s="1"/>
  <c r="A73" i="121" s="1"/>
  <c r="A74" i="121" s="1"/>
  <c r="A75" i="121" s="1"/>
  <c r="N71" i="121"/>
  <c r="AA71" i="121" s="1"/>
  <c r="Z71" i="121"/>
  <c r="Y71" i="121" s="1"/>
  <c r="AA75" i="121"/>
  <c r="AA76" i="121"/>
  <c r="Y77" i="121"/>
  <c r="Z81" i="121"/>
  <c r="L86" i="121"/>
  <c r="N91" i="121"/>
  <c r="AA91" i="121" s="1"/>
  <c r="L92" i="121"/>
  <c r="N92" i="121" s="1"/>
  <c r="AA92" i="121" s="1"/>
  <c r="AA95" i="119"/>
  <c r="N14" i="120"/>
  <c r="X16" i="120"/>
  <c r="AA23" i="120"/>
  <c r="X28" i="120"/>
  <c r="N31" i="120"/>
  <c r="AA31" i="120" s="1"/>
  <c r="N32" i="120"/>
  <c r="AA32" i="120" s="1"/>
  <c r="Y32" i="120"/>
  <c r="N39" i="120"/>
  <c r="AA39" i="120" s="1"/>
  <c r="Y39" i="120"/>
  <c r="N40" i="120"/>
  <c r="AA40" i="120" s="1"/>
  <c r="X42" i="120"/>
  <c r="X43" i="120"/>
  <c r="N44" i="120"/>
  <c r="AA44" i="120" s="1"/>
  <c r="N72" i="120"/>
  <c r="AA72" i="120" s="1"/>
  <c r="Z72" i="120" s="1"/>
  <c r="Y72" i="120"/>
  <c r="Y73" i="120"/>
  <c r="X73" i="120" s="1"/>
  <c r="N90" i="120"/>
  <c r="AA90" i="120" s="1"/>
  <c r="N93" i="120"/>
  <c r="AA93" i="120" s="1"/>
  <c r="N97" i="120"/>
  <c r="AA97" i="120" s="1"/>
  <c r="N13" i="121"/>
  <c r="AA13" i="121" s="1"/>
  <c r="X13" i="121"/>
  <c r="X14" i="121"/>
  <c r="X16" i="121"/>
  <c r="N17" i="121"/>
  <c r="AA17" i="121" s="1"/>
  <c r="Z17" i="121" s="1"/>
  <c r="Y17" i="121"/>
  <c r="X19" i="121"/>
  <c r="Y22" i="121"/>
  <c r="X22" i="121" s="1"/>
  <c r="Y23" i="121"/>
  <c r="X23" i="121" s="1"/>
  <c r="Y24" i="121"/>
  <c r="X24" i="121" s="1"/>
  <c r="X38" i="121"/>
  <c r="X39" i="121"/>
  <c r="X40" i="121"/>
  <c r="F220" i="121"/>
  <c r="X67" i="121"/>
  <c r="AA69" i="121"/>
  <c r="X73" i="121"/>
  <c r="Y74" i="121"/>
  <c r="X74" i="121" s="1"/>
  <c r="X75" i="121"/>
  <c r="AA77" i="121"/>
  <c r="Z77" i="121" s="1"/>
  <c r="A78" i="121"/>
  <c r="A79" i="121" s="1"/>
  <c r="A80" i="121" s="1"/>
  <c r="A81" i="121" s="1"/>
  <c r="A82" i="121" s="1"/>
  <c r="A83" i="121" s="1"/>
  <c r="A84" i="121" s="1"/>
  <c r="X79" i="121"/>
  <c r="Z80" i="121"/>
  <c r="Y80" i="121" s="1"/>
  <c r="N86" i="121"/>
  <c r="AA86" i="121" s="1"/>
  <c r="AA93" i="121"/>
  <c r="Z43" i="120"/>
  <c r="Y43" i="120" s="1"/>
  <c r="A69" i="120"/>
  <c r="A70" i="120" s="1"/>
  <c r="A71" i="120" s="1"/>
  <c r="A72" i="120" s="1"/>
  <c r="A73" i="120" s="1"/>
  <c r="A74" i="120" s="1"/>
  <c r="A75" i="120" s="1"/>
  <c r="A76" i="120" s="1"/>
  <c r="A77" i="120" s="1"/>
  <c r="A78" i="120" s="1"/>
  <c r="A79" i="120" s="1"/>
  <c r="A80" i="120" s="1"/>
  <c r="A81" i="120" s="1"/>
  <c r="A82" i="120" s="1"/>
  <c r="AA69" i="120"/>
  <c r="Z69" i="120" s="1"/>
  <c r="N89" i="120"/>
  <c r="AA89" i="120" s="1"/>
  <c r="Y14" i="121"/>
  <c r="Y38" i="121"/>
  <c r="Y40" i="121"/>
  <c r="L92" i="119"/>
  <c r="X94" i="119"/>
  <c r="Y95" i="119"/>
  <c r="X13" i="120"/>
  <c r="AA26" i="120"/>
  <c r="AA27" i="120"/>
  <c r="AA28" i="120"/>
  <c r="Z28" i="120" s="1"/>
  <c r="Y35" i="120"/>
  <c r="X35" i="120" s="1"/>
  <c r="Y36" i="120"/>
  <c r="X41" i="120"/>
  <c r="AA45" i="120"/>
  <c r="Y68" i="120"/>
  <c r="X68" i="120" s="1"/>
  <c r="X78" i="120"/>
  <c r="Z14" i="121"/>
  <c r="AA18" i="121"/>
  <c r="AA22" i="121"/>
  <c r="AA23" i="121"/>
  <c r="X36" i="121"/>
  <c r="Z40" i="121"/>
  <c r="X42" i="121"/>
  <c r="X44" i="121"/>
  <c r="X46" i="121"/>
  <c r="X71" i="121"/>
  <c r="AA73" i="121"/>
  <c r="Z73" i="121" s="1"/>
  <c r="AA74" i="121"/>
  <c r="AA82" i="121"/>
  <c r="N48" i="122"/>
  <c r="X48" i="122"/>
  <c r="AD48" i="121"/>
  <c r="Y92" i="120"/>
  <c r="X92" i="120" s="1"/>
  <c r="Y95" i="120"/>
  <c r="Y94" i="119"/>
  <c r="X92" i="119"/>
  <c r="Z92" i="119"/>
  <c r="Y92" i="119"/>
  <c r="AF48" i="121"/>
  <c r="Y85" i="121"/>
  <c r="X85" i="121" s="1"/>
  <c r="Y90" i="121"/>
  <c r="X90" i="121" s="1"/>
  <c r="Y88" i="120"/>
  <c r="X88" i="120" s="1"/>
  <c r="Y91" i="120"/>
  <c r="X91" i="120" s="1"/>
  <c r="AC91" i="120" s="1"/>
  <c r="Y94" i="120"/>
  <c r="Y96" i="120"/>
  <c r="X96" i="120" s="1"/>
  <c r="AF96" i="120" s="1"/>
  <c r="M48" i="121"/>
  <c r="Z32" i="121"/>
  <c r="Y32" i="121" s="1"/>
  <c r="Y33" i="121"/>
  <c r="X33" i="121"/>
  <c r="AA93" i="119"/>
  <c r="V220" i="121"/>
  <c r="AD220" i="121"/>
  <c r="AF220" i="121"/>
  <c r="M220" i="121"/>
  <c r="X30" i="121"/>
  <c r="X28" i="121"/>
  <c r="Y90" i="120"/>
  <c r="X90" i="120" s="1"/>
  <c r="Y93" i="120"/>
  <c r="X93" i="120" s="1"/>
  <c r="Z89" i="120"/>
  <c r="Z97" i="120"/>
  <c r="X80" i="120"/>
  <c r="Y95" i="121"/>
  <c r="X95" i="121" s="1"/>
  <c r="Y98" i="120"/>
  <c r="X98" i="120" s="1"/>
  <c r="N92" i="120"/>
  <c r="AA92" i="120" s="1"/>
  <c r="Z92" i="120" s="1"/>
  <c r="X94" i="121"/>
  <c r="Y79" i="120"/>
  <c r="X79" i="120" s="1"/>
  <c r="AC79" i="120" s="1"/>
  <c r="M181" i="120"/>
  <c r="N92" i="119"/>
  <c r="AA92" i="119" s="1"/>
  <c r="Z91" i="119"/>
  <c r="X91" i="119"/>
  <c r="AC91" i="119" s="1"/>
  <c r="Z98" i="121"/>
  <c r="Y96" i="121"/>
  <c r="AA94" i="121"/>
  <c r="Y92" i="121"/>
  <c r="X92" i="121" s="1"/>
  <c r="Z90" i="121"/>
  <c r="AA90" i="121"/>
  <c r="Y89" i="121"/>
  <c r="X89" i="121" s="1"/>
  <c r="AA89" i="121"/>
  <c r="Y88" i="121"/>
  <c r="X88" i="121" s="1"/>
  <c r="AC88" i="121" s="1"/>
  <c r="AA88" i="121" s="1"/>
  <c r="Z85" i="121"/>
  <c r="AA85" i="121"/>
  <c r="Y84" i="121"/>
  <c r="Y83" i="121"/>
  <c r="X83" i="121" s="1"/>
  <c r="Z83" i="121"/>
  <c r="AA29" i="121"/>
  <c r="AA28" i="121"/>
  <c r="Z27" i="121"/>
  <c r="Y97" i="120"/>
  <c r="X97" i="120" s="1"/>
  <c r="Z96" i="120"/>
  <c r="AA96" i="120"/>
  <c r="Z95" i="120"/>
  <c r="Z93" i="120"/>
  <c r="Z90" i="120"/>
  <c r="Y89" i="120"/>
  <c r="X89" i="120" s="1"/>
  <c r="AC89" i="120" s="1"/>
  <c r="Z88" i="120"/>
  <c r="AA88" i="120"/>
  <c r="Y86" i="120"/>
  <c r="X86" i="120" s="1"/>
  <c r="AC86" i="120" s="1"/>
  <c r="Z86" i="120"/>
  <c r="Y85" i="120"/>
  <c r="X85" i="120" s="1"/>
  <c r="AA83" i="120"/>
  <c r="Z83" i="120"/>
  <c r="Z81" i="120"/>
  <c r="AA81" i="120"/>
  <c r="Z25" i="121"/>
  <c r="Z26" i="121"/>
  <c r="Y26" i="121" s="1"/>
  <c r="V48" i="121"/>
  <c r="AA27" i="121"/>
  <c r="AE48" i="121"/>
  <c r="Z31" i="121"/>
  <c r="Y31" i="121" s="1"/>
  <c r="AA25" i="121"/>
  <c r="AA26" i="121"/>
  <c r="Z28" i="121"/>
  <c r="Y30" i="121"/>
  <c r="Y27" i="121"/>
  <c r="Z29" i="121"/>
  <c r="Y29" i="121" s="1"/>
  <c r="U48" i="121"/>
  <c r="X27" i="121"/>
  <c r="Y28" i="121"/>
  <c r="AC48" i="121"/>
  <c r="Z79" i="121"/>
  <c r="Y81" i="121"/>
  <c r="X81" i="121" s="1"/>
  <c r="X84" i="121"/>
  <c r="X96" i="121"/>
  <c r="Y98" i="121"/>
  <c r="X98" i="121" s="1"/>
  <c r="Z96" i="121"/>
  <c r="AA78" i="121"/>
  <c r="AA80" i="121"/>
  <c r="AA81" i="121"/>
  <c r="Z82" i="121"/>
  <c r="AA83" i="121"/>
  <c r="AA84" i="121"/>
  <c r="Z84" i="121" s="1"/>
  <c r="Z86" i="121"/>
  <c r="Y86" i="121" s="1"/>
  <c r="Z87" i="121"/>
  <c r="Y87" i="121" s="1"/>
  <c r="Z88" i="121"/>
  <c r="Z89" i="121"/>
  <c r="Z91" i="121"/>
  <c r="Z92" i="121"/>
  <c r="Y93" i="121"/>
  <c r="Z97" i="121"/>
  <c r="Y97" i="121" s="1"/>
  <c r="U220" i="121"/>
  <c r="Z78" i="121"/>
  <c r="AE220" i="121"/>
  <c r="Y79" i="121"/>
  <c r="X86" i="121"/>
  <c r="AA87" i="121"/>
  <c r="Y91" i="121"/>
  <c r="X91" i="121" s="1"/>
  <c r="AC91" i="121" s="1"/>
  <c r="X93" i="121"/>
  <c r="Z93" i="121"/>
  <c r="Z94" i="121"/>
  <c r="Y94" i="121" s="1"/>
  <c r="Z95" i="121"/>
  <c r="AA48" i="122"/>
  <c r="Z48" i="122"/>
  <c r="X161" i="122"/>
  <c r="Z81" i="122"/>
  <c r="Z161" i="122" s="1"/>
  <c r="Y161" i="122" s="1"/>
  <c r="AA161" i="122"/>
  <c r="AA79" i="120"/>
  <c r="V181" i="120"/>
  <c r="Y74" i="120"/>
  <c r="X74" i="120" s="1"/>
  <c r="AE181" i="120"/>
  <c r="Y77" i="120"/>
  <c r="X77" i="120" s="1"/>
  <c r="Y81" i="120"/>
  <c r="X81" i="120" s="1"/>
  <c r="Y83" i="120"/>
  <c r="X83" i="120" s="1"/>
  <c r="AC83" i="120" s="1"/>
  <c r="Z87" i="120"/>
  <c r="Y87" i="120" s="1"/>
  <c r="AA74" i="120"/>
  <c r="Z75" i="120"/>
  <c r="AA76" i="120"/>
  <c r="AA77" i="120"/>
  <c r="AA78" i="120"/>
  <c r="AA80" i="120"/>
  <c r="Z82" i="120"/>
  <c r="Y82" i="120" s="1"/>
  <c r="Y84" i="120"/>
  <c r="Z85" i="120"/>
  <c r="U181" i="120"/>
  <c r="AA75" i="120"/>
  <c r="AA82" i="120"/>
  <c r="AA84" i="120"/>
  <c r="Z84" i="120" s="1"/>
  <c r="AA85" i="120"/>
  <c r="Y91" i="119"/>
  <c r="Y90" i="119"/>
  <c r="X90" i="119"/>
  <c r="Z90" i="119"/>
  <c r="W89" i="119"/>
  <c r="V89" i="119"/>
  <c r="U89" i="119"/>
  <c r="M89" i="119"/>
  <c r="X220" i="121" l="1"/>
  <c r="N39" i="121"/>
  <c r="AA39" i="121" s="1"/>
  <c r="AA48" i="121" s="1"/>
  <c r="AC98" i="120"/>
  <c r="AF98" i="120"/>
  <c r="AF181" i="120" s="1"/>
  <c r="Y48" i="120"/>
  <c r="AC161" i="122"/>
  <c r="AD161" i="122"/>
  <c r="AC220" i="121"/>
  <c r="X48" i="120"/>
  <c r="AA14" i="120"/>
  <c r="N48" i="120"/>
  <c r="N48" i="121"/>
  <c r="N220" i="121"/>
  <c r="AC96" i="120"/>
  <c r="AD96" i="120"/>
  <c r="AD181" i="120" s="1"/>
  <c r="Y13" i="120"/>
  <c r="X48" i="121"/>
  <c r="Y48" i="121"/>
  <c r="Y220" i="121"/>
  <c r="N181" i="120"/>
  <c r="Y181" i="120"/>
  <c r="X181" i="120"/>
  <c r="Z89" i="119"/>
  <c r="Y89" i="119" s="1"/>
  <c r="Z48" i="121"/>
  <c r="Y78" i="121"/>
  <c r="Z220" i="121"/>
  <c r="AA220" i="121"/>
  <c r="Z181" i="120"/>
  <c r="AA181" i="120"/>
  <c r="X89" i="119"/>
  <c r="F89" i="119"/>
  <c r="L89" i="119" s="1"/>
  <c r="N89" i="119" s="1"/>
  <c r="AA89" i="119" s="1"/>
  <c r="AF88" i="119"/>
  <c r="AE88" i="119"/>
  <c r="AD88" i="119"/>
  <c r="W88" i="119"/>
  <c r="V88" i="119"/>
  <c r="U88" i="119"/>
  <c r="M88" i="119"/>
  <c r="F88" i="119"/>
  <c r="L88" i="119" s="1"/>
  <c r="N88" i="119" s="1"/>
  <c r="AF87" i="119"/>
  <c r="AE87" i="119"/>
  <c r="AD87" i="119"/>
  <c r="AC87" i="119"/>
  <c r="W87" i="119"/>
  <c r="V87" i="119"/>
  <c r="U87" i="119"/>
  <c r="M87" i="119"/>
  <c r="F87" i="119"/>
  <c r="L87" i="119" s="1"/>
  <c r="AF86" i="119"/>
  <c r="AE86" i="119"/>
  <c r="AD86" i="119"/>
  <c r="AC86" i="119"/>
  <c r="W86" i="119"/>
  <c r="V86" i="119"/>
  <c r="U86" i="119"/>
  <c r="M86" i="119"/>
  <c r="F86" i="119"/>
  <c r="L86" i="119" s="1"/>
  <c r="AF85" i="119"/>
  <c r="AE85" i="119"/>
  <c r="AD85" i="119"/>
  <c r="AC85" i="119"/>
  <c r="W85" i="119"/>
  <c r="V85" i="119"/>
  <c r="U85" i="119"/>
  <c r="M85" i="119"/>
  <c r="F85" i="119"/>
  <c r="AF84" i="119"/>
  <c r="AE84" i="119"/>
  <c r="AD84" i="119"/>
  <c r="AC84" i="119"/>
  <c r="W84" i="119"/>
  <c r="V84" i="119"/>
  <c r="U84" i="119"/>
  <c r="AC181" i="120" l="1"/>
  <c r="L85" i="119"/>
  <c r="N85" i="119"/>
  <c r="AA85" i="119" s="1"/>
  <c r="N87" i="119"/>
  <c r="AA87" i="119" s="1"/>
  <c r="Z14" i="120"/>
  <c r="AA48" i="120"/>
  <c r="N86" i="119"/>
  <c r="X87" i="119"/>
  <c r="AA88" i="119"/>
  <c r="Z88" i="119"/>
  <c r="AA86" i="119"/>
  <c r="Z87" i="119"/>
  <c r="Y85" i="119"/>
  <c r="Z86" i="119"/>
  <c r="Y88" i="119"/>
  <c r="X84" i="119"/>
  <c r="X85" i="119"/>
  <c r="Z85" i="119"/>
  <c r="Y86" i="119"/>
  <c r="X86" i="119" s="1"/>
  <c r="Y87" i="119"/>
  <c r="X88" i="119"/>
  <c r="AC88" i="119" s="1"/>
  <c r="K84" i="119"/>
  <c r="M84" i="119" s="1"/>
  <c r="Z84" i="119" s="1"/>
  <c r="F84" i="119"/>
  <c r="AF83" i="119"/>
  <c r="AE83" i="119"/>
  <c r="AD83" i="119"/>
  <c r="AC83" i="119"/>
  <c r="W83" i="119"/>
  <c r="V83" i="119"/>
  <c r="U83" i="119"/>
  <c r="M83" i="119"/>
  <c r="K83" i="119"/>
  <c r="F83" i="119"/>
  <c r="AF82" i="119"/>
  <c r="AE82" i="119"/>
  <c r="AD82" i="119"/>
  <c r="AC82" i="119"/>
  <c r="W82" i="119"/>
  <c r="V82" i="119"/>
  <c r="U82" i="119"/>
  <c r="M82" i="119"/>
  <c r="F82" i="119"/>
  <c r="N82" i="119" s="1"/>
  <c r="AF81" i="119"/>
  <c r="AE81" i="119"/>
  <c r="AD81" i="119"/>
  <c r="W81" i="119"/>
  <c r="V81" i="119"/>
  <c r="U81" i="119"/>
  <c r="M81" i="119"/>
  <c r="F81" i="119"/>
  <c r="N81" i="119" s="1"/>
  <c r="AF80" i="119"/>
  <c r="AE80" i="119"/>
  <c r="AD80" i="119"/>
  <c r="AC80" i="119"/>
  <c r="W80" i="119"/>
  <c r="V80" i="119"/>
  <c r="U80" i="119"/>
  <c r="M80" i="119"/>
  <c r="F80" i="119"/>
  <c r="N80" i="119" s="1"/>
  <c r="AF79" i="119"/>
  <c r="AE79" i="119"/>
  <c r="AD79" i="119"/>
  <c r="AC79" i="119"/>
  <c r="W79" i="119"/>
  <c r="V79" i="119"/>
  <c r="U79" i="119"/>
  <c r="X79" i="119" s="1"/>
  <c r="M79" i="119"/>
  <c r="F79" i="119"/>
  <c r="N79" i="119" s="1"/>
  <c r="AF78" i="119"/>
  <c r="AE78" i="119"/>
  <c r="AD78" i="119"/>
  <c r="AC78" i="119"/>
  <c r="W78" i="119"/>
  <c r="V78" i="119"/>
  <c r="U78" i="119"/>
  <c r="M78" i="119"/>
  <c r="F78" i="119"/>
  <c r="N78" i="119" s="1"/>
  <c r="AF77" i="119"/>
  <c r="AE77" i="119"/>
  <c r="AD77" i="119"/>
  <c r="AC77" i="119"/>
  <c r="W77" i="119"/>
  <c r="V77" i="119"/>
  <c r="U77" i="119"/>
  <c r="M77" i="119"/>
  <c r="F77" i="119"/>
  <c r="N77" i="119" s="1"/>
  <c r="AF76" i="119"/>
  <c r="AE76" i="119"/>
  <c r="AD76" i="119"/>
  <c r="AC76" i="119"/>
  <c r="W76" i="119"/>
  <c r="V76" i="119"/>
  <c r="U76" i="119"/>
  <c r="X76" i="119" s="1"/>
  <c r="M76" i="119"/>
  <c r="F76" i="119"/>
  <c r="N76" i="119" s="1"/>
  <c r="AF75" i="119"/>
  <c r="AE75" i="119"/>
  <c r="AD75" i="119"/>
  <c r="AC75" i="119"/>
  <c r="W75" i="119"/>
  <c r="V75" i="119"/>
  <c r="U75" i="119"/>
  <c r="M75" i="119"/>
  <c r="F75" i="119"/>
  <c r="AF74" i="119"/>
  <c r="AE74" i="119"/>
  <c r="AD74" i="119"/>
  <c r="AC74" i="119"/>
  <c r="W74" i="119"/>
  <c r="V74" i="119"/>
  <c r="U74" i="119"/>
  <c r="M74" i="119"/>
  <c r="F74" i="119"/>
  <c r="AF73" i="119"/>
  <c r="AE73" i="119"/>
  <c r="AD73" i="119"/>
  <c r="AC73" i="119"/>
  <c r="W73" i="119"/>
  <c r="V73" i="119"/>
  <c r="U73" i="119"/>
  <c r="X73" i="119" s="1"/>
  <c r="M73" i="119"/>
  <c r="F73" i="119"/>
  <c r="AF72" i="119"/>
  <c r="AE72" i="119"/>
  <c r="AD72" i="119"/>
  <c r="AC72" i="119"/>
  <c r="W72" i="119"/>
  <c r="V72" i="119"/>
  <c r="U72" i="119"/>
  <c r="X72" i="119" s="1"/>
  <c r="M72" i="119"/>
  <c r="F72" i="119"/>
  <c r="AF71" i="119"/>
  <c r="AE71" i="119"/>
  <c r="AD71" i="119"/>
  <c r="AC71" i="119"/>
  <c r="W71" i="119"/>
  <c r="V71" i="119"/>
  <c r="U71" i="119"/>
  <c r="M71" i="119"/>
  <c r="F71" i="119"/>
  <c r="N71" i="119" s="1"/>
  <c r="AF70" i="119"/>
  <c r="AE70" i="119"/>
  <c r="AD70" i="119"/>
  <c r="AC70" i="119"/>
  <c r="W70" i="119"/>
  <c r="V70" i="119"/>
  <c r="U70" i="119"/>
  <c r="M70" i="119"/>
  <c r="F70" i="119"/>
  <c r="N70" i="119" s="1"/>
  <c r="AF69" i="119"/>
  <c r="AE69" i="119"/>
  <c r="AD69" i="119"/>
  <c r="AC69" i="119"/>
  <c r="W69" i="119"/>
  <c r="V69" i="119"/>
  <c r="U69" i="119"/>
  <c r="M69" i="119"/>
  <c r="F69" i="119"/>
  <c r="AF68" i="119"/>
  <c r="AE68" i="119"/>
  <c r="AD68" i="119"/>
  <c r="AC68" i="119"/>
  <c r="W68" i="119"/>
  <c r="V68" i="119"/>
  <c r="U68" i="119"/>
  <c r="M68" i="119"/>
  <c r="F68" i="119"/>
  <c r="AF67" i="119"/>
  <c r="AE67" i="119"/>
  <c r="AD67" i="119"/>
  <c r="AC67" i="119"/>
  <c r="W67" i="119"/>
  <c r="V67" i="119"/>
  <c r="U67" i="119"/>
  <c r="M67" i="119"/>
  <c r="F67" i="119"/>
  <c r="A67" i="119"/>
  <c r="A68" i="119" s="1"/>
  <c r="AF66" i="119"/>
  <c r="AE66" i="119"/>
  <c r="AD66" i="119"/>
  <c r="AC66" i="119"/>
  <c r="W66" i="119"/>
  <c r="V66" i="119"/>
  <c r="U66" i="119"/>
  <c r="X66" i="119" s="1"/>
  <c r="M66" i="119"/>
  <c r="F66" i="119"/>
  <c r="E49" i="119"/>
  <c r="D49" i="119"/>
  <c r="T48" i="119"/>
  <c r="S48" i="119"/>
  <c r="R48" i="119"/>
  <c r="Q48" i="119"/>
  <c r="P48" i="119"/>
  <c r="O48" i="119"/>
  <c r="E48" i="119"/>
  <c r="D48" i="119"/>
  <c r="AF46" i="119"/>
  <c r="AE46" i="119"/>
  <c r="AD46" i="119"/>
  <c r="AC46" i="119"/>
  <c r="W46" i="119"/>
  <c r="V46" i="119"/>
  <c r="U46" i="119"/>
  <c r="M46" i="119"/>
  <c r="F46" i="119"/>
  <c r="AF45" i="119"/>
  <c r="AE45" i="119"/>
  <c r="AD45" i="119"/>
  <c r="AC45" i="119"/>
  <c r="W45" i="119"/>
  <c r="V45" i="119"/>
  <c r="U45" i="119"/>
  <c r="M45" i="119"/>
  <c r="F45" i="119"/>
  <c r="N45" i="119" s="1"/>
  <c r="AF44" i="119"/>
  <c r="AE44" i="119"/>
  <c r="AD44" i="119"/>
  <c r="AC44" i="119"/>
  <c r="W44" i="119"/>
  <c r="V44" i="119"/>
  <c r="U44" i="119"/>
  <c r="M44" i="119"/>
  <c r="F44" i="119"/>
  <c r="AF43" i="119"/>
  <c r="AE43" i="119"/>
  <c r="AD43" i="119"/>
  <c r="AC43" i="119"/>
  <c r="W43" i="119"/>
  <c r="V43" i="119"/>
  <c r="U43" i="119"/>
  <c r="M43" i="119"/>
  <c r="F43" i="119"/>
  <c r="AF42" i="119"/>
  <c r="AE42" i="119"/>
  <c r="AD42" i="119"/>
  <c r="AC42" i="119"/>
  <c r="W42" i="119"/>
  <c r="V42" i="119"/>
  <c r="U42" i="119"/>
  <c r="M42" i="119"/>
  <c r="F42" i="119"/>
  <c r="AF41" i="119"/>
  <c r="AE41" i="119"/>
  <c r="AD41" i="119"/>
  <c r="AC41" i="119"/>
  <c r="W41" i="119"/>
  <c r="V41" i="119"/>
  <c r="U41" i="119"/>
  <c r="X41" i="119" s="1"/>
  <c r="M41" i="119"/>
  <c r="F41" i="119"/>
  <c r="N41" i="119" s="1"/>
  <c r="AF40" i="119"/>
  <c r="AE40" i="119"/>
  <c r="AD40" i="119"/>
  <c r="AC40" i="119"/>
  <c r="W40" i="119"/>
  <c r="V40" i="119"/>
  <c r="U40" i="119"/>
  <c r="M40" i="119"/>
  <c r="F40" i="119"/>
  <c r="AF39" i="119"/>
  <c r="AE39" i="119"/>
  <c r="AD39" i="119"/>
  <c r="AC39" i="119"/>
  <c r="W39" i="119"/>
  <c r="V39" i="119"/>
  <c r="U39" i="119"/>
  <c r="M39" i="119"/>
  <c r="F39" i="119"/>
  <c r="AF38" i="119"/>
  <c r="AE38" i="119"/>
  <c r="AD38" i="119"/>
  <c r="AC38" i="119"/>
  <c r="W38" i="119"/>
  <c r="V38" i="119"/>
  <c r="U38" i="119"/>
  <c r="X38" i="119" s="1"/>
  <c r="M38" i="119"/>
  <c r="F38" i="119"/>
  <c r="N38" i="119" s="1"/>
  <c r="AF37" i="119"/>
  <c r="AE37" i="119"/>
  <c r="AD37" i="119"/>
  <c r="AC37" i="119"/>
  <c r="W37" i="119"/>
  <c r="V37" i="119"/>
  <c r="U37" i="119"/>
  <c r="X37" i="119" s="1"/>
  <c r="M37" i="119"/>
  <c r="F37" i="119"/>
  <c r="N37" i="119" s="1"/>
  <c r="AF36" i="119"/>
  <c r="AE36" i="119"/>
  <c r="AD36" i="119"/>
  <c r="AC36" i="119"/>
  <c r="W36" i="119"/>
  <c r="V36" i="119"/>
  <c r="U36" i="119"/>
  <c r="M36" i="119"/>
  <c r="F36" i="119"/>
  <c r="AF35" i="119"/>
  <c r="AE35" i="119"/>
  <c r="AD35" i="119"/>
  <c r="AC35" i="119"/>
  <c r="W35" i="119"/>
  <c r="V35" i="119"/>
  <c r="U35" i="119"/>
  <c r="M35" i="119"/>
  <c r="F35" i="119"/>
  <c r="AF34" i="119"/>
  <c r="AE34" i="119"/>
  <c r="AD34" i="119"/>
  <c r="AC34" i="119"/>
  <c r="W34" i="119"/>
  <c r="V34" i="119"/>
  <c r="U34" i="119"/>
  <c r="M34" i="119"/>
  <c r="F34" i="119"/>
  <c r="AF33" i="119"/>
  <c r="AE33" i="119"/>
  <c r="AD33" i="119"/>
  <c r="AC33" i="119"/>
  <c r="W33" i="119"/>
  <c r="V33" i="119"/>
  <c r="U33" i="119"/>
  <c r="X33" i="119" s="1"/>
  <c r="M33" i="119"/>
  <c r="F33" i="119"/>
  <c r="N33" i="119" s="1"/>
  <c r="AF32" i="119"/>
  <c r="AE32" i="119"/>
  <c r="AD32" i="119"/>
  <c r="AC32" i="119"/>
  <c r="W32" i="119"/>
  <c r="V32" i="119"/>
  <c r="U32" i="119"/>
  <c r="M32" i="119"/>
  <c r="F32" i="119"/>
  <c r="AF31" i="119"/>
  <c r="AE31" i="119"/>
  <c r="AD31" i="119"/>
  <c r="AC31" i="119"/>
  <c r="W31" i="119"/>
  <c r="V31" i="119"/>
  <c r="U31" i="119"/>
  <c r="M31" i="119"/>
  <c r="F31" i="119"/>
  <c r="AF30" i="119"/>
  <c r="AE30" i="119"/>
  <c r="AD30" i="119"/>
  <c r="AC30" i="119"/>
  <c r="W30" i="119"/>
  <c r="V30" i="119"/>
  <c r="U30" i="119"/>
  <c r="M30" i="119"/>
  <c r="F30" i="119"/>
  <c r="AF29" i="119"/>
  <c r="AE29" i="119"/>
  <c r="AD29" i="119"/>
  <c r="AC29" i="119"/>
  <c r="W29" i="119"/>
  <c r="V29" i="119"/>
  <c r="U29" i="119"/>
  <c r="M29" i="119"/>
  <c r="F29" i="119"/>
  <c r="N29" i="119" s="1"/>
  <c r="AF28" i="119"/>
  <c r="AE28" i="119"/>
  <c r="AD28" i="119"/>
  <c r="AC28" i="119"/>
  <c r="W28" i="119"/>
  <c r="V28" i="119"/>
  <c r="U28" i="119"/>
  <c r="M28" i="119"/>
  <c r="F28" i="119"/>
  <c r="N28" i="119" s="1"/>
  <c r="AF27" i="119"/>
  <c r="AE27" i="119"/>
  <c r="AD27" i="119"/>
  <c r="AC27" i="119"/>
  <c r="W27" i="119"/>
  <c r="V27" i="119"/>
  <c r="U27" i="119"/>
  <c r="M27" i="119"/>
  <c r="F27" i="119"/>
  <c r="L27" i="119" s="1"/>
  <c r="AF26" i="119"/>
  <c r="AE26" i="119"/>
  <c r="AD26" i="119"/>
  <c r="AC26" i="119"/>
  <c r="W26" i="119"/>
  <c r="V26" i="119"/>
  <c r="U26" i="119"/>
  <c r="M26" i="119"/>
  <c r="F26" i="119"/>
  <c r="N26" i="119" s="1"/>
  <c r="AF25" i="119"/>
  <c r="AE25" i="119"/>
  <c r="AD25" i="119"/>
  <c r="AC25" i="119" s="1"/>
  <c r="W25" i="119"/>
  <c r="V25" i="119"/>
  <c r="U25" i="119"/>
  <c r="X25" i="119" s="1"/>
  <c r="M25" i="119"/>
  <c r="F25" i="119"/>
  <c r="N25" i="119" s="1"/>
  <c r="AF24" i="119"/>
  <c r="AE24" i="119"/>
  <c r="AD24" i="119"/>
  <c r="AC24" i="119"/>
  <c r="W24" i="119"/>
  <c r="V24" i="119"/>
  <c r="U24" i="119"/>
  <c r="M24" i="119"/>
  <c r="F24" i="119"/>
  <c r="N24" i="119" s="1"/>
  <c r="AF23" i="119"/>
  <c r="AE23" i="119"/>
  <c r="AD23" i="119"/>
  <c r="AC23" i="119"/>
  <c r="W23" i="119"/>
  <c r="V23" i="119"/>
  <c r="U23" i="119"/>
  <c r="M23" i="119"/>
  <c r="F23" i="119"/>
  <c r="AF22" i="119"/>
  <c r="AE22" i="119"/>
  <c r="AD22" i="119"/>
  <c r="AC22" i="119"/>
  <c r="W22" i="119"/>
  <c r="V22" i="119"/>
  <c r="U22" i="119"/>
  <c r="M22" i="119"/>
  <c r="F22" i="119"/>
  <c r="N22" i="119" s="1"/>
  <c r="AF21" i="119"/>
  <c r="AE21" i="119"/>
  <c r="AD21" i="119"/>
  <c r="AC21" i="119"/>
  <c r="W21" i="119"/>
  <c r="V21" i="119"/>
  <c r="U21" i="119"/>
  <c r="M21" i="119"/>
  <c r="F21" i="119"/>
  <c r="AF20" i="119"/>
  <c r="AE20" i="119"/>
  <c r="AD20" i="119"/>
  <c r="AC20" i="119"/>
  <c r="W20" i="119"/>
  <c r="V20" i="119"/>
  <c r="U20" i="119"/>
  <c r="M20" i="119"/>
  <c r="F20" i="119"/>
  <c r="N20" i="119" s="1"/>
  <c r="AF19" i="119"/>
  <c r="AE19" i="119"/>
  <c r="AD19" i="119"/>
  <c r="AC19" i="119"/>
  <c r="W19" i="119"/>
  <c r="V19" i="119"/>
  <c r="U19" i="119"/>
  <c r="M19" i="119"/>
  <c r="F19" i="119"/>
  <c r="AF18" i="119"/>
  <c r="AE18" i="119"/>
  <c r="AD18" i="119"/>
  <c r="AC18" i="119"/>
  <c r="W18" i="119"/>
  <c r="V18" i="119"/>
  <c r="U18" i="119"/>
  <c r="X18" i="119" s="1"/>
  <c r="M18" i="119"/>
  <c r="F18" i="119"/>
  <c r="AF17" i="119"/>
  <c r="AE17" i="119"/>
  <c r="AD17" i="119"/>
  <c r="AC17" i="119"/>
  <c r="W17" i="119"/>
  <c r="V17" i="119"/>
  <c r="U17" i="119"/>
  <c r="M17" i="119"/>
  <c r="F17" i="119"/>
  <c r="N17" i="119" s="1"/>
  <c r="AF16" i="119"/>
  <c r="AE16" i="119"/>
  <c r="AD16" i="119"/>
  <c r="AC16" i="119"/>
  <c r="W16" i="119"/>
  <c r="V16" i="119"/>
  <c r="U16" i="119"/>
  <c r="M16" i="119"/>
  <c r="F16" i="119"/>
  <c r="N16" i="119" s="1"/>
  <c r="AF15" i="119"/>
  <c r="AE15" i="119"/>
  <c r="AD15" i="119"/>
  <c r="AC15" i="119"/>
  <c r="W15" i="119"/>
  <c r="V15" i="119"/>
  <c r="U15" i="119"/>
  <c r="X15" i="119" s="1"/>
  <c r="M15" i="119"/>
  <c r="F15" i="119"/>
  <c r="A15" i="119"/>
  <c r="A16" i="119" s="1"/>
  <c r="AF14" i="119"/>
  <c r="AE14" i="119"/>
  <c r="AD14" i="119"/>
  <c r="AC14" i="119"/>
  <c r="W14" i="119"/>
  <c r="V14" i="119"/>
  <c r="U14" i="119"/>
  <c r="M14" i="119"/>
  <c r="F14" i="119"/>
  <c r="AF13" i="119"/>
  <c r="AE13" i="119"/>
  <c r="AD13" i="119"/>
  <c r="AC13" i="119"/>
  <c r="W13" i="119"/>
  <c r="V13" i="119"/>
  <c r="U13" i="119"/>
  <c r="M13" i="119"/>
  <c r="F13" i="119"/>
  <c r="N13" i="119" s="1"/>
  <c r="E5" i="119"/>
  <c r="E58" i="119" s="1"/>
  <c r="A2" i="119"/>
  <c r="D216" i="118"/>
  <c r="T215" i="118"/>
  <c r="S215" i="118"/>
  <c r="R215" i="118"/>
  <c r="Q215" i="118"/>
  <c r="P215" i="118"/>
  <c r="O215" i="118"/>
  <c r="E215" i="118"/>
  <c r="D215" i="118"/>
  <c r="V111" i="118"/>
  <c r="U111" i="118"/>
  <c r="X111" i="118" s="1"/>
  <c r="M111" i="118"/>
  <c r="F111" i="118"/>
  <c r="V110" i="118"/>
  <c r="U110" i="118"/>
  <c r="X110" i="118" s="1"/>
  <c r="M110" i="118"/>
  <c r="F110" i="118"/>
  <c r="V109" i="118"/>
  <c r="U109" i="118"/>
  <c r="X109" i="118" s="1"/>
  <c r="M109" i="118"/>
  <c r="F109" i="118"/>
  <c r="N109" i="118" s="1"/>
  <c r="V108" i="118"/>
  <c r="U108" i="118"/>
  <c r="X108" i="118" s="1"/>
  <c r="M108" i="118"/>
  <c r="F108" i="118"/>
  <c r="N108" i="118" s="1"/>
  <c r="V107" i="118"/>
  <c r="U107" i="118"/>
  <c r="X107" i="118" s="1"/>
  <c r="M107" i="118"/>
  <c r="F107" i="118"/>
  <c r="L107" i="118" s="1"/>
  <c r="N107" i="118" s="1"/>
  <c r="V106" i="118"/>
  <c r="U106" i="118"/>
  <c r="X106" i="118" s="1"/>
  <c r="M106" i="118"/>
  <c r="F106" i="118"/>
  <c r="N106" i="118" s="1"/>
  <c r="V105" i="118"/>
  <c r="U105" i="118"/>
  <c r="X105" i="118" s="1"/>
  <c r="M105" i="118"/>
  <c r="F105" i="118"/>
  <c r="N105" i="118" s="1"/>
  <c r="V104" i="118"/>
  <c r="U104" i="118"/>
  <c r="X104" i="118" s="1"/>
  <c r="M104" i="118"/>
  <c r="F104" i="118"/>
  <c r="N104" i="118" s="1"/>
  <c r="V103" i="118"/>
  <c r="U103" i="118"/>
  <c r="X103" i="118" s="1"/>
  <c r="M103" i="118"/>
  <c r="F103" i="118"/>
  <c r="N103" i="118" s="1"/>
  <c r="V102" i="118"/>
  <c r="U102" i="118"/>
  <c r="M102" i="118"/>
  <c r="F102" i="118"/>
  <c r="V101" i="118"/>
  <c r="U101" i="118"/>
  <c r="M101" i="118"/>
  <c r="F101" i="118"/>
  <c r="N101" i="118" s="1"/>
  <c r="Z19" i="119" l="1"/>
  <c r="Z13" i="119"/>
  <c r="Y22" i="119"/>
  <c r="X22" i="119" s="1"/>
  <c r="F157" i="119"/>
  <c r="AA77" i="119"/>
  <c r="Z38" i="119"/>
  <c r="Z46" i="119"/>
  <c r="Z78" i="119"/>
  <c r="Y17" i="119"/>
  <c r="X17" i="119" s="1"/>
  <c r="Z33" i="119"/>
  <c r="Z37" i="119"/>
  <c r="Z41" i="119"/>
  <c r="Z45" i="119"/>
  <c r="AA13" i="119"/>
  <c r="AA70" i="119"/>
  <c r="L101" i="118"/>
  <c r="Y20" i="119"/>
  <c r="X20" i="119" s="1"/>
  <c r="AA17" i="119"/>
  <c r="Y21" i="119"/>
  <c r="X21" i="119" s="1"/>
  <c r="Z39" i="119"/>
  <c r="Z43" i="119"/>
  <c r="Z75" i="119"/>
  <c r="Z79" i="119"/>
  <c r="L102" i="118"/>
  <c r="N102" i="118"/>
  <c r="AA102" i="118" s="1"/>
  <c r="L83" i="119"/>
  <c r="N83" i="119"/>
  <c r="L84" i="119"/>
  <c r="N84" i="119"/>
  <c r="Y13" i="119"/>
  <c r="X13" i="119" s="1"/>
  <c r="Y16" i="119"/>
  <c r="Y26" i="119"/>
  <c r="X26" i="119" s="1"/>
  <c r="N30" i="119"/>
  <c r="AA30" i="119" s="1"/>
  <c r="N32" i="119"/>
  <c r="AA32" i="119" s="1"/>
  <c r="Z32" i="119" s="1"/>
  <c r="N34" i="119"/>
  <c r="N35" i="119"/>
  <c r="AA35" i="119" s="1"/>
  <c r="AA38" i="119"/>
  <c r="AA41" i="119"/>
  <c r="N44" i="119"/>
  <c r="Y45" i="119"/>
  <c r="N66" i="119"/>
  <c r="AA66" i="119" s="1"/>
  <c r="N67" i="119"/>
  <c r="AA67" i="119" s="1"/>
  <c r="N69" i="119"/>
  <c r="AA69" i="119" s="1"/>
  <c r="N74" i="119"/>
  <c r="AA74" i="119" s="1"/>
  <c r="Y77" i="119"/>
  <c r="Y78" i="119"/>
  <c r="X78" i="119" s="1"/>
  <c r="F48" i="119"/>
  <c r="X16" i="119"/>
  <c r="Z17" i="119"/>
  <c r="N18" i="119"/>
  <c r="AA18" i="119" s="1"/>
  <c r="Z18" i="119" s="1"/>
  <c r="N19" i="119"/>
  <c r="AA19" i="119" s="1"/>
  <c r="Z20" i="119"/>
  <c r="Z22" i="119"/>
  <c r="X32" i="119"/>
  <c r="Y33" i="119"/>
  <c r="X34" i="119"/>
  <c r="N36" i="119"/>
  <c r="AA36" i="119" s="1"/>
  <c r="Z36" i="119" s="1"/>
  <c r="Y37" i="119"/>
  <c r="AA45" i="119"/>
  <c r="N46" i="119"/>
  <c r="AA46" i="119" s="1"/>
  <c r="Y66" i="119"/>
  <c r="Z67" i="119"/>
  <c r="N68" i="119"/>
  <c r="AA68" i="119" s="1"/>
  <c r="Z68" i="119" s="1"/>
  <c r="Z69" i="119"/>
  <c r="Y69" i="119" s="1"/>
  <c r="X69" i="119"/>
  <c r="Z70" i="119"/>
  <c r="Y71" i="119"/>
  <c r="Z72" i="119"/>
  <c r="Y72" i="119" s="1"/>
  <c r="Y76" i="119"/>
  <c r="Z71" i="119"/>
  <c r="AA79" i="119"/>
  <c r="Z66" i="119"/>
  <c r="X71" i="119"/>
  <c r="Z74" i="119"/>
  <c r="Z77" i="119"/>
  <c r="X77" i="119"/>
  <c r="Y28" i="119"/>
  <c r="W48" i="119"/>
  <c r="Y19" i="119"/>
  <c r="X19" i="119" s="1"/>
  <c r="L108" i="118"/>
  <c r="AA108" i="118" s="1"/>
  <c r="L109" i="118"/>
  <c r="AA109" i="118" s="1"/>
  <c r="L110" i="118"/>
  <c r="N110" i="118" s="1"/>
  <c r="AA110" i="118" s="1"/>
  <c r="L111" i="118"/>
  <c r="N111" i="118" s="1"/>
  <c r="AA111" i="118" s="1"/>
  <c r="N14" i="119"/>
  <c r="AA14" i="119" s="1"/>
  <c r="Z14" i="119"/>
  <c r="AA16" i="119"/>
  <c r="Z16" i="119" s="1"/>
  <c r="A17" i="119"/>
  <c r="A18" i="119" s="1"/>
  <c r="A19" i="119" s="1"/>
  <c r="A20" i="119" s="1"/>
  <c r="A21" i="119" s="1"/>
  <c r="A22" i="119" s="1"/>
  <c r="A23" i="119" s="1"/>
  <c r="A24" i="119" s="1"/>
  <c r="A25" i="119" s="1"/>
  <c r="A26" i="119" s="1"/>
  <c r="N21" i="119"/>
  <c r="AA21" i="119" s="1"/>
  <c r="Z21" i="119" s="1"/>
  <c r="N23" i="119"/>
  <c r="AA23" i="119" s="1"/>
  <c r="Z23" i="119" s="1"/>
  <c r="Y23" i="119"/>
  <c r="Z24" i="119"/>
  <c r="M48" i="119"/>
  <c r="N31" i="119"/>
  <c r="AA31" i="119" s="1"/>
  <c r="Z31" i="119" s="1"/>
  <c r="Y31" i="119"/>
  <c r="AA34" i="119"/>
  <c r="Z34" i="119" s="1"/>
  <c r="Y38" i="119"/>
  <c r="N39" i="119"/>
  <c r="Y39" i="119"/>
  <c r="N40" i="119"/>
  <c r="AA40" i="119" s="1"/>
  <c r="Z40" i="119" s="1"/>
  <c r="Y40" i="119"/>
  <c r="Y41" i="119"/>
  <c r="N42" i="119"/>
  <c r="AA42" i="119" s="1"/>
  <c r="Z42" i="119" s="1"/>
  <c r="Y42" i="119"/>
  <c r="Y67" i="119"/>
  <c r="X67" i="119" s="1"/>
  <c r="AA76" i="119"/>
  <c r="Z76" i="119" s="1"/>
  <c r="Y79" i="119"/>
  <c r="Z109" i="118"/>
  <c r="Z111" i="118"/>
  <c r="N15" i="119"/>
  <c r="AA15" i="119" s="1"/>
  <c r="Z15" i="119" s="1"/>
  <c r="Y15" i="119"/>
  <c r="AA24" i="119"/>
  <c r="N27" i="119"/>
  <c r="AA27" i="119" s="1"/>
  <c r="Y29" i="119"/>
  <c r="X29" i="119" s="1"/>
  <c r="X30" i="119"/>
  <c r="AA33" i="119"/>
  <c r="X35" i="119"/>
  <c r="X36" i="119"/>
  <c r="AA37" i="119"/>
  <c r="X44" i="119"/>
  <c r="X45" i="119"/>
  <c r="X46" i="119"/>
  <c r="W157" i="119"/>
  <c r="X68" i="119"/>
  <c r="Y70" i="119"/>
  <c r="X70" i="119" s="1"/>
  <c r="AA71" i="119"/>
  <c r="X74" i="119"/>
  <c r="AA78" i="119"/>
  <c r="Y84" i="119"/>
  <c r="Y14" i="120"/>
  <c r="Z48" i="120"/>
  <c r="AA20" i="119"/>
  <c r="AA22" i="119"/>
  <c r="Y35" i="119"/>
  <c r="Y36" i="119"/>
  <c r="AA39" i="119"/>
  <c r="Y43" i="119"/>
  <c r="X43" i="119" s="1"/>
  <c r="Y44" i="119"/>
  <c r="Y46" i="119"/>
  <c r="Y68" i="119"/>
  <c r="Y74" i="119"/>
  <c r="Y75" i="119"/>
  <c r="X75" i="119" s="1"/>
  <c r="AA83" i="119"/>
  <c r="L103" i="118"/>
  <c r="AA103" i="118" s="1"/>
  <c r="L104" i="118"/>
  <c r="AA104" i="118" s="1"/>
  <c r="L105" i="118"/>
  <c r="AA105" i="118" s="1"/>
  <c r="L106" i="118"/>
  <c r="AA106" i="118" s="1"/>
  <c r="Y14" i="119"/>
  <c r="X14" i="119" s="1"/>
  <c r="Y18" i="119"/>
  <c r="X23" i="119"/>
  <c r="AA25" i="119"/>
  <c r="Z25" i="119" s="1"/>
  <c r="X31" i="119"/>
  <c r="Y32" i="119"/>
  <c r="Y34" i="119"/>
  <c r="Z35" i="119"/>
  <c r="X39" i="119"/>
  <c r="X40" i="119"/>
  <c r="X42" i="119"/>
  <c r="N43" i="119"/>
  <c r="AA43" i="119" s="1"/>
  <c r="AA44" i="119"/>
  <c r="Z44" i="119" s="1"/>
  <c r="A69" i="119"/>
  <c r="A70" i="119" s="1"/>
  <c r="A71" i="119" s="1"/>
  <c r="A72" i="119" s="1"/>
  <c r="A73" i="119" s="1"/>
  <c r="A74" i="119" s="1"/>
  <c r="A75" i="119" s="1"/>
  <c r="A76" i="119" s="1"/>
  <c r="A77" i="119" s="1"/>
  <c r="A78" i="119" s="1"/>
  <c r="A79" i="119" s="1"/>
  <c r="A80" i="119" s="1"/>
  <c r="A81" i="119" s="1"/>
  <c r="N72" i="119"/>
  <c r="AA72" i="119" s="1"/>
  <c r="N73" i="119"/>
  <c r="AA73" i="119" s="1"/>
  <c r="Z73" i="119" s="1"/>
  <c r="Y73" i="119"/>
  <c r="N75" i="119"/>
  <c r="AA75" i="119" s="1"/>
  <c r="M157" i="119"/>
  <c r="Y108" i="118"/>
  <c r="Y110" i="118"/>
  <c r="Z30" i="119"/>
  <c r="Y111" i="118"/>
  <c r="Z110" i="118"/>
  <c r="Y109" i="118"/>
  <c r="Z108" i="118"/>
  <c r="AF157" i="119"/>
  <c r="Z107" i="118"/>
  <c r="AA107" i="118"/>
  <c r="Y107" i="118"/>
  <c r="Z103" i="118"/>
  <c r="Y105" i="118"/>
  <c r="Z106" i="118"/>
  <c r="Z104" i="118"/>
  <c r="Y106" i="118"/>
  <c r="Z105" i="118"/>
  <c r="Y104" i="118"/>
  <c r="Y103" i="118"/>
  <c r="AE157" i="119"/>
  <c r="AE48" i="119"/>
  <c r="X28" i="119"/>
  <c r="V157" i="119"/>
  <c r="AD157" i="119"/>
  <c r="Z82" i="119"/>
  <c r="Y81" i="119"/>
  <c r="AA81" i="119"/>
  <c r="Y80" i="119"/>
  <c r="X80" i="119" s="1"/>
  <c r="Y24" i="119"/>
  <c r="Y25" i="119"/>
  <c r="Z26" i="119"/>
  <c r="AA28" i="119"/>
  <c r="Z28" i="119" s="1"/>
  <c r="X24" i="119"/>
  <c r="AA26" i="119"/>
  <c r="V48" i="119"/>
  <c r="Y27" i="119"/>
  <c r="X27" i="119" s="1"/>
  <c r="AD48" i="119"/>
  <c r="AC48" i="119" s="1"/>
  <c r="AF48" i="119"/>
  <c r="AA29" i="119"/>
  <c r="Z29" i="119" s="1"/>
  <c r="Y30" i="119"/>
  <c r="Z27" i="119"/>
  <c r="U48" i="119"/>
  <c r="X81" i="119"/>
  <c r="AC81" i="119" s="1"/>
  <c r="AC157" i="119" s="1"/>
  <c r="Z81" i="119"/>
  <c r="Y82" i="119"/>
  <c r="X82" i="119" s="1"/>
  <c r="AA80" i="119"/>
  <c r="AA82" i="119"/>
  <c r="Z83" i="119"/>
  <c r="U157" i="119"/>
  <c r="Z80" i="119"/>
  <c r="Y83" i="119"/>
  <c r="X83" i="119" s="1"/>
  <c r="Z101" i="118"/>
  <c r="Y101" i="118" s="1"/>
  <c r="X101" i="118" s="1"/>
  <c r="Y102" i="118"/>
  <c r="X102" i="118" s="1"/>
  <c r="AA101" i="118"/>
  <c r="Z102" i="118"/>
  <c r="V100" i="118"/>
  <c r="U100" i="118"/>
  <c r="M100" i="118"/>
  <c r="F100" i="118"/>
  <c r="N100" i="118" s="1"/>
  <c r="AF99" i="118"/>
  <c r="AE99" i="118"/>
  <c r="AD99" i="118"/>
  <c r="W99" i="118"/>
  <c r="V99" i="118"/>
  <c r="U99" i="118"/>
  <c r="K99" i="118"/>
  <c r="M99" i="118" s="1"/>
  <c r="F99" i="118"/>
  <c r="W98" i="118"/>
  <c r="V98" i="118"/>
  <c r="U98" i="118"/>
  <c r="N157" i="119" l="1"/>
  <c r="AA84" i="119"/>
  <c r="AA157" i="119" s="1"/>
  <c r="L99" i="118"/>
  <c r="N99" i="118"/>
  <c r="AA99" i="118" s="1"/>
  <c r="Y48" i="119"/>
  <c r="Y157" i="119"/>
  <c r="N48" i="119"/>
  <c r="Z48" i="119"/>
  <c r="X48" i="119"/>
  <c r="X157" i="119"/>
  <c r="Z157" i="119"/>
  <c r="Z100" i="118"/>
  <c r="AA100" i="118"/>
  <c r="AA48" i="119"/>
  <c r="X98" i="118"/>
  <c r="X99" i="118"/>
  <c r="Z99" i="118"/>
  <c r="Y100" i="118"/>
  <c r="X100" i="118" s="1"/>
  <c r="Y99" i="118"/>
  <c r="K98" i="118"/>
  <c r="M98" i="118" s="1"/>
  <c r="Y98" i="118" s="1"/>
  <c r="F98" i="118"/>
  <c r="L98" i="118" s="1"/>
  <c r="N98" i="118" s="1"/>
  <c r="AF97" i="118"/>
  <c r="AE97" i="118"/>
  <c r="AD97" i="118"/>
  <c r="AC97" i="118"/>
  <c r="W97" i="118"/>
  <c r="V97" i="118"/>
  <c r="U97" i="118"/>
  <c r="M97" i="118"/>
  <c r="K97" i="118"/>
  <c r="F97" i="118"/>
  <c r="N97" i="118" s="1"/>
  <c r="AF96" i="118"/>
  <c r="AE96" i="118"/>
  <c r="AD96" i="118"/>
  <c r="AC96" i="118"/>
  <c r="W96" i="118"/>
  <c r="V96" i="118"/>
  <c r="U96" i="118"/>
  <c r="K96" i="118"/>
  <c r="M96" i="118" s="1"/>
  <c r="F96" i="118"/>
  <c r="AF95" i="118"/>
  <c r="AE95" i="118"/>
  <c r="AD95" i="118"/>
  <c r="AC95" i="118"/>
  <c r="W95" i="118"/>
  <c r="V95" i="118"/>
  <c r="U95" i="118"/>
  <c r="K95" i="118"/>
  <c r="M95" i="118" s="1"/>
  <c r="F95" i="118"/>
  <c r="AF94" i="118"/>
  <c r="AE94" i="118"/>
  <c r="AD94" i="118"/>
  <c r="AC94" i="118"/>
  <c r="W94" i="118"/>
  <c r="V94" i="118"/>
  <c r="U94" i="118"/>
  <c r="M94" i="118"/>
  <c r="K94" i="118"/>
  <c r="F94" i="118"/>
  <c r="AF93" i="118"/>
  <c r="AE93" i="118"/>
  <c r="AD93" i="118"/>
  <c r="AC93" i="118"/>
  <c r="W93" i="118"/>
  <c r="V93" i="118"/>
  <c r="U93" i="118"/>
  <c r="M93" i="118"/>
  <c r="K93" i="118"/>
  <c r="F93" i="118"/>
  <c r="N93" i="118" s="1"/>
  <c r="AE92" i="118"/>
  <c r="W92" i="118"/>
  <c r="V92" i="118"/>
  <c r="U92" i="118"/>
  <c r="M92" i="118"/>
  <c r="F92" i="118"/>
  <c r="N92" i="118" s="1"/>
  <c r="AF91" i="118"/>
  <c r="AE91" i="118"/>
  <c r="W91" i="118"/>
  <c r="V91" i="118"/>
  <c r="U91" i="118"/>
  <c r="M91" i="118"/>
  <c r="F91" i="118"/>
  <c r="N91" i="118" s="1"/>
  <c r="AF90" i="118"/>
  <c r="AE90" i="118"/>
  <c r="AD90" i="118"/>
  <c r="AC90" i="118"/>
  <c r="W90" i="118"/>
  <c r="V90" i="118"/>
  <c r="U90" i="118"/>
  <c r="M90" i="118"/>
  <c r="F90" i="118"/>
  <c r="N90" i="118" s="1"/>
  <c r="AF89" i="118"/>
  <c r="AE89" i="118"/>
  <c r="AD89" i="118"/>
  <c r="W89" i="118"/>
  <c r="V89" i="118"/>
  <c r="U89" i="118"/>
  <c r="X89" i="118" s="1"/>
  <c r="AC89" i="118" s="1"/>
  <c r="M89" i="118"/>
  <c r="F89" i="118"/>
  <c r="N89" i="118" s="1"/>
  <c r="AF88" i="118"/>
  <c r="AE88" i="118"/>
  <c r="AD88" i="118"/>
  <c r="AC88" i="118"/>
  <c r="W88" i="118"/>
  <c r="V88" i="118"/>
  <c r="U88" i="118"/>
  <c r="X88" i="118" s="1"/>
  <c r="M88" i="118"/>
  <c r="F88" i="118"/>
  <c r="N88" i="118" s="1"/>
  <c r="AF87" i="118"/>
  <c r="AE87" i="118"/>
  <c r="AD87" i="118"/>
  <c r="AC87" i="118"/>
  <c r="W87" i="118"/>
  <c r="V87" i="118"/>
  <c r="U87" i="118"/>
  <c r="M87" i="118"/>
  <c r="F87" i="118"/>
  <c r="N87" i="118" s="1"/>
  <c r="AF86" i="118"/>
  <c r="AE86" i="118"/>
  <c r="AD86" i="118"/>
  <c r="AC86" i="118"/>
  <c r="W86" i="118"/>
  <c r="V86" i="118"/>
  <c r="U86" i="118"/>
  <c r="M86" i="118"/>
  <c r="F86" i="118"/>
  <c r="N86" i="118" s="1"/>
  <c r="AE85" i="118"/>
  <c r="W85" i="118"/>
  <c r="V85" i="118"/>
  <c r="U85" i="118"/>
  <c r="X85" i="118" s="1"/>
  <c r="AD85" i="118" s="1"/>
  <c r="M85" i="118"/>
  <c r="F85" i="118"/>
  <c r="N85" i="118" s="1"/>
  <c r="AF84" i="118"/>
  <c r="AE84" i="118"/>
  <c r="AD84" i="118"/>
  <c r="AC84" i="118"/>
  <c r="W84" i="118"/>
  <c r="V84" i="118"/>
  <c r="U84" i="118"/>
  <c r="M84" i="118"/>
  <c r="F84" i="118"/>
  <c r="N84" i="118" s="1"/>
  <c r="AF83" i="118"/>
  <c r="AE83" i="118"/>
  <c r="AD83" i="118"/>
  <c r="AC83" i="118"/>
  <c r="W83" i="118"/>
  <c r="V83" i="118"/>
  <c r="U83" i="118"/>
  <c r="M83" i="118"/>
  <c r="F83" i="118"/>
  <c r="N83" i="118" s="1"/>
  <c r="AF82" i="118"/>
  <c r="AE82" i="118"/>
  <c r="AD82" i="118"/>
  <c r="AC82" i="118"/>
  <c r="W82" i="118"/>
  <c r="V82" i="118"/>
  <c r="U82" i="118"/>
  <c r="X82" i="118" s="1"/>
  <c r="M82" i="118"/>
  <c r="F82" i="118"/>
  <c r="AF81" i="118"/>
  <c r="AE81" i="118"/>
  <c r="AD81" i="118"/>
  <c r="AC81" i="118" s="1"/>
  <c r="W81" i="118"/>
  <c r="V81" i="118"/>
  <c r="U81" i="118"/>
  <c r="M81" i="118"/>
  <c r="F81" i="118"/>
  <c r="N81" i="118" s="1"/>
  <c r="AF80" i="118"/>
  <c r="AE80" i="118"/>
  <c r="AD80" i="118"/>
  <c r="AC80" i="118" s="1"/>
  <c r="W80" i="118"/>
  <c r="V80" i="118"/>
  <c r="U80" i="118"/>
  <c r="M80" i="118"/>
  <c r="F80" i="118"/>
  <c r="N80" i="118" s="1"/>
  <c r="AF79" i="118"/>
  <c r="AE79" i="118"/>
  <c r="AD79" i="118"/>
  <c r="AC79" i="118"/>
  <c r="W79" i="118"/>
  <c r="V79" i="118"/>
  <c r="U79" i="118"/>
  <c r="X79" i="118" s="1"/>
  <c r="AE98" i="118" l="1"/>
  <c r="AF98" i="118"/>
  <c r="Y84" i="118"/>
  <c r="X84" i="118" s="1"/>
  <c r="L94" i="118"/>
  <c r="N94" i="118"/>
  <c r="L95" i="118"/>
  <c r="N95" i="118"/>
  <c r="AA95" i="118" s="1"/>
  <c r="AF85" i="118"/>
  <c r="L97" i="118"/>
  <c r="L96" i="118"/>
  <c r="N96" i="118"/>
  <c r="AA96" i="118" s="1"/>
  <c r="Z96" i="118" s="1"/>
  <c r="Y80" i="118"/>
  <c r="X80" i="118"/>
  <c r="Z81" i="118"/>
  <c r="Y82" i="118"/>
  <c r="Y83" i="118"/>
  <c r="X83" i="118" s="1"/>
  <c r="Z84" i="118"/>
  <c r="L93" i="118"/>
  <c r="Z83" i="118"/>
  <c r="AC98" i="118"/>
  <c r="AD98" i="118"/>
  <c r="AA98" i="118"/>
  <c r="Z98" i="118"/>
  <c r="Y91" i="118"/>
  <c r="X91" i="118" s="1"/>
  <c r="AC91" i="118" s="1"/>
  <c r="AA80" i="118"/>
  <c r="Z80" i="118" s="1"/>
  <c r="N82" i="118"/>
  <c r="AA82" i="118" s="1"/>
  <c r="Z82" i="118" s="1"/>
  <c r="AA93" i="118"/>
  <c r="AA97" i="118"/>
  <c r="Z97" i="118" s="1"/>
  <c r="Y81" i="118"/>
  <c r="X81" i="118" s="1"/>
  <c r="AA83" i="118"/>
  <c r="AA84" i="118"/>
  <c r="AA81" i="118"/>
  <c r="AA94" i="118"/>
  <c r="X96" i="118"/>
  <c r="Z92" i="118"/>
  <c r="Z91" i="118"/>
  <c r="Z90" i="118"/>
  <c r="AA89" i="118"/>
  <c r="Z89" i="118" s="1"/>
  <c r="Y87" i="118"/>
  <c r="X87" i="118" s="1"/>
  <c r="Z86" i="118"/>
  <c r="AA90" i="118"/>
  <c r="Z85" i="118"/>
  <c r="Y86" i="118"/>
  <c r="X86" i="118" s="1"/>
  <c r="Y92" i="118"/>
  <c r="X92" i="118" s="1"/>
  <c r="AF92" i="118" s="1"/>
  <c r="Z94" i="118"/>
  <c r="AA86" i="118"/>
  <c r="Z87" i="118"/>
  <c r="Z88" i="118"/>
  <c r="Y88" i="118" s="1"/>
  <c r="Y89" i="118"/>
  <c r="Y90" i="118"/>
  <c r="AA91" i="118"/>
  <c r="Z93" i="118"/>
  <c r="Y93" i="118" s="1"/>
  <c r="Y94" i="118"/>
  <c r="Y95" i="118"/>
  <c r="Y97" i="118"/>
  <c r="AC85" i="118"/>
  <c r="AA85" i="118" s="1"/>
  <c r="Y85" i="118"/>
  <c r="AA87" i="118"/>
  <c r="AA88" i="118"/>
  <c r="X90" i="118"/>
  <c r="X93" i="118"/>
  <c r="X94" i="118"/>
  <c r="X95" i="118"/>
  <c r="Z95" i="118"/>
  <c r="Y96" i="118"/>
  <c r="X97" i="118"/>
  <c r="M79" i="118"/>
  <c r="Z79" i="118" s="1"/>
  <c r="F79" i="118"/>
  <c r="N79" i="118" s="1"/>
  <c r="AA79" i="118" s="1"/>
  <c r="AF78" i="118"/>
  <c r="AE78" i="118"/>
  <c r="AD78" i="118"/>
  <c r="AC78" i="118"/>
  <c r="W78" i="118"/>
  <c r="V78" i="118"/>
  <c r="U78" i="118"/>
  <c r="X78" i="118" s="1"/>
  <c r="M78" i="118"/>
  <c r="F78" i="118"/>
  <c r="N78" i="118" s="1"/>
  <c r="AF77" i="118"/>
  <c r="AE77" i="118"/>
  <c r="AD77" i="118"/>
  <c r="AC77" i="118"/>
  <c r="W77" i="118"/>
  <c r="V77" i="118"/>
  <c r="U77" i="118"/>
  <c r="M77" i="118"/>
  <c r="F77" i="118"/>
  <c r="N77" i="118" s="1"/>
  <c r="AF76" i="118"/>
  <c r="AE76" i="118"/>
  <c r="AD76" i="118"/>
  <c r="AC76" i="118"/>
  <c r="W76" i="118"/>
  <c r="V76" i="118"/>
  <c r="U76" i="118"/>
  <c r="X76" i="118" s="1"/>
  <c r="M76" i="118"/>
  <c r="F76" i="118"/>
  <c r="N76" i="118" s="1"/>
  <c r="AF75" i="118"/>
  <c r="AE75" i="118"/>
  <c r="AD75" i="118"/>
  <c r="AC75" i="118"/>
  <c r="W75" i="118"/>
  <c r="V75" i="118"/>
  <c r="U75" i="118"/>
  <c r="M75" i="118"/>
  <c r="F75" i="118"/>
  <c r="AF74" i="118"/>
  <c r="AE74" i="118"/>
  <c r="AD74" i="118"/>
  <c r="AC74" i="118"/>
  <c r="W74" i="118"/>
  <c r="V74" i="118"/>
  <c r="U74" i="118"/>
  <c r="M74" i="118"/>
  <c r="F74" i="118"/>
  <c r="AF73" i="118"/>
  <c r="AE73" i="118"/>
  <c r="AD73" i="118"/>
  <c r="AC73" i="118"/>
  <c r="W73" i="118"/>
  <c r="V73" i="118"/>
  <c r="U73" i="118"/>
  <c r="X73" i="118" s="1"/>
  <c r="M73" i="118"/>
  <c r="F73" i="118"/>
  <c r="AF72" i="118"/>
  <c r="AE72" i="118"/>
  <c r="AD72" i="118"/>
  <c r="AC72" i="118"/>
  <c r="W72" i="118"/>
  <c r="V72" i="118"/>
  <c r="U72" i="118"/>
  <c r="M72" i="118"/>
  <c r="F72" i="118"/>
  <c r="AF71" i="118"/>
  <c r="AE71" i="118"/>
  <c r="AD71" i="118"/>
  <c r="AC71" i="118"/>
  <c r="W71" i="118"/>
  <c r="V71" i="118"/>
  <c r="U71" i="118"/>
  <c r="M71" i="118"/>
  <c r="F71" i="118"/>
  <c r="AF70" i="118"/>
  <c r="AE70" i="118"/>
  <c r="AD70" i="118"/>
  <c r="AC70" i="118"/>
  <c r="W70" i="118"/>
  <c r="V70" i="118"/>
  <c r="U70" i="118"/>
  <c r="M70" i="118"/>
  <c r="F70" i="118"/>
  <c r="AF69" i="118"/>
  <c r="AE69" i="118"/>
  <c r="AD69" i="118"/>
  <c r="AC69" i="118"/>
  <c r="W69" i="118"/>
  <c r="V69" i="118"/>
  <c r="U69" i="118"/>
  <c r="X69" i="118" s="1"/>
  <c r="M69" i="118"/>
  <c r="F69" i="118"/>
  <c r="N69" i="118" s="1"/>
  <c r="AF68" i="118"/>
  <c r="AE68" i="118"/>
  <c r="AD68" i="118"/>
  <c r="AC68" i="118"/>
  <c r="W68" i="118"/>
  <c r="V68" i="118"/>
  <c r="U68" i="118"/>
  <c r="M68" i="118"/>
  <c r="F68" i="118"/>
  <c r="AF67" i="118"/>
  <c r="AE67" i="118"/>
  <c r="AD67" i="118"/>
  <c r="AC67" i="118"/>
  <c r="W67" i="118"/>
  <c r="V67" i="118"/>
  <c r="U67" i="118"/>
  <c r="M67" i="118"/>
  <c r="F67" i="118"/>
  <c r="A67" i="118"/>
  <c r="AF66" i="118"/>
  <c r="AE66" i="118"/>
  <c r="AD66" i="118"/>
  <c r="AC66" i="118"/>
  <c r="W66" i="118"/>
  <c r="V66" i="118"/>
  <c r="U66" i="118"/>
  <c r="M66" i="118"/>
  <c r="F66" i="118"/>
  <c r="E49" i="118"/>
  <c r="D49" i="118"/>
  <c r="T48" i="118"/>
  <c r="S48" i="118"/>
  <c r="R48" i="118"/>
  <c r="Q48" i="118"/>
  <c r="P48" i="118"/>
  <c r="O48" i="118"/>
  <c r="E48" i="118"/>
  <c r="D48" i="118"/>
  <c r="AF46" i="118"/>
  <c r="AE46" i="118"/>
  <c r="AD46" i="118"/>
  <c r="AC46" i="118"/>
  <c r="W46" i="118"/>
  <c r="V46" i="118"/>
  <c r="U46" i="118"/>
  <c r="M46" i="118"/>
  <c r="F46" i="118"/>
  <c r="N46" i="118" s="1"/>
  <c r="AF45" i="118"/>
  <c r="AE45" i="118"/>
  <c r="AD45" i="118"/>
  <c r="AC45" i="118"/>
  <c r="W45" i="118"/>
  <c r="V45" i="118"/>
  <c r="U45" i="118"/>
  <c r="M45" i="118"/>
  <c r="F45" i="118"/>
  <c r="AF44" i="118"/>
  <c r="AE44" i="118"/>
  <c r="AD44" i="118"/>
  <c r="AC44" i="118"/>
  <c r="W44" i="118"/>
  <c r="V44" i="118"/>
  <c r="U44" i="118"/>
  <c r="X44" i="118" s="1"/>
  <c r="M44" i="118"/>
  <c r="F44" i="118"/>
  <c r="AF43" i="118"/>
  <c r="AE43" i="118"/>
  <c r="AD43" i="118"/>
  <c r="AC43" i="118"/>
  <c r="W43" i="118"/>
  <c r="V43" i="118"/>
  <c r="U43" i="118"/>
  <c r="X43" i="118" s="1"/>
  <c r="M43" i="118"/>
  <c r="F43" i="118"/>
  <c r="N43" i="118" s="1"/>
  <c r="AF42" i="118"/>
  <c r="AE42" i="118"/>
  <c r="AD42" i="118"/>
  <c r="AC42" i="118"/>
  <c r="W42" i="118"/>
  <c r="V42" i="118"/>
  <c r="U42" i="118"/>
  <c r="M42" i="118"/>
  <c r="F42" i="118"/>
  <c r="N42" i="118" s="1"/>
  <c r="AF41" i="118"/>
  <c r="AE41" i="118"/>
  <c r="AD41" i="118"/>
  <c r="AC41" i="118"/>
  <c r="W41" i="118"/>
  <c r="V41" i="118"/>
  <c r="U41" i="118"/>
  <c r="M41" i="118"/>
  <c r="F41" i="118"/>
  <c r="AF40" i="118"/>
  <c r="AE40" i="118"/>
  <c r="AD40" i="118"/>
  <c r="AC40" i="118"/>
  <c r="W40" i="118"/>
  <c r="V40" i="118"/>
  <c r="U40" i="118"/>
  <c r="M40" i="118"/>
  <c r="F40" i="118"/>
  <c r="AF39" i="118"/>
  <c r="AE39" i="118"/>
  <c r="AD39" i="118"/>
  <c r="AC39" i="118"/>
  <c r="W39" i="118"/>
  <c r="V39" i="118"/>
  <c r="U39" i="118"/>
  <c r="X39" i="118" s="1"/>
  <c r="M39" i="118"/>
  <c r="F39" i="118"/>
  <c r="AF38" i="118"/>
  <c r="AE38" i="118"/>
  <c r="AD38" i="118"/>
  <c r="AC38" i="118"/>
  <c r="W38" i="118"/>
  <c r="V38" i="118"/>
  <c r="U38" i="118"/>
  <c r="M38" i="118"/>
  <c r="F38" i="118"/>
  <c r="AF37" i="118"/>
  <c r="AE37" i="118"/>
  <c r="AD37" i="118"/>
  <c r="AC37" i="118"/>
  <c r="W37" i="118"/>
  <c r="V37" i="118"/>
  <c r="U37" i="118"/>
  <c r="M37" i="118"/>
  <c r="F37" i="118"/>
  <c r="AF36" i="118"/>
  <c r="AE36" i="118"/>
  <c r="AD36" i="118"/>
  <c r="AC36" i="118"/>
  <c r="W36" i="118"/>
  <c r="V36" i="118"/>
  <c r="U36" i="118"/>
  <c r="X36" i="118" s="1"/>
  <c r="M36" i="118"/>
  <c r="F36" i="118"/>
  <c r="AF35" i="118"/>
  <c r="AE35" i="118"/>
  <c r="AD35" i="118"/>
  <c r="AC35" i="118"/>
  <c r="W35" i="118"/>
  <c r="V35" i="118"/>
  <c r="U35" i="118"/>
  <c r="M35" i="118"/>
  <c r="F35" i="118"/>
  <c r="AF34" i="118"/>
  <c r="AE34" i="118"/>
  <c r="AD34" i="118"/>
  <c r="AC34" i="118"/>
  <c r="W34" i="118"/>
  <c r="V34" i="118"/>
  <c r="U34" i="118"/>
  <c r="M34" i="118"/>
  <c r="F34" i="118"/>
  <c r="N34" i="118" s="1"/>
  <c r="AF33" i="118"/>
  <c r="AE33" i="118"/>
  <c r="AD33" i="118"/>
  <c r="AC33" i="118"/>
  <c r="W33" i="118"/>
  <c r="V33" i="118"/>
  <c r="U33" i="118"/>
  <c r="M33" i="118"/>
  <c r="F33" i="118"/>
  <c r="N33" i="118" s="1"/>
  <c r="AF32" i="118"/>
  <c r="AE32" i="118"/>
  <c r="AD32" i="118"/>
  <c r="AC32" i="118"/>
  <c r="W32" i="118"/>
  <c r="V32" i="118"/>
  <c r="U32" i="118"/>
  <c r="M32" i="118"/>
  <c r="F32" i="118"/>
  <c r="AF31" i="118"/>
  <c r="AE31" i="118"/>
  <c r="AD31" i="118"/>
  <c r="AC31" i="118"/>
  <c r="W31" i="118"/>
  <c r="V31" i="118"/>
  <c r="U31" i="118"/>
  <c r="M31" i="118"/>
  <c r="F31" i="118"/>
  <c r="N31" i="118" s="1"/>
  <c r="AF30" i="118"/>
  <c r="AE30" i="118"/>
  <c r="AD30" i="118"/>
  <c r="AC30" i="118"/>
  <c r="W30" i="118"/>
  <c r="V30" i="118"/>
  <c r="U30" i="118"/>
  <c r="M30" i="118"/>
  <c r="F30" i="118"/>
  <c r="AF29" i="118"/>
  <c r="AE29" i="118"/>
  <c r="AD29" i="118"/>
  <c r="AC29" i="118"/>
  <c r="W29" i="118"/>
  <c r="V29" i="118"/>
  <c r="U29" i="118"/>
  <c r="M29" i="118"/>
  <c r="F29" i="118"/>
  <c r="N29" i="118" s="1"/>
  <c r="AF28" i="118"/>
  <c r="AE28" i="118"/>
  <c r="AD28" i="118"/>
  <c r="AC28" i="118"/>
  <c r="W28" i="118"/>
  <c r="V28" i="118"/>
  <c r="U28" i="118"/>
  <c r="L35" i="118" l="1"/>
  <c r="AA69" i="118"/>
  <c r="Z41" i="118"/>
  <c r="Z45" i="118"/>
  <c r="Z73" i="118"/>
  <c r="Y73" i="118" s="1"/>
  <c r="Y38" i="118"/>
  <c r="X38" i="118" s="1"/>
  <c r="Z39" i="118"/>
  <c r="Z44" i="118"/>
  <c r="AF215" i="118"/>
  <c r="Z69" i="118"/>
  <c r="AA42" i="118"/>
  <c r="Z42" i="118" s="1"/>
  <c r="M215" i="118"/>
  <c r="AA43" i="118"/>
  <c r="Y35" i="118"/>
  <c r="Z43" i="118"/>
  <c r="V215" i="118"/>
  <c r="AE215" i="118"/>
  <c r="Z71" i="118"/>
  <c r="Z74" i="118"/>
  <c r="Z29" i="118"/>
  <c r="N32" i="118"/>
  <c r="AA32" i="118" s="1"/>
  <c r="Y39" i="118"/>
  <c r="AA46" i="118"/>
  <c r="N66" i="118"/>
  <c r="AA66" i="118" s="1"/>
  <c r="N75" i="118"/>
  <c r="Z77" i="118"/>
  <c r="Z31" i="118"/>
  <c r="N40" i="118"/>
  <c r="AA40" i="118" s="1"/>
  <c r="Z40" i="118" s="1"/>
  <c r="Y42" i="118"/>
  <c r="X42" i="118" s="1"/>
  <c r="N44" i="118"/>
  <c r="N45" i="118"/>
  <c r="AA45" i="118" s="1"/>
  <c r="Y46" i="118"/>
  <c r="X46" i="118" s="1"/>
  <c r="A68" i="118"/>
  <c r="A69" i="118" s="1"/>
  <c r="A70" i="118" s="1"/>
  <c r="A71" i="118" s="1"/>
  <c r="A72" i="118" s="1"/>
  <c r="A73" i="118" s="1"/>
  <c r="A74" i="118" s="1"/>
  <c r="A75" i="118" s="1"/>
  <c r="A76" i="118" s="1"/>
  <c r="A77" i="118" s="1"/>
  <c r="A78" i="118" s="1"/>
  <c r="A79" i="118" s="1"/>
  <c r="A80" i="118" s="1"/>
  <c r="A81" i="118" s="1"/>
  <c r="A82" i="118" s="1"/>
  <c r="A83" i="118" s="1"/>
  <c r="A84" i="118" s="1"/>
  <c r="A85" i="118" s="1"/>
  <c r="A86" i="118" s="1"/>
  <c r="A87" i="118" s="1"/>
  <c r="A88" i="118" s="1"/>
  <c r="A89" i="118" s="1"/>
  <c r="N73" i="118"/>
  <c r="AA73" i="118" s="1"/>
  <c r="N74" i="118"/>
  <c r="AA74" i="118" s="1"/>
  <c r="X75" i="118"/>
  <c r="Z76" i="118"/>
  <c r="Y76" i="118" s="1"/>
  <c r="Y77" i="118"/>
  <c r="X77" i="118" s="1"/>
  <c r="Z78" i="118"/>
  <c r="Y78" i="118" s="1"/>
  <c r="Y34" i="118"/>
  <c r="X34" i="118" s="1"/>
  <c r="AC92" i="118"/>
  <c r="AA92" i="118" s="1"/>
  <c r="AD92" i="118"/>
  <c r="X35" i="118"/>
  <c r="Z35" i="118"/>
  <c r="AD91" i="118"/>
  <c r="Y40" i="118"/>
  <c r="Y43" i="118"/>
  <c r="N30" i="118"/>
  <c r="AA30" i="118" s="1"/>
  <c r="N37" i="118"/>
  <c r="AA37" i="118" s="1"/>
  <c r="Z37" i="118"/>
  <c r="N38" i="118"/>
  <c r="AA38" i="118" s="1"/>
  <c r="Z38" i="118" s="1"/>
  <c r="N39" i="118"/>
  <c r="AA39" i="118" s="1"/>
  <c r="Y41" i="118"/>
  <c r="X41" i="118" s="1"/>
  <c r="Z46" i="118"/>
  <c r="F215" i="118"/>
  <c r="W215" i="118"/>
  <c r="N67" i="118"/>
  <c r="AA67" i="118" s="1"/>
  <c r="Z67" i="118"/>
  <c r="Y67" i="118" s="1"/>
  <c r="N68" i="118"/>
  <c r="AA68" i="118" s="1"/>
  <c r="Z68" i="118" s="1"/>
  <c r="Y68" i="118"/>
  <c r="Y69" i="118"/>
  <c r="N70" i="118"/>
  <c r="AA70" i="118" s="1"/>
  <c r="Z70" i="118" s="1"/>
  <c r="Y70" i="118"/>
  <c r="N71" i="118"/>
  <c r="AA71" i="118" s="1"/>
  <c r="Y71" i="118"/>
  <c r="N72" i="118"/>
  <c r="AA72" i="118" s="1"/>
  <c r="Z72" i="118"/>
  <c r="Z75" i="118"/>
  <c r="AA76" i="118"/>
  <c r="AA77" i="118"/>
  <c r="AA78" i="118"/>
  <c r="Z30" i="118"/>
  <c r="AA33" i="118"/>
  <c r="N36" i="118"/>
  <c r="AA36" i="118" s="1"/>
  <c r="Z36" i="118" s="1"/>
  <c r="Y36" i="118"/>
  <c r="X40" i="118"/>
  <c r="N41" i="118"/>
  <c r="AA41" i="118" s="1"/>
  <c r="AA44" i="118"/>
  <c r="X66" i="118"/>
  <c r="Y45" i="118"/>
  <c r="X45" i="118" s="1"/>
  <c r="Y66" i="118"/>
  <c r="Y74" i="118"/>
  <c r="X74" i="118" s="1"/>
  <c r="Y37" i="118"/>
  <c r="X37" i="118" s="1"/>
  <c r="Y44" i="118"/>
  <c r="Z66" i="118"/>
  <c r="X67" i="118"/>
  <c r="X68" i="118"/>
  <c r="X70" i="118"/>
  <c r="X71" i="118"/>
  <c r="Y72" i="118"/>
  <c r="X72" i="118" s="1"/>
  <c r="Y75" i="118"/>
  <c r="U215" i="118"/>
  <c r="Y79" i="118"/>
  <c r="Y30" i="118"/>
  <c r="X30" i="118" s="1"/>
  <c r="AA34" i="118"/>
  <c r="Z34" i="118" s="1"/>
  <c r="AC215" i="118"/>
  <c r="AA29" i="118"/>
  <c r="Z33" i="118"/>
  <c r="Y31" i="118"/>
  <c r="X31" i="118" s="1"/>
  <c r="Y33" i="118"/>
  <c r="X33" i="118" s="1"/>
  <c r="Y29" i="118"/>
  <c r="AA31" i="118"/>
  <c r="Y32" i="118"/>
  <c r="X29" i="118"/>
  <c r="X32" i="118"/>
  <c r="Z32" i="118"/>
  <c r="M28" i="118"/>
  <c r="Y28" i="118" s="1"/>
  <c r="X28" i="118" s="1"/>
  <c r="F28" i="118"/>
  <c r="N28" i="118" s="1"/>
  <c r="AA28" i="118" s="1"/>
  <c r="AF27" i="118"/>
  <c r="AE27" i="118"/>
  <c r="AD27" i="118"/>
  <c r="AC27" i="118"/>
  <c r="W27" i="118"/>
  <c r="V27" i="118"/>
  <c r="U27" i="118"/>
  <c r="M27" i="118"/>
  <c r="F27" i="118"/>
  <c r="N27" i="118" s="1"/>
  <c r="AF26" i="118"/>
  <c r="AE26" i="118"/>
  <c r="AD26" i="118"/>
  <c r="AC26" i="118"/>
  <c r="W26" i="118"/>
  <c r="V26" i="118"/>
  <c r="U26" i="118"/>
  <c r="M26" i="118"/>
  <c r="F26" i="118"/>
  <c r="N26" i="118" s="1"/>
  <c r="AF25" i="118"/>
  <c r="AE25" i="118"/>
  <c r="AD25" i="118"/>
  <c r="AC25" i="118"/>
  <c r="W25" i="118"/>
  <c r="V25" i="118"/>
  <c r="U25" i="118"/>
  <c r="M25" i="118"/>
  <c r="F25" i="118"/>
  <c r="N25" i="118" s="1"/>
  <c r="AF24" i="118"/>
  <c r="AE24" i="118"/>
  <c r="AD24" i="118"/>
  <c r="W24" i="118"/>
  <c r="V24" i="118"/>
  <c r="U24" i="118"/>
  <c r="M24" i="118"/>
  <c r="F24" i="118"/>
  <c r="N24" i="118" s="1"/>
  <c r="AF23" i="118"/>
  <c r="AE23" i="118"/>
  <c r="AD23" i="118"/>
  <c r="AC23" i="118"/>
  <c r="W23" i="118"/>
  <c r="V23" i="118"/>
  <c r="U23" i="118"/>
  <c r="M23" i="118"/>
  <c r="F23" i="118"/>
  <c r="N23" i="118" s="1"/>
  <c r="AF22" i="118"/>
  <c r="AE22" i="118"/>
  <c r="AD22" i="118"/>
  <c r="AC22" i="118"/>
  <c r="W22" i="118"/>
  <c r="V22" i="118"/>
  <c r="U22" i="118"/>
  <c r="M22" i="118"/>
  <c r="F22" i="118"/>
  <c r="N22" i="118" s="1"/>
  <c r="AF21" i="118"/>
  <c r="AE21" i="118"/>
  <c r="AD21" i="118"/>
  <c r="AC21" i="118"/>
  <c r="W21" i="118"/>
  <c r="V21" i="118"/>
  <c r="U21" i="118"/>
  <c r="X21" i="118" s="1"/>
  <c r="M21" i="118"/>
  <c r="F21" i="118"/>
  <c r="N21" i="118" s="1"/>
  <c r="AF20" i="118"/>
  <c r="AE20" i="118"/>
  <c r="AD20" i="118"/>
  <c r="AC20" i="118"/>
  <c r="W20" i="118"/>
  <c r="V20" i="118"/>
  <c r="U20" i="118"/>
  <c r="M20" i="118"/>
  <c r="F20" i="118"/>
  <c r="N20" i="118" s="1"/>
  <c r="AF19" i="118"/>
  <c r="AE19" i="118"/>
  <c r="AD19" i="118"/>
  <c r="AC19" i="118"/>
  <c r="W19" i="118"/>
  <c r="V19" i="118"/>
  <c r="U19" i="118"/>
  <c r="M19" i="118"/>
  <c r="F19" i="118"/>
  <c r="N19" i="118" s="1"/>
  <c r="AF18" i="118"/>
  <c r="AE18" i="118"/>
  <c r="AD18" i="118"/>
  <c r="AC18" i="118"/>
  <c r="W18" i="118"/>
  <c r="V18" i="118"/>
  <c r="U18" i="118"/>
  <c r="M18" i="118"/>
  <c r="F18" i="118"/>
  <c r="AF17" i="118"/>
  <c r="AE17" i="118"/>
  <c r="AD17" i="118"/>
  <c r="AC17" i="118"/>
  <c r="W17" i="118"/>
  <c r="V17" i="118"/>
  <c r="U17" i="118"/>
  <c r="M17" i="118"/>
  <c r="F17" i="118"/>
  <c r="AF16" i="118"/>
  <c r="AE16" i="118"/>
  <c r="AD16" i="118"/>
  <c r="AC16" i="118"/>
  <c r="W16" i="118"/>
  <c r="V16" i="118"/>
  <c r="U16" i="118"/>
  <c r="M16" i="118"/>
  <c r="F16" i="118"/>
  <c r="AF15" i="118"/>
  <c r="AE15" i="118"/>
  <c r="AD15" i="118"/>
  <c r="AC15" i="118"/>
  <c r="W15" i="118"/>
  <c r="V15" i="118"/>
  <c r="U15" i="118"/>
  <c r="M15" i="118"/>
  <c r="F15" i="118"/>
  <c r="AF14" i="118"/>
  <c r="AE14" i="118"/>
  <c r="AD14" i="118"/>
  <c r="AC14" i="118"/>
  <c r="W14" i="118"/>
  <c r="V14" i="118"/>
  <c r="U14" i="118"/>
  <c r="M14" i="118"/>
  <c r="F14" i="118"/>
  <c r="A14" i="118"/>
  <c r="AF13" i="118"/>
  <c r="AE13" i="118"/>
  <c r="AD13" i="118"/>
  <c r="AC13" i="118"/>
  <c r="W13" i="118"/>
  <c r="V13" i="118"/>
  <c r="U13" i="118"/>
  <c r="M13" i="118"/>
  <c r="F13" i="118"/>
  <c r="E5" i="118"/>
  <c r="A2" i="118"/>
  <c r="D323" i="117"/>
  <c r="T322" i="117"/>
  <c r="S322" i="117"/>
  <c r="R322" i="117"/>
  <c r="Q322" i="117"/>
  <c r="P322" i="117"/>
  <c r="O322" i="117"/>
  <c r="E322" i="117"/>
  <c r="D322" i="117"/>
  <c r="W159" i="117"/>
  <c r="V159" i="117"/>
  <c r="U159" i="117"/>
  <c r="X159" i="117" s="1"/>
  <c r="M159" i="117"/>
  <c r="F159" i="117"/>
  <c r="W158" i="117"/>
  <c r="V158" i="117"/>
  <c r="U158" i="117"/>
  <c r="X158" i="117" s="1"/>
  <c r="M158" i="117"/>
  <c r="F158" i="117"/>
  <c r="N158" i="117" s="1"/>
  <c r="W157" i="117"/>
  <c r="V157" i="117"/>
  <c r="U157" i="117"/>
  <c r="X157" i="117" s="1"/>
  <c r="M157" i="117"/>
  <c r="F157" i="117"/>
  <c r="W156" i="117"/>
  <c r="V156" i="117"/>
  <c r="U156" i="117"/>
  <c r="M156" i="117"/>
  <c r="F156" i="117"/>
  <c r="N156" i="117" s="1"/>
  <c r="W155" i="117"/>
  <c r="V155" i="117"/>
  <c r="U155" i="117"/>
  <c r="X155" i="117" s="1"/>
  <c r="M155" i="117"/>
  <c r="F155" i="117"/>
  <c r="W154" i="117"/>
  <c r="V154" i="117"/>
  <c r="U154" i="117"/>
  <c r="X154" i="117" s="1"/>
  <c r="M154" i="117"/>
  <c r="F154" i="117"/>
  <c r="W153" i="117"/>
  <c r="V153" i="117"/>
  <c r="U153" i="117"/>
  <c r="X153" i="117" s="1"/>
  <c r="AC153" i="117" s="1"/>
  <c r="M153" i="117"/>
  <c r="F153" i="117"/>
  <c r="W152" i="117"/>
  <c r="V152" i="117"/>
  <c r="U152" i="117"/>
  <c r="X152" i="117" s="1"/>
  <c r="M152" i="117"/>
  <c r="F152" i="117"/>
  <c r="W151" i="117"/>
  <c r="V151" i="117"/>
  <c r="U151" i="117"/>
  <c r="M151" i="117"/>
  <c r="F151" i="117"/>
  <c r="L151" i="117" s="1"/>
  <c r="N35" i="118" l="1"/>
  <c r="AA35" i="118" s="1"/>
  <c r="AC154" i="117"/>
  <c r="AF154" i="117"/>
  <c r="Y19" i="118"/>
  <c r="X19" i="118" s="1"/>
  <c r="Z21" i="118"/>
  <c r="Y22" i="118"/>
  <c r="X22" i="118" s="1"/>
  <c r="Y215" i="118"/>
  <c r="Z23" i="118"/>
  <c r="F48" i="118"/>
  <c r="W48" i="118"/>
  <c r="AA22" i="118"/>
  <c r="Z28" i="118"/>
  <c r="N13" i="118"/>
  <c r="AA13" i="118" s="1"/>
  <c r="N14" i="118"/>
  <c r="AA14" i="118" s="1"/>
  <c r="N16" i="118"/>
  <c r="N17" i="118"/>
  <c r="AA17" i="118" s="1"/>
  <c r="N18" i="118"/>
  <c r="AA18" i="118" s="1"/>
  <c r="Z18" i="118" s="1"/>
  <c r="Z20" i="118"/>
  <c r="Y25" i="118"/>
  <c r="M48" i="118"/>
  <c r="A15" i="118"/>
  <c r="A16" i="118" s="1"/>
  <c r="A17" i="118" s="1"/>
  <c r="A18" i="118" s="1"/>
  <c r="A19" i="118" s="1"/>
  <c r="A20" i="118" s="1"/>
  <c r="A21" i="118" s="1"/>
  <c r="A22" i="118" s="1"/>
  <c r="A23" i="118" s="1"/>
  <c r="A24" i="118" s="1"/>
  <c r="A25" i="118" s="1"/>
  <c r="A26" i="118" s="1"/>
  <c r="A27" i="118" s="1"/>
  <c r="A28" i="118" s="1"/>
  <c r="A29" i="118" s="1"/>
  <c r="A30" i="118" s="1"/>
  <c r="A31" i="118" s="1"/>
  <c r="A32" i="118" s="1"/>
  <c r="A33" i="118" s="1"/>
  <c r="A34" i="118" s="1"/>
  <c r="A35" i="118" s="1"/>
  <c r="A36" i="118" s="1"/>
  <c r="A37" i="118" s="1"/>
  <c r="A38" i="118" s="1"/>
  <c r="A39" i="118" s="1"/>
  <c r="A40" i="118" s="1"/>
  <c r="N15" i="118"/>
  <c r="AA15" i="118" s="1"/>
  <c r="Z16" i="118"/>
  <c r="X16" i="118"/>
  <c r="Z17" i="118"/>
  <c r="Y17" i="118" s="1"/>
  <c r="X17" i="118"/>
  <c r="X18" i="118"/>
  <c r="Z19" i="118"/>
  <c r="Y20" i="118"/>
  <c r="X20" i="118" s="1"/>
  <c r="Y21" i="118"/>
  <c r="Z22" i="118"/>
  <c r="Y27" i="118"/>
  <c r="X27" i="118" s="1"/>
  <c r="X215" i="118"/>
  <c r="AD215" i="118"/>
  <c r="L152" i="117"/>
  <c r="N152" i="117" s="1"/>
  <c r="AA152" i="117" s="1"/>
  <c r="Z14" i="118"/>
  <c r="Z15" i="118"/>
  <c r="Y15" i="118" s="1"/>
  <c r="L154" i="117"/>
  <c r="N154" i="117" s="1"/>
  <c r="AA154" i="117" s="1"/>
  <c r="AA19" i="118"/>
  <c r="AA20" i="118"/>
  <c r="AA25" i="118"/>
  <c r="AA27" i="118"/>
  <c r="AA215" i="118"/>
  <c r="Z215" i="118" s="1"/>
  <c r="L155" i="117"/>
  <c r="N155" i="117" s="1"/>
  <c r="AA155" i="117" s="1"/>
  <c r="Z13" i="118"/>
  <c r="Y13" i="118" s="1"/>
  <c r="X13" i="118" s="1"/>
  <c r="Y14" i="118"/>
  <c r="X14" i="118" s="1"/>
  <c r="X15" i="118"/>
  <c r="AA21" i="118"/>
  <c r="Y23" i="118"/>
  <c r="X23" i="118" s="1"/>
  <c r="Z26" i="118"/>
  <c r="L156" i="117"/>
  <c r="AA156" i="117" s="1"/>
  <c r="N151" i="117"/>
  <c r="AA151" i="117" s="1"/>
  <c r="Z151" i="117" s="1"/>
  <c r="L153" i="117"/>
  <c r="N153" i="117" s="1"/>
  <c r="AA153" i="117" s="1"/>
  <c r="L157" i="117"/>
  <c r="N157" i="117" s="1"/>
  <c r="AA157" i="117" s="1"/>
  <c r="Y16" i="118"/>
  <c r="Y18" i="118"/>
  <c r="AA23" i="118"/>
  <c r="N215" i="118"/>
  <c r="AF48" i="118"/>
  <c r="V48" i="118"/>
  <c r="U48" i="118"/>
  <c r="AE48" i="118"/>
  <c r="AD48" i="118"/>
  <c r="Z156" i="117"/>
  <c r="Y152" i="117"/>
  <c r="Y151" i="117"/>
  <c r="L158" i="117"/>
  <c r="AA158" i="117" s="1"/>
  <c r="L159" i="117"/>
  <c r="N159" i="117" s="1"/>
  <c r="AA159" i="117" s="1"/>
  <c r="Z159" i="117"/>
  <c r="Y159" i="117"/>
  <c r="Z158" i="117"/>
  <c r="Y158" i="117"/>
  <c r="Z157" i="117"/>
  <c r="Y157" i="117"/>
  <c r="Y156" i="117"/>
  <c r="Z155" i="117"/>
  <c r="Y155" i="117"/>
  <c r="Z154" i="117"/>
  <c r="Y154" i="117"/>
  <c r="Z153" i="117"/>
  <c r="Y153" i="117"/>
  <c r="X151" i="117"/>
  <c r="X156" i="117"/>
  <c r="Z152" i="117"/>
  <c r="Y24" i="118"/>
  <c r="X24" i="118" s="1"/>
  <c r="X25" i="118"/>
  <c r="Y26" i="118"/>
  <c r="X26" i="118" s="1"/>
  <c r="Z25" i="118"/>
  <c r="Z24" i="118"/>
  <c r="Z27" i="118"/>
  <c r="AC24" i="118"/>
  <c r="AA26" i="118"/>
  <c r="W150" i="117"/>
  <c r="V150" i="117"/>
  <c r="U150" i="117"/>
  <c r="K150" i="117"/>
  <c r="M150" i="117" s="1"/>
  <c r="F150" i="117"/>
  <c r="L150" i="117" s="1"/>
  <c r="W149" i="117"/>
  <c r="V149" i="117"/>
  <c r="U149" i="117"/>
  <c r="M149" i="117"/>
  <c r="F149" i="117"/>
  <c r="L149" i="117" s="1"/>
  <c r="W148" i="117"/>
  <c r="V148" i="117"/>
  <c r="U148" i="117"/>
  <c r="K148" i="117"/>
  <c r="M148" i="117" s="1"/>
  <c r="F148" i="117"/>
  <c r="L148" i="117" s="1"/>
  <c r="W147" i="117"/>
  <c r="V147" i="117"/>
  <c r="U147" i="117"/>
  <c r="M147" i="117"/>
  <c r="F147" i="117"/>
  <c r="L147" i="117" s="1"/>
  <c r="W146" i="117"/>
  <c r="V146" i="117"/>
  <c r="U146" i="117"/>
  <c r="M146" i="117"/>
  <c r="F146" i="117"/>
  <c r="L146" i="117" s="1"/>
  <c r="W145" i="117"/>
  <c r="V145" i="117"/>
  <c r="U145" i="117"/>
  <c r="K145" i="117"/>
  <c r="M145" i="117" s="1"/>
  <c r="F145" i="117"/>
  <c r="L145" i="117" s="1"/>
  <c r="W144" i="117"/>
  <c r="V144" i="117"/>
  <c r="U144" i="117"/>
  <c r="M144" i="117"/>
  <c r="F144" i="117"/>
  <c r="L144" i="117" s="1"/>
  <c r="W143" i="117"/>
  <c r="V143" i="117"/>
  <c r="U143" i="117"/>
  <c r="M143" i="117"/>
  <c r="F143" i="117"/>
  <c r="W142" i="117"/>
  <c r="V142" i="117"/>
  <c r="U142" i="117"/>
  <c r="K142" i="117"/>
  <c r="M142" i="117" s="1"/>
  <c r="F142" i="117"/>
  <c r="L142" i="117" s="1"/>
  <c r="W141" i="117"/>
  <c r="V141" i="117"/>
  <c r="U141" i="117"/>
  <c r="M141" i="117"/>
  <c r="F141" i="117"/>
  <c r="L141" i="117" s="1"/>
  <c r="W140" i="117"/>
  <c r="V140" i="117"/>
  <c r="U140" i="117"/>
  <c r="M140" i="117"/>
  <c r="F140" i="117"/>
  <c r="L140" i="117" s="1"/>
  <c r="W139" i="117"/>
  <c r="V139" i="117"/>
  <c r="U139" i="117"/>
  <c r="M139" i="117"/>
  <c r="F139" i="117"/>
  <c r="L139" i="117" s="1"/>
  <c r="W138" i="117"/>
  <c r="V138" i="117"/>
  <c r="U138" i="117"/>
  <c r="K138" i="117"/>
  <c r="M138" i="117" s="1"/>
  <c r="F138" i="117"/>
  <c r="L138" i="117" s="1"/>
  <c r="W137" i="117"/>
  <c r="V137" i="117"/>
  <c r="U137" i="117"/>
  <c r="K137" i="117"/>
  <c r="M137" i="117" s="1"/>
  <c r="F137" i="117"/>
  <c r="W136" i="117"/>
  <c r="V136" i="117"/>
  <c r="U136" i="117"/>
  <c r="K136" i="117"/>
  <c r="M136" i="117" s="1"/>
  <c r="F136" i="117"/>
  <c r="L136" i="117" s="1"/>
  <c r="W135" i="117"/>
  <c r="V135" i="117"/>
  <c r="U135" i="117"/>
  <c r="K135" i="117"/>
  <c r="M135" i="117" s="1"/>
  <c r="F135" i="117"/>
  <c r="L135" i="117" s="1"/>
  <c r="W134" i="117"/>
  <c r="V134" i="117"/>
  <c r="U134" i="117"/>
  <c r="M134" i="117"/>
  <c r="F134" i="117"/>
  <c r="W133" i="117"/>
  <c r="V133" i="117"/>
  <c r="U133" i="117"/>
  <c r="M133" i="117"/>
  <c r="F133" i="117"/>
  <c r="W132" i="117"/>
  <c r="V132" i="117"/>
  <c r="U132" i="117"/>
  <c r="K132" i="117"/>
  <c r="M132" i="117" s="1"/>
  <c r="F132" i="117"/>
  <c r="L132" i="117" s="1"/>
  <c r="W131" i="117"/>
  <c r="V131" i="117"/>
  <c r="U131" i="117"/>
  <c r="K131" i="117"/>
  <c r="M131" i="117" s="1"/>
  <c r="F131" i="117"/>
  <c r="L131" i="117" s="1"/>
  <c r="W130" i="117"/>
  <c r="V130" i="117"/>
  <c r="U130" i="117"/>
  <c r="M130" i="117"/>
  <c r="F130" i="117"/>
  <c r="W129" i="117"/>
  <c r="V129" i="117"/>
  <c r="U129" i="117"/>
  <c r="M129" i="117"/>
  <c r="F129" i="117"/>
  <c r="L129" i="117" s="1"/>
  <c r="AF128" i="117"/>
  <c r="AE128" i="117"/>
  <c r="AD128" i="117"/>
  <c r="N48" i="118" l="1"/>
  <c r="AA16" i="118"/>
  <c r="L130" i="117"/>
  <c r="N130" i="117"/>
  <c r="AA130" i="117" s="1"/>
  <c r="Z130" i="117" s="1"/>
  <c r="L134" i="117"/>
  <c r="N134" i="117"/>
  <c r="L143" i="117"/>
  <c r="N143" i="117"/>
  <c r="AA143" i="117" s="1"/>
  <c r="Z143" i="117" s="1"/>
  <c r="Y48" i="118"/>
  <c r="L133" i="117"/>
  <c r="N133" i="117"/>
  <c r="AA133" i="117" s="1"/>
  <c r="Z133" i="117" s="1"/>
  <c r="L137" i="117"/>
  <c r="N137" i="117"/>
  <c r="N149" i="117"/>
  <c r="AA149" i="117" s="1"/>
  <c r="Z149" i="117" s="1"/>
  <c r="N144" i="117"/>
  <c r="AA144" i="117" s="1"/>
  <c r="Z144" i="117" s="1"/>
  <c r="X48" i="118"/>
  <c r="N142" i="117"/>
  <c r="AA142" i="117" s="1"/>
  <c r="Z142" i="117" s="1"/>
  <c r="N135" i="117"/>
  <c r="AA135" i="117" s="1"/>
  <c r="Z135" i="117" s="1"/>
  <c r="N148" i="117"/>
  <c r="AA148" i="117" s="1"/>
  <c r="Z148" i="117" s="1"/>
  <c r="N129" i="117"/>
  <c r="AA129" i="117" s="1"/>
  <c r="Z129" i="117" s="1"/>
  <c r="N132" i="117"/>
  <c r="AA132" i="117" s="1"/>
  <c r="Z132" i="117" s="1"/>
  <c r="AA134" i="117"/>
  <c r="Z134" i="117" s="1"/>
  <c r="N138" i="117"/>
  <c r="AA138" i="117" s="1"/>
  <c r="Z138" i="117" s="1"/>
  <c r="N140" i="117"/>
  <c r="AA140" i="117" s="1"/>
  <c r="Z140" i="117" s="1"/>
  <c r="N145" i="117"/>
  <c r="AA145" i="117" s="1"/>
  <c r="Z145" i="117" s="1"/>
  <c r="N147" i="117"/>
  <c r="AA147" i="117" s="1"/>
  <c r="Z147" i="117" s="1"/>
  <c r="N150" i="117"/>
  <c r="AA150" i="117" s="1"/>
  <c r="Z150" i="117" s="1"/>
  <c r="N131" i="117"/>
  <c r="AA131" i="117" s="1"/>
  <c r="Z131" i="117" s="1"/>
  <c r="N136" i="117"/>
  <c r="AA136" i="117" s="1"/>
  <c r="Z136" i="117" s="1"/>
  <c r="N139" i="117"/>
  <c r="AA139" i="117" s="1"/>
  <c r="Z139" i="117" s="1"/>
  <c r="N141" i="117"/>
  <c r="AA141" i="117" s="1"/>
  <c r="Z141" i="117" s="1"/>
  <c r="N146" i="117"/>
  <c r="AA146" i="117" s="1"/>
  <c r="Z146" i="117" s="1"/>
  <c r="Z48" i="118"/>
  <c r="Y149" i="117"/>
  <c r="Y143" i="117"/>
  <c r="Y133" i="117"/>
  <c r="Y134" i="117"/>
  <c r="Y138" i="117"/>
  <c r="Y140" i="117"/>
  <c r="Y147" i="117"/>
  <c r="X140" i="117"/>
  <c r="AC140" i="117" s="1"/>
  <c r="X143" i="117"/>
  <c r="Y131" i="117"/>
  <c r="X131" i="117"/>
  <c r="X134" i="117"/>
  <c r="Y142" i="117"/>
  <c r="X142" i="117"/>
  <c r="Y135" i="117"/>
  <c r="X135" i="117"/>
  <c r="Y148" i="117"/>
  <c r="X147" i="117"/>
  <c r="X148" i="117"/>
  <c r="Y139" i="117"/>
  <c r="X139" i="117"/>
  <c r="Y146" i="117"/>
  <c r="X146" i="117"/>
  <c r="AC146" i="117" s="1"/>
  <c r="X133" i="117"/>
  <c r="X130" i="117"/>
  <c r="Y145" i="117"/>
  <c r="X145" i="117"/>
  <c r="X149" i="117"/>
  <c r="Y150" i="117"/>
  <c r="X150" i="117"/>
  <c r="AC150" i="117" s="1"/>
  <c r="Y144" i="117"/>
  <c r="X144" i="117"/>
  <c r="Y136" i="117"/>
  <c r="X136" i="117"/>
  <c r="AC136" i="117" s="1"/>
  <c r="Y132" i="117"/>
  <c r="X132" i="117"/>
  <c r="X138" i="117"/>
  <c r="Y141" i="117"/>
  <c r="X141" i="117"/>
  <c r="Y137" i="117"/>
  <c r="X137" i="117"/>
  <c r="AA137" i="117"/>
  <c r="Z137" i="117" s="1"/>
  <c r="AA24" i="118"/>
  <c r="AA48" i="118" s="1"/>
  <c r="AC48" i="118"/>
  <c r="Y129" i="117"/>
  <c r="X129" i="117"/>
  <c r="AC129" i="117" s="1"/>
  <c r="Y130" i="117"/>
  <c r="W128" i="117"/>
  <c r="V128" i="117"/>
  <c r="U128" i="117"/>
  <c r="M128" i="117"/>
  <c r="F128" i="117"/>
  <c r="N128" i="117" s="1"/>
  <c r="AE127" i="117"/>
  <c r="W127" i="117"/>
  <c r="V127" i="117"/>
  <c r="M127" i="117"/>
  <c r="Z127" i="117" s="1"/>
  <c r="F127" i="117"/>
  <c r="N127" i="117" s="1"/>
  <c r="AF126" i="117"/>
  <c r="AE126" i="117"/>
  <c r="AD126" i="117"/>
  <c r="AC126" i="117"/>
  <c r="W126" i="117"/>
  <c r="V126" i="117"/>
  <c r="AC142" i="117" l="1"/>
  <c r="AF142" i="117"/>
  <c r="AA128" i="117"/>
  <c r="Z128" i="117"/>
  <c r="Y128" i="117" s="1"/>
  <c r="Y127" i="117"/>
  <c r="X127" i="117" s="1"/>
  <c r="AF127" i="117" s="1"/>
  <c r="X128" i="117"/>
  <c r="U126" i="117"/>
  <c r="M126" i="117"/>
  <c r="F126" i="117"/>
  <c r="L126" i="117" s="1"/>
  <c r="AF125" i="117"/>
  <c r="AE125" i="117"/>
  <c r="AD125" i="117"/>
  <c r="AC125" i="117"/>
  <c r="W125" i="117"/>
  <c r="V125" i="117"/>
  <c r="U125" i="117"/>
  <c r="M125" i="117"/>
  <c r="F125" i="117"/>
  <c r="N125" i="117" s="1"/>
  <c r="AE124" i="117"/>
  <c r="W124" i="117"/>
  <c r="V124" i="117"/>
  <c r="U124" i="117"/>
  <c r="M124" i="117"/>
  <c r="F124" i="117"/>
  <c r="N124" i="117" s="1"/>
  <c r="AE123" i="117"/>
  <c r="AD123" i="117"/>
  <c r="W123" i="117"/>
  <c r="V123" i="117"/>
  <c r="U123" i="117"/>
  <c r="M123" i="117"/>
  <c r="F123" i="117"/>
  <c r="N123" i="117" s="1"/>
  <c r="AE122" i="117"/>
  <c r="AD122" i="117"/>
  <c r="W122" i="117"/>
  <c r="V122" i="117"/>
  <c r="U122" i="117"/>
  <c r="M122" i="117"/>
  <c r="F122" i="117"/>
  <c r="N122" i="117" s="1"/>
  <c r="AF121" i="117"/>
  <c r="AE121" i="117"/>
  <c r="AD121" i="117"/>
  <c r="AC121" i="117"/>
  <c r="W121" i="117"/>
  <c r="V121" i="117"/>
  <c r="U121" i="117"/>
  <c r="M121" i="117"/>
  <c r="F121" i="117"/>
  <c r="N121" i="117" s="1"/>
  <c r="AF120" i="117"/>
  <c r="AE120" i="117"/>
  <c r="AD120" i="117"/>
  <c r="AC120" i="117"/>
  <c r="W120" i="117"/>
  <c r="V120" i="117"/>
  <c r="U120" i="117"/>
  <c r="M120" i="117"/>
  <c r="F120" i="117"/>
  <c r="N120" i="117" s="1"/>
  <c r="AF119" i="117"/>
  <c r="AE119" i="117"/>
  <c r="AD119" i="117"/>
  <c r="W119" i="117"/>
  <c r="V119" i="117"/>
  <c r="U119" i="117"/>
  <c r="M119" i="117"/>
  <c r="F119" i="117"/>
  <c r="N119" i="117" s="1"/>
  <c r="AF118" i="117"/>
  <c r="AE118" i="117"/>
  <c r="AD118" i="117"/>
  <c r="AC118" i="117"/>
  <c r="W118" i="117"/>
  <c r="V118" i="117"/>
  <c r="U118" i="117"/>
  <c r="M118" i="117"/>
  <c r="F118" i="117"/>
  <c r="N118" i="117" s="1"/>
  <c r="AF117" i="117"/>
  <c r="AE117" i="117"/>
  <c r="AD117" i="117"/>
  <c r="AC117" i="117"/>
  <c r="W117" i="117"/>
  <c r="V117" i="117"/>
  <c r="U117" i="117"/>
  <c r="M117" i="117"/>
  <c r="F117" i="117"/>
  <c r="N117" i="117" s="1"/>
  <c r="AF116" i="117"/>
  <c r="AE116" i="117"/>
  <c r="AD116" i="117"/>
  <c r="AC116" i="117"/>
  <c r="W116" i="117"/>
  <c r="V116" i="117"/>
  <c r="U116" i="117"/>
  <c r="M116" i="117"/>
  <c r="F116" i="117"/>
  <c r="N116" i="117" s="1"/>
  <c r="AF115" i="117"/>
  <c r="AE115" i="117"/>
  <c r="AD115" i="117"/>
  <c r="AC115" i="117"/>
  <c r="W115" i="117"/>
  <c r="V115" i="117"/>
  <c r="U115" i="117"/>
  <c r="M115" i="117"/>
  <c r="F115" i="117"/>
  <c r="N115" i="117" s="1"/>
  <c r="AF114" i="117"/>
  <c r="AE114" i="117"/>
  <c r="AD114" i="117"/>
  <c r="AC114" i="117" s="1"/>
  <c r="W114" i="117"/>
  <c r="V114" i="117"/>
  <c r="U114" i="117"/>
  <c r="M114" i="117"/>
  <c r="F114" i="117"/>
  <c r="N114" i="117" s="1"/>
  <c r="AF113" i="117"/>
  <c r="AE113" i="117"/>
  <c r="AD113" i="117"/>
  <c r="AC113" i="117"/>
  <c r="W113" i="117"/>
  <c r="V113" i="117"/>
  <c r="U113" i="117"/>
  <c r="M113" i="117"/>
  <c r="F113" i="117"/>
  <c r="N113" i="117" s="1"/>
  <c r="AF112" i="117"/>
  <c r="AE112" i="117"/>
  <c r="AD112" i="117"/>
  <c r="W112" i="117"/>
  <c r="V112" i="117"/>
  <c r="U112" i="117"/>
  <c r="M112" i="117"/>
  <c r="F112" i="117"/>
  <c r="N112" i="117" s="1"/>
  <c r="AF111" i="117"/>
  <c r="AE111" i="117"/>
  <c r="AD111" i="117"/>
  <c r="AC111" i="117"/>
  <c r="W111" i="117"/>
  <c r="V111" i="117"/>
  <c r="U111" i="117"/>
  <c r="M111" i="117"/>
  <c r="F111" i="117"/>
  <c r="N111" i="117" s="1"/>
  <c r="AF110" i="117"/>
  <c r="AE110" i="117"/>
  <c r="AD110" i="117"/>
  <c r="AC110" i="117"/>
  <c r="W110" i="117"/>
  <c r="V110" i="117"/>
  <c r="U110" i="117"/>
  <c r="X110" i="117" s="1"/>
  <c r="M110" i="117"/>
  <c r="F110" i="117"/>
  <c r="N110" i="117" s="1"/>
  <c r="AF109" i="117"/>
  <c r="AE109" i="117"/>
  <c r="AD109" i="117"/>
  <c r="AC109" i="117"/>
  <c r="W109" i="117"/>
  <c r="V109" i="117"/>
  <c r="U109" i="117"/>
  <c r="M109" i="117"/>
  <c r="F109" i="117"/>
  <c r="N109" i="117" s="1"/>
  <c r="AF108" i="117"/>
  <c r="AE108" i="117"/>
  <c r="AD108" i="117"/>
  <c r="AC108" i="117"/>
  <c r="W108" i="117"/>
  <c r="V108" i="117"/>
  <c r="U108" i="117"/>
  <c r="M108" i="117"/>
  <c r="F108" i="117"/>
  <c r="N108" i="117" s="1"/>
  <c r="AF107" i="117"/>
  <c r="AE107" i="117"/>
  <c r="AD107" i="117"/>
  <c r="AC107" i="117"/>
  <c r="W107" i="117"/>
  <c r="V107" i="117"/>
  <c r="U107" i="117"/>
  <c r="M107" i="117"/>
  <c r="F107" i="117"/>
  <c r="N107" i="117" s="1"/>
  <c r="AF106" i="117"/>
  <c r="AE106" i="117"/>
  <c r="AD106" i="117"/>
  <c r="AC106" i="117"/>
  <c r="W106" i="117"/>
  <c r="V106" i="117"/>
  <c r="U106" i="117"/>
  <c r="X106" i="117" s="1"/>
  <c r="M106" i="117"/>
  <c r="F106" i="117"/>
  <c r="N106" i="117" s="1"/>
  <c r="AF105" i="117"/>
  <c r="AE105" i="117"/>
  <c r="AD105" i="117"/>
  <c r="AC105" i="117" s="1"/>
  <c r="W105" i="117"/>
  <c r="V105" i="117"/>
  <c r="U105" i="117"/>
  <c r="M105" i="117"/>
  <c r="F105" i="117"/>
  <c r="N105" i="117" s="1"/>
  <c r="AF104" i="117"/>
  <c r="AE104" i="117"/>
  <c r="AD104" i="117"/>
  <c r="AC104" i="117"/>
  <c r="W104" i="117"/>
  <c r="V104" i="117"/>
  <c r="U104" i="117"/>
  <c r="X104" i="117" s="1"/>
  <c r="M104" i="117"/>
  <c r="F104" i="117"/>
  <c r="N104" i="117" s="1"/>
  <c r="AF103" i="117"/>
  <c r="AE103" i="117"/>
  <c r="AD103" i="117"/>
  <c r="AC103" i="117"/>
  <c r="W103" i="117"/>
  <c r="V103" i="117"/>
  <c r="U103" i="117"/>
  <c r="X103" i="117" s="1"/>
  <c r="M103" i="117"/>
  <c r="F103" i="117"/>
  <c r="N103" i="117" s="1"/>
  <c r="AF102" i="117"/>
  <c r="AE102" i="117"/>
  <c r="AD102" i="117"/>
  <c r="AC102" i="117"/>
  <c r="W102" i="117"/>
  <c r="V102" i="117"/>
  <c r="U102" i="117"/>
  <c r="M102" i="117"/>
  <c r="F102" i="117"/>
  <c r="N102" i="117" s="1"/>
  <c r="AF101" i="117"/>
  <c r="AE101" i="117"/>
  <c r="AD101" i="117"/>
  <c r="AC101" i="117"/>
  <c r="W101" i="117"/>
  <c r="V101" i="117"/>
  <c r="U101" i="117"/>
  <c r="X101" i="117" s="1"/>
  <c r="M101" i="117"/>
  <c r="F101" i="117"/>
  <c r="AF100" i="117"/>
  <c r="AE100" i="117"/>
  <c r="AD100" i="117"/>
  <c r="AC100" i="117"/>
  <c r="W100" i="117"/>
  <c r="V100" i="117"/>
  <c r="U100" i="117"/>
  <c r="M100" i="117"/>
  <c r="F100" i="117"/>
  <c r="AF99" i="117"/>
  <c r="AE99" i="117"/>
  <c r="AD99" i="117"/>
  <c r="AC99" i="117"/>
  <c r="W99" i="117"/>
  <c r="V99" i="117"/>
  <c r="U99" i="117"/>
  <c r="X99" i="117" s="1"/>
  <c r="M99" i="117"/>
  <c r="F99" i="117"/>
  <c r="AF98" i="117"/>
  <c r="AE98" i="117"/>
  <c r="AD98" i="117"/>
  <c r="AC98" i="117"/>
  <c r="W98" i="117"/>
  <c r="V98" i="117"/>
  <c r="U98" i="117"/>
  <c r="X98" i="117" s="1"/>
  <c r="M98" i="117"/>
  <c r="F98" i="117"/>
  <c r="AF97" i="117"/>
  <c r="AE97" i="117"/>
  <c r="AD97" i="117"/>
  <c r="AC97" i="117"/>
  <c r="W97" i="117"/>
  <c r="V97" i="117"/>
  <c r="U97" i="117"/>
  <c r="M97" i="117"/>
  <c r="F97" i="117"/>
  <c r="AF96" i="117"/>
  <c r="AE96" i="117"/>
  <c r="AD96" i="117"/>
  <c r="AC96" i="117"/>
  <c r="W96" i="117"/>
  <c r="V96" i="117"/>
  <c r="U96" i="117"/>
  <c r="M96" i="117"/>
  <c r="F96" i="117"/>
  <c r="AF95" i="117"/>
  <c r="AE95" i="117"/>
  <c r="AD95" i="117"/>
  <c r="AC95" i="117"/>
  <c r="W95" i="117"/>
  <c r="V95" i="117"/>
  <c r="U95" i="117"/>
  <c r="X95" i="117" s="1"/>
  <c r="M95" i="117"/>
  <c r="F95" i="117"/>
  <c r="N95" i="117" s="1"/>
  <c r="AF94" i="117"/>
  <c r="AE94" i="117"/>
  <c r="AD94" i="117"/>
  <c r="AC94" i="117"/>
  <c r="W94" i="117"/>
  <c r="V94" i="117"/>
  <c r="U94" i="117"/>
  <c r="X94" i="117" s="1"/>
  <c r="M94" i="117"/>
  <c r="F94" i="117"/>
  <c r="AF93" i="117"/>
  <c r="AE93" i="117"/>
  <c r="AD93" i="117"/>
  <c r="AC93" i="117"/>
  <c r="W93" i="117"/>
  <c r="V93" i="117"/>
  <c r="U93" i="117"/>
  <c r="M93" i="117"/>
  <c r="F93" i="117"/>
  <c r="AF92" i="117"/>
  <c r="AE92" i="117"/>
  <c r="AD92" i="117"/>
  <c r="AC92" i="117"/>
  <c r="W92" i="117"/>
  <c r="V92" i="117"/>
  <c r="U92" i="117"/>
  <c r="X92" i="117" s="1"/>
  <c r="M92" i="117"/>
  <c r="F92" i="117"/>
  <c r="AF91" i="117"/>
  <c r="AE91" i="117"/>
  <c r="AD91" i="117"/>
  <c r="AC91" i="117"/>
  <c r="W91" i="117"/>
  <c r="V91" i="117"/>
  <c r="U91" i="117"/>
  <c r="X91" i="117" s="1"/>
  <c r="M91" i="117"/>
  <c r="F91" i="117"/>
  <c r="AF90" i="117"/>
  <c r="AE90" i="117"/>
  <c r="AD90" i="117"/>
  <c r="AC90" i="117"/>
  <c r="W90" i="117"/>
  <c r="V90" i="117"/>
  <c r="U90" i="117"/>
  <c r="X90" i="117" s="1"/>
  <c r="M90" i="117"/>
  <c r="F90" i="117"/>
  <c r="AF89" i="117"/>
  <c r="AE89" i="117"/>
  <c r="AD89" i="117"/>
  <c r="AC89" i="117"/>
  <c r="W89" i="117"/>
  <c r="V89" i="117"/>
  <c r="U89" i="117"/>
  <c r="M89" i="117"/>
  <c r="F89" i="117"/>
  <c r="N89" i="117" s="1"/>
  <c r="A89" i="117"/>
  <c r="AF88" i="117"/>
  <c r="AE88" i="117"/>
  <c r="AD88" i="117"/>
  <c r="AC88" i="117"/>
  <c r="W88" i="117"/>
  <c r="V88" i="117"/>
  <c r="U88" i="117"/>
  <c r="M88" i="117"/>
  <c r="F88" i="117"/>
  <c r="E71" i="117"/>
  <c r="D71" i="117"/>
  <c r="T70" i="117"/>
  <c r="S70" i="117"/>
  <c r="R70" i="117"/>
  <c r="Q70" i="117"/>
  <c r="P70" i="117"/>
  <c r="O70" i="117"/>
  <c r="E70" i="117"/>
  <c r="D70" i="117"/>
  <c r="AF68" i="117"/>
  <c r="AE68" i="117"/>
  <c r="AD68" i="117"/>
  <c r="AC68" i="117"/>
  <c r="W68" i="117"/>
  <c r="V68" i="117"/>
  <c r="U68" i="117"/>
  <c r="M68" i="117"/>
  <c r="F68" i="117"/>
  <c r="AF67" i="117"/>
  <c r="AE67" i="117"/>
  <c r="AD67" i="117"/>
  <c r="AC67" i="117"/>
  <c r="W67" i="117"/>
  <c r="V67" i="117"/>
  <c r="U67" i="117"/>
  <c r="M67" i="117"/>
  <c r="F67" i="117"/>
  <c r="N67" i="117" s="1"/>
  <c r="AF66" i="117"/>
  <c r="AE66" i="117"/>
  <c r="AD66" i="117"/>
  <c r="AC66" i="117"/>
  <c r="W66" i="117"/>
  <c r="V66" i="117"/>
  <c r="U66" i="117"/>
  <c r="M66" i="117"/>
  <c r="F66" i="117"/>
  <c r="AF65" i="117"/>
  <c r="AE65" i="117"/>
  <c r="AD65" i="117"/>
  <c r="AC65" i="117"/>
  <c r="W65" i="117"/>
  <c r="V65" i="117"/>
  <c r="U65" i="117"/>
  <c r="M65" i="117"/>
  <c r="F65" i="117"/>
  <c r="AF64" i="117"/>
  <c r="AE64" i="117"/>
  <c r="AD64" i="117"/>
  <c r="AC64" i="117"/>
  <c r="W64" i="117"/>
  <c r="V64" i="117"/>
  <c r="U64" i="117"/>
  <c r="M64" i="117"/>
  <c r="F64" i="117"/>
  <c r="AF63" i="117"/>
  <c r="AE63" i="117"/>
  <c r="AD63" i="117"/>
  <c r="AC63" i="117"/>
  <c r="W63" i="117"/>
  <c r="V63" i="117"/>
  <c r="U63" i="117"/>
  <c r="M63" i="117"/>
  <c r="F63" i="117"/>
  <c r="N63" i="117" s="1"/>
  <c r="AF62" i="117"/>
  <c r="AE62" i="117"/>
  <c r="AD62" i="117"/>
  <c r="AC62" i="117"/>
  <c r="W62" i="117"/>
  <c r="V62" i="117"/>
  <c r="U62" i="117"/>
  <c r="M62" i="117"/>
  <c r="F62" i="117"/>
  <c r="AF61" i="117"/>
  <c r="AE61" i="117"/>
  <c r="AD61" i="117"/>
  <c r="AC61" i="117"/>
  <c r="W61" i="117"/>
  <c r="V61" i="117"/>
  <c r="U61" i="117"/>
  <c r="M61" i="117"/>
  <c r="F61" i="117"/>
  <c r="AF60" i="117"/>
  <c r="AE60" i="117"/>
  <c r="AD60" i="117"/>
  <c r="AC60" i="117"/>
  <c r="W60" i="117"/>
  <c r="V60" i="117"/>
  <c r="U60" i="117"/>
  <c r="M60" i="117"/>
  <c r="F60" i="117"/>
  <c r="L60" i="117" s="1"/>
  <c r="AF59" i="117"/>
  <c r="AE59" i="117"/>
  <c r="AD59" i="117"/>
  <c r="AC59" i="117"/>
  <c r="W59" i="117"/>
  <c r="V59" i="117"/>
  <c r="U59" i="117"/>
  <c r="M59" i="117"/>
  <c r="F59" i="117"/>
  <c r="N59" i="117" s="1"/>
  <c r="AF58" i="117"/>
  <c r="AE58" i="117"/>
  <c r="AD58" i="117"/>
  <c r="AC58" i="117"/>
  <c r="W58" i="117"/>
  <c r="V58" i="117"/>
  <c r="U58" i="117"/>
  <c r="M58" i="117"/>
  <c r="F58" i="117"/>
  <c r="AF57" i="117"/>
  <c r="AE57" i="117"/>
  <c r="AD57" i="117"/>
  <c r="AC57" i="117"/>
  <c r="W57" i="117"/>
  <c r="V57" i="117"/>
  <c r="U57" i="117"/>
  <c r="M57" i="117"/>
  <c r="F57" i="117"/>
  <c r="L57" i="117" s="1"/>
  <c r="AF56" i="117"/>
  <c r="AE56" i="117"/>
  <c r="AD56" i="117"/>
  <c r="AC56" i="117"/>
  <c r="W56" i="117"/>
  <c r="V56" i="117"/>
  <c r="U56" i="117"/>
  <c r="F56" i="117"/>
  <c r="AF55" i="117"/>
  <c r="AE55" i="117"/>
  <c r="AD55" i="117"/>
  <c r="AC55" i="117"/>
  <c r="W55" i="117"/>
  <c r="V55" i="117"/>
  <c r="U55" i="117"/>
  <c r="X55" i="117" s="1"/>
  <c r="M55" i="117"/>
  <c r="F55" i="117"/>
  <c r="N55" i="117" s="1"/>
  <c r="AF54" i="117"/>
  <c r="AE54" i="117"/>
  <c r="AD54" i="117"/>
  <c r="AC54" i="117"/>
  <c r="W54" i="117"/>
  <c r="V54" i="117"/>
  <c r="U54" i="117"/>
  <c r="F54" i="117"/>
  <c r="AF53" i="117"/>
  <c r="AE53" i="117"/>
  <c r="AD53" i="117"/>
  <c r="AC53" i="117"/>
  <c r="W53" i="117"/>
  <c r="V53" i="117"/>
  <c r="U53" i="117"/>
  <c r="M53" i="117"/>
  <c r="F53" i="117"/>
  <c r="N53" i="117" s="1"/>
  <c r="AF52" i="117"/>
  <c r="AE52" i="117"/>
  <c r="AD52" i="117"/>
  <c r="AC52" i="117" s="1"/>
  <c r="W52" i="117"/>
  <c r="V52" i="117"/>
  <c r="U52" i="117"/>
  <c r="M52" i="117"/>
  <c r="F52" i="117"/>
  <c r="N52" i="117" s="1"/>
  <c r="AF51" i="117"/>
  <c r="AE51" i="117"/>
  <c r="AD51" i="117"/>
  <c r="AC51" i="117"/>
  <c r="W51" i="117"/>
  <c r="V51" i="117"/>
  <c r="U51" i="117"/>
  <c r="X51" i="117" s="1"/>
  <c r="M51" i="117"/>
  <c r="F51" i="117"/>
  <c r="N51" i="117" s="1"/>
  <c r="AF50" i="117"/>
  <c r="AE50" i="117"/>
  <c r="AD50" i="117"/>
  <c r="AC50" i="117"/>
  <c r="W50" i="117"/>
  <c r="V50" i="117"/>
  <c r="U50" i="117"/>
  <c r="X50" i="117" s="1"/>
  <c r="M50" i="117"/>
  <c r="F50" i="117"/>
  <c r="N50" i="117" s="1"/>
  <c r="AF49" i="117"/>
  <c r="AE49" i="117"/>
  <c r="AD49" i="117"/>
  <c r="AC49" i="117" s="1"/>
  <c r="W49" i="117"/>
  <c r="V49" i="117"/>
  <c r="U49" i="117"/>
  <c r="M49" i="117"/>
  <c r="F49" i="117"/>
  <c r="N49" i="117" s="1"/>
  <c r="AF48" i="117"/>
  <c r="AE48" i="117"/>
  <c r="AD48" i="117"/>
  <c r="AC48" i="117"/>
  <c r="W48" i="117"/>
  <c r="V48" i="117"/>
  <c r="U48" i="117"/>
  <c r="M48" i="117"/>
  <c r="F48" i="117"/>
  <c r="N48" i="117" s="1"/>
  <c r="AF47" i="117"/>
  <c r="AE47" i="117"/>
  <c r="AD47" i="117"/>
  <c r="AC47" i="117"/>
  <c r="W47" i="117"/>
  <c r="V47" i="117"/>
  <c r="U47" i="117"/>
  <c r="M47" i="117"/>
  <c r="F47" i="117"/>
  <c r="N47" i="117" s="1"/>
  <c r="AF46" i="117"/>
  <c r="AE46" i="117"/>
  <c r="AD46" i="117"/>
  <c r="AC46" i="117"/>
  <c r="W46" i="117"/>
  <c r="V46" i="117"/>
  <c r="U46" i="117"/>
  <c r="X46" i="117" s="1"/>
  <c r="M46" i="117"/>
  <c r="F46" i="117"/>
  <c r="N46" i="117" s="1"/>
  <c r="AF45" i="117"/>
  <c r="AE45" i="117"/>
  <c r="AD45" i="117"/>
  <c r="AC45" i="117"/>
  <c r="W45" i="117"/>
  <c r="V45" i="117"/>
  <c r="U45" i="117"/>
  <c r="M45" i="117"/>
  <c r="F45" i="117"/>
  <c r="N45" i="117" s="1"/>
  <c r="AF44" i="117"/>
  <c r="AE44" i="117"/>
  <c r="AD44" i="117"/>
  <c r="AC44" i="117"/>
  <c r="W44" i="117"/>
  <c r="V44" i="117"/>
  <c r="U44" i="117"/>
  <c r="M44" i="117"/>
  <c r="F44" i="117"/>
  <c r="N44" i="117" s="1"/>
  <c r="AF43" i="117"/>
  <c r="AE43" i="117"/>
  <c r="AD43" i="117"/>
  <c r="AC43" i="117"/>
  <c r="W43" i="117"/>
  <c r="V43" i="117"/>
  <c r="U43" i="117"/>
  <c r="M43" i="117"/>
  <c r="F43" i="117"/>
  <c r="N43" i="117" s="1"/>
  <c r="AF42" i="117"/>
  <c r="AE42" i="117"/>
  <c r="AD42" i="117"/>
  <c r="AC42" i="117"/>
  <c r="W42" i="117"/>
  <c r="V42" i="117"/>
  <c r="U42" i="117"/>
  <c r="M42" i="117"/>
  <c r="F42" i="117"/>
  <c r="N42" i="117" s="1"/>
  <c r="AF41" i="117"/>
  <c r="AE41" i="117"/>
  <c r="AD41" i="117"/>
  <c r="AC41" i="117"/>
  <c r="W41" i="117"/>
  <c r="V41" i="117"/>
  <c r="U41" i="117"/>
  <c r="M41" i="117"/>
  <c r="F41" i="117"/>
  <c r="N41" i="117" s="1"/>
  <c r="AF40" i="117"/>
  <c r="AE40" i="117"/>
  <c r="AD40" i="117"/>
  <c r="AC40" i="117"/>
  <c r="W40" i="117"/>
  <c r="V40" i="117"/>
  <c r="U40" i="117"/>
  <c r="M40" i="117"/>
  <c r="F40" i="117"/>
  <c r="N40" i="117" s="1"/>
  <c r="AF39" i="117"/>
  <c r="AE39" i="117"/>
  <c r="AD39" i="117"/>
  <c r="AC39" i="117"/>
  <c r="W39" i="117"/>
  <c r="V39" i="117"/>
  <c r="U39" i="117"/>
  <c r="M39" i="117"/>
  <c r="F39" i="117"/>
  <c r="AF38" i="117"/>
  <c r="AE38" i="117"/>
  <c r="AD38" i="117"/>
  <c r="AC38" i="117"/>
  <c r="W38" i="117"/>
  <c r="V38" i="117"/>
  <c r="U38" i="117"/>
  <c r="X38" i="117" s="1"/>
  <c r="M38" i="117"/>
  <c r="F38" i="117"/>
  <c r="N38" i="117" s="1"/>
  <c r="AF37" i="117"/>
  <c r="AE37" i="117"/>
  <c r="AD37" i="117"/>
  <c r="AC37" i="117"/>
  <c r="W37" i="117"/>
  <c r="V37" i="117"/>
  <c r="U37" i="117"/>
  <c r="M37" i="117"/>
  <c r="F37" i="117"/>
  <c r="N37" i="117" s="1"/>
  <c r="AF36" i="117"/>
  <c r="AE36" i="117"/>
  <c r="AD36" i="117"/>
  <c r="AC36" i="117"/>
  <c r="W36" i="117"/>
  <c r="V36" i="117"/>
  <c r="U36" i="117"/>
  <c r="X36" i="117" s="1"/>
  <c r="M36" i="117"/>
  <c r="F36" i="117"/>
  <c r="N36" i="117" s="1"/>
  <c r="AF35" i="117"/>
  <c r="AE35" i="117"/>
  <c r="AD35" i="117"/>
  <c r="AC35" i="117"/>
  <c r="W35" i="117"/>
  <c r="V35" i="117"/>
  <c r="U35" i="117"/>
  <c r="M35" i="117"/>
  <c r="F35" i="117"/>
  <c r="N35" i="117" s="1"/>
  <c r="AF34" i="117"/>
  <c r="AE34" i="117"/>
  <c r="AD34" i="117"/>
  <c r="AC34" i="117"/>
  <c r="W34" i="117"/>
  <c r="V34" i="117"/>
  <c r="U34" i="117"/>
  <c r="M34" i="117"/>
  <c r="F34" i="117"/>
  <c r="N34" i="117" s="1"/>
  <c r="AF33" i="117"/>
  <c r="AE33" i="117"/>
  <c r="AD33" i="117"/>
  <c r="AC33" i="117"/>
  <c r="W33" i="117"/>
  <c r="V33" i="117"/>
  <c r="U33" i="117"/>
  <c r="X33" i="117" s="1"/>
  <c r="M33" i="117"/>
  <c r="F33" i="117"/>
  <c r="N33" i="117" s="1"/>
  <c r="AF32" i="117"/>
  <c r="AE32" i="117"/>
  <c r="AD32" i="117"/>
  <c r="AC32" i="117"/>
  <c r="W32" i="117"/>
  <c r="V32" i="117"/>
  <c r="U32" i="117"/>
  <c r="X32" i="117" s="1"/>
  <c r="M32" i="117"/>
  <c r="F32" i="117"/>
  <c r="N32" i="117" s="1"/>
  <c r="AF31" i="117"/>
  <c r="AE31" i="117"/>
  <c r="AD31" i="117"/>
  <c r="AC31" i="117"/>
  <c r="W31" i="117"/>
  <c r="V31" i="117"/>
  <c r="U31" i="117"/>
  <c r="X31" i="117" s="1"/>
  <c r="M31" i="117"/>
  <c r="F31" i="117"/>
  <c r="N31" i="117" s="1"/>
  <c r="AF30" i="117"/>
  <c r="AE30" i="117"/>
  <c r="AD30" i="117"/>
  <c r="AC30" i="117"/>
  <c r="W30" i="117"/>
  <c r="V30" i="117"/>
  <c r="U30" i="117"/>
  <c r="M30" i="117"/>
  <c r="F30" i="117"/>
  <c r="N30" i="117" s="1"/>
  <c r="AF29" i="117"/>
  <c r="AE29" i="117"/>
  <c r="AD29" i="117"/>
  <c r="AC29" i="117"/>
  <c r="W29" i="117"/>
  <c r="V29" i="117"/>
  <c r="U29" i="117"/>
  <c r="M29" i="117"/>
  <c r="F29" i="117"/>
  <c r="AF28" i="117"/>
  <c r="AE28" i="117"/>
  <c r="AD28" i="117"/>
  <c r="AC28" i="117"/>
  <c r="W28" i="117"/>
  <c r="V28" i="117"/>
  <c r="U28" i="117"/>
  <c r="M28" i="117"/>
  <c r="F28" i="117"/>
  <c r="AF27" i="117"/>
  <c r="AE27" i="117"/>
  <c r="AD27" i="117"/>
  <c r="AC27" i="117"/>
  <c r="W27" i="117"/>
  <c r="V27" i="117"/>
  <c r="U27" i="117"/>
  <c r="X27" i="117" s="1"/>
  <c r="M27" i="117"/>
  <c r="F27" i="117"/>
  <c r="AF26" i="117"/>
  <c r="AE26" i="117"/>
  <c r="AD26" i="117"/>
  <c r="AC26" i="117"/>
  <c r="W26" i="117"/>
  <c r="V26" i="117"/>
  <c r="U26" i="117"/>
  <c r="M26" i="117"/>
  <c r="F26" i="117"/>
  <c r="AF25" i="117"/>
  <c r="AE25" i="117"/>
  <c r="AD25" i="117"/>
  <c r="AC25" i="117"/>
  <c r="W25" i="117"/>
  <c r="V25" i="117"/>
  <c r="U25" i="117"/>
  <c r="M25" i="117"/>
  <c r="F25" i="117"/>
  <c r="AF24" i="117"/>
  <c r="AE24" i="117"/>
  <c r="AD24" i="117"/>
  <c r="AC24" i="117"/>
  <c r="W24" i="117"/>
  <c r="V24" i="117"/>
  <c r="U24" i="117"/>
  <c r="X24" i="117" s="1"/>
  <c r="M24" i="117"/>
  <c r="F24" i="117"/>
  <c r="AF23" i="117"/>
  <c r="AE23" i="117"/>
  <c r="AD23" i="117"/>
  <c r="AC23" i="117"/>
  <c r="W23" i="117"/>
  <c r="V23" i="117"/>
  <c r="U23" i="117"/>
  <c r="X23" i="117" s="1"/>
  <c r="M23" i="117"/>
  <c r="F23" i="117"/>
  <c r="N23" i="117" s="1"/>
  <c r="AF22" i="117"/>
  <c r="AE22" i="117"/>
  <c r="AD22" i="117"/>
  <c r="AC22" i="117"/>
  <c r="W22" i="117"/>
  <c r="V22" i="117"/>
  <c r="U22" i="117"/>
  <c r="X22" i="117" s="1"/>
  <c r="M22" i="117"/>
  <c r="F22" i="117"/>
  <c r="N22" i="117" s="1"/>
  <c r="AF21" i="117"/>
  <c r="AE21" i="117"/>
  <c r="AD21" i="117"/>
  <c r="AC21" i="117"/>
  <c r="W21" i="117"/>
  <c r="V21" i="117"/>
  <c r="U21" i="117"/>
  <c r="M21" i="117"/>
  <c r="F21" i="117"/>
  <c r="AF20" i="117"/>
  <c r="AE20" i="117"/>
  <c r="AD20" i="117"/>
  <c r="AC20" i="117"/>
  <c r="W20" i="117"/>
  <c r="V20" i="117"/>
  <c r="U20" i="117"/>
  <c r="M20" i="117"/>
  <c r="F20" i="117"/>
  <c r="AF19" i="117"/>
  <c r="AE19" i="117"/>
  <c r="AD19" i="117"/>
  <c r="AC19" i="117"/>
  <c r="W19" i="117"/>
  <c r="V19" i="117"/>
  <c r="U19" i="117"/>
  <c r="M19" i="117"/>
  <c r="F19" i="117"/>
  <c r="AF18" i="117"/>
  <c r="AE18" i="117"/>
  <c r="AD18" i="117"/>
  <c r="AC18" i="117"/>
  <c r="W18" i="117"/>
  <c r="V18" i="117"/>
  <c r="U18" i="117"/>
  <c r="M18" i="117"/>
  <c r="F18" i="117"/>
  <c r="AF17" i="117"/>
  <c r="AE17" i="117"/>
  <c r="AD17" i="117"/>
  <c r="AC17" i="117"/>
  <c r="W17" i="117"/>
  <c r="V17" i="117"/>
  <c r="U17" i="117"/>
  <c r="X17" i="117" s="1"/>
  <c r="M17" i="117"/>
  <c r="F17" i="117"/>
  <c r="AF16" i="117"/>
  <c r="AE16" i="117"/>
  <c r="AD16" i="117"/>
  <c r="AC16" i="117"/>
  <c r="W16" i="117"/>
  <c r="V16" i="117"/>
  <c r="U16" i="117"/>
  <c r="M16" i="117"/>
  <c r="F16" i="117"/>
  <c r="AF15" i="117"/>
  <c r="AE15" i="117"/>
  <c r="AD15" i="117"/>
  <c r="AC15" i="117"/>
  <c r="W15" i="117"/>
  <c r="V15" i="117"/>
  <c r="U15" i="117"/>
  <c r="M15" i="117"/>
  <c r="F15" i="117"/>
  <c r="N15" i="117" s="1"/>
  <c r="AF14" i="117"/>
  <c r="AE14" i="117"/>
  <c r="AD14" i="117"/>
  <c r="AC14" i="117"/>
  <c r="W14" i="117"/>
  <c r="V14" i="117"/>
  <c r="U14" i="117"/>
  <c r="X14" i="117" s="1"/>
  <c r="M14" i="117"/>
  <c r="F14" i="117"/>
  <c r="A14" i="117"/>
  <c r="A15" i="117" s="1"/>
  <c r="AF13" i="117"/>
  <c r="AE13" i="117"/>
  <c r="AD13" i="117"/>
  <c r="AC13" i="117"/>
  <c r="W13" i="117"/>
  <c r="V13" i="117"/>
  <c r="U13" i="117"/>
  <c r="X13" i="117" s="1"/>
  <c r="M13" i="117"/>
  <c r="F13" i="117"/>
  <c r="N13" i="117" s="1"/>
  <c r="E5" i="117"/>
  <c r="A2" i="117"/>
  <c r="D237" i="116"/>
  <c r="T236" i="116"/>
  <c r="S236" i="116"/>
  <c r="R236" i="116"/>
  <c r="Q236" i="116"/>
  <c r="P236" i="116"/>
  <c r="O236" i="116"/>
  <c r="E236" i="116"/>
  <c r="D236" i="116"/>
  <c r="L116" i="116"/>
  <c r="N116" i="116" s="1"/>
  <c r="AA116" i="116" s="1"/>
  <c r="L115" i="116"/>
  <c r="AA115" i="116" s="1"/>
  <c r="L114" i="116"/>
  <c r="AA114" i="116" s="1"/>
  <c r="W108" i="116"/>
  <c r="V108" i="116"/>
  <c r="U108" i="116"/>
  <c r="X108" i="116" s="1"/>
  <c r="Z41" i="117" l="1"/>
  <c r="L61" i="117"/>
  <c r="N61" i="117" s="1"/>
  <c r="AA61" i="117" s="1"/>
  <c r="Z68" i="117"/>
  <c r="AA102" i="117"/>
  <c r="AA33" i="117"/>
  <c r="Y44" i="117"/>
  <c r="X44" i="117" s="1"/>
  <c r="Z96" i="117"/>
  <c r="AA40" i="117"/>
  <c r="Z99" i="117"/>
  <c r="Y102" i="117"/>
  <c r="X102" i="117" s="1"/>
  <c r="AA30" i="117"/>
  <c r="Z45" i="117"/>
  <c r="L58" i="117"/>
  <c r="N58" i="117"/>
  <c r="Z13" i="117"/>
  <c r="Y47" i="117"/>
  <c r="X47" i="117" s="1"/>
  <c r="Z63" i="117"/>
  <c r="Z67" i="117"/>
  <c r="Z16" i="117"/>
  <c r="Z31" i="117"/>
  <c r="Z38" i="117"/>
  <c r="AA47" i="117"/>
  <c r="AA63" i="117"/>
  <c r="F322" i="117"/>
  <c r="Y89" i="117"/>
  <c r="X89" i="117" s="1"/>
  <c r="Z104" i="117"/>
  <c r="Y104" i="117" s="1"/>
  <c r="L54" i="117"/>
  <c r="N54" i="117"/>
  <c r="AA54" i="117" s="1"/>
  <c r="Z30" i="117"/>
  <c r="Z33" i="117"/>
  <c r="AA34" i="117"/>
  <c r="AA38" i="117"/>
  <c r="Y39" i="117"/>
  <c r="X39" i="117" s="1"/>
  <c r="AA41" i="117"/>
  <c r="Z42" i="117"/>
  <c r="Z105" i="117"/>
  <c r="L56" i="117"/>
  <c r="N56" i="117"/>
  <c r="AA106" i="117"/>
  <c r="Z106" i="117" s="1"/>
  <c r="Y108" i="117"/>
  <c r="AA110" i="117"/>
  <c r="Z110" i="117" s="1"/>
  <c r="Y114" i="117"/>
  <c r="AA15" i="117"/>
  <c r="Z22" i="117"/>
  <c r="Z25" i="117"/>
  <c r="AA32" i="117"/>
  <c r="Y34" i="117"/>
  <c r="X34" i="117" s="1"/>
  <c r="AA36" i="117"/>
  <c r="Y88" i="117"/>
  <c r="X88" i="117" s="1"/>
  <c r="AA89" i="117"/>
  <c r="AA108" i="117"/>
  <c r="Z108" i="117" s="1"/>
  <c r="AA35" i="117"/>
  <c r="Y40" i="117"/>
  <c r="AA45" i="117"/>
  <c r="AA107" i="117"/>
  <c r="Y109" i="117"/>
  <c r="X109" i="117" s="1"/>
  <c r="W70" i="117"/>
  <c r="Z15" i="117"/>
  <c r="Z23" i="117"/>
  <c r="Z36" i="117"/>
  <c r="AA44" i="117"/>
  <c r="Z46" i="117"/>
  <c r="Z101" i="117"/>
  <c r="AA104" i="117"/>
  <c r="Y107" i="117"/>
  <c r="X107" i="117" s="1"/>
  <c r="AA109" i="117"/>
  <c r="Z14" i="117"/>
  <c r="Y15" i="117"/>
  <c r="X15" i="117" s="1"/>
  <c r="Z17" i="117"/>
  <c r="N19" i="117"/>
  <c r="AA19" i="117" s="1"/>
  <c r="N21" i="117"/>
  <c r="AA21" i="117" s="1"/>
  <c r="Z24" i="117"/>
  <c r="N29" i="117"/>
  <c r="AA29" i="117" s="1"/>
  <c r="Y30" i="117"/>
  <c r="X30" i="117" s="1"/>
  <c r="Z35" i="117"/>
  <c r="Y41" i="117"/>
  <c r="X41" i="117" s="1"/>
  <c r="Y42" i="117"/>
  <c r="X42" i="117" s="1"/>
  <c r="Y45" i="117"/>
  <c r="X45" i="117" s="1"/>
  <c r="Z49" i="117"/>
  <c r="N60" i="117"/>
  <c r="AA60" i="117" s="1"/>
  <c r="N62" i="117"/>
  <c r="AA62" i="117" s="1"/>
  <c r="Y63" i="117"/>
  <c r="X63" i="117" s="1"/>
  <c r="Z66" i="117"/>
  <c r="AA67" i="117"/>
  <c r="Z88" i="117"/>
  <c r="Z90" i="117"/>
  <c r="Y90" i="117" s="1"/>
  <c r="Z92" i="117"/>
  <c r="N94" i="117"/>
  <c r="AA94" i="117" s="1"/>
  <c r="Z94" i="117" s="1"/>
  <c r="Y95" i="117"/>
  <c r="Z97" i="117"/>
  <c r="Z102" i="117"/>
  <c r="Z107" i="117"/>
  <c r="Y115" i="117"/>
  <c r="L59" i="117"/>
  <c r="AA59" i="117" s="1"/>
  <c r="AA13" i="117"/>
  <c r="N18" i="117"/>
  <c r="AA18" i="117" s="1"/>
  <c r="N20" i="117"/>
  <c r="AA20" i="117" s="1"/>
  <c r="Z20" i="117" s="1"/>
  <c r="AA22" i="117"/>
  <c r="Y23" i="117"/>
  <c r="N27" i="117"/>
  <c r="AA27" i="117" s="1"/>
  <c r="Z27" i="117" s="1"/>
  <c r="N28" i="117"/>
  <c r="AA28" i="117" s="1"/>
  <c r="Y31" i="117"/>
  <c r="Z32" i="117"/>
  <c r="Y35" i="117"/>
  <c r="X35" i="117" s="1"/>
  <c r="AA37" i="117"/>
  <c r="Z37" i="117"/>
  <c r="Y38" i="117"/>
  <c r="Z39" i="117"/>
  <c r="Z40" i="117"/>
  <c r="AA42" i="117"/>
  <c r="AA43" i="117"/>
  <c r="Z43" i="117"/>
  <c r="Z44" i="117"/>
  <c r="AA46" i="117"/>
  <c r="Y46" i="117"/>
  <c r="Z47" i="117"/>
  <c r="Y49" i="117"/>
  <c r="X49" i="117" s="1"/>
  <c r="Z52" i="117"/>
  <c r="Y67" i="117"/>
  <c r="X67" i="117" s="1"/>
  <c r="Z89" i="117"/>
  <c r="N90" i="117"/>
  <c r="AA90" i="117" s="1"/>
  <c r="N91" i="117"/>
  <c r="AA91" i="117" s="1"/>
  <c r="Z91" i="117" s="1"/>
  <c r="N92" i="117"/>
  <c r="AA92" i="117" s="1"/>
  <c r="N100" i="117"/>
  <c r="AA100" i="117" s="1"/>
  <c r="Z100" i="117" s="1"/>
  <c r="Y105" i="117"/>
  <c r="X105" i="117" s="1"/>
  <c r="Z109" i="117"/>
  <c r="Z112" i="117"/>
  <c r="Y117" i="117"/>
  <c r="Z59" i="117"/>
  <c r="AA58" i="117"/>
  <c r="N57" i="117"/>
  <c r="AA57" i="117" s="1"/>
  <c r="AC127" i="117"/>
  <c r="AA127" i="117" s="1"/>
  <c r="AD127" i="117"/>
  <c r="Z58" i="117"/>
  <c r="Z18" i="117"/>
  <c r="Z19" i="117"/>
  <c r="Y19" i="117" s="1"/>
  <c r="Y20" i="117"/>
  <c r="Z28" i="117"/>
  <c r="Y32" i="117"/>
  <c r="Z34" i="117"/>
  <c r="Y13" i="117"/>
  <c r="N16" i="117"/>
  <c r="AA16" i="117" s="1"/>
  <c r="Y16" i="117"/>
  <c r="Y22" i="117"/>
  <c r="Y25" i="117"/>
  <c r="X25" i="117" s="1"/>
  <c r="N26" i="117"/>
  <c r="AA26" i="117" s="1"/>
  <c r="Z26" i="117"/>
  <c r="Y26" i="117" s="1"/>
  <c r="Y33" i="117"/>
  <c r="Y36" i="117"/>
  <c r="N39" i="117"/>
  <c r="AA39" i="117" s="1"/>
  <c r="Z48" i="117"/>
  <c r="AA49" i="117"/>
  <c r="F70" i="117"/>
  <c r="L53" i="117"/>
  <c r="N64" i="117"/>
  <c r="AA64" i="117" s="1"/>
  <c r="Z64" i="117"/>
  <c r="Y64" i="117" s="1"/>
  <c r="N65" i="117"/>
  <c r="AA65" i="117" s="1"/>
  <c r="Z65" i="117"/>
  <c r="N66" i="117"/>
  <c r="AA66" i="117" s="1"/>
  <c r="Y66" i="117"/>
  <c r="Y68" i="117"/>
  <c r="X68" i="117" s="1"/>
  <c r="N88" i="117"/>
  <c r="AA88" i="117" s="1"/>
  <c r="N93" i="117"/>
  <c r="AA93" i="117" s="1"/>
  <c r="Z93" i="117"/>
  <c r="Y93" i="117" s="1"/>
  <c r="N96" i="117"/>
  <c r="AA96" i="117" s="1"/>
  <c r="Y96" i="117"/>
  <c r="Y97" i="117"/>
  <c r="X97" i="117" s="1"/>
  <c r="Y103" i="117"/>
  <c r="Y106" i="117"/>
  <c r="Y110" i="117"/>
  <c r="Z113" i="117"/>
  <c r="AA115" i="117"/>
  <c r="AA117" i="117"/>
  <c r="AA125" i="117"/>
  <c r="N14" i="117"/>
  <c r="AA14" i="117" s="1"/>
  <c r="Y14" i="117"/>
  <c r="N17" i="117"/>
  <c r="AA17" i="117" s="1"/>
  <c r="Y17" i="117"/>
  <c r="Y18" i="117"/>
  <c r="X18" i="117" s="1"/>
  <c r="X19" i="117"/>
  <c r="X20" i="117"/>
  <c r="X21" i="117"/>
  <c r="N24" i="117"/>
  <c r="AA24" i="117" s="1"/>
  <c r="Y24" i="117"/>
  <c r="N25" i="117"/>
  <c r="AA25" i="117" s="1"/>
  <c r="Y28" i="117"/>
  <c r="X28" i="117" s="1"/>
  <c r="X29" i="117"/>
  <c r="Y37" i="117"/>
  <c r="X37" i="117" s="1"/>
  <c r="X40" i="117"/>
  <c r="Y43" i="117"/>
  <c r="X43" i="117" s="1"/>
  <c r="Y50" i="117"/>
  <c r="AA51" i="117"/>
  <c r="Y59" i="117"/>
  <c r="X59" i="117" s="1"/>
  <c r="Y60" i="117"/>
  <c r="X60" i="117" s="1"/>
  <c r="Y61" i="117"/>
  <c r="X61" i="117" s="1"/>
  <c r="X62" i="117"/>
  <c r="N68" i="117"/>
  <c r="AA68" i="117" s="1"/>
  <c r="A90" i="117"/>
  <c r="A91" i="117" s="1"/>
  <c r="A92" i="117" s="1"/>
  <c r="A93" i="117" s="1"/>
  <c r="A94" i="117" s="1"/>
  <c r="A95" i="117" s="1"/>
  <c r="A96" i="117" s="1"/>
  <c r="A97" i="117" s="1"/>
  <c r="A98" i="117" s="1"/>
  <c r="A99" i="117" s="1"/>
  <c r="A100" i="117" s="1"/>
  <c r="A101" i="117" s="1"/>
  <c r="A102" i="117" s="1"/>
  <c r="A103" i="117" s="1"/>
  <c r="A104" i="117" s="1"/>
  <c r="A105" i="117" s="1"/>
  <c r="A106" i="117" s="1"/>
  <c r="A107" i="117" s="1"/>
  <c r="A108" i="117" s="1"/>
  <c r="A109" i="117" s="1"/>
  <c r="A110" i="117" s="1"/>
  <c r="A111" i="117" s="1"/>
  <c r="A112" i="117" s="1"/>
  <c r="A113" i="117" s="1"/>
  <c r="A114" i="117" s="1"/>
  <c r="A115" i="117" s="1"/>
  <c r="A116" i="117" s="1"/>
  <c r="A117" i="117" s="1"/>
  <c r="A118" i="117" s="1"/>
  <c r="A119" i="117" s="1"/>
  <c r="A120" i="117" s="1"/>
  <c r="A121" i="117" s="1"/>
  <c r="A122" i="117" s="1"/>
  <c r="A123" i="117" s="1"/>
  <c r="A124" i="117" s="1"/>
  <c r="A125" i="117" s="1"/>
  <c r="N97" i="117"/>
  <c r="AA97" i="117" s="1"/>
  <c r="N98" i="117"/>
  <c r="AA98" i="117" s="1"/>
  <c r="Z98" i="117" s="1"/>
  <c r="Y98" i="117"/>
  <c r="N99" i="117"/>
  <c r="AA99" i="117" s="1"/>
  <c r="Y99" i="117"/>
  <c r="X100" i="117"/>
  <c r="N101" i="117"/>
  <c r="AA101" i="117" s="1"/>
  <c r="Y101" i="117"/>
  <c r="AA103" i="117"/>
  <c r="Z103" i="117" s="1"/>
  <c r="X108" i="117"/>
  <c r="Z116" i="117"/>
  <c r="N126" i="117"/>
  <c r="AA126" i="117" s="1"/>
  <c r="A16" i="117"/>
  <c r="A17" i="117" s="1"/>
  <c r="A18" i="117" s="1"/>
  <c r="A19" i="117" s="1"/>
  <c r="A20" i="117" s="1"/>
  <c r="A21" i="117" s="1"/>
  <c r="A22" i="117" s="1"/>
  <c r="A23" i="117" s="1"/>
  <c r="A24" i="117" s="1"/>
  <c r="A25" i="117" s="1"/>
  <c r="A26" i="117" s="1"/>
  <c r="A27" i="117" s="1"/>
  <c r="A28" i="117" s="1"/>
  <c r="A29" i="117" s="1"/>
  <c r="A30" i="117" s="1"/>
  <c r="A31" i="117" s="1"/>
  <c r="A32" i="117" s="1"/>
  <c r="A33" i="117" s="1"/>
  <c r="A34" i="117" s="1"/>
  <c r="A35" i="117" s="1"/>
  <c r="A36" i="117" s="1"/>
  <c r="A37" i="117" s="1"/>
  <c r="A38" i="117" s="1"/>
  <c r="A39" i="117" s="1"/>
  <c r="A40" i="117" s="1"/>
  <c r="A41" i="117" s="1"/>
  <c r="A42" i="117" s="1"/>
  <c r="A43" i="117" s="1"/>
  <c r="A44" i="117" s="1"/>
  <c r="A45" i="117" s="1"/>
  <c r="A46" i="117" s="1"/>
  <c r="A47" i="117" s="1"/>
  <c r="A48" i="117" s="1"/>
  <c r="A49" i="117" s="1"/>
  <c r="A50" i="117" s="1"/>
  <c r="A51" i="117" s="1"/>
  <c r="A52" i="117" s="1"/>
  <c r="Y21" i="117"/>
  <c r="Y29" i="117"/>
  <c r="AA50" i="117"/>
  <c r="L55" i="117"/>
  <c r="AA55" i="117" s="1"/>
  <c r="Z60" i="117"/>
  <c r="Z61" i="117"/>
  <c r="Y62" i="117"/>
  <c r="AA95" i="117"/>
  <c r="Z95" i="117" s="1"/>
  <c r="Y100" i="117"/>
  <c r="AA105" i="117"/>
  <c r="AA116" i="117"/>
  <c r="X16" i="117"/>
  <c r="Z21" i="117"/>
  <c r="AA23" i="117"/>
  <c r="X26" i="117"/>
  <c r="Y27" i="117"/>
  <c r="Z29" i="117"/>
  <c r="AA31" i="117"/>
  <c r="Y48" i="117"/>
  <c r="X48" i="117" s="1"/>
  <c r="Z62" i="117"/>
  <c r="X64" i="117"/>
  <c r="Y65" i="117"/>
  <c r="X65" i="117" s="1"/>
  <c r="X66" i="117"/>
  <c r="Y91" i="117"/>
  <c r="Y92" i="117"/>
  <c r="X93" i="117"/>
  <c r="Y94" i="117"/>
  <c r="X96" i="117"/>
  <c r="AA114" i="117"/>
  <c r="AA48" i="117"/>
  <c r="Z57" i="117"/>
  <c r="Y58" i="117"/>
  <c r="Y57" i="117"/>
  <c r="X57" i="117" s="1"/>
  <c r="X58" i="117"/>
  <c r="Y56" i="117"/>
  <c r="Y119" i="117"/>
  <c r="X119" i="117" s="1"/>
  <c r="AC119" i="117" s="1"/>
  <c r="AA119" i="117" s="1"/>
  <c r="X56" i="117"/>
  <c r="Z56" i="117"/>
  <c r="Z55" i="117"/>
  <c r="V322" i="117"/>
  <c r="AE322" i="117"/>
  <c r="M70" i="117"/>
  <c r="AA56" i="117"/>
  <c r="Y55" i="117"/>
  <c r="M322" i="117"/>
  <c r="Z114" i="117"/>
  <c r="X114" i="117"/>
  <c r="Z115" i="117"/>
  <c r="X115" i="117"/>
  <c r="U322" i="117"/>
  <c r="Y125" i="117"/>
  <c r="Z124" i="117"/>
  <c r="AA124" i="117"/>
  <c r="AA123" i="117"/>
  <c r="Y123" i="117"/>
  <c r="AA122" i="117"/>
  <c r="Y122" i="117"/>
  <c r="X122" i="117" s="1"/>
  <c r="AA121" i="117"/>
  <c r="Z121" i="117"/>
  <c r="AA120" i="117"/>
  <c r="Z120" i="117"/>
  <c r="Z119" i="117"/>
  <c r="AA118" i="117"/>
  <c r="Z118" i="117"/>
  <c r="Z50" i="117"/>
  <c r="AE70" i="117"/>
  <c r="AD70" i="117" s="1"/>
  <c r="AC70" i="117" s="1"/>
  <c r="Y52" i="117"/>
  <c r="X52" i="117" s="1"/>
  <c r="AA52" i="117"/>
  <c r="X53" i="117"/>
  <c r="X54" i="117"/>
  <c r="U70" i="117"/>
  <c r="Z51" i="117"/>
  <c r="AF70" i="117"/>
  <c r="Y53" i="117"/>
  <c r="Z54" i="117"/>
  <c r="Y54" i="117" s="1"/>
  <c r="V70" i="117"/>
  <c r="Y51" i="117"/>
  <c r="X111" i="117"/>
  <c r="Y113" i="117"/>
  <c r="X113" i="117" s="1"/>
  <c r="Z117" i="117"/>
  <c r="X117" i="117"/>
  <c r="Z111" i="117"/>
  <c r="Y111" i="117" s="1"/>
  <c r="Y112" i="117"/>
  <c r="X112" i="117" s="1"/>
  <c r="AC112" i="117" s="1"/>
  <c r="AA112" i="117" s="1"/>
  <c r="Y116" i="117"/>
  <c r="X116" i="117" s="1"/>
  <c r="Y118" i="117"/>
  <c r="X118" i="117" s="1"/>
  <c r="Y120" i="117"/>
  <c r="X120" i="117" s="1"/>
  <c r="Y121" i="117"/>
  <c r="Z122" i="117"/>
  <c r="X123" i="117"/>
  <c r="Z123" i="117"/>
  <c r="Y124" i="117"/>
  <c r="X124" i="117" s="1"/>
  <c r="AF124" i="117" s="1"/>
  <c r="X125" i="117"/>
  <c r="Z125" i="117"/>
  <c r="Y126" i="117"/>
  <c r="X126" i="117" s="1"/>
  <c r="Z126" i="117"/>
  <c r="AA111" i="117"/>
  <c r="AA113" i="117"/>
  <c r="X121" i="117"/>
  <c r="M108" i="116"/>
  <c r="F108" i="116"/>
  <c r="L108" i="116" s="1"/>
  <c r="N108" i="116" s="1"/>
  <c r="AA108" i="116" s="1"/>
  <c r="W107" i="116"/>
  <c r="V107" i="116"/>
  <c r="U107" i="116"/>
  <c r="M107" i="116"/>
  <c r="F107" i="116"/>
  <c r="W106" i="116"/>
  <c r="V106" i="116"/>
  <c r="U106" i="116"/>
  <c r="AC123" i="117" l="1"/>
  <c r="AF123" i="117"/>
  <c r="L107" i="116"/>
  <c r="N107" i="116"/>
  <c r="AA107" i="116" s="1"/>
  <c r="AC122" i="117"/>
  <c r="AF122" i="117"/>
  <c r="AF322" i="117" s="1"/>
  <c r="AC124" i="117"/>
  <c r="AD124" i="117"/>
  <c r="AD322" i="117" s="1"/>
  <c r="N322" i="117"/>
  <c r="N70" i="117"/>
  <c r="Y70" i="117"/>
  <c r="X70" i="117"/>
  <c r="AA53" i="117"/>
  <c r="Z53" i="117" s="1"/>
  <c r="Z70" i="117" s="1"/>
  <c r="Y322" i="117"/>
  <c r="Y108" i="116"/>
  <c r="Z108" i="116"/>
  <c r="Y107" i="116"/>
  <c r="X322" i="117"/>
  <c r="W322" i="117" s="1"/>
  <c r="X106" i="116"/>
  <c r="X107" i="116"/>
  <c r="Z107" i="116"/>
  <c r="K106" i="116"/>
  <c r="M106" i="116" s="1"/>
  <c r="F106" i="116"/>
  <c r="N106" i="116" s="1"/>
  <c r="W105" i="116"/>
  <c r="V105" i="116"/>
  <c r="U105" i="116"/>
  <c r="AC322" i="117" l="1"/>
  <c r="AA322" i="117" s="1"/>
  <c r="Z322" i="117" s="1"/>
  <c r="L106" i="116"/>
  <c r="AA106" i="116" s="1"/>
  <c r="Z106" i="116"/>
  <c r="Y106" i="116"/>
  <c r="AA70" i="117"/>
  <c r="X105" i="116"/>
  <c r="K105" i="116"/>
  <c r="M105" i="116" s="1"/>
  <c r="Y105" i="116" s="1"/>
  <c r="F105" i="116"/>
  <c r="L105" i="116" s="1"/>
  <c r="N105" i="116" s="1"/>
  <c r="AA105" i="116" s="1"/>
  <c r="W104" i="116"/>
  <c r="V104" i="116"/>
  <c r="U104" i="116"/>
  <c r="K104" i="116"/>
  <c r="F104" i="116"/>
  <c r="W103" i="116"/>
  <c r="V103" i="116"/>
  <c r="U103" i="116"/>
  <c r="K103" i="116"/>
  <c r="M103" i="116" s="1"/>
  <c r="F103" i="116"/>
  <c r="AE105" i="116" l="1"/>
  <c r="AF105" i="116"/>
  <c r="L103" i="116"/>
  <c r="N103" i="116"/>
  <c r="AA103" i="116" s="1"/>
  <c r="L104" i="116"/>
  <c r="N104" i="116"/>
  <c r="AA104" i="116" s="1"/>
  <c r="M104" i="116"/>
  <c r="Y104" i="116" s="1"/>
  <c r="Z105" i="116"/>
  <c r="Y103" i="116"/>
  <c r="X103" i="116"/>
  <c r="Z103" i="116"/>
  <c r="X104" i="116"/>
  <c r="W102" i="116"/>
  <c r="V102" i="116"/>
  <c r="U102" i="116"/>
  <c r="M102" i="116"/>
  <c r="K102" i="116"/>
  <c r="F102" i="116"/>
  <c r="W101" i="116"/>
  <c r="V101" i="116"/>
  <c r="U101" i="116"/>
  <c r="M101" i="116"/>
  <c r="K101" i="116"/>
  <c r="F101" i="116"/>
  <c r="W100" i="116"/>
  <c r="V100" i="116"/>
  <c r="U100" i="116"/>
  <c r="K100" i="116"/>
  <c r="M100" i="116" s="1"/>
  <c r="F100" i="116"/>
  <c r="W99" i="116"/>
  <c r="V99" i="116"/>
  <c r="U99" i="116"/>
  <c r="K99" i="116"/>
  <c r="M99" i="116" s="1"/>
  <c r="F99" i="116"/>
  <c r="AF98" i="116"/>
  <c r="AE98" i="116"/>
  <c r="AD98" i="116"/>
  <c r="AC98" i="116"/>
  <c r="W98" i="116"/>
  <c r="V98" i="116"/>
  <c r="U98" i="116"/>
  <c r="M98" i="116"/>
  <c r="K98" i="116"/>
  <c r="F98" i="116"/>
  <c r="AF97" i="116"/>
  <c r="AE97" i="116"/>
  <c r="AD97" i="116"/>
  <c r="AC97" i="116"/>
  <c r="W97" i="116"/>
  <c r="V97" i="116"/>
  <c r="U97" i="116"/>
  <c r="M97" i="116"/>
  <c r="K97" i="116"/>
  <c r="F97" i="116"/>
  <c r="AF96" i="116"/>
  <c r="AE96" i="116"/>
  <c r="AD96" i="116"/>
  <c r="AC96" i="116"/>
  <c r="W96" i="116"/>
  <c r="V96" i="116"/>
  <c r="U96" i="116"/>
  <c r="K96" i="116"/>
  <c r="M96" i="116" s="1"/>
  <c r="F96" i="116"/>
  <c r="AF95" i="116"/>
  <c r="AE95" i="116"/>
  <c r="AD95" i="116"/>
  <c r="AC95" i="116"/>
  <c r="W95" i="116"/>
  <c r="V95" i="116"/>
  <c r="U95" i="116"/>
  <c r="K95" i="116"/>
  <c r="M95" i="116" s="1"/>
  <c r="F95" i="116"/>
  <c r="N95" i="116" s="1"/>
  <c r="AF94" i="116"/>
  <c r="AE94" i="116"/>
  <c r="AD94" i="116"/>
  <c r="AC94" i="116"/>
  <c r="W94" i="116"/>
  <c r="V94" i="116"/>
  <c r="M94" i="116"/>
  <c r="K94" i="116"/>
  <c r="F94" i="116"/>
  <c r="N94" i="116" s="1"/>
  <c r="AF93" i="116"/>
  <c r="AE93" i="116"/>
  <c r="AD93" i="116"/>
  <c r="AC93" i="116"/>
  <c r="W93" i="116"/>
  <c r="V93" i="116"/>
  <c r="U93" i="116"/>
  <c r="M93" i="116"/>
  <c r="K93" i="116"/>
  <c r="F93" i="116"/>
  <c r="N93" i="116" s="1"/>
  <c r="AF92" i="116"/>
  <c r="AE92" i="116"/>
  <c r="AD92" i="116"/>
  <c r="AC92" i="116"/>
  <c r="W92" i="116"/>
  <c r="V92" i="116"/>
  <c r="U92" i="116"/>
  <c r="M92" i="116"/>
  <c r="F92" i="116"/>
  <c r="AF91" i="116"/>
  <c r="AE91" i="116"/>
  <c r="AD91" i="116"/>
  <c r="AC91" i="116"/>
  <c r="W91" i="116"/>
  <c r="V91" i="116"/>
  <c r="U91" i="116"/>
  <c r="X91" i="116" s="1"/>
  <c r="M91" i="116"/>
  <c r="F91" i="116"/>
  <c r="N91" i="116" s="1"/>
  <c r="AF90" i="116"/>
  <c r="AE90" i="116"/>
  <c r="AD90" i="116"/>
  <c r="AC90" i="116"/>
  <c r="W90" i="116"/>
  <c r="V90" i="116"/>
  <c r="U90" i="116"/>
  <c r="X90" i="116" s="1"/>
  <c r="M90" i="116"/>
  <c r="F90" i="116"/>
  <c r="AF89" i="116"/>
  <c r="AE89" i="116"/>
  <c r="AD89" i="116"/>
  <c r="AC89" i="116"/>
  <c r="W89" i="116"/>
  <c r="V89" i="116"/>
  <c r="U89" i="116"/>
  <c r="M89" i="116"/>
  <c r="F89" i="116"/>
  <c r="N89" i="116" s="1"/>
  <c r="AF88" i="116"/>
  <c r="AE88" i="116"/>
  <c r="AD88" i="116"/>
  <c r="AC88" i="116"/>
  <c r="W88" i="116"/>
  <c r="V88" i="116"/>
  <c r="U88" i="116"/>
  <c r="M88" i="116"/>
  <c r="F88" i="116"/>
  <c r="AF87" i="116"/>
  <c r="AE87" i="116"/>
  <c r="AD87" i="116"/>
  <c r="AC87" i="116"/>
  <c r="W87" i="116"/>
  <c r="V87" i="116"/>
  <c r="U87" i="116"/>
  <c r="M87" i="116"/>
  <c r="F87" i="116"/>
  <c r="N87" i="116" s="1"/>
  <c r="AF86" i="116"/>
  <c r="AE86" i="116"/>
  <c r="AD86" i="116"/>
  <c r="AC86" i="116"/>
  <c r="W86" i="116"/>
  <c r="V86" i="116"/>
  <c r="U86" i="116"/>
  <c r="M86" i="116"/>
  <c r="F86" i="116"/>
  <c r="AF85" i="116"/>
  <c r="AE85" i="116"/>
  <c r="AD85" i="116"/>
  <c r="AC85" i="116"/>
  <c r="W85" i="116"/>
  <c r="V85" i="116"/>
  <c r="U85" i="116"/>
  <c r="M85" i="116"/>
  <c r="F85" i="116"/>
  <c r="N85" i="116" s="1"/>
  <c r="AF84" i="116"/>
  <c r="AE84" i="116"/>
  <c r="AD84" i="116"/>
  <c r="AC84" i="116"/>
  <c r="W84" i="116"/>
  <c r="V84" i="116"/>
  <c r="U84" i="116"/>
  <c r="X84" i="116" s="1"/>
  <c r="M84" i="116"/>
  <c r="F84" i="116"/>
  <c r="N84" i="116" s="1"/>
  <c r="AF83" i="116"/>
  <c r="AE83" i="116"/>
  <c r="AD83" i="116"/>
  <c r="AC83" i="116"/>
  <c r="W83" i="116"/>
  <c r="V83" i="116"/>
  <c r="U83" i="116"/>
  <c r="X83" i="116" s="1"/>
  <c r="M83" i="116"/>
  <c r="F83" i="116"/>
  <c r="AF82" i="116"/>
  <c r="AE82" i="116"/>
  <c r="AD82" i="116"/>
  <c r="AC82" i="116"/>
  <c r="W82" i="116"/>
  <c r="V82" i="116"/>
  <c r="U82" i="116"/>
  <c r="M82" i="116"/>
  <c r="F82" i="116"/>
  <c r="N82" i="116" s="1"/>
  <c r="AF81" i="116"/>
  <c r="AE81" i="116"/>
  <c r="AD81" i="116"/>
  <c r="AC81" i="116"/>
  <c r="W81" i="116"/>
  <c r="V81" i="116"/>
  <c r="U81" i="116"/>
  <c r="M81" i="116"/>
  <c r="F81" i="116"/>
  <c r="AF80" i="116"/>
  <c r="AE80" i="116"/>
  <c r="AD80" i="116"/>
  <c r="AC80" i="116"/>
  <c r="W80" i="116"/>
  <c r="V80" i="116"/>
  <c r="U80" i="116"/>
  <c r="X80" i="116" s="1"/>
  <c r="M80" i="116"/>
  <c r="F80" i="116"/>
  <c r="N80" i="116" s="1"/>
  <c r="AF79" i="116"/>
  <c r="AE79" i="116"/>
  <c r="AD79" i="116"/>
  <c r="AC79" i="116"/>
  <c r="W79" i="116"/>
  <c r="V79" i="116"/>
  <c r="U79" i="116"/>
  <c r="X79" i="116" s="1"/>
  <c r="M79" i="116"/>
  <c r="F79" i="116"/>
  <c r="AF78" i="116"/>
  <c r="AE78" i="116"/>
  <c r="AD78" i="116"/>
  <c r="AC78" i="116"/>
  <c r="W78" i="116"/>
  <c r="V78" i="116"/>
  <c r="U78" i="116"/>
  <c r="Y88" i="116" l="1"/>
  <c r="X88" i="116" s="1"/>
  <c r="Y81" i="116"/>
  <c r="L96" i="116"/>
  <c r="N96" i="116"/>
  <c r="AA96" i="116" s="1"/>
  <c r="L100" i="116"/>
  <c r="N100" i="116"/>
  <c r="AA100" i="116" s="1"/>
  <c r="L97" i="116"/>
  <c r="N97" i="116"/>
  <c r="AA97" i="116" s="1"/>
  <c r="L98" i="116"/>
  <c r="N98" i="116"/>
  <c r="AA98" i="116" s="1"/>
  <c r="L99" i="116"/>
  <c r="N99" i="116"/>
  <c r="AA99" i="116" s="1"/>
  <c r="L101" i="116"/>
  <c r="N101" i="116"/>
  <c r="AA101" i="116" s="1"/>
  <c r="L102" i="116"/>
  <c r="N102" i="116"/>
  <c r="AA102" i="116" s="1"/>
  <c r="AA80" i="116"/>
  <c r="N92" i="116"/>
  <c r="AA92" i="116" s="1"/>
  <c r="Z81" i="116"/>
  <c r="X81" i="116"/>
  <c r="L92" i="116"/>
  <c r="L95" i="116"/>
  <c r="Z104" i="116"/>
  <c r="Z80" i="116"/>
  <c r="Y79" i="116"/>
  <c r="Z79" i="116"/>
  <c r="Y80" i="116"/>
  <c r="L83" i="116"/>
  <c r="N81" i="116"/>
  <c r="AA81" i="116" s="1"/>
  <c r="N86" i="116"/>
  <c r="AA86" i="116" s="1"/>
  <c r="N88" i="116"/>
  <c r="AA88" i="116" s="1"/>
  <c r="N90" i="116"/>
  <c r="AA90" i="116" s="1"/>
  <c r="Z90" i="116" s="1"/>
  <c r="L93" i="116"/>
  <c r="N79" i="116"/>
  <c r="AA79" i="116" s="1"/>
  <c r="N83" i="116"/>
  <c r="AA83" i="116" s="1"/>
  <c r="Y86" i="116"/>
  <c r="X86" i="116" s="1"/>
  <c r="L94" i="116"/>
  <c r="Z94" i="116"/>
  <c r="Y101" i="116"/>
  <c r="X101" i="116" s="1"/>
  <c r="Y100" i="116"/>
  <c r="X100" i="116" s="1"/>
  <c r="Z102" i="116"/>
  <c r="Z95" i="116"/>
  <c r="AA95" i="116"/>
  <c r="AA94" i="116"/>
  <c r="Z93" i="116"/>
  <c r="Y93" i="116"/>
  <c r="X93" i="116" s="1"/>
  <c r="AA91" i="116"/>
  <c r="Z91" i="116" s="1"/>
  <c r="Z89" i="116"/>
  <c r="AA89" i="116"/>
  <c r="Z88" i="116"/>
  <c r="AA87" i="116"/>
  <c r="Y87" i="116"/>
  <c r="X87" i="116" s="1"/>
  <c r="AA85" i="116"/>
  <c r="Z85" i="116"/>
  <c r="Y84" i="116"/>
  <c r="Z98" i="116"/>
  <c r="Z83" i="116"/>
  <c r="Y85" i="116"/>
  <c r="X85" i="116" s="1"/>
  <c r="Y89" i="116"/>
  <c r="X89" i="116" s="1"/>
  <c r="X94" i="116"/>
  <c r="Y95" i="116"/>
  <c r="X95" i="116" s="1"/>
  <c r="X96" i="116"/>
  <c r="X97" i="116"/>
  <c r="X98" i="116"/>
  <c r="Z82" i="116"/>
  <c r="AA84" i="116"/>
  <c r="Z84" i="116" s="1"/>
  <c r="Z86" i="116"/>
  <c r="Z87" i="116"/>
  <c r="Y90" i="116"/>
  <c r="Y91" i="116"/>
  <c r="Z92" i="116"/>
  <c r="Y92" i="116" s="1"/>
  <c r="AA93" i="116"/>
  <c r="Y99" i="116"/>
  <c r="Y102" i="116"/>
  <c r="Y82" i="116"/>
  <c r="X82" i="116" s="1"/>
  <c r="AA82" i="116"/>
  <c r="Y83" i="116"/>
  <c r="X92" i="116"/>
  <c r="Y94" i="116"/>
  <c r="Z96" i="116"/>
  <c r="Y96" i="116" s="1"/>
  <c r="Z97" i="116"/>
  <c r="Y97" i="116" s="1"/>
  <c r="Y98" i="116"/>
  <c r="X99" i="116"/>
  <c r="Z99" i="116"/>
  <c r="Z100" i="116"/>
  <c r="Z101" i="116"/>
  <c r="X102" i="116"/>
  <c r="M78" i="116"/>
  <c r="Z78" i="116" s="1"/>
  <c r="F78" i="116"/>
  <c r="N78" i="116" s="1"/>
  <c r="AA78" i="116" s="1"/>
  <c r="AF77" i="116"/>
  <c r="AE77" i="116"/>
  <c r="AD77" i="116"/>
  <c r="AC77" i="116"/>
  <c r="W77" i="116"/>
  <c r="V77" i="116"/>
  <c r="U77" i="116"/>
  <c r="X77" i="116" s="1"/>
  <c r="M77" i="116"/>
  <c r="F77" i="116"/>
  <c r="N77" i="116" s="1"/>
  <c r="AF76" i="116"/>
  <c r="AE76" i="116"/>
  <c r="AD76" i="116"/>
  <c r="AC76" i="116"/>
  <c r="W76" i="116"/>
  <c r="V76" i="116"/>
  <c r="U76" i="116"/>
  <c r="M76" i="116"/>
  <c r="F76" i="116"/>
  <c r="AF75" i="116"/>
  <c r="AE75" i="116"/>
  <c r="AD75" i="116"/>
  <c r="AC75" i="116"/>
  <c r="W75" i="116"/>
  <c r="V75" i="116"/>
  <c r="U75" i="116"/>
  <c r="M75" i="116"/>
  <c r="F75" i="116"/>
  <c r="AF74" i="116"/>
  <c r="AE74" i="116"/>
  <c r="AD74" i="116"/>
  <c r="AC74" i="116"/>
  <c r="W74" i="116"/>
  <c r="V74" i="116"/>
  <c r="U74" i="116"/>
  <c r="M74" i="116"/>
  <c r="F74" i="116"/>
  <c r="AF73" i="116"/>
  <c r="AE73" i="116"/>
  <c r="AD73" i="116"/>
  <c r="AC73" i="116"/>
  <c r="W73" i="116"/>
  <c r="V73" i="116"/>
  <c r="U73" i="116"/>
  <c r="X73" i="116" s="1"/>
  <c r="M73" i="116"/>
  <c r="F73" i="116"/>
  <c r="AF72" i="116"/>
  <c r="AE72" i="116"/>
  <c r="AD72" i="116"/>
  <c r="AC72" i="116"/>
  <c r="W72" i="116"/>
  <c r="V72" i="116"/>
  <c r="U72" i="116"/>
  <c r="M72" i="116"/>
  <c r="F72" i="116"/>
  <c r="AF71" i="116"/>
  <c r="AE71" i="116"/>
  <c r="AD71" i="116"/>
  <c r="AC71" i="116"/>
  <c r="W71" i="116"/>
  <c r="V71" i="116"/>
  <c r="U71" i="116"/>
  <c r="X71" i="116" s="1"/>
  <c r="M71" i="116"/>
  <c r="F71" i="116"/>
  <c r="AF70" i="116"/>
  <c r="AE70" i="116"/>
  <c r="AD70" i="116"/>
  <c r="AC70" i="116"/>
  <c r="W70" i="116"/>
  <c r="V70" i="116"/>
  <c r="U70" i="116"/>
  <c r="M70" i="116"/>
  <c r="F70" i="116"/>
  <c r="AF69" i="116"/>
  <c r="AE69" i="116"/>
  <c r="AD69" i="116"/>
  <c r="AC69" i="116"/>
  <c r="W69" i="116"/>
  <c r="V69" i="116"/>
  <c r="U69" i="116"/>
  <c r="M69" i="116"/>
  <c r="F69" i="116"/>
  <c r="AF68" i="116"/>
  <c r="AE68" i="116"/>
  <c r="AD68" i="116"/>
  <c r="AC68" i="116"/>
  <c r="W68" i="116"/>
  <c r="V68" i="116"/>
  <c r="U68" i="116"/>
  <c r="X68" i="116" s="1"/>
  <c r="M68" i="116"/>
  <c r="F68" i="116"/>
  <c r="N68" i="116" s="1"/>
  <c r="AF67" i="116"/>
  <c r="AE67" i="116"/>
  <c r="AD67" i="116"/>
  <c r="AC67" i="116"/>
  <c r="W67" i="116"/>
  <c r="V67" i="116"/>
  <c r="U67" i="116"/>
  <c r="M67" i="116"/>
  <c r="F67" i="116"/>
  <c r="A67" i="116"/>
  <c r="A68" i="116" s="1"/>
  <c r="AF66" i="116"/>
  <c r="AE66" i="116"/>
  <c r="AD66" i="116"/>
  <c r="AC66" i="116"/>
  <c r="W66" i="116"/>
  <c r="V66" i="116"/>
  <c r="U66" i="116"/>
  <c r="M66" i="116"/>
  <c r="F66" i="116"/>
  <c r="N66" i="116" s="1"/>
  <c r="E49" i="116"/>
  <c r="D49" i="116"/>
  <c r="T48" i="116"/>
  <c r="S48" i="116"/>
  <c r="R48" i="116"/>
  <c r="Q48" i="116"/>
  <c r="P48" i="116"/>
  <c r="O48" i="116"/>
  <c r="E48" i="116"/>
  <c r="D48" i="116"/>
  <c r="AF46" i="116"/>
  <c r="AE46" i="116"/>
  <c r="AD46" i="116"/>
  <c r="AC46" i="116"/>
  <c r="W46" i="116"/>
  <c r="V46" i="116"/>
  <c r="U46" i="116"/>
  <c r="M46" i="116"/>
  <c r="F46" i="116"/>
  <c r="AF45" i="116"/>
  <c r="AE45" i="116"/>
  <c r="AD45" i="116"/>
  <c r="AC45" i="116"/>
  <c r="W45" i="116"/>
  <c r="V45" i="116"/>
  <c r="U45" i="116"/>
  <c r="X45" i="116" s="1"/>
  <c r="M45" i="116"/>
  <c r="F45" i="116"/>
  <c r="AF44" i="116"/>
  <c r="AE44" i="116"/>
  <c r="AD44" i="116"/>
  <c r="AC44" i="116"/>
  <c r="W44" i="116"/>
  <c r="V44" i="116"/>
  <c r="U44" i="116"/>
  <c r="X44" i="116" s="1"/>
  <c r="M44" i="116"/>
  <c r="F44" i="116"/>
  <c r="N44" i="116" s="1"/>
  <c r="AF43" i="116"/>
  <c r="AE43" i="116"/>
  <c r="AD43" i="116"/>
  <c r="AC43" i="116"/>
  <c r="W43" i="116"/>
  <c r="V43" i="116"/>
  <c r="U43" i="116"/>
  <c r="M43" i="116"/>
  <c r="F43" i="116"/>
  <c r="N43" i="116" s="1"/>
  <c r="AF42" i="116"/>
  <c r="AE42" i="116"/>
  <c r="AD42" i="116"/>
  <c r="AC42" i="116"/>
  <c r="W42" i="116"/>
  <c r="V42" i="116"/>
  <c r="U42" i="116"/>
  <c r="X42" i="116" s="1"/>
  <c r="M42" i="116"/>
  <c r="F42" i="116"/>
  <c r="AF41" i="116"/>
  <c r="AE41" i="116"/>
  <c r="AD41" i="116"/>
  <c r="AC41" i="116"/>
  <c r="W41" i="116"/>
  <c r="V41" i="116"/>
  <c r="U41" i="116"/>
  <c r="M41" i="116"/>
  <c r="F41" i="116"/>
  <c r="AF40" i="116"/>
  <c r="AE40" i="116"/>
  <c r="AD40" i="116"/>
  <c r="AC40" i="116"/>
  <c r="W40" i="116"/>
  <c r="V40" i="116"/>
  <c r="U40" i="116"/>
  <c r="X40" i="116" s="1"/>
  <c r="M40" i="116"/>
  <c r="F40" i="116"/>
  <c r="N40" i="116" s="1"/>
  <c r="AF39" i="116"/>
  <c r="AE39" i="116"/>
  <c r="AD39" i="116"/>
  <c r="AC39" i="116"/>
  <c r="W39" i="116"/>
  <c r="V39" i="116"/>
  <c r="U39" i="116"/>
  <c r="M39" i="116"/>
  <c r="F39" i="116"/>
  <c r="N39" i="116" s="1"/>
  <c r="AF38" i="116"/>
  <c r="AE38" i="116"/>
  <c r="AD38" i="116"/>
  <c r="AC38" i="116"/>
  <c r="W38" i="116"/>
  <c r="V38" i="116"/>
  <c r="U38" i="116"/>
  <c r="X38" i="116" s="1"/>
  <c r="M38" i="116"/>
  <c r="F38" i="116"/>
  <c r="AF37" i="116"/>
  <c r="AE37" i="116"/>
  <c r="AD37" i="116"/>
  <c r="AC37" i="116"/>
  <c r="W37" i="116"/>
  <c r="V37" i="116"/>
  <c r="U37" i="116"/>
  <c r="X37" i="116" s="1"/>
  <c r="M37" i="116"/>
  <c r="F37" i="116"/>
  <c r="AF36" i="116"/>
  <c r="AE36" i="116"/>
  <c r="AD36" i="116"/>
  <c r="AC36" i="116"/>
  <c r="W36" i="116"/>
  <c r="V36" i="116"/>
  <c r="U36" i="116"/>
  <c r="M36" i="116"/>
  <c r="F36" i="116"/>
  <c r="AF35" i="116"/>
  <c r="AE35" i="116"/>
  <c r="AD35" i="116"/>
  <c r="AC35" i="116"/>
  <c r="W35" i="116"/>
  <c r="V35" i="116"/>
  <c r="U35" i="116"/>
  <c r="X35" i="116" s="1"/>
  <c r="M35" i="116"/>
  <c r="F35" i="116"/>
  <c r="AF34" i="116"/>
  <c r="AE34" i="116"/>
  <c r="AD34" i="116"/>
  <c r="AC34" i="116"/>
  <c r="W34" i="116"/>
  <c r="V34" i="116"/>
  <c r="U34" i="116"/>
  <c r="X34" i="116" s="1"/>
  <c r="M34" i="116"/>
  <c r="F34" i="116"/>
  <c r="N34" i="116" s="1"/>
  <c r="AF33" i="116"/>
  <c r="AE33" i="116"/>
  <c r="AD33" i="116"/>
  <c r="AC33" i="116"/>
  <c r="W33" i="116"/>
  <c r="V33" i="116"/>
  <c r="U33" i="116"/>
  <c r="M33" i="116"/>
  <c r="F33" i="116"/>
  <c r="AF32" i="116"/>
  <c r="AE32" i="116"/>
  <c r="AD32" i="116"/>
  <c r="AC32" i="116"/>
  <c r="W32" i="116"/>
  <c r="V32" i="116"/>
  <c r="U32" i="116"/>
  <c r="X32" i="116" s="1"/>
  <c r="M32" i="116"/>
  <c r="F32" i="116"/>
  <c r="AF31" i="116"/>
  <c r="AE31" i="116"/>
  <c r="AD31" i="116"/>
  <c r="AC31" i="116"/>
  <c r="W31" i="116"/>
  <c r="V31" i="116"/>
  <c r="U31" i="116"/>
  <c r="X31" i="116" s="1"/>
  <c r="M31" i="116"/>
  <c r="F31" i="116"/>
  <c r="AF30" i="116"/>
  <c r="AE30" i="116"/>
  <c r="AD30" i="116"/>
  <c r="AC30" i="116"/>
  <c r="W30" i="116"/>
  <c r="V30" i="116"/>
  <c r="U30" i="116"/>
  <c r="M30" i="116"/>
  <c r="F30" i="116"/>
  <c r="AF29" i="116"/>
  <c r="AE29" i="116"/>
  <c r="AD29" i="116"/>
  <c r="AC29" i="116"/>
  <c r="W29" i="116"/>
  <c r="V29" i="116"/>
  <c r="U29" i="116"/>
  <c r="M29" i="116"/>
  <c r="F29" i="116"/>
  <c r="AF28" i="116"/>
  <c r="AE28" i="116"/>
  <c r="AD28" i="116"/>
  <c r="AC28" i="116"/>
  <c r="W28" i="116"/>
  <c r="V28" i="116"/>
  <c r="U28" i="116"/>
  <c r="X28" i="116" s="1"/>
  <c r="M28" i="116"/>
  <c r="F28" i="116"/>
  <c r="N28" i="116" s="1"/>
  <c r="AF27" i="116"/>
  <c r="AE27" i="116"/>
  <c r="AD27" i="116"/>
  <c r="AC27" i="116"/>
  <c r="W27" i="116"/>
  <c r="V27" i="116"/>
  <c r="U27" i="116"/>
  <c r="M27" i="116"/>
  <c r="F27" i="116"/>
  <c r="AF26" i="116"/>
  <c r="AE26" i="116"/>
  <c r="AD26" i="116"/>
  <c r="AC26" i="116"/>
  <c r="W26" i="116"/>
  <c r="V26" i="116"/>
  <c r="U26" i="116"/>
  <c r="X26" i="116" s="1"/>
  <c r="M26" i="116"/>
  <c r="F26" i="116"/>
  <c r="AF25" i="116"/>
  <c r="AE25" i="116"/>
  <c r="AD25" i="116"/>
  <c r="AC25" i="116"/>
  <c r="W25" i="116"/>
  <c r="V25" i="116"/>
  <c r="U25" i="116"/>
  <c r="M25" i="116"/>
  <c r="F25" i="116"/>
  <c r="N25" i="116" s="1"/>
  <c r="AF24" i="116"/>
  <c r="AE24" i="116"/>
  <c r="AD24" i="116"/>
  <c r="AC24" i="116"/>
  <c r="W24" i="116"/>
  <c r="V24" i="116"/>
  <c r="U24" i="116"/>
  <c r="X24" i="116" s="1"/>
  <c r="M24" i="116"/>
  <c r="F24" i="116"/>
  <c r="AF23" i="116"/>
  <c r="AE23" i="116"/>
  <c r="AD23" i="116"/>
  <c r="AC23" i="116"/>
  <c r="W23" i="116"/>
  <c r="V23" i="116"/>
  <c r="U23" i="116"/>
  <c r="X23" i="116" s="1"/>
  <c r="M23" i="116"/>
  <c r="F23" i="116"/>
  <c r="L23" i="116" s="1"/>
  <c r="AF22" i="116"/>
  <c r="AE22" i="116"/>
  <c r="AD22" i="116"/>
  <c r="AC22" i="116"/>
  <c r="W22" i="116"/>
  <c r="V22" i="116"/>
  <c r="U22" i="116"/>
  <c r="X22" i="116" s="1"/>
  <c r="M22" i="116"/>
  <c r="F22" i="116"/>
  <c r="AF21" i="116"/>
  <c r="AE21" i="116"/>
  <c r="AD21" i="116"/>
  <c r="AC21" i="116"/>
  <c r="W21" i="116"/>
  <c r="V21" i="116"/>
  <c r="U21" i="116"/>
  <c r="M21" i="116"/>
  <c r="F21" i="116"/>
  <c r="N21" i="116" s="1"/>
  <c r="AF20" i="116"/>
  <c r="AE20" i="116"/>
  <c r="AD20" i="116"/>
  <c r="AC20" i="116"/>
  <c r="W20" i="116"/>
  <c r="V20" i="116"/>
  <c r="U20" i="116"/>
  <c r="M20" i="116"/>
  <c r="K20" i="116"/>
  <c r="F20" i="116"/>
  <c r="N20" i="116" s="1"/>
  <c r="AF19" i="116"/>
  <c r="AE19" i="116"/>
  <c r="AD19" i="116"/>
  <c r="AC19" i="116"/>
  <c r="W19" i="116"/>
  <c r="V19" i="116"/>
  <c r="U19" i="116"/>
  <c r="X19" i="116" s="1"/>
  <c r="M19" i="116"/>
  <c r="F19" i="116"/>
  <c r="N19" i="116" s="1"/>
  <c r="AF18" i="116"/>
  <c r="AE18" i="116"/>
  <c r="AD18" i="116"/>
  <c r="AC18" i="116"/>
  <c r="W18" i="116"/>
  <c r="V18" i="116"/>
  <c r="U18" i="116"/>
  <c r="L32" i="116" l="1"/>
  <c r="Z23" i="116"/>
  <c r="Z46" i="116"/>
  <c r="Z77" i="116"/>
  <c r="N23" i="116"/>
  <c r="AA23" i="116" s="1"/>
  <c r="AD236" i="116"/>
  <c r="AA68" i="116"/>
  <c r="AA19" i="116"/>
  <c r="U236" i="116"/>
  <c r="Z24" i="116"/>
  <c r="Y27" i="116"/>
  <c r="X27" i="116" s="1"/>
  <c r="Z32" i="116"/>
  <c r="Y32" i="116" s="1"/>
  <c r="Z35" i="116"/>
  <c r="Z41" i="116"/>
  <c r="Z45" i="116"/>
  <c r="W236" i="116"/>
  <c r="AF236" i="116"/>
  <c r="Z20" i="116"/>
  <c r="L21" i="116"/>
  <c r="Y21" i="116"/>
  <c r="X21" i="116" s="1"/>
  <c r="Z22" i="116"/>
  <c r="L25" i="116"/>
  <c r="AA28" i="116"/>
  <c r="L29" i="116"/>
  <c r="Z31" i="116"/>
  <c r="Z37" i="116"/>
  <c r="Z38" i="116"/>
  <c r="Y43" i="116"/>
  <c r="Y25" i="116"/>
  <c r="N46" i="116"/>
  <c r="AA46" i="116" s="1"/>
  <c r="N67" i="116"/>
  <c r="AA67" i="116" s="1"/>
  <c r="N70" i="116"/>
  <c r="AA70" i="116" s="1"/>
  <c r="N74" i="116"/>
  <c r="AA74" i="116" s="1"/>
  <c r="N76" i="116"/>
  <c r="AA76" i="116" s="1"/>
  <c r="L19" i="116"/>
  <c r="Y19" i="116"/>
  <c r="Y23" i="116"/>
  <c r="X25" i="116"/>
  <c r="L26" i="116"/>
  <c r="N29" i="116"/>
  <c r="AA29" i="116" s="1"/>
  <c r="L30" i="116"/>
  <c r="Z33" i="116"/>
  <c r="AA34" i="116"/>
  <c r="Z34" i="116" s="1"/>
  <c r="Y34" i="116"/>
  <c r="Z36" i="116"/>
  <c r="Z39" i="116"/>
  <c r="Y40" i="116"/>
  <c r="N41" i="116"/>
  <c r="AA41" i="116" s="1"/>
  <c r="Z42" i="116"/>
  <c r="Z43" i="116"/>
  <c r="X43" i="116"/>
  <c r="V236" i="116"/>
  <c r="Z68" i="116"/>
  <c r="N69" i="116"/>
  <c r="AA69" i="116" s="1"/>
  <c r="Z70" i="116"/>
  <c r="X70" i="116"/>
  <c r="Z71" i="116"/>
  <c r="N75" i="116"/>
  <c r="AA75" i="116" s="1"/>
  <c r="AE236" i="116"/>
  <c r="Z67" i="116"/>
  <c r="Y67" i="116" s="1"/>
  <c r="X67" i="116"/>
  <c r="Z73" i="116"/>
  <c r="Y77" i="116"/>
  <c r="AA66" i="116"/>
  <c r="Z28" i="116"/>
  <c r="Y28" i="116" s="1"/>
  <c r="AA43" i="116"/>
  <c r="Y74" i="116"/>
  <c r="Z76" i="116"/>
  <c r="X20" i="116"/>
  <c r="Z21" i="116"/>
  <c r="Y22" i="116"/>
  <c r="Y24" i="116"/>
  <c r="AA25" i="116"/>
  <c r="Z27" i="116"/>
  <c r="X29" i="116"/>
  <c r="Y31" i="116"/>
  <c r="X39" i="116"/>
  <c r="X41" i="116"/>
  <c r="Y44" i="116"/>
  <c r="Y46" i="116"/>
  <c r="Y66" i="116"/>
  <c r="X66" i="116" s="1"/>
  <c r="Y68" i="116"/>
  <c r="X69" i="116"/>
  <c r="N72" i="116"/>
  <c r="Y72" i="116"/>
  <c r="Y73" i="116"/>
  <c r="X74" i="116"/>
  <c r="X75" i="116"/>
  <c r="Y76" i="116"/>
  <c r="X76" i="116" s="1"/>
  <c r="AA77" i="116"/>
  <c r="M236" i="116"/>
  <c r="Y20" i="116"/>
  <c r="AA21" i="116"/>
  <c r="Y29" i="116"/>
  <c r="Y33" i="116"/>
  <c r="X33" i="116" s="1"/>
  <c r="Y39" i="116"/>
  <c r="Y41" i="116"/>
  <c r="AA44" i="116"/>
  <c r="Z44" i="116" s="1"/>
  <c r="Z66" i="116"/>
  <c r="Y69" i="116"/>
  <c r="Z75" i="116"/>
  <c r="Y75" i="116" s="1"/>
  <c r="L22" i="116"/>
  <c r="L24" i="116"/>
  <c r="N26" i="116"/>
  <c r="AA26" i="116" s="1"/>
  <c r="Y26" i="116"/>
  <c r="L27" i="116"/>
  <c r="Z29" i="116"/>
  <c r="N30" i="116"/>
  <c r="AA30" i="116" s="1"/>
  <c r="Y30" i="116"/>
  <c r="X30" i="116" s="1"/>
  <c r="L31" i="116"/>
  <c r="N33" i="116"/>
  <c r="AA33" i="116" s="1"/>
  <c r="Y36" i="116"/>
  <c r="X36" i="116" s="1"/>
  <c r="N37" i="116"/>
  <c r="AA37" i="116" s="1"/>
  <c r="Y37" i="116"/>
  <c r="N42" i="116"/>
  <c r="AA42" i="116" s="1"/>
  <c r="Y42" i="116"/>
  <c r="F236" i="116"/>
  <c r="Z69" i="116"/>
  <c r="Y70" i="116"/>
  <c r="Z74" i="116"/>
  <c r="Z19" i="116"/>
  <c r="L20" i="116"/>
  <c r="AA20" i="116"/>
  <c r="N22" i="116"/>
  <c r="AA22" i="116" s="1"/>
  <c r="N24" i="116"/>
  <c r="AA24" i="116" s="1"/>
  <c r="Z25" i="116"/>
  <c r="Z26" i="116"/>
  <c r="N27" i="116"/>
  <c r="AA27" i="116" s="1"/>
  <c r="L28" i="116"/>
  <c r="Z30" i="116"/>
  <c r="N31" i="116"/>
  <c r="AA31" i="116" s="1"/>
  <c r="N35" i="116"/>
  <c r="AA35" i="116" s="1"/>
  <c r="Y35" i="116"/>
  <c r="N36" i="116"/>
  <c r="AA36" i="116" s="1"/>
  <c r="N38" i="116"/>
  <c r="AA38" i="116" s="1"/>
  <c r="Y38" i="116"/>
  <c r="AA39" i="116"/>
  <c r="AA40" i="116"/>
  <c r="Z40" i="116" s="1"/>
  <c r="N45" i="116"/>
  <c r="AA45" i="116" s="1"/>
  <c r="Y45" i="116"/>
  <c r="X46" i="116"/>
  <c r="A69" i="116"/>
  <c r="A70" i="116" s="1"/>
  <c r="A71" i="116" s="1"/>
  <c r="A72" i="116" s="1"/>
  <c r="A73" i="116" s="1"/>
  <c r="A74" i="116" s="1"/>
  <c r="A75" i="116" s="1"/>
  <c r="A76" i="116" s="1"/>
  <c r="A77" i="116" s="1"/>
  <c r="A78" i="116" s="1"/>
  <c r="A79" i="116" s="1"/>
  <c r="A80" i="116" s="1"/>
  <c r="A81" i="116" s="1"/>
  <c r="A82" i="116" s="1"/>
  <c r="A83" i="116" s="1"/>
  <c r="A84" i="116" s="1"/>
  <c r="A85" i="116" s="1"/>
  <c r="A86" i="116" s="1"/>
  <c r="A87" i="116" s="1"/>
  <c r="A88" i="116" s="1"/>
  <c r="A89" i="116" s="1"/>
  <c r="A90" i="116" s="1"/>
  <c r="N71" i="116"/>
  <c r="AA71" i="116" s="1"/>
  <c r="Y71" i="116"/>
  <c r="X72" i="116"/>
  <c r="N73" i="116"/>
  <c r="AA73" i="116" s="1"/>
  <c r="Y78" i="116"/>
  <c r="X78" i="116" s="1"/>
  <c r="M18" i="116"/>
  <c r="Z18" i="116" s="1"/>
  <c r="F18" i="116"/>
  <c r="L18" i="116" s="1"/>
  <c r="AF17" i="116"/>
  <c r="AE17" i="116"/>
  <c r="AD17" i="116"/>
  <c r="AC17" i="116"/>
  <c r="W17" i="116"/>
  <c r="V17" i="116"/>
  <c r="U17" i="116"/>
  <c r="M17" i="116"/>
  <c r="K17" i="116"/>
  <c r="F17" i="116"/>
  <c r="AF16" i="116"/>
  <c r="AE16" i="116"/>
  <c r="AD16" i="116"/>
  <c r="AC16" i="116"/>
  <c r="W16" i="116"/>
  <c r="V16" i="116"/>
  <c r="U16" i="116"/>
  <c r="X16" i="116" s="1"/>
  <c r="M16" i="116"/>
  <c r="K16" i="116"/>
  <c r="F16" i="116"/>
  <c r="L16" i="116" s="1"/>
  <c r="AF15" i="116"/>
  <c r="AE15" i="116"/>
  <c r="AD15" i="116"/>
  <c r="AC15" i="116"/>
  <c r="W15" i="116"/>
  <c r="V15" i="116"/>
  <c r="U15" i="116"/>
  <c r="X15" i="116" s="1"/>
  <c r="M15" i="116"/>
  <c r="K15" i="116"/>
  <c r="F15" i="116"/>
  <c r="N15" i="116" s="1"/>
  <c r="AF14" i="116"/>
  <c r="AE14" i="116"/>
  <c r="AD14" i="116"/>
  <c r="AC14" i="116"/>
  <c r="W14" i="116"/>
  <c r="V14" i="116"/>
  <c r="U14" i="116"/>
  <c r="M14" i="116"/>
  <c r="K14" i="116"/>
  <c r="F14" i="116"/>
  <c r="L14" i="116" s="1"/>
  <c r="A14" i="116"/>
  <c r="A15" i="116" s="1"/>
  <c r="AF13" i="116"/>
  <c r="AE13" i="116"/>
  <c r="AD13" i="116"/>
  <c r="AC13" i="116"/>
  <c r="W13" i="116"/>
  <c r="V13" i="116"/>
  <c r="U13" i="116"/>
  <c r="M13" i="116"/>
  <c r="K13" i="116"/>
  <c r="F13" i="116"/>
  <c r="E5" i="116"/>
  <c r="A2" i="116"/>
  <c r="D103" i="110"/>
  <c r="T102" i="110"/>
  <c r="S102" i="110"/>
  <c r="R102" i="110"/>
  <c r="Q102" i="110"/>
  <c r="P102" i="110"/>
  <c r="O102" i="110"/>
  <c r="E102" i="110"/>
  <c r="D102" i="110"/>
  <c r="AF100" i="110"/>
  <c r="AE100" i="110"/>
  <c r="AD100" i="110"/>
  <c r="AC100" i="110"/>
  <c r="W100" i="110"/>
  <c r="V100" i="110"/>
  <c r="U100" i="110"/>
  <c r="M100" i="110"/>
  <c r="F100" i="110"/>
  <c r="N100" i="110" s="1"/>
  <c r="AF99" i="110"/>
  <c r="AE99" i="110"/>
  <c r="AD99" i="110"/>
  <c r="AC99" i="110"/>
  <c r="W99" i="110"/>
  <c r="V99" i="110"/>
  <c r="U99" i="110"/>
  <c r="X99" i="110" s="1"/>
  <c r="M99" i="110"/>
  <c r="F99" i="110"/>
  <c r="N99" i="110" s="1"/>
  <c r="AF98" i="110"/>
  <c r="AE98" i="110"/>
  <c r="AD98" i="110"/>
  <c r="AC98" i="110"/>
  <c r="W98" i="110"/>
  <c r="V98" i="110"/>
  <c r="U98" i="110"/>
  <c r="M98" i="110"/>
  <c r="F98" i="110"/>
  <c r="N98" i="110" s="1"/>
  <c r="AF97" i="110"/>
  <c r="AE97" i="110"/>
  <c r="AD97" i="110"/>
  <c r="AC97" i="110"/>
  <c r="W97" i="110"/>
  <c r="V97" i="110"/>
  <c r="U97" i="110"/>
  <c r="M97" i="110"/>
  <c r="F97" i="110"/>
  <c r="AF96" i="110"/>
  <c r="AE96" i="110"/>
  <c r="AD96" i="110"/>
  <c r="AC96" i="110"/>
  <c r="W96" i="110"/>
  <c r="V96" i="110"/>
  <c r="U96" i="110"/>
  <c r="M96" i="110"/>
  <c r="F96" i="110"/>
  <c r="N96" i="110" s="1"/>
  <c r="AF95" i="110"/>
  <c r="AE95" i="110"/>
  <c r="AD95" i="110"/>
  <c r="AC95" i="110"/>
  <c r="W95" i="110"/>
  <c r="V95" i="110"/>
  <c r="U95" i="110"/>
  <c r="M95" i="110"/>
  <c r="F95" i="110"/>
  <c r="AF94" i="110"/>
  <c r="AE94" i="110"/>
  <c r="AD94" i="110"/>
  <c r="AC94" i="110"/>
  <c r="W94" i="110"/>
  <c r="V94" i="110"/>
  <c r="U94" i="110"/>
  <c r="M94" i="110"/>
  <c r="F94" i="110"/>
  <c r="N94" i="110" s="1"/>
  <c r="AF93" i="110"/>
  <c r="AE93" i="110"/>
  <c r="AD93" i="110"/>
  <c r="AC93" i="110"/>
  <c r="W93" i="110"/>
  <c r="V93" i="110"/>
  <c r="U93" i="110"/>
  <c r="X93" i="110" s="1"/>
  <c r="M93" i="110"/>
  <c r="F93" i="110"/>
  <c r="N93" i="110" s="1"/>
  <c r="AF92" i="110"/>
  <c r="AE92" i="110"/>
  <c r="AD92" i="110"/>
  <c r="AC92" i="110"/>
  <c r="W92" i="110"/>
  <c r="V92" i="110"/>
  <c r="U92" i="110"/>
  <c r="M92" i="110"/>
  <c r="F92" i="110"/>
  <c r="N92" i="110" s="1"/>
  <c r="AF91" i="110"/>
  <c r="AE91" i="110"/>
  <c r="AD91" i="110"/>
  <c r="AC91" i="110"/>
  <c r="W91" i="110"/>
  <c r="V91" i="110"/>
  <c r="U91" i="110"/>
  <c r="X91" i="110" s="1"/>
  <c r="M91" i="110"/>
  <c r="F91" i="110"/>
  <c r="N91" i="110" s="1"/>
  <c r="AF90" i="110"/>
  <c r="AE90" i="110"/>
  <c r="AD90" i="110"/>
  <c r="AC90" i="110"/>
  <c r="W90" i="110"/>
  <c r="V90" i="110"/>
  <c r="U90" i="110"/>
  <c r="M90" i="110"/>
  <c r="F90" i="110"/>
  <c r="N90" i="110" s="1"/>
  <c r="AF89" i="110"/>
  <c r="AE89" i="110"/>
  <c r="AD89" i="110"/>
  <c r="AC89" i="110"/>
  <c r="W89" i="110"/>
  <c r="V89" i="110"/>
  <c r="U89" i="110"/>
  <c r="M89" i="110"/>
  <c r="F89" i="110"/>
  <c r="AF88" i="110"/>
  <c r="AE88" i="110"/>
  <c r="AD88" i="110"/>
  <c r="AC88" i="110"/>
  <c r="W88" i="110"/>
  <c r="V88" i="110"/>
  <c r="U88" i="110"/>
  <c r="M88" i="110"/>
  <c r="F88" i="110"/>
  <c r="N88" i="110" s="1"/>
  <c r="AF87" i="110"/>
  <c r="AE87" i="110"/>
  <c r="AD87" i="110"/>
  <c r="AC87" i="110"/>
  <c r="W87" i="110"/>
  <c r="V87" i="110"/>
  <c r="U87" i="110"/>
  <c r="M87" i="110"/>
  <c r="F87" i="110"/>
  <c r="AF86" i="110"/>
  <c r="AE86" i="110"/>
  <c r="AD86" i="110"/>
  <c r="AC86" i="110"/>
  <c r="W86" i="110"/>
  <c r="V86" i="110"/>
  <c r="U86" i="110"/>
  <c r="M86" i="110"/>
  <c r="F86" i="110"/>
  <c r="N86" i="110" s="1"/>
  <c r="AF85" i="110"/>
  <c r="AE85" i="110"/>
  <c r="AD85" i="110"/>
  <c r="AC85" i="110"/>
  <c r="W85" i="110"/>
  <c r="V85" i="110"/>
  <c r="U85" i="110"/>
  <c r="M85" i="110"/>
  <c r="F85" i="110"/>
  <c r="N85" i="110" s="1"/>
  <c r="AF84" i="110"/>
  <c r="AE84" i="110"/>
  <c r="AD84" i="110"/>
  <c r="AC84" i="110"/>
  <c r="W84" i="110"/>
  <c r="V84" i="110"/>
  <c r="U84" i="110"/>
  <c r="M84" i="110"/>
  <c r="F84" i="110"/>
  <c r="N84" i="110" s="1"/>
  <c r="AF83" i="110"/>
  <c r="AE83" i="110"/>
  <c r="AD83" i="110"/>
  <c r="AC83" i="110"/>
  <c r="W83" i="110"/>
  <c r="V83" i="110"/>
  <c r="U83" i="110"/>
  <c r="M83" i="110"/>
  <c r="F83" i="110"/>
  <c r="N83" i="110" s="1"/>
  <c r="AF82" i="110"/>
  <c r="AE82" i="110"/>
  <c r="AD82" i="110"/>
  <c r="AC82" i="110"/>
  <c r="W82" i="110"/>
  <c r="V82" i="110"/>
  <c r="U82" i="110"/>
  <c r="M82" i="110"/>
  <c r="F82" i="110"/>
  <c r="N82" i="110" s="1"/>
  <c r="AF81" i="110"/>
  <c r="AE81" i="110"/>
  <c r="AD81" i="110"/>
  <c r="AC81" i="110"/>
  <c r="W81" i="110"/>
  <c r="V81" i="110"/>
  <c r="U81" i="110"/>
  <c r="X81" i="110" s="1"/>
  <c r="M81" i="110"/>
  <c r="F81" i="110"/>
  <c r="AF80" i="110"/>
  <c r="AE80" i="110"/>
  <c r="AD80" i="110"/>
  <c r="AC80" i="110"/>
  <c r="W80" i="110"/>
  <c r="V80" i="110"/>
  <c r="U80" i="110"/>
  <c r="M80" i="110"/>
  <c r="F80" i="110"/>
  <c r="N80" i="110" s="1"/>
  <c r="AF79" i="110"/>
  <c r="AE79" i="110"/>
  <c r="AD79" i="110"/>
  <c r="AC79" i="110"/>
  <c r="W79" i="110"/>
  <c r="V79" i="110"/>
  <c r="U79" i="110"/>
  <c r="M79" i="110"/>
  <c r="F79" i="110"/>
  <c r="AF78" i="110"/>
  <c r="AE78" i="110"/>
  <c r="AD78" i="110"/>
  <c r="AC78" i="110"/>
  <c r="W78" i="110"/>
  <c r="V78" i="110"/>
  <c r="U78" i="110"/>
  <c r="M78" i="110"/>
  <c r="F78" i="110"/>
  <c r="N78" i="110" s="1"/>
  <c r="AF77" i="110"/>
  <c r="AE77" i="110"/>
  <c r="AD77" i="110"/>
  <c r="AC77" i="110"/>
  <c r="W77" i="110"/>
  <c r="V77" i="110"/>
  <c r="U77" i="110"/>
  <c r="X77" i="110" s="1"/>
  <c r="M77" i="110"/>
  <c r="F77" i="110"/>
  <c r="N77" i="110" s="1"/>
  <c r="AF76" i="110"/>
  <c r="AE76" i="110"/>
  <c r="AD76" i="110"/>
  <c r="AC76" i="110"/>
  <c r="W76" i="110"/>
  <c r="V76" i="110"/>
  <c r="U76" i="110"/>
  <c r="M76" i="110"/>
  <c r="F76" i="110"/>
  <c r="N76" i="110" s="1"/>
  <c r="AF75" i="110"/>
  <c r="AE75" i="110"/>
  <c r="AD75" i="110"/>
  <c r="AC75" i="110"/>
  <c r="W75" i="110"/>
  <c r="V75" i="110"/>
  <c r="U75" i="110"/>
  <c r="M75" i="110"/>
  <c r="F75" i="110"/>
  <c r="AF74" i="110"/>
  <c r="AE74" i="110"/>
  <c r="AD74" i="110"/>
  <c r="AC74" i="110"/>
  <c r="W74" i="110"/>
  <c r="V74" i="110"/>
  <c r="U74" i="110"/>
  <c r="M74" i="110"/>
  <c r="F74" i="110"/>
  <c r="AF73" i="110"/>
  <c r="AE73" i="110"/>
  <c r="AD73" i="110"/>
  <c r="AC73" i="110"/>
  <c r="W73" i="110"/>
  <c r="V73" i="110"/>
  <c r="U73" i="110"/>
  <c r="M73" i="110"/>
  <c r="F73" i="110"/>
  <c r="AF72" i="110"/>
  <c r="AE72" i="110"/>
  <c r="AD72" i="110"/>
  <c r="AC72" i="110"/>
  <c r="W72" i="110"/>
  <c r="V72" i="110"/>
  <c r="U72" i="110"/>
  <c r="M72" i="110"/>
  <c r="F72" i="110"/>
  <c r="AF71" i="110"/>
  <c r="AE71" i="110"/>
  <c r="AD71" i="110"/>
  <c r="AC71" i="110"/>
  <c r="W71" i="110"/>
  <c r="V71" i="110"/>
  <c r="U71" i="110"/>
  <c r="X71" i="110" s="1"/>
  <c r="M71" i="110"/>
  <c r="F71" i="110"/>
  <c r="N71" i="110" s="1"/>
  <c r="AF70" i="110"/>
  <c r="AE70" i="110"/>
  <c r="AD70" i="110"/>
  <c r="AC70" i="110"/>
  <c r="W70" i="110"/>
  <c r="V70" i="110"/>
  <c r="U70" i="110"/>
  <c r="X70" i="110" s="1"/>
  <c r="M70" i="110"/>
  <c r="F70" i="110"/>
  <c r="N70" i="110" s="1"/>
  <c r="AF69" i="110"/>
  <c r="AE69" i="110"/>
  <c r="AD69" i="110"/>
  <c r="AC69" i="110"/>
  <c r="W69" i="110"/>
  <c r="V69" i="110"/>
  <c r="U69" i="110"/>
  <c r="M69" i="110"/>
  <c r="F69" i="110"/>
  <c r="AF68" i="110"/>
  <c r="AE68" i="110"/>
  <c r="AD68" i="110"/>
  <c r="AC68" i="110"/>
  <c r="W68" i="110"/>
  <c r="V68" i="110"/>
  <c r="U68" i="110"/>
  <c r="M68" i="110"/>
  <c r="F68" i="110"/>
  <c r="N68" i="110" s="1"/>
  <c r="AF67" i="110"/>
  <c r="AE67" i="110"/>
  <c r="AD67" i="110"/>
  <c r="AC67" i="110"/>
  <c r="W67" i="110"/>
  <c r="V67" i="110"/>
  <c r="U67" i="110"/>
  <c r="M67" i="110"/>
  <c r="F67" i="110"/>
  <c r="AF66" i="110"/>
  <c r="AE66" i="110"/>
  <c r="AD66" i="110"/>
  <c r="AC66" i="110"/>
  <c r="W66" i="110"/>
  <c r="V66" i="110"/>
  <c r="U66" i="110"/>
  <c r="X66" i="110" s="1"/>
  <c r="M66" i="110"/>
  <c r="F66" i="110"/>
  <c r="E49" i="110"/>
  <c r="D49" i="110"/>
  <c r="T48" i="110"/>
  <c r="S48" i="110"/>
  <c r="R48" i="110"/>
  <c r="Q48" i="110"/>
  <c r="P48" i="110"/>
  <c r="O48" i="110"/>
  <c r="E48" i="110"/>
  <c r="D48" i="110"/>
  <c r="AF46" i="110"/>
  <c r="AE46" i="110"/>
  <c r="AD46" i="110"/>
  <c r="AC46" i="110"/>
  <c r="W46" i="110"/>
  <c r="V46" i="110"/>
  <c r="U46" i="110"/>
  <c r="X46" i="110" s="1"/>
  <c r="M46" i="110"/>
  <c r="F46" i="110"/>
  <c r="AF45" i="110"/>
  <c r="AE45" i="110"/>
  <c r="AD45" i="110"/>
  <c r="AC45" i="110"/>
  <c r="W45" i="110"/>
  <c r="V45" i="110"/>
  <c r="U45" i="110"/>
  <c r="M45" i="110"/>
  <c r="F45" i="110"/>
  <c r="AF44" i="110"/>
  <c r="AE44" i="110"/>
  <c r="AD44" i="110"/>
  <c r="AC44" i="110"/>
  <c r="W44" i="110"/>
  <c r="V44" i="110"/>
  <c r="U44" i="110"/>
  <c r="M44" i="110"/>
  <c r="F44" i="110"/>
  <c r="AF43" i="110"/>
  <c r="AE43" i="110"/>
  <c r="AD43" i="110"/>
  <c r="AC43" i="110"/>
  <c r="W43" i="110"/>
  <c r="V43" i="110"/>
  <c r="U43" i="110"/>
  <c r="M43" i="110"/>
  <c r="F43" i="110"/>
  <c r="AF42" i="110"/>
  <c r="AE42" i="110"/>
  <c r="AD42" i="110"/>
  <c r="AC42" i="110"/>
  <c r="W42" i="110"/>
  <c r="V42" i="110"/>
  <c r="U42" i="110"/>
  <c r="M42" i="110"/>
  <c r="F42" i="110"/>
  <c r="AF41" i="110"/>
  <c r="AE41" i="110"/>
  <c r="AD41" i="110"/>
  <c r="AC41" i="110"/>
  <c r="W41" i="110"/>
  <c r="V41" i="110"/>
  <c r="U41" i="110"/>
  <c r="M41" i="110"/>
  <c r="F41" i="110"/>
  <c r="AF40" i="110"/>
  <c r="AE40" i="110"/>
  <c r="AD40" i="110"/>
  <c r="AC40" i="110"/>
  <c r="W40" i="110"/>
  <c r="V40" i="110"/>
  <c r="U40" i="110"/>
  <c r="M40" i="110"/>
  <c r="F40" i="110"/>
  <c r="AF39" i="110"/>
  <c r="AE39" i="110"/>
  <c r="AD39" i="110"/>
  <c r="AC39" i="110"/>
  <c r="W39" i="110"/>
  <c r="V39" i="110"/>
  <c r="U39" i="110"/>
  <c r="M39" i="110"/>
  <c r="F39" i="110"/>
  <c r="AF38" i="110"/>
  <c r="AE38" i="110"/>
  <c r="AD38" i="110"/>
  <c r="AC38" i="110"/>
  <c r="W38" i="110"/>
  <c r="V38" i="110"/>
  <c r="U38" i="110"/>
  <c r="M38" i="110"/>
  <c r="F38" i="110"/>
  <c r="AF37" i="110"/>
  <c r="AE37" i="110"/>
  <c r="AD37" i="110"/>
  <c r="AC37" i="110"/>
  <c r="W37" i="110"/>
  <c r="V37" i="110"/>
  <c r="U37" i="110"/>
  <c r="M37" i="110"/>
  <c r="F37" i="110"/>
  <c r="AF36" i="110"/>
  <c r="AE36" i="110"/>
  <c r="AD36" i="110"/>
  <c r="AC36" i="110"/>
  <c r="W36" i="110"/>
  <c r="V36" i="110"/>
  <c r="U36" i="110"/>
  <c r="M36" i="110"/>
  <c r="F36" i="110"/>
  <c r="AF35" i="110"/>
  <c r="AE35" i="110"/>
  <c r="AD35" i="110"/>
  <c r="AC35" i="110"/>
  <c r="W35" i="110"/>
  <c r="V35" i="110"/>
  <c r="U35" i="110"/>
  <c r="X35" i="110" s="1"/>
  <c r="M35" i="110"/>
  <c r="F35" i="110"/>
  <c r="AF34" i="110"/>
  <c r="AE34" i="110"/>
  <c r="AD34" i="110"/>
  <c r="AC34" i="110"/>
  <c r="W34" i="110"/>
  <c r="V34" i="110"/>
  <c r="U34" i="110"/>
  <c r="M34" i="110"/>
  <c r="F34" i="110"/>
  <c r="AF33" i="110"/>
  <c r="AE33" i="110"/>
  <c r="AD33" i="110"/>
  <c r="AC33" i="110"/>
  <c r="W33" i="110"/>
  <c r="V33" i="110"/>
  <c r="U33" i="110"/>
  <c r="M33" i="110"/>
  <c r="F33" i="110"/>
  <c r="AF32" i="110"/>
  <c r="AE32" i="110"/>
  <c r="AD32" i="110"/>
  <c r="AC32" i="110"/>
  <c r="W32" i="110"/>
  <c r="V32" i="110"/>
  <c r="U32" i="110"/>
  <c r="M32" i="110"/>
  <c r="F32" i="110"/>
  <c r="AF31" i="110"/>
  <c r="AE31" i="110"/>
  <c r="AD31" i="110"/>
  <c r="AC31" i="110"/>
  <c r="W31" i="110"/>
  <c r="V31" i="110"/>
  <c r="U31" i="110"/>
  <c r="M31" i="110"/>
  <c r="F31" i="110"/>
  <c r="AF30" i="110"/>
  <c r="AE30" i="110"/>
  <c r="AD30" i="110"/>
  <c r="AC30" i="110"/>
  <c r="W30" i="110"/>
  <c r="V30" i="110"/>
  <c r="U30" i="110"/>
  <c r="X30" i="110" s="1"/>
  <c r="M30" i="110"/>
  <c r="F30" i="110"/>
  <c r="AF29" i="110"/>
  <c r="AE29" i="110"/>
  <c r="AD29" i="110"/>
  <c r="AC29" i="110"/>
  <c r="W29" i="110"/>
  <c r="V29" i="110"/>
  <c r="U29" i="110"/>
  <c r="M29" i="110"/>
  <c r="F29" i="110"/>
  <c r="AF28" i="110"/>
  <c r="AE28" i="110"/>
  <c r="AD28" i="110"/>
  <c r="AC28" i="110"/>
  <c r="W28" i="110"/>
  <c r="V28" i="110"/>
  <c r="U28" i="110"/>
  <c r="M28" i="110"/>
  <c r="F28" i="110"/>
  <c r="AF27" i="110"/>
  <c r="AE27" i="110"/>
  <c r="AD27" i="110"/>
  <c r="AC27" i="110"/>
  <c r="W27" i="110"/>
  <c r="V27" i="110"/>
  <c r="U27" i="110"/>
  <c r="M27" i="110"/>
  <c r="F27" i="110"/>
  <c r="AF26" i="110"/>
  <c r="AE26" i="110"/>
  <c r="AD26" i="110"/>
  <c r="AC26" i="110"/>
  <c r="W26" i="110"/>
  <c r="V26" i="110"/>
  <c r="U26" i="110"/>
  <c r="M26" i="110"/>
  <c r="F26" i="110"/>
  <c r="AF25" i="110"/>
  <c r="AE25" i="110"/>
  <c r="AD25" i="110"/>
  <c r="AC25" i="110"/>
  <c r="W25" i="110"/>
  <c r="V25" i="110"/>
  <c r="U25" i="110"/>
  <c r="M25" i="110"/>
  <c r="F25" i="110"/>
  <c r="AF24" i="110"/>
  <c r="AE24" i="110"/>
  <c r="AD24" i="110"/>
  <c r="AC24" i="110"/>
  <c r="W24" i="110"/>
  <c r="V24" i="110"/>
  <c r="U24" i="110"/>
  <c r="M24" i="110"/>
  <c r="F24" i="110"/>
  <c r="AF23" i="110"/>
  <c r="AE23" i="110"/>
  <c r="AD23" i="110"/>
  <c r="AC23" i="110"/>
  <c r="W23" i="110"/>
  <c r="V23" i="110"/>
  <c r="U23" i="110"/>
  <c r="M23" i="110"/>
  <c r="F23" i="110"/>
  <c r="AF22" i="110"/>
  <c r="AE22" i="110"/>
  <c r="AD22" i="110"/>
  <c r="AC22" i="110"/>
  <c r="W22" i="110"/>
  <c r="V22" i="110"/>
  <c r="U22" i="110"/>
  <c r="M22" i="110"/>
  <c r="F22" i="110"/>
  <c r="AF21" i="110"/>
  <c r="AE21" i="110"/>
  <c r="AD21" i="110"/>
  <c r="AC21" i="110"/>
  <c r="W21" i="110"/>
  <c r="V21" i="110"/>
  <c r="U21" i="110"/>
  <c r="M21" i="110"/>
  <c r="F21" i="110"/>
  <c r="AF20" i="110"/>
  <c r="AE20" i="110"/>
  <c r="AD20" i="110"/>
  <c r="AC20" i="110"/>
  <c r="W20" i="110"/>
  <c r="V20" i="110"/>
  <c r="U20" i="110"/>
  <c r="M20" i="110"/>
  <c r="F20" i="110"/>
  <c r="N20" i="110" s="1"/>
  <c r="AF19" i="110"/>
  <c r="AE19" i="110"/>
  <c r="AD19" i="110"/>
  <c r="AC19" i="110"/>
  <c r="W19" i="110"/>
  <c r="V19" i="110"/>
  <c r="U19" i="110"/>
  <c r="X19" i="110" s="1"/>
  <c r="M19" i="110"/>
  <c r="F19" i="110"/>
  <c r="N19" i="110" s="1"/>
  <c r="AF18" i="110"/>
  <c r="AE18" i="110"/>
  <c r="AD18" i="110"/>
  <c r="AC18" i="110"/>
  <c r="W18" i="110"/>
  <c r="V18" i="110"/>
  <c r="U18" i="110"/>
  <c r="M18" i="110"/>
  <c r="F18" i="110"/>
  <c r="N18" i="110" s="1"/>
  <c r="AF17" i="110"/>
  <c r="AE17" i="110"/>
  <c r="AD17" i="110"/>
  <c r="AC17" i="110"/>
  <c r="W17" i="110"/>
  <c r="V17" i="110"/>
  <c r="U17" i="110"/>
  <c r="X17" i="110" s="1"/>
  <c r="M17" i="110"/>
  <c r="F17" i="110"/>
  <c r="N17" i="110" s="1"/>
  <c r="AF16" i="110"/>
  <c r="AE16" i="110"/>
  <c r="AD16" i="110"/>
  <c r="AC16" i="110"/>
  <c r="W16" i="110"/>
  <c r="V16" i="110"/>
  <c r="U16" i="110"/>
  <c r="M16" i="110"/>
  <c r="F16" i="110"/>
  <c r="AF15" i="110"/>
  <c r="AE15" i="110"/>
  <c r="AD15" i="110"/>
  <c r="AC15" i="110"/>
  <c r="W15" i="110"/>
  <c r="V15" i="110"/>
  <c r="U15" i="110"/>
  <c r="X15" i="110" s="1"/>
  <c r="M15" i="110"/>
  <c r="F15" i="110"/>
  <c r="N15" i="110" s="1"/>
  <c r="AF14" i="110"/>
  <c r="AE14" i="110"/>
  <c r="AD14" i="110"/>
  <c r="AC14" i="110"/>
  <c r="W14" i="110"/>
  <c r="V14" i="110"/>
  <c r="U14" i="110"/>
  <c r="M14" i="110"/>
  <c r="F14" i="110"/>
  <c r="N14" i="110" s="1"/>
  <c r="AF13" i="110"/>
  <c r="AE13" i="110"/>
  <c r="AD13" i="110"/>
  <c r="AC13" i="110"/>
  <c r="W13" i="110"/>
  <c r="V13" i="110"/>
  <c r="U13" i="110"/>
  <c r="M13" i="110"/>
  <c r="F13" i="110"/>
  <c r="N13" i="110" s="1"/>
  <c r="E5" i="110"/>
  <c r="E58" i="110" s="1"/>
  <c r="A2" i="110"/>
  <c r="D103" i="109"/>
  <c r="T102" i="109"/>
  <c r="S102" i="109"/>
  <c r="R102" i="109"/>
  <c r="Q102" i="109"/>
  <c r="P102" i="109"/>
  <c r="O102" i="109"/>
  <c r="E102" i="109"/>
  <c r="D102" i="109"/>
  <c r="AF100" i="109"/>
  <c r="AE100" i="109"/>
  <c r="AD100" i="109"/>
  <c r="AC100" i="109"/>
  <c r="W100" i="109"/>
  <c r="V100" i="109"/>
  <c r="U100" i="109"/>
  <c r="M100" i="109"/>
  <c r="F100" i="109"/>
  <c r="N100" i="109" s="1"/>
  <c r="AF99" i="109"/>
  <c r="AE99" i="109"/>
  <c r="AD99" i="109"/>
  <c r="AC99" i="109"/>
  <c r="W99" i="109"/>
  <c r="V99" i="109"/>
  <c r="U99" i="109"/>
  <c r="M99" i="109"/>
  <c r="F99" i="109"/>
  <c r="AF98" i="109"/>
  <c r="AE98" i="109"/>
  <c r="AD98" i="109"/>
  <c r="AC98" i="109"/>
  <c r="W98" i="109"/>
  <c r="V98" i="109"/>
  <c r="U98" i="109"/>
  <c r="M98" i="109"/>
  <c r="F98" i="109"/>
  <c r="N98" i="109" s="1"/>
  <c r="AF97" i="109"/>
  <c r="AE97" i="109"/>
  <c r="AD97" i="109"/>
  <c r="AC97" i="109"/>
  <c r="W97" i="109"/>
  <c r="V97" i="109"/>
  <c r="U97" i="109"/>
  <c r="M97" i="109"/>
  <c r="F97" i="109"/>
  <c r="AF96" i="109"/>
  <c r="AE96" i="109"/>
  <c r="AD96" i="109"/>
  <c r="AC96" i="109"/>
  <c r="W96" i="109"/>
  <c r="V96" i="109"/>
  <c r="U96" i="109"/>
  <c r="M96" i="109"/>
  <c r="F96" i="109"/>
  <c r="N96" i="109" s="1"/>
  <c r="AF95" i="109"/>
  <c r="AE95" i="109"/>
  <c r="AD95" i="109"/>
  <c r="AC95" i="109"/>
  <c r="W95" i="109"/>
  <c r="V95" i="109"/>
  <c r="U95" i="109"/>
  <c r="M95" i="109"/>
  <c r="F95" i="109"/>
  <c r="AF94" i="109"/>
  <c r="AE94" i="109"/>
  <c r="AD94" i="109"/>
  <c r="AC94" i="109"/>
  <c r="W94" i="109"/>
  <c r="V94" i="109"/>
  <c r="U94" i="109"/>
  <c r="M94" i="109"/>
  <c r="F94" i="109"/>
  <c r="N94" i="109" s="1"/>
  <c r="AF93" i="109"/>
  <c r="AE93" i="109"/>
  <c r="AD93" i="109"/>
  <c r="AC93" i="109"/>
  <c r="W93" i="109"/>
  <c r="V93" i="109"/>
  <c r="U93" i="109"/>
  <c r="X93" i="109" s="1"/>
  <c r="M93" i="109"/>
  <c r="F93" i="109"/>
  <c r="AF92" i="109"/>
  <c r="AE92" i="109"/>
  <c r="AD92" i="109"/>
  <c r="AC92" i="109"/>
  <c r="W92" i="109"/>
  <c r="V92" i="109"/>
  <c r="U92" i="109"/>
  <c r="M92" i="109"/>
  <c r="F92" i="109"/>
  <c r="N92" i="109" s="1"/>
  <c r="AF91" i="109"/>
  <c r="AE91" i="109"/>
  <c r="AD91" i="109"/>
  <c r="AC91" i="109"/>
  <c r="W91" i="109"/>
  <c r="V91" i="109"/>
  <c r="U91" i="109"/>
  <c r="M91" i="109"/>
  <c r="F91" i="109"/>
  <c r="AF90" i="109"/>
  <c r="AE90" i="109"/>
  <c r="AD90" i="109"/>
  <c r="AC90" i="109"/>
  <c r="W90" i="109"/>
  <c r="V90" i="109"/>
  <c r="U90" i="109"/>
  <c r="M90" i="109"/>
  <c r="F90" i="109"/>
  <c r="N90" i="109" s="1"/>
  <c r="AF89" i="109"/>
  <c r="AE89" i="109"/>
  <c r="AD89" i="109"/>
  <c r="AC89" i="109"/>
  <c r="W89" i="109"/>
  <c r="V89" i="109"/>
  <c r="U89" i="109"/>
  <c r="M89" i="109"/>
  <c r="F89" i="109"/>
  <c r="AF88" i="109"/>
  <c r="AE88" i="109"/>
  <c r="AD88" i="109"/>
  <c r="AC88" i="109"/>
  <c r="W88" i="109"/>
  <c r="V88" i="109"/>
  <c r="U88" i="109"/>
  <c r="M88" i="109"/>
  <c r="F88" i="109"/>
  <c r="N88" i="109" s="1"/>
  <c r="AF87" i="109"/>
  <c r="AE87" i="109"/>
  <c r="AD87" i="109"/>
  <c r="AC87" i="109"/>
  <c r="W87" i="109"/>
  <c r="V87" i="109"/>
  <c r="U87" i="109"/>
  <c r="M87" i="109"/>
  <c r="F87" i="109"/>
  <c r="AF86" i="109"/>
  <c r="AE86" i="109"/>
  <c r="AD86" i="109"/>
  <c r="AC86" i="109"/>
  <c r="W86" i="109"/>
  <c r="V86" i="109"/>
  <c r="U86" i="109"/>
  <c r="M86" i="109"/>
  <c r="F86" i="109"/>
  <c r="N86" i="109" s="1"/>
  <c r="AF85" i="109"/>
  <c r="AE85" i="109"/>
  <c r="AD85" i="109"/>
  <c r="AC85" i="109"/>
  <c r="W85" i="109"/>
  <c r="V85" i="109"/>
  <c r="U85" i="109"/>
  <c r="X85" i="109" s="1"/>
  <c r="M85" i="109"/>
  <c r="F85" i="109"/>
  <c r="AF84" i="109"/>
  <c r="AE84" i="109"/>
  <c r="AD84" i="109"/>
  <c r="AC84" i="109"/>
  <c r="W84" i="109"/>
  <c r="V84" i="109"/>
  <c r="U84" i="109"/>
  <c r="M84" i="109"/>
  <c r="F84" i="109"/>
  <c r="N84" i="109" s="1"/>
  <c r="AF83" i="109"/>
  <c r="AE83" i="109"/>
  <c r="AD83" i="109"/>
  <c r="AC83" i="109"/>
  <c r="W83" i="109"/>
  <c r="V83" i="109"/>
  <c r="U83" i="109"/>
  <c r="M83" i="109"/>
  <c r="F83" i="109"/>
  <c r="AF82" i="109"/>
  <c r="AE82" i="109"/>
  <c r="AD82" i="109"/>
  <c r="AC82" i="109"/>
  <c r="W82" i="109"/>
  <c r="V82" i="109"/>
  <c r="U82" i="109"/>
  <c r="M82" i="109"/>
  <c r="F82" i="109"/>
  <c r="N82" i="109" s="1"/>
  <c r="AF81" i="109"/>
  <c r="AE81" i="109"/>
  <c r="AD81" i="109"/>
  <c r="AC81" i="109"/>
  <c r="W81" i="109"/>
  <c r="V81" i="109"/>
  <c r="U81" i="109"/>
  <c r="M81" i="109"/>
  <c r="F81" i="109"/>
  <c r="AF80" i="109"/>
  <c r="AE80" i="109"/>
  <c r="AD80" i="109"/>
  <c r="AC80" i="109"/>
  <c r="W80" i="109"/>
  <c r="V80" i="109"/>
  <c r="U80" i="109"/>
  <c r="M80" i="109"/>
  <c r="F80" i="109"/>
  <c r="N80" i="109" s="1"/>
  <c r="AF79" i="109"/>
  <c r="AE79" i="109"/>
  <c r="AD79" i="109"/>
  <c r="AC79" i="109"/>
  <c r="W79" i="109"/>
  <c r="V79" i="109"/>
  <c r="U79" i="109"/>
  <c r="M79" i="109"/>
  <c r="F79" i="109"/>
  <c r="AF78" i="109"/>
  <c r="AE78" i="109"/>
  <c r="AD78" i="109"/>
  <c r="AC78" i="109"/>
  <c r="W78" i="109"/>
  <c r="V78" i="109"/>
  <c r="U78" i="109"/>
  <c r="M78" i="109"/>
  <c r="F78" i="109"/>
  <c r="N78" i="109" s="1"/>
  <c r="AF77" i="109"/>
  <c r="AE77" i="109"/>
  <c r="AD77" i="109"/>
  <c r="AC77" i="109"/>
  <c r="W77" i="109"/>
  <c r="V77" i="109"/>
  <c r="U77" i="109"/>
  <c r="M77" i="109"/>
  <c r="F77" i="109"/>
  <c r="AF76" i="109"/>
  <c r="AE76" i="109"/>
  <c r="AD76" i="109"/>
  <c r="AC76" i="109"/>
  <c r="W76" i="109"/>
  <c r="V76" i="109"/>
  <c r="U76" i="109"/>
  <c r="M76" i="109"/>
  <c r="F76" i="109"/>
  <c r="N76" i="109" s="1"/>
  <c r="AF75" i="109"/>
  <c r="AE75" i="109"/>
  <c r="AD75" i="109"/>
  <c r="AC75" i="109"/>
  <c r="W75" i="109"/>
  <c r="V75" i="109"/>
  <c r="U75" i="109"/>
  <c r="M75" i="109"/>
  <c r="F75" i="109"/>
  <c r="AF74" i="109"/>
  <c r="AE74" i="109"/>
  <c r="AD74" i="109"/>
  <c r="AC74" i="109"/>
  <c r="W74" i="109"/>
  <c r="V74" i="109"/>
  <c r="U74" i="109"/>
  <c r="M74" i="109"/>
  <c r="F74" i="109"/>
  <c r="N74" i="109" s="1"/>
  <c r="AF73" i="109"/>
  <c r="AE73" i="109"/>
  <c r="AD73" i="109"/>
  <c r="AC73" i="109"/>
  <c r="W73" i="109"/>
  <c r="V73" i="109"/>
  <c r="U73" i="109"/>
  <c r="M73" i="109"/>
  <c r="F73" i="109"/>
  <c r="AF72" i="109"/>
  <c r="AE72" i="109"/>
  <c r="AD72" i="109"/>
  <c r="AC72" i="109"/>
  <c r="W72" i="109"/>
  <c r="V72" i="109"/>
  <c r="U72" i="109"/>
  <c r="M72" i="109"/>
  <c r="F72" i="109"/>
  <c r="N72" i="109" s="1"/>
  <c r="AF71" i="109"/>
  <c r="AE71" i="109"/>
  <c r="AD71" i="109"/>
  <c r="AC71" i="109"/>
  <c r="W71" i="109"/>
  <c r="V71" i="109"/>
  <c r="U71" i="109"/>
  <c r="M71" i="109"/>
  <c r="F71" i="109"/>
  <c r="AF70" i="109"/>
  <c r="AE70" i="109"/>
  <c r="AD70" i="109"/>
  <c r="AC70" i="109"/>
  <c r="W70" i="109"/>
  <c r="V70" i="109"/>
  <c r="U70" i="109"/>
  <c r="M70" i="109"/>
  <c r="F70" i="109"/>
  <c r="N70" i="109" s="1"/>
  <c r="AF69" i="109"/>
  <c r="AE69" i="109"/>
  <c r="AD69" i="109"/>
  <c r="AC69" i="109"/>
  <c r="W69" i="109"/>
  <c r="V69" i="109"/>
  <c r="U69" i="109"/>
  <c r="M69" i="109"/>
  <c r="F69" i="109"/>
  <c r="N69" i="109" s="1"/>
  <c r="AF68" i="109"/>
  <c r="AE68" i="109"/>
  <c r="AD68" i="109"/>
  <c r="AC68" i="109"/>
  <c r="W68" i="109"/>
  <c r="V68" i="109"/>
  <c r="U68" i="109"/>
  <c r="M68" i="109"/>
  <c r="F68" i="109"/>
  <c r="AF67" i="109"/>
  <c r="AE67" i="109"/>
  <c r="AD67" i="109"/>
  <c r="AC67" i="109"/>
  <c r="W67" i="109"/>
  <c r="V67" i="109"/>
  <c r="U67" i="109"/>
  <c r="X67" i="109" s="1"/>
  <c r="M67" i="109"/>
  <c r="F67" i="109"/>
  <c r="N67" i="109" s="1"/>
  <c r="AF66" i="109"/>
  <c r="AE66" i="109"/>
  <c r="AD66" i="109"/>
  <c r="AC66" i="109"/>
  <c r="W66" i="109"/>
  <c r="V66" i="109"/>
  <c r="U66" i="109"/>
  <c r="M66" i="109"/>
  <c r="F66" i="109"/>
  <c r="N66" i="109" s="1"/>
  <c r="E49" i="109"/>
  <c r="D49" i="109"/>
  <c r="T48" i="109"/>
  <c r="S48" i="109"/>
  <c r="R48" i="109"/>
  <c r="Q48" i="109"/>
  <c r="P48" i="109"/>
  <c r="O48" i="109"/>
  <c r="E48" i="109"/>
  <c r="D48" i="109"/>
  <c r="AF46" i="109"/>
  <c r="AE46" i="109"/>
  <c r="AD46" i="109"/>
  <c r="AC46" i="109"/>
  <c r="W46" i="109"/>
  <c r="V46" i="109"/>
  <c r="U46" i="109"/>
  <c r="M46" i="109"/>
  <c r="F46" i="109"/>
  <c r="AF45" i="109"/>
  <c r="AE45" i="109"/>
  <c r="AD45" i="109"/>
  <c r="AC45" i="109"/>
  <c r="W45" i="109"/>
  <c r="V45" i="109"/>
  <c r="U45" i="109"/>
  <c r="M45" i="109"/>
  <c r="F45" i="109"/>
  <c r="N45" i="109" s="1"/>
  <c r="AF44" i="109"/>
  <c r="AE44" i="109"/>
  <c r="AD44" i="109"/>
  <c r="AC44" i="109"/>
  <c r="W44" i="109"/>
  <c r="V44" i="109"/>
  <c r="U44" i="109"/>
  <c r="M44" i="109"/>
  <c r="F44" i="109"/>
  <c r="N44" i="109" s="1"/>
  <c r="AF43" i="109"/>
  <c r="AE43" i="109"/>
  <c r="AD43" i="109"/>
  <c r="AC43" i="109"/>
  <c r="W43" i="109"/>
  <c r="V43" i="109"/>
  <c r="U43" i="109"/>
  <c r="M43" i="109"/>
  <c r="F43" i="109"/>
  <c r="AF42" i="109"/>
  <c r="AE42" i="109"/>
  <c r="AD42" i="109"/>
  <c r="AC42" i="109"/>
  <c r="W42" i="109"/>
  <c r="V42" i="109"/>
  <c r="U42" i="109"/>
  <c r="M42" i="109"/>
  <c r="F42" i="109"/>
  <c r="AF41" i="109"/>
  <c r="AE41" i="109"/>
  <c r="AD41" i="109"/>
  <c r="AC41" i="109"/>
  <c r="W41" i="109"/>
  <c r="V41" i="109"/>
  <c r="U41" i="109"/>
  <c r="M41" i="109"/>
  <c r="F41" i="109"/>
  <c r="N41" i="109" s="1"/>
  <c r="AF40" i="109"/>
  <c r="AE40" i="109"/>
  <c r="AD40" i="109"/>
  <c r="AC40" i="109"/>
  <c r="W40" i="109"/>
  <c r="V40" i="109"/>
  <c r="U40" i="109"/>
  <c r="M40" i="109"/>
  <c r="F40" i="109"/>
  <c r="N40" i="109" s="1"/>
  <c r="AF39" i="109"/>
  <c r="AE39" i="109"/>
  <c r="AD39" i="109"/>
  <c r="AC39" i="109"/>
  <c r="W39" i="109"/>
  <c r="V39" i="109"/>
  <c r="U39" i="109"/>
  <c r="X39" i="109" s="1"/>
  <c r="M39" i="109"/>
  <c r="F39" i="109"/>
  <c r="AF38" i="109"/>
  <c r="AE38" i="109"/>
  <c r="AD38" i="109"/>
  <c r="AC38" i="109"/>
  <c r="W38" i="109"/>
  <c r="V38" i="109"/>
  <c r="U38" i="109"/>
  <c r="X38" i="109" s="1"/>
  <c r="M38" i="109"/>
  <c r="F38" i="109"/>
  <c r="AF37" i="109"/>
  <c r="AE37" i="109"/>
  <c r="AD37" i="109"/>
  <c r="AC37" i="109"/>
  <c r="W37" i="109"/>
  <c r="V37" i="109"/>
  <c r="U37" i="109"/>
  <c r="M37" i="109"/>
  <c r="F37" i="109"/>
  <c r="N37" i="109" s="1"/>
  <c r="AF36" i="109"/>
  <c r="AE36" i="109"/>
  <c r="AD36" i="109"/>
  <c r="AC36" i="109"/>
  <c r="W36" i="109"/>
  <c r="V36" i="109"/>
  <c r="U36" i="109"/>
  <c r="M36" i="109"/>
  <c r="F36" i="109"/>
  <c r="N36" i="109" s="1"/>
  <c r="AF35" i="109"/>
  <c r="AE35" i="109"/>
  <c r="AD35" i="109"/>
  <c r="AC35" i="109"/>
  <c r="W35" i="109"/>
  <c r="V35" i="109"/>
  <c r="U35" i="109"/>
  <c r="M35" i="109"/>
  <c r="F35" i="109"/>
  <c r="AF34" i="109"/>
  <c r="AE34" i="109"/>
  <c r="AD34" i="109"/>
  <c r="AC34" i="109"/>
  <c r="W34" i="109"/>
  <c r="V34" i="109"/>
  <c r="U34" i="109"/>
  <c r="M34" i="109"/>
  <c r="F34" i="109"/>
  <c r="AF33" i="109"/>
  <c r="AE33" i="109"/>
  <c r="AD33" i="109"/>
  <c r="AC33" i="109"/>
  <c r="W33" i="109"/>
  <c r="V33" i="109"/>
  <c r="U33" i="109"/>
  <c r="M33" i="109"/>
  <c r="F33" i="109"/>
  <c r="N33" i="109" s="1"/>
  <c r="AF32" i="109"/>
  <c r="AE32" i="109"/>
  <c r="AD32" i="109"/>
  <c r="AC32" i="109"/>
  <c r="W32" i="109"/>
  <c r="V32" i="109"/>
  <c r="U32" i="109"/>
  <c r="M32" i="109"/>
  <c r="F32" i="109"/>
  <c r="N32" i="109" s="1"/>
  <c r="AF31" i="109"/>
  <c r="AE31" i="109"/>
  <c r="AD31" i="109"/>
  <c r="AC31" i="109"/>
  <c r="W31" i="109"/>
  <c r="V31" i="109"/>
  <c r="U31" i="109"/>
  <c r="M31" i="109"/>
  <c r="F31" i="109"/>
  <c r="AF30" i="109"/>
  <c r="AE30" i="109"/>
  <c r="AD30" i="109"/>
  <c r="AC30" i="109"/>
  <c r="W30" i="109"/>
  <c r="V30" i="109"/>
  <c r="U30" i="109"/>
  <c r="M30" i="109"/>
  <c r="F30" i="109"/>
  <c r="AF29" i="109"/>
  <c r="AE29" i="109"/>
  <c r="AD29" i="109"/>
  <c r="AC29" i="109"/>
  <c r="W29" i="109"/>
  <c r="V29" i="109"/>
  <c r="U29" i="109"/>
  <c r="M29" i="109"/>
  <c r="F29" i="109"/>
  <c r="N29" i="109" s="1"/>
  <c r="AF28" i="109"/>
  <c r="AE28" i="109"/>
  <c r="AD28" i="109"/>
  <c r="AC28" i="109"/>
  <c r="W28" i="109"/>
  <c r="V28" i="109"/>
  <c r="U28" i="109"/>
  <c r="M28" i="109"/>
  <c r="F28" i="109"/>
  <c r="N28" i="109" s="1"/>
  <c r="AF27" i="109"/>
  <c r="AE27" i="109"/>
  <c r="AD27" i="109"/>
  <c r="AC27" i="109"/>
  <c r="W27" i="109"/>
  <c r="V27" i="109"/>
  <c r="U27" i="109"/>
  <c r="M27" i="109"/>
  <c r="F27" i="109"/>
  <c r="AF26" i="109"/>
  <c r="AE26" i="109"/>
  <c r="AD26" i="109"/>
  <c r="AC26" i="109"/>
  <c r="W26" i="109"/>
  <c r="V26" i="109"/>
  <c r="U26" i="109"/>
  <c r="M26" i="109"/>
  <c r="F26" i="109"/>
  <c r="AF25" i="109"/>
  <c r="AE25" i="109"/>
  <c r="AD25" i="109"/>
  <c r="AC25" i="109"/>
  <c r="W25" i="109"/>
  <c r="V25" i="109"/>
  <c r="U25" i="109"/>
  <c r="M25" i="109"/>
  <c r="F25" i="109"/>
  <c r="N25" i="109" s="1"/>
  <c r="AF24" i="109"/>
  <c r="AE24" i="109"/>
  <c r="AD24" i="109"/>
  <c r="AC24" i="109"/>
  <c r="W24" i="109"/>
  <c r="V24" i="109"/>
  <c r="U24" i="109"/>
  <c r="M24" i="109"/>
  <c r="F24" i="109"/>
  <c r="N24" i="109" s="1"/>
  <c r="AF23" i="109"/>
  <c r="AE23" i="109"/>
  <c r="AD23" i="109"/>
  <c r="AC23" i="109"/>
  <c r="W23" i="109"/>
  <c r="V23" i="109"/>
  <c r="U23" i="109"/>
  <c r="M23" i="109"/>
  <c r="F23" i="109"/>
  <c r="AF22" i="109"/>
  <c r="AE22" i="109"/>
  <c r="AD22" i="109"/>
  <c r="AC22" i="109"/>
  <c r="W22" i="109"/>
  <c r="V22" i="109"/>
  <c r="U22" i="109"/>
  <c r="M22" i="109"/>
  <c r="F22" i="109"/>
  <c r="AF21" i="109"/>
  <c r="AE21" i="109"/>
  <c r="AD21" i="109"/>
  <c r="AC21" i="109"/>
  <c r="W21" i="109"/>
  <c r="V21" i="109"/>
  <c r="U21" i="109"/>
  <c r="M21" i="109"/>
  <c r="F21" i="109"/>
  <c r="N21" i="109" s="1"/>
  <c r="AF20" i="109"/>
  <c r="AE20" i="109"/>
  <c r="AD20" i="109"/>
  <c r="AC20" i="109"/>
  <c r="W20" i="109"/>
  <c r="V20" i="109"/>
  <c r="U20" i="109"/>
  <c r="M20" i="109"/>
  <c r="F20" i="109"/>
  <c r="N20" i="109" s="1"/>
  <c r="AF19" i="109"/>
  <c r="AE19" i="109"/>
  <c r="AD19" i="109"/>
  <c r="AC19" i="109"/>
  <c r="W19" i="109"/>
  <c r="V19" i="109"/>
  <c r="U19" i="109"/>
  <c r="X19" i="109" s="1"/>
  <c r="M19" i="109"/>
  <c r="F19" i="109"/>
  <c r="AF18" i="109"/>
  <c r="AE18" i="109"/>
  <c r="AD18" i="109"/>
  <c r="AC18" i="109"/>
  <c r="W18" i="109"/>
  <c r="V18" i="109"/>
  <c r="U18" i="109"/>
  <c r="X18" i="109" s="1"/>
  <c r="M18" i="109"/>
  <c r="F18" i="109"/>
  <c r="AF17" i="109"/>
  <c r="AE17" i="109"/>
  <c r="AD17" i="109"/>
  <c r="AC17" i="109"/>
  <c r="W17" i="109"/>
  <c r="V17" i="109"/>
  <c r="U17" i="109"/>
  <c r="M17" i="109"/>
  <c r="F17" i="109"/>
  <c r="N17" i="109" s="1"/>
  <c r="AF16" i="109"/>
  <c r="AE16" i="109"/>
  <c r="AD16" i="109"/>
  <c r="AC16" i="109"/>
  <c r="W16" i="109"/>
  <c r="V16" i="109"/>
  <c r="U16" i="109"/>
  <c r="M16" i="109"/>
  <c r="F16" i="109"/>
  <c r="N16" i="109" s="1"/>
  <c r="AF15" i="109"/>
  <c r="AE15" i="109"/>
  <c r="AD15" i="109"/>
  <c r="AC15" i="109"/>
  <c r="W15" i="109"/>
  <c r="V15" i="109"/>
  <c r="U15" i="109"/>
  <c r="M15" i="109"/>
  <c r="F15" i="109"/>
  <c r="AF14" i="109"/>
  <c r="AE14" i="109"/>
  <c r="AD14" i="109"/>
  <c r="AC14" i="109"/>
  <c r="W14" i="109"/>
  <c r="V14" i="109"/>
  <c r="U14" i="109"/>
  <c r="X14" i="109" s="1"/>
  <c r="M14" i="109"/>
  <c r="F14" i="109"/>
  <c r="AF13" i="109"/>
  <c r="AE13" i="109"/>
  <c r="AD13" i="109"/>
  <c r="AC13" i="109"/>
  <c r="W13" i="109"/>
  <c r="V13" i="109"/>
  <c r="U13" i="109"/>
  <c r="X13" i="109" s="1"/>
  <c r="M13" i="109"/>
  <c r="F13" i="109"/>
  <c r="E5" i="109"/>
  <c r="E58" i="109" s="1"/>
  <c r="A2" i="109"/>
  <c r="D103" i="108"/>
  <c r="T102" i="108"/>
  <c r="S102" i="108"/>
  <c r="R102" i="108"/>
  <c r="Q102" i="108"/>
  <c r="P102" i="108"/>
  <c r="O102" i="108"/>
  <c r="E102" i="108"/>
  <c r="D102" i="108"/>
  <c r="AF100" i="108"/>
  <c r="AE100" i="108"/>
  <c r="AD100" i="108"/>
  <c r="AC100" i="108"/>
  <c r="W100" i="108"/>
  <c r="V100" i="108"/>
  <c r="U100" i="108"/>
  <c r="M100" i="108"/>
  <c r="F100" i="108"/>
  <c r="N100" i="108" s="1"/>
  <c r="AF99" i="108"/>
  <c r="AE99" i="108"/>
  <c r="AD99" i="108"/>
  <c r="AC99" i="108"/>
  <c r="W99" i="108"/>
  <c r="V99" i="108"/>
  <c r="U99" i="108"/>
  <c r="M99" i="108"/>
  <c r="F99" i="108"/>
  <c r="AF98" i="108"/>
  <c r="AE98" i="108"/>
  <c r="AD98" i="108"/>
  <c r="AC98" i="108"/>
  <c r="W98" i="108"/>
  <c r="V98" i="108"/>
  <c r="U98" i="108"/>
  <c r="M98" i="108"/>
  <c r="F98" i="108"/>
  <c r="N98" i="108" s="1"/>
  <c r="AF97" i="108"/>
  <c r="AE97" i="108"/>
  <c r="AD97" i="108"/>
  <c r="AC97" i="108"/>
  <c r="W97" i="108"/>
  <c r="V97" i="108"/>
  <c r="U97" i="108"/>
  <c r="X97" i="108" s="1"/>
  <c r="M97" i="108"/>
  <c r="F97" i="108"/>
  <c r="N97" i="108" s="1"/>
  <c r="AF96" i="108"/>
  <c r="AE96" i="108"/>
  <c r="AD96" i="108"/>
  <c r="AC96" i="108"/>
  <c r="W96" i="108"/>
  <c r="V96" i="108"/>
  <c r="U96" i="108"/>
  <c r="M96" i="108"/>
  <c r="F96" i="108"/>
  <c r="N96" i="108" s="1"/>
  <c r="AF95" i="108"/>
  <c r="AE95" i="108"/>
  <c r="AD95" i="108"/>
  <c r="AC95" i="108"/>
  <c r="W95" i="108"/>
  <c r="V95" i="108"/>
  <c r="U95" i="108"/>
  <c r="X95" i="108" s="1"/>
  <c r="M95" i="108"/>
  <c r="F95" i="108"/>
  <c r="N95" i="108" s="1"/>
  <c r="AF94" i="108"/>
  <c r="AE94" i="108"/>
  <c r="AD94" i="108"/>
  <c r="AC94" i="108"/>
  <c r="W94" i="108"/>
  <c r="V94" i="108"/>
  <c r="U94" i="108"/>
  <c r="X94" i="108" s="1"/>
  <c r="M94" i="108"/>
  <c r="F94" i="108"/>
  <c r="N94" i="108" s="1"/>
  <c r="AF93" i="108"/>
  <c r="AE93" i="108"/>
  <c r="AD93" i="108"/>
  <c r="AC93" i="108"/>
  <c r="W93" i="108"/>
  <c r="V93" i="108"/>
  <c r="U93" i="108"/>
  <c r="M93" i="108"/>
  <c r="F93" i="108"/>
  <c r="AF92" i="108"/>
  <c r="AE92" i="108"/>
  <c r="AD92" i="108"/>
  <c r="AC92" i="108"/>
  <c r="W92" i="108"/>
  <c r="V92" i="108"/>
  <c r="U92" i="108"/>
  <c r="M92" i="108"/>
  <c r="F92" i="108"/>
  <c r="N92" i="108" s="1"/>
  <c r="AF91" i="108"/>
  <c r="AE91" i="108"/>
  <c r="AD91" i="108"/>
  <c r="AC91" i="108"/>
  <c r="W91" i="108"/>
  <c r="V91" i="108"/>
  <c r="U91" i="108"/>
  <c r="M91" i="108"/>
  <c r="F91" i="108"/>
  <c r="AF90" i="108"/>
  <c r="AE90" i="108"/>
  <c r="AD90" i="108"/>
  <c r="AC90" i="108"/>
  <c r="W90" i="108"/>
  <c r="V90" i="108"/>
  <c r="U90" i="108"/>
  <c r="M90" i="108"/>
  <c r="F90" i="108"/>
  <c r="N90" i="108" s="1"/>
  <c r="AF89" i="108"/>
  <c r="AE89" i="108"/>
  <c r="AD89" i="108"/>
  <c r="AC89" i="108"/>
  <c r="W89" i="108"/>
  <c r="V89" i="108"/>
  <c r="U89" i="108"/>
  <c r="X89" i="108" s="1"/>
  <c r="M89" i="108"/>
  <c r="F89" i="108"/>
  <c r="N89" i="108" s="1"/>
  <c r="AF88" i="108"/>
  <c r="AE88" i="108"/>
  <c r="AD88" i="108"/>
  <c r="AC88" i="108"/>
  <c r="W88" i="108"/>
  <c r="V88" i="108"/>
  <c r="U88" i="108"/>
  <c r="M88" i="108"/>
  <c r="F88" i="108"/>
  <c r="N88" i="108" s="1"/>
  <c r="AF87" i="108"/>
  <c r="AE87" i="108"/>
  <c r="AD87" i="108"/>
  <c r="AC87" i="108"/>
  <c r="W87" i="108"/>
  <c r="V87" i="108"/>
  <c r="U87" i="108"/>
  <c r="X87" i="108" s="1"/>
  <c r="M87" i="108"/>
  <c r="F87" i="108"/>
  <c r="N87" i="108" s="1"/>
  <c r="AF86" i="108"/>
  <c r="AE86" i="108"/>
  <c r="AD86" i="108"/>
  <c r="AC86" i="108"/>
  <c r="W86" i="108"/>
  <c r="V86" i="108"/>
  <c r="U86" i="108"/>
  <c r="M86" i="108"/>
  <c r="F86" i="108"/>
  <c r="N86" i="108" s="1"/>
  <c r="AF85" i="108"/>
  <c r="AE85" i="108"/>
  <c r="AD85" i="108"/>
  <c r="AC85" i="108"/>
  <c r="W85" i="108"/>
  <c r="V85" i="108"/>
  <c r="U85" i="108"/>
  <c r="M85" i="108"/>
  <c r="F85" i="108"/>
  <c r="AF84" i="108"/>
  <c r="AE84" i="108"/>
  <c r="AD84" i="108"/>
  <c r="AC84" i="108"/>
  <c r="W84" i="108"/>
  <c r="V84" i="108"/>
  <c r="U84" i="108"/>
  <c r="M84" i="108"/>
  <c r="F84" i="108"/>
  <c r="N84" i="108" s="1"/>
  <c r="AF83" i="108"/>
  <c r="AE83" i="108"/>
  <c r="AD83" i="108"/>
  <c r="AC83" i="108"/>
  <c r="W83" i="108"/>
  <c r="V83" i="108"/>
  <c r="U83" i="108"/>
  <c r="M83" i="108"/>
  <c r="F83" i="108"/>
  <c r="AF82" i="108"/>
  <c r="AE82" i="108"/>
  <c r="AD82" i="108"/>
  <c r="AC82" i="108"/>
  <c r="W82" i="108"/>
  <c r="V82" i="108"/>
  <c r="U82" i="108"/>
  <c r="M82" i="108"/>
  <c r="F82" i="108"/>
  <c r="N82" i="108" s="1"/>
  <c r="AF81" i="108"/>
  <c r="AE81" i="108"/>
  <c r="AD81" i="108"/>
  <c r="AC81" i="108"/>
  <c r="W81" i="108"/>
  <c r="V81" i="108"/>
  <c r="U81" i="108"/>
  <c r="X81" i="108" s="1"/>
  <c r="M81" i="108"/>
  <c r="F81" i="108"/>
  <c r="N81" i="108" s="1"/>
  <c r="AF80" i="108"/>
  <c r="AE80" i="108"/>
  <c r="AD80" i="108"/>
  <c r="AC80" i="108"/>
  <c r="W80" i="108"/>
  <c r="V80" i="108"/>
  <c r="U80" i="108"/>
  <c r="M80" i="108"/>
  <c r="F80" i="108"/>
  <c r="N80" i="108" s="1"/>
  <c r="AF79" i="108"/>
  <c r="AE79" i="108"/>
  <c r="AD79" i="108"/>
  <c r="AC79" i="108"/>
  <c r="W79" i="108"/>
  <c r="V79" i="108"/>
  <c r="U79" i="108"/>
  <c r="X79" i="108" s="1"/>
  <c r="M79" i="108"/>
  <c r="F79" i="108"/>
  <c r="N79" i="108" s="1"/>
  <c r="AF78" i="108"/>
  <c r="AE78" i="108"/>
  <c r="AD78" i="108"/>
  <c r="AC78" i="108"/>
  <c r="W78" i="108"/>
  <c r="V78" i="108"/>
  <c r="U78" i="108"/>
  <c r="M78" i="108"/>
  <c r="F78" i="108"/>
  <c r="N78" i="108" s="1"/>
  <c r="AF77" i="108"/>
  <c r="AE77" i="108"/>
  <c r="AD77" i="108"/>
  <c r="AC77" i="108"/>
  <c r="W77" i="108"/>
  <c r="V77" i="108"/>
  <c r="U77" i="108"/>
  <c r="M77" i="108"/>
  <c r="F77" i="108"/>
  <c r="AF76" i="108"/>
  <c r="AE76" i="108"/>
  <c r="AD76" i="108"/>
  <c r="AC76" i="108"/>
  <c r="W76" i="108"/>
  <c r="V76" i="108"/>
  <c r="U76" i="108"/>
  <c r="X76" i="108" s="1"/>
  <c r="M76" i="108"/>
  <c r="F76" i="108"/>
  <c r="N76" i="108" s="1"/>
  <c r="AF75" i="108"/>
  <c r="AE75" i="108"/>
  <c r="AD75" i="108"/>
  <c r="AC75" i="108"/>
  <c r="W75" i="108"/>
  <c r="V75" i="108"/>
  <c r="U75" i="108"/>
  <c r="X75" i="108" s="1"/>
  <c r="M75" i="108"/>
  <c r="F75" i="108"/>
  <c r="AF74" i="108"/>
  <c r="AE74" i="108"/>
  <c r="AD74" i="108"/>
  <c r="AC74" i="108"/>
  <c r="W74" i="108"/>
  <c r="V74" i="108"/>
  <c r="U74" i="108"/>
  <c r="M74" i="108"/>
  <c r="F74" i="108"/>
  <c r="N74" i="108" s="1"/>
  <c r="AF73" i="108"/>
  <c r="AE73" i="108"/>
  <c r="AD73" i="108"/>
  <c r="AC73" i="108"/>
  <c r="W73" i="108"/>
  <c r="V73" i="108"/>
  <c r="U73" i="108"/>
  <c r="X73" i="108" s="1"/>
  <c r="M73" i="108"/>
  <c r="F73" i="108"/>
  <c r="N73" i="108" s="1"/>
  <c r="AF72" i="108"/>
  <c r="AE72" i="108"/>
  <c r="AD72" i="108"/>
  <c r="AC72" i="108"/>
  <c r="W72" i="108"/>
  <c r="V72" i="108"/>
  <c r="U72" i="108"/>
  <c r="M72" i="108"/>
  <c r="F72" i="108"/>
  <c r="N72" i="108" s="1"/>
  <c r="AF71" i="108"/>
  <c r="AE71" i="108"/>
  <c r="AD71" i="108"/>
  <c r="AC71" i="108"/>
  <c r="W71" i="108"/>
  <c r="V71" i="108"/>
  <c r="U71" i="108"/>
  <c r="X71" i="108" s="1"/>
  <c r="M71" i="108"/>
  <c r="F71" i="108"/>
  <c r="N71" i="108" s="1"/>
  <c r="AF70" i="108"/>
  <c r="AE70" i="108"/>
  <c r="AD70" i="108"/>
  <c r="AC70" i="108"/>
  <c r="W70" i="108"/>
  <c r="V70" i="108"/>
  <c r="U70" i="108"/>
  <c r="M70" i="108"/>
  <c r="F70" i="108"/>
  <c r="N70" i="108" s="1"/>
  <c r="AF69" i="108"/>
  <c r="AE69" i="108"/>
  <c r="AD69" i="108"/>
  <c r="AC69" i="108"/>
  <c r="W69" i="108"/>
  <c r="V69" i="108"/>
  <c r="U69" i="108"/>
  <c r="X69" i="108" s="1"/>
  <c r="M69" i="108"/>
  <c r="F69" i="108"/>
  <c r="N69" i="108" s="1"/>
  <c r="AF68" i="108"/>
  <c r="AE68" i="108"/>
  <c r="AD68" i="108"/>
  <c r="AC68" i="108"/>
  <c r="W68" i="108"/>
  <c r="V68" i="108"/>
  <c r="U68" i="108"/>
  <c r="M68" i="108"/>
  <c r="F68" i="108"/>
  <c r="N68" i="108" s="1"/>
  <c r="AF67" i="108"/>
  <c r="AE67" i="108"/>
  <c r="AD67" i="108"/>
  <c r="AC67" i="108"/>
  <c r="W67" i="108"/>
  <c r="V67" i="108"/>
  <c r="U67" i="108"/>
  <c r="M67" i="108"/>
  <c r="F67" i="108"/>
  <c r="AF66" i="108"/>
  <c r="AE66" i="108"/>
  <c r="AD66" i="108"/>
  <c r="AC66" i="108"/>
  <c r="W66" i="108"/>
  <c r="V66" i="108"/>
  <c r="U66" i="108"/>
  <c r="M66" i="108"/>
  <c r="F66" i="108"/>
  <c r="N66" i="108" s="1"/>
  <c r="E49" i="108"/>
  <c r="D49" i="108"/>
  <c r="T48" i="108"/>
  <c r="S48" i="108"/>
  <c r="R48" i="108"/>
  <c r="Q48" i="108"/>
  <c r="P48" i="108"/>
  <c r="O48" i="108"/>
  <c r="E48" i="108"/>
  <c r="D48" i="108"/>
  <c r="AF46" i="108"/>
  <c r="AE46" i="108"/>
  <c r="AD46" i="108"/>
  <c r="AC46" i="108"/>
  <c r="W46" i="108"/>
  <c r="V46" i="108"/>
  <c r="U46" i="108"/>
  <c r="M46" i="108"/>
  <c r="F46" i="108"/>
  <c r="AF45" i="108"/>
  <c r="AE45" i="108"/>
  <c r="AD45" i="108"/>
  <c r="AC45" i="108"/>
  <c r="W45" i="108"/>
  <c r="V45" i="108"/>
  <c r="U45" i="108"/>
  <c r="M45" i="108"/>
  <c r="F45" i="108"/>
  <c r="N45" i="108" s="1"/>
  <c r="AF44" i="108"/>
  <c r="AE44" i="108"/>
  <c r="AD44" i="108"/>
  <c r="AC44" i="108"/>
  <c r="W44" i="108"/>
  <c r="V44" i="108"/>
  <c r="U44" i="108"/>
  <c r="M44" i="108"/>
  <c r="F44" i="108"/>
  <c r="N44" i="108" s="1"/>
  <c r="AF43" i="108"/>
  <c r="AE43" i="108"/>
  <c r="AD43" i="108"/>
  <c r="AC43" i="108"/>
  <c r="W43" i="108"/>
  <c r="V43" i="108"/>
  <c r="U43" i="108"/>
  <c r="M43" i="108"/>
  <c r="F43" i="108"/>
  <c r="AF42" i="108"/>
  <c r="AE42" i="108"/>
  <c r="AD42" i="108"/>
  <c r="AC42" i="108"/>
  <c r="W42" i="108"/>
  <c r="V42" i="108"/>
  <c r="U42" i="108"/>
  <c r="M42" i="108"/>
  <c r="F42" i="108"/>
  <c r="AF41" i="108"/>
  <c r="AE41" i="108"/>
  <c r="AD41" i="108"/>
  <c r="AC41" i="108"/>
  <c r="W41" i="108"/>
  <c r="V41" i="108"/>
  <c r="U41" i="108"/>
  <c r="M41" i="108"/>
  <c r="F41" i="108"/>
  <c r="N41" i="108" s="1"/>
  <c r="AF40" i="108"/>
  <c r="AE40" i="108"/>
  <c r="AD40" i="108"/>
  <c r="AC40" i="108"/>
  <c r="W40" i="108"/>
  <c r="V40" i="108"/>
  <c r="U40" i="108"/>
  <c r="M40" i="108"/>
  <c r="F40" i="108"/>
  <c r="N40" i="108" s="1"/>
  <c r="AF39" i="108"/>
  <c r="AE39" i="108"/>
  <c r="AD39" i="108"/>
  <c r="AC39" i="108"/>
  <c r="W39" i="108"/>
  <c r="V39" i="108"/>
  <c r="U39" i="108"/>
  <c r="M39" i="108"/>
  <c r="F39" i="108"/>
  <c r="AF38" i="108"/>
  <c r="AE38" i="108"/>
  <c r="AD38" i="108"/>
  <c r="AC38" i="108"/>
  <c r="W38" i="108"/>
  <c r="V38" i="108"/>
  <c r="U38" i="108"/>
  <c r="M38" i="108"/>
  <c r="F38" i="108"/>
  <c r="AF37" i="108"/>
  <c r="AE37" i="108"/>
  <c r="AD37" i="108"/>
  <c r="AC37" i="108"/>
  <c r="W37" i="108"/>
  <c r="V37" i="108"/>
  <c r="U37" i="108"/>
  <c r="M37" i="108"/>
  <c r="F37" i="108"/>
  <c r="N37" i="108" s="1"/>
  <c r="AF36" i="108"/>
  <c r="AE36" i="108"/>
  <c r="AD36" i="108"/>
  <c r="AC36" i="108"/>
  <c r="W36" i="108"/>
  <c r="V36" i="108"/>
  <c r="U36" i="108"/>
  <c r="M36" i="108"/>
  <c r="F36" i="108"/>
  <c r="N36" i="108" s="1"/>
  <c r="AF35" i="108"/>
  <c r="AE35" i="108"/>
  <c r="AD35" i="108"/>
  <c r="AC35" i="108"/>
  <c r="W35" i="108"/>
  <c r="V35" i="108"/>
  <c r="U35" i="108"/>
  <c r="M35" i="108"/>
  <c r="F35" i="108"/>
  <c r="AF34" i="108"/>
  <c r="AE34" i="108"/>
  <c r="AD34" i="108"/>
  <c r="AC34" i="108"/>
  <c r="W34" i="108"/>
  <c r="V34" i="108"/>
  <c r="U34" i="108"/>
  <c r="M34" i="108"/>
  <c r="F34" i="108"/>
  <c r="AF33" i="108"/>
  <c r="AE33" i="108"/>
  <c r="AD33" i="108"/>
  <c r="AC33" i="108"/>
  <c r="W33" i="108"/>
  <c r="V33" i="108"/>
  <c r="U33" i="108"/>
  <c r="M33" i="108"/>
  <c r="F33" i="108"/>
  <c r="N33" i="108" s="1"/>
  <c r="AF32" i="108"/>
  <c r="AE32" i="108"/>
  <c r="AD32" i="108"/>
  <c r="AC32" i="108"/>
  <c r="W32" i="108"/>
  <c r="V32" i="108"/>
  <c r="U32" i="108"/>
  <c r="M32" i="108"/>
  <c r="F32" i="108"/>
  <c r="N32" i="108" s="1"/>
  <c r="AF31" i="108"/>
  <c r="AE31" i="108"/>
  <c r="AD31" i="108"/>
  <c r="AC31" i="108"/>
  <c r="W31" i="108"/>
  <c r="V31" i="108"/>
  <c r="U31" i="108"/>
  <c r="M31" i="108"/>
  <c r="F31" i="108"/>
  <c r="AF30" i="108"/>
  <c r="AE30" i="108"/>
  <c r="AD30" i="108"/>
  <c r="AC30" i="108"/>
  <c r="W30" i="108"/>
  <c r="V30" i="108"/>
  <c r="U30" i="108"/>
  <c r="M30" i="108"/>
  <c r="F30" i="108"/>
  <c r="AF29" i="108"/>
  <c r="AE29" i="108"/>
  <c r="AD29" i="108"/>
  <c r="AC29" i="108"/>
  <c r="W29" i="108"/>
  <c r="V29" i="108"/>
  <c r="U29" i="108"/>
  <c r="M29" i="108"/>
  <c r="F29" i="108"/>
  <c r="N29" i="108" s="1"/>
  <c r="AF28" i="108"/>
  <c r="AE28" i="108"/>
  <c r="AD28" i="108"/>
  <c r="AC28" i="108"/>
  <c r="W28" i="108"/>
  <c r="V28" i="108"/>
  <c r="U28" i="108"/>
  <c r="M28" i="108"/>
  <c r="F28" i="108"/>
  <c r="N28" i="108" s="1"/>
  <c r="AF27" i="108"/>
  <c r="AE27" i="108"/>
  <c r="AD27" i="108"/>
  <c r="AC27" i="108"/>
  <c r="W27" i="108"/>
  <c r="V27" i="108"/>
  <c r="U27" i="108"/>
  <c r="M27" i="108"/>
  <c r="F27" i="108"/>
  <c r="AF26" i="108"/>
  <c r="AE26" i="108"/>
  <c r="AD26" i="108"/>
  <c r="AC26" i="108"/>
  <c r="W26" i="108"/>
  <c r="V26" i="108"/>
  <c r="U26" i="108"/>
  <c r="M26" i="108"/>
  <c r="F26" i="108"/>
  <c r="AF25" i="108"/>
  <c r="AE25" i="108"/>
  <c r="AD25" i="108"/>
  <c r="AC25" i="108"/>
  <c r="W25" i="108"/>
  <c r="V25" i="108"/>
  <c r="U25" i="108"/>
  <c r="M25" i="108"/>
  <c r="F25" i="108"/>
  <c r="N25" i="108" s="1"/>
  <c r="AF24" i="108"/>
  <c r="AE24" i="108"/>
  <c r="AD24" i="108"/>
  <c r="AC24" i="108"/>
  <c r="W24" i="108"/>
  <c r="V24" i="108"/>
  <c r="U24" i="108"/>
  <c r="M24" i="108"/>
  <c r="F24" i="108"/>
  <c r="N24" i="108" s="1"/>
  <c r="AF23" i="108"/>
  <c r="AE23" i="108"/>
  <c r="AD23" i="108"/>
  <c r="AC23" i="108"/>
  <c r="W23" i="108"/>
  <c r="V23" i="108"/>
  <c r="U23" i="108"/>
  <c r="M23" i="108"/>
  <c r="F23" i="108"/>
  <c r="AF22" i="108"/>
  <c r="AE22" i="108"/>
  <c r="AD22" i="108"/>
  <c r="AC22" i="108"/>
  <c r="W22" i="108"/>
  <c r="V22" i="108"/>
  <c r="U22" i="108"/>
  <c r="M22" i="108"/>
  <c r="F22" i="108"/>
  <c r="AF21" i="108"/>
  <c r="AE21" i="108"/>
  <c r="AD21" i="108"/>
  <c r="AC21" i="108"/>
  <c r="W21" i="108"/>
  <c r="V21" i="108"/>
  <c r="U21" i="108"/>
  <c r="M21" i="108"/>
  <c r="F21" i="108"/>
  <c r="N21" i="108" s="1"/>
  <c r="AF20" i="108"/>
  <c r="AE20" i="108"/>
  <c r="AD20" i="108"/>
  <c r="AC20" i="108"/>
  <c r="W20" i="108"/>
  <c r="V20" i="108"/>
  <c r="U20" i="108"/>
  <c r="M20" i="108"/>
  <c r="F20" i="108"/>
  <c r="N20" i="108" s="1"/>
  <c r="AF19" i="108"/>
  <c r="AE19" i="108"/>
  <c r="AD19" i="108"/>
  <c r="AC19" i="108"/>
  <c r="W19" i="108"/>
  <c r="V19" i="108"/>
  <c r="U19" i="108"/>
  <c r="M19" i="108"/>
  <c r="F19" i="108"/>
  <c r="AF18" i="108"/>
  <c r="AE18" i="108"/>
  <c r="AD18" i="108"/>
  <c r="AC18" i="108"/>
  <c r="W18" i="108"/>
  <c r="V18" i="108"/>
  <c r="U18" i="108"/>
  <c r="M18" i="108"/>
  <c r="F18" i="108"/>
  <c r="AF17" i="108"/>
  <c r="AE17" i="108"/>
  <c r="AD17" i="108"/>
  <c r="AC17" i="108"/>
  <c r="W17" i="108"/>
  <c r="V17" i="108"/>
  <c r="U17" i="108"/>
  <c r="M17" i="108"/>
  <c r="F17" i="108"/>
  <c r="N17" i="108" s="1"/>
  <c r="AF16" i="108"/>
  <c r="AE16" i="108"/>
  <c r="AD16" i="108"/>
  <c r="AC16" i="108"/>
  <c r="W16" i="108"/>
  <c r="V16" i="108"/>
  <c r="U16" i="108"/>
  <c r="M16" i="108"/>
  <c r="F16" i="108"/>
  <c r="N16" i="108" s="1"/>
  <c r="AF15" i="108"/>
  <c r="AE15" i="108"/>
  <c r="AD15" i="108"/>
  <c r="AC15" i="108"/>
  <c r="W15" i="108"/>
  <c r="V15" i="108"/>
  <c r="U15" i="108"/>
  <c r="M15" i="108"/>
  <c r="F15" i="108"/>
  <c r="AF14" i="108"/>
  <c r="AE14" i="108"/>
  <c r="AD14" i="108"/>
  <c r="AC14" i="108"/>
  <c r="W14" i="108"/>
  <c r="V14" i="108"/>
  <c r="U14" i="108"/>
  <c r="M14" i="108"/>
  <c r="F14" i="108"/>
  <c r="AF13" i="108"/>
  <c r="AE13" i="108"/>
  <c r="AD13" i="108"/>
  <c r="AC13" i="108"/>
  <c r="W13" i="108"/>
  <c r="V13" i="108"/>
  <c r="U13" i="108"/>
  <c r="M13" i="108"/>
  <c r="F13" i="108"/>
  <c r="E5" i="108"/>
  <c r="A2" i="108"/>
  <c r="A55" i="108" s="1"/>
  <c r="D103" i="107"/>
  <c r="T102" i="107"/>
  <c r="S102" i="107"/>
  <c r="R102" i="107"/>
  <c r="Q102" i="107"/>
  <c r="P102" i="107"/>
  <c r="O102" i="107"/>
  <c r="E102" i="107"/>
  <c r="D102" i="107"/>
  <c r="AF100" i="107"/>
  <c r="AE100" i="107"/>
  <c r="AD100" i="107"/>
  <c r="AC100" i="107"/>
  <c r="W100" i="107"/>
  <c r="V100" i="107"/>
  <c r="U100" i="107"/>
  <c r="X100" i="107" s="1"/>
  <c r="M100" i="107"/>
  <c r="F100" i="107"/>
  <c r="N100" i="107" s="1"/>
  <c r="AF99" i="107"/>
  <c r="AE99" i="107"/>
  <c r="AD99" i="107"/>
  <c r="AC99" i="107"/>
  <c r="W99" i="107"/>
  <c r="V99" i="107"/>
  <c r="U99" i="107"/>
  <c r="X99" i="107" s="1"/>
  <c r="M99" i="107"/>
  <c r="F99" i="107"/>
  <c r="N99" i="107" s="1"/>
  <c r="AF98" i="107"/>
  <c r="AE98" i="107"/>
  <c r="AD98" i="107"/>
  <c r="AC98" i="107"/>
  <c r="W98" i="107"/>
  <c r="V98" i="107"/>
  <c r="U98" i="107"/>
  <c r="X98" i="107" s="1"/>
  <c r="M98" i="107"/>
  <c r="F98" i="107"/>
  <c r="N98" i="107" s="1"/>
  <c r="AF97" i="107"/>
  <c r="AE97" i="107"/>
  <c r="AD97" i="107"/>
  <c r="AC97" i="107"/>
  <c r="W97" i="107"/>
  <c r="V97" i="107"/>
  <c r="U97" i="107"/>
  <c r="M97" i="107"/>
  <c r="F97" i="107"/>
  <c r="AF96" i="107"/>
  <c r="AE96" i="107"/>
  <c r="AD96" i="107"/>
  <c r="AC96" i="107"/>
  <c r="W96" i="107"/>
  <c r="V96" i="107"/>
  <c r="U96" i="107"/>
  <c r="X96" i="107" s="1"/>
  <c r="M96" i="107"/>
  <c r="F96" i="107"/>
  <c r="N96" i="107" s="1"/>
  <c r="AF95" i="107"/>
  <c r="AE95" i="107"/>
  <c r="AD95" i="107"/>
  <c r="AC95" i="107"/>
  <c r="W95" i="107"/>
  <c r="V95" i="107"/>
  <c r="U95" i="107"/>
  <c r="X95" i="107" s="1"/>
  <c r="M95" i="107"/>
  <c r="F95" i="107"/>
  <c r="N95" i="107" s="1"/>
  <c r="AF94" i="107"/>
  <c r="AE94" i="107"/>
  <c r="AD94" i="107"/>
  <c r="AC94" i="107"/>
  <c r="W94" i="107"/>
  <c r="V94" i="107"/>
  <c r="U94" i="107"/>
  <c r="X94" i="107" s="1"/>
  <c r="M94" i="107"/>
  <c r="F94" i="107"/>
  <c r="N94" i="107" s="1"/>
  <c r="AF93" i="107"/>
  <c r="AE93" i="107"/>
  <c r="AD93" i="107"/>
  <c r="AC93" i="107"/>
  <c r="W93" i="107"/>
  <c r="V93" i="107"/>
  <c r="U93" i="107"/>
  <c r="M93" i="107"/>
  <c r="F93" i="107"/>
  <c r="AF92" i="107"/>
  <c r="AE92" i="107"/>
  <c r="AD92" i="107"/>
  <c r="AC92" i="107"/>
  <c r="W92" i="107"/>
  <c r="V92" i="107"/>
  <c r="U92" i="107"/>
  <c r="M92" i="107"/>
  <c r="F92" i="107"/>
  <c r="AF91" i="107"/>
  <c r="AE91" i="107"/>
  <c r="AD91" i="107"/>
  <c r="AC91" i="107"/>
  <c r="W91" i="107"/>
  <c r="V91" i="107"/>
  <c r="U91" i="107"/>
  <c r="X91" i="107" s="1"/>
  <c r="M91" i="107"/>
  <c r="F91" i="107"/>
  <c r="N91" i="107" s="1"/>
  <c r="AF90" i="107"/>
  <c r="AE90" i="107"/>
  <c r="AD90" i="107"/>
  <c r="AC90" i="107"/>
  <c r="W90" i="107"/>
  <c r="V90" i="107"/>
  <c r="U90" i="107"/>
  <c r="X90" i="107" s="1"/>
  <c r="M90" i="107"/>
  <c r="F90" i="107"/>
  <c r="AF89" i="107"/>
  <c r="AE89" i="107"/>
  <c r="AD89" i="107"/>
  <c r="AC89" i="107"/>
  <c r="W89" i="107"/>
  <c r="V89" i="107"/>
  <c r="U89" i="107"/>
  <c r="X89" i="107" s="1"/>
  <c r="M89" i="107"/>
  <c r="F89" i="107"/>
  <c r="AF88" i="107"/>
  <c r="AE88" i="107"/>
  <c r="AD88" i="107"/>
  <c r="AC88" i="107"/>
  <c r="W88" i="107"/>
  <c r="V88" i="107"/>
  <c r="U88" i="107"/>
  <c r="X88" i="107" s="1"/>
  <c r="M88" i="107"/>
  <c r="F88" i="107"/>
  <c r="AF87" i="107"/>
  <c r="AE87" i="107"/>
  <c r="AD87" i="107"/>
  <c r="AC87" i="107"/>
  <c r="W87" i="107"/>
  <c r="V87" i="107"/>
  <c r="U87" i="107"/>
  <c r="X87" i="107" s="1"/>
  <c r="M87" i="107"/>
  <c r="F87" i="107"/>
  <c r="N87" i="107" s="1"/>
  <c r="AF86" i="107"/>
  <c r="AE86" i="107"/>
  <c r="AD86" i="107"/>
  <c r="AC86" i="107"/>
  <c r="W86" i="107"/>
  <c r="V86" i="107"/>
  <c r="U86" i="107"/>
  <c r="X86" i="107" s="1"/>
  <c r="M86" i="107"/>
  <c r="F86" i="107"/>
  <c r="AF85" i="107"/>
  <c r="AE85" i="107"/>
  <c r="AD85" i="107"/>
  <c r="AC85" i="107"/>
  <c r="W85" i="107"/>
  <c r="V85" i="107"/>
  <c r="U85" i="107"/>
  <c r="X85" i="107" s="1"/>
  <c r="M85" i="107"/>
  <c r="F85" i="107"/>
  <c r="N85" i="107" s="1"/>
  <c r="AF84" i="107"/>
  <c r="AE84" i="107"/>
  <c r="AD84" i="107"/>
  <c r="AC84" i="107"/>
  <c r="W84" i="107"/>
  <c r="V84" i="107"/>
  <c r="U84" i="107"/>
  <c r="M84" i="107"/>
  <c r="F84" i="107"/>
  <c r="AF83" i="107"/>
  <c r="AE83" i="107"/>
  <c r="AD83" i="107"/>
  <c r="AC83" i="107"/>
  <c r="W83" i="107"/>
  <c r="V83" i="107"/>
  <c r="U83" i="107"/>
  <c r="M83" i="107"/>
  <c r="F83" i="107"/>
  <c r="N83" i="107" s="1"/>
  <c r="AF82" i="107"/>
  <c r="AE82" i="107"/>
  <c r="AD82" i="107"/>
  <c r="AC82" i="107"/>
  <c r="W82" i="107"/>
  <c r="V82" i="107"/>
  <c r="U82" i="107"/>
  <c r="X82" i="107" s="1"/>
  <c r="M82" i="107"/>
  <c r="F82" i="107"/>
  <c r="N82" i="107" s="1"/>
  <c r="AF81" i="107"/>
  <c r="AE81" i="107"/>
  <c r="AD81" i="107"/>
  <c r="AC81" i="107"/>
  <c r="W81" i="107"/>
  <c r="V81" i="107"/>
  <c r="U81" i="107"/>
  <c r="M81" i="107"/>
  <c r="F81" i="107"/>
  <c r="N81" i="107" s="1"/>
  <c r="AF80" i="107"/>
  <c r="AE80" i="107"/>
  <c r="AD80" i="107"/>
  <c r="AC80" i="107"/>
  <c r="W80" i="107"/>
  <c r="V80" i="107"/>
  <c r="U80" i="107"/>
  <c r="X80" i="107" s="1"/>
  <c r="M80" i="107"/>
  <c r="F80" i="107"/>
  <c r="N80" i="107" s="1"/>
  <c r="AF79" i="107"/>
  <c r="AE79" i="107"/>
  <c r="AD79" i="107"/>
  <c r="AC79" i="107"/>
  <c r="W79" i="107"/>
  <c r="V79" i="107"/>
  <c r="U79" i="107"/>
  <c r="M79" i="107"/>
  <c r="F79" i="107"/>
  <c r="N79" i="107" s="1"/>
  <c r="AF78" i="107"/>
  <c r="AE78" i="107"/>
  <c r="AD78" i="107"/>
  <c r="AC78" i="107"/>
  <c r="W78" i="107"/>
  <c r="V78" i="107"/>
  <c r="U78" i="107"/>
  <c r="M78" i="107"/>
  <c r="F78" i="107"/>
  <c r="AF77" i="107"/>
  <c r="AE77" i="107"/>
  <c r="AD77" i="107"/>
  <c r="AC77" i="107"/>
  <c r="W77" i="107"/>
  <c r="V77" i="107"/>
  <c r="U77" i="107"/>
  <c r="M77" i="107"/>
  <c r="F77" i="107"/>
  <c r="N77" i="107" s="1"/>
  <c r="AF76" i="107"/>
  <c r="AE76" i="107"/>
  <c r="AD76" i="107"/>
  <c r="AC76" i="107"/>
  <c r="W76" i="107"/>
  <c r="V76" i="107"/>
  <c r="U76" i="107"/>
  <c r="M76" i="107"/>
  <c r="F76" i="107"/>
  <c r="AF75" i="107"/>
  <c r="AE75" i="107"/>
  <c r="AD75" i="107"/>
  <c r="AC75" i="107"/>
  <c r="W75" i="107"/>
  <c r="V75" i="107"/>
  <c r="U75" i="107"/>
  <c r="M75" i="107"/>
  <c r="F75" i="107"/>
  <c r="N75" i="107" s="1"/>
  <c r="AF74" i="107"/>
  <c r="AE74" i="107"/>
  <c r="AD74" i="107"/>
  <c r="AC74" i="107"/>
  <c r="W74" i="107"/>
  <c r="V74" i="107"/>
  <c r="U74" i="107"/>
  <c r="X74" i="107" s="1"/>
  <c r="M74" i="107"/>
  <c r="F74" i="107"/>
  <c r="N74" i="107" s="1"/>
  <c r="AF73" i="107"/>
  <c r="AE73" i="107"/>
  <c r="AD73" i="107"/>
  <c r="AC73" i="107"/>
  <c r="W73" i="107"/>
  <c r="V73" i="107"/>
  <c r="U73" i="107"/>
  <c r="M73" i="107"/>
  <c r="F73" i="107"/>
  <c r="N73" i="107" s="1"/>
  <c r="AF72" i="107"/>
  <c r="AE72" i="107"/>
  <c r="AD72" i="107"/>
  <c r="AC72" i="107"/>
  <c r="W72" i="107"/>
  <c r="V72" i="107"/>
  <c r="U72" i="107"/>
  <c r="X72" i="107" s="1"/>
  <c r="M72" i="107"/>
  <c r="F72" i="107"/>
  <c r="N72" i="107" s="1"/>
  <c r="AF71" i="107"/>
  <c r="AE71" i="107"/>
  <c r="AD71" i="107"/>
  <c r="AC71" i="107"/>
  <c r="W71" i="107"/>
  <c r="V71" i="107"/>
  <c r="U71" i="107"/>
  <c r="X71" i="107" s="1"/>
  <c r="M71" i="107"/>
  <c r="F71" i="107"/>
  <c r="N71" i="107" s="1"/>
  <c r="AF70" i="107"/>
  <c r="AE70" i="107"/>
  <c r="AD70" i="107"/>
  <c r="AC70" i="107"/>
  <c r="W70" i="107"/>
  <c r="V70" i="107"/>
  <c r="U70" i="107"/>
  <c r="M70" i="107"/>
  <c r="F70" i="107"/>
  <c r="AF69" i="107"/>
  <c r="AE69" i="107"/>
  <c r="AD69" i="107"/>
  <c r="AC69" i="107"/>
  <c r="W69" i="107"/>
  <c r="V69" i="107"/>
  <c r="U69" i="107"/>
  <c r="M69" i="107"/>
  <c r="F69" i="107"/>
  <c r="N69" i="107" s="1"/>
  <c r="AF68" i="107"/>
  <c r="AE68" i="107"/>
  <c r="AD68" i="107"/>
  <c r="AC68" i="107"/>
  <c r="W68" i="107"/>
  <c r="V68" i="107"/>
  <c r="U68" i="107"/>
  <c r="M68" i="107"/>
  <c r="F68" i="107"/>
  <c r="N68" i="107" s="1"/>
  <c r="AF67" i="107"/>
  <c r="AE67" i="107"/>
  <c r="AD67" i="107"/>
  <c r="AC67" i="107"/>
  <c r="W67" i="107"/>
  <c r="V67" i="107"/>
  <c r="U67" i="107"/>
  <c r="M67" i="107"/>
  <c r="F67" i="107"/>
  <c r="N67" i="107" s="1"/>
  <c r="AF66" i="107"/>
  <c r="AE66" i="107"/>
  <c r="AD66" i="107"/>
  <c r="AC66" i="107"/>
  <c r="W66" i="107"/>
  <c r="V66" i="107"/>
  <c r="U66" i="107"/>
  <c r="X66" i="107" s="1"/>
  <c r="M66" i="107"/>
  <c r="F66" i="107"/>
  <c r="N66" i="107" s="1"/>
  <c r="E49" i="107"/>
  <c r="D49" i="107"/>
  <c r="T48" i="107"/>
  <c r="S48" i="107"/>
  <c r="R48" i="107"/>
  <c r="Q48" i="107"/>
  <c r="P48" i="107"/>
  <c r="O48" i="107"/>
  <c r="E48" i="107"/>
  <c r="D48" i="107"/>
  <c r="AF46" i="107"/>
  <c r="AE46" i="107"/>
  <c r="AD46" i="107"/>
  <c r="AC46" i="107"/>
  <c r="W46" i="107"/>
  <c r="V46" i="107"/>
  <c r="U46" i="107"/>
  <c r="M46" i="107"/>
  <c r="F46" i="107"/>
  <c r="AF45" i="107"/>
  <c r="AE45" i="107"/>
  <c r="AD45" i="107"/>
  <c r="AC45" i="107"/>
  <c r="W45" i="107"/>
  <c r="V45" i="107"/>
  <c r="U45" i="107"/>
  <c r="M45" i="107"/>
  <c r="F45" i="107"/>
  <c r="AF44" i="107"/>
  <c r="AE44" i="107"/>
  <c r="AD44" i="107"/>
  <c r="AC44" i="107"/>
  <c r="W44" i="107"/>
  <c r="V44" i="107"/>
  <c r="U44" i="107"/>
  <c r="M44" i="107"/>
  <c r="F44" i="107"/>
  <c r="AF43" i="107"/>
  <c r="AE43" i="107"/>
  <c r="AD43" i="107"/>
  <c r="AC43" i="107"/>
  <c r="W43" i="107"/>
  <c r="V43" i="107"/>
  <c r="U43" i="107"/>
  <c r="X43" i="107" s="1"/>
  <c r="M43" i="107"/>
  <c r="F43" i="107"/>
  <c r="N43" i="107" s="1"/>
  <c r="AF42" i="107"/>
  <c r="AE42" i="107"/>
  <c r="AD42" i="107"/>
  <c r="AC42" i="107"/>
  <c r="W42" i="107"/>
  <c r="V42" i="107"/>
  <c r="U42" i="107"/>
  <c r="X42" i="107" s="1"/>
  <c r="M42" i="107"/>
  <c r="F42" i="107"/>
  <c r="N42" i="107" s="1"/>
  <c r="AF41" i="107"/>
  <c r="AE41" i="107"/>
  <c r="AD41" i="107"/>
  <c r="AC41" i="107"/>
  <c r="W41" i="107"/>
  <c r="V41" i="107"/>
  <c r="U41" i="107"/>
  <c r="M41" i="107"/>
  <c r="F41" i="107"/>
  <c r="AF40" i="107"/>
  <c r="AE40" i="107"/>
  <c r="AD40" i="107"/>
  <c r="AC40" i="107"/>
  <c r="W40" i="107"/>
  <c r="V40" i="107"/>
  <c r="U40" i="107"/>
  <c r="M40" i="107"/>
  <c r="F40" i="107"/>
  <c r="N40" i="107" s="1"/>
  <c r="AF39" i="107"/>
  <c r="AE39" i="107"/>
  <c r="AD39" i="107"/>
  <c r="AC39" i="107"/>
  <c r="W39" i="107"/>
  <c r="V39" i="107"/>
  <c r="U39" i="107"/>
  <c r="M39" i="107"/>
  <c r="F39" i="107"/>
  <c r="N39" i="107" s="1"/>
  <c r="AF38" i="107"/>
  <c r="AE38" i="107"/>
  <c r="AD38" i="107"/>
  <c r="AC38" i="107"/>
  <c r="W38" i="107"/>
  <c r="V38" i="107"/>
  <c r="U38" i="107"/>
  <c r="M38" i="107"/>
  <c r="F38" i="107"/>
  <c r="AF37" i="107"/>
  <c r="AE37" i="107"/>
  <c r="AD37" i="107"/>
  <c r="AC37" i="107"/>
  <c r="W37" i="107"/>
  <c r="V37" i="107"/>
  <c r="U37" i="107"/>
  <c r="M37" i="107"/>
  <c r="F37" i="107"/>
  <c r="AF36" i="107"/>
  <c r="AE36" i="107"/>
  <c r="AD36" i="107"/>
  <c r="AC36" i="107"/>
  <c r="W36" i="107"/>
  <c r="V36" i="107"/>
  <c r="U36" i="107"/>
  <c r="X36" i="107" s="1"/>
  <c r="M36" i="107"/>
  <c r="F36" i="107"/>
  <c r="AF35" i="107"/>
  <c r="AE35" i="107"/>
  <c r="AD35" i="107"/>
  <c r="AC35" i="107"/>
  <c r="W35" i="107"/>
  <c r="V35" i="107"/>
  <c r="U35" i="107"/>
  <c r="X35" i="107" s="1"/>
  <c r="M35" i="107"/>
  <c r="F35" i="107"/>
  <c r="N35" i="107" s="1"/>
  <c r="AF34" i="107"/>
  <c r="AE34" i="107"/>
  <c r="AD34" i="107"/>
  <c r="AC34" i="107"/>
  <c r="W34" i="107"/>
  <c r="V34" i="107"/>
  <c r="U34" i="107"/>
  <c r="X34" i="107" s="1"/>
  <c r="M34" i="107"/>
  <c r="F34" i="107"/>
  <c r="N34" i="107" s="1"/>
  <c r="AF33" i="107"/>
  <c r="AE33" i="107"/>
  <c r="AD33" i="107"/>
  <c r="AC33" i="107"/>
  <c r="W33" i="107"/>
  <c r="V33" i="107"/>
  <c r="U33" i="107"/>
  <c r="X33" i="107" s="1"/>
  <c r="M33" i="107"/>
  <c r="F33" i="107"/>
  <c r="AF32" i="107"/>
  <c r="AE32" i="107"/>
  <c r="AD32" i="107"/>
  <c r="AC32" i="107"/>
  <c r="W32" i="107"/>
  <c r="V32" i="107"/>
  <c r="U32" i="107"/>
  <c r="M32" i="107"/>
  <c r="F32" i="107"/>
  <c r="N32" i="107" s="1"/>
  <c r="AF31" i="107"/>
  <c r="AE31" i="107"/>
  <c r="AD31" i="107"/>
  <c r="AC31" i="107"/>
  <c r="W31" i="107"/>
  <c r="V31" i="107"/>
  <c r="U31" i="107"/>
  <c r="M31" i="107"/>
  <c r="F31" i="107"/>
  <c r="N31" i="107" s="1"/>
  <c r="AF30" i="107"/>
  <c r="AE30" i="107"/>
  <c r="AD30" i="107"/>
  <c r="AC30" i="107"/>
  <c r="W30" i="107"/>
  <c r="V30" i="107"/>
  <c r="U30" i="107"/>
  <c r="M30" i="107"/>
  <c r="F30" i="107"/>
  <c r="AF29" i="107"/>
  <c r="AE29" i="107"/>
  <c r="AD29" i="107"/>
  <c r="AC29" i="107"/>
  <c r="W29" i="107"/>
  <c r="V29" i="107"/>
  <c r="U29" i="107"/>
  <c r="M29" i="107"/>
  <c r="F29" i="107"/>
  <c r="AF28" i="107"/>
  <c r="AE28" i="107"/>
  <c r="AD28" i="107"/>
  <c r="AC28" i="107"/>
  <c r="W28" i="107"/>
  <c r="V28" i="107"/>
  <c r="U28" i="107"/>
  <c r="M28" i="107"/>
  <c r="F28" i="107"/>
  <c r="AF27" i="107"/>
  <c r="AE27" i="107"/>
  <c r="AD27" i="107"/>
  <c r="AC27" i="107"/>
  <c r="W27" i="107"/>
  <c r="V27" i="107"/>
  <c r="U27" i="107"/>
  <c r="X27" i="107" s="1"/>
  <c r="M27" i="107"/>
  <c r="F27" i="107"/>
  <c r="N27" i="107" s="1"/>
  <c r="AF26" i="107"/>
  <c r="AE26" i="107"/>
  <c r="AD26" i="107"/>
  <c r="AC26" i="107"/>
  <c r="W26" i="107"/>
  <c r="V26" i="107"/>
  <c r="U26" i="107"/>
  <c r="M26" i="107"/>
  <c r="F26" i="107"/>
  <c r="N26" i="107" s="1"/>
  <c r="AF25" i="107"/>
  <c r="AE25" i="107"/>
  <c r="AD25" i="107"/>
  <c r="AC25" i="107"/>
  <c r="W25" i="107"/>
  <c r="V25" i="107"/>
  <c r="U25" i="107"/>
  <c r="M25" i="107"/>
  <c r="F25" i="107"/>
  <c r="AF24" i="107"/>
  <c r="AE24" i="107"/>
  <c r="AD24" i="107"/>
  <c r="AC24" i="107"/>
  <c r="W24" i="107"/>
  <c r="V24" i="107"/>
  <c r="U24" i="107"/>
  <c r="M24" i="107"/>
  <c r="F24" i="107"/>
  <c r="N24" i="107" s="1"/>
  <c r="AF23" i="107"/>
  <c r="AE23" i="107"/>
  <c r="AD23" i="107"/>
  <c r="AC23" i="107"/>
  <c r="W23" i="107"/>
  <c r="V23" i="107"/>
  <c r="U23" i="107"/>
  <c r="M23" i="107"/>
  <c r="F23" i="107"/>
  <c r="N23" i="107" s="1"/>
  <c r="AF22" i="107"/>
  <c r="AE22" i="107"/>
  <c r="AD22" i="107"/>
  <c r="AC22" i="107"/>
  <c r="W22" i="107"/>
  <c r="V22" i="107"/>
  <c r="U22" i="107"/>
  <c r="M22" i="107"/>
  <c r="F22" i="107"/>
  <c r="AF21" i="107"/>
  <c r="AE21" i="107"/>
  <c r="AD21" i="107"/>
  <c r="AC21" i="107"/>
  <c r="W21" i="107"/>
  <c r="V21" i="107"/>
  <c r="U21" i="107"/>
  <c r="M21" i="107"/>
  <c r="F21" i="107"/>
  <c r="AF20" i="107"/>
  <c r="AE20" i="107"/>
  <c r="AD20" i="107"/>
  <c r="AC20" i="107"/>
  <c r="W20" i="107"/>
  <c r="V20" i="107"/>
  <c r="U20" i="107"/>
  <c r="X20" i="107" s="1"/>
  <c r="M20" i="107"/>
  <c r="F20" i="107"/>
  <c r="AF19" i="107"/>
  <c r="AE19" i="107"/>
  <c r="AD19" i="107"/>
  <c r="AC19" i="107"/>
  <c r="W19" i="107"/>
  <c r="V19" i="107"/>
  <c r="U19" i="107"/>
  <c r="X19" i="107" s="1"/>
  <c r="M19" i="107"/>
  <c r="F19" i="107"/>
  <c r="N19" i="107" s="1"/>
  <c r="AF18" i="107"/>
  <c r="AE18" i="107"/>
  <c r="AD18" i="107"/>
  <c r="AC18" i="107"/>
  <c r="W18" i="107"/>
  <c r="V18" i="107"/>
  <c r="U18" i="107"/>
  <c r="X18" i="107" s="1"/>
  <c r="M18" i="107"/>
  <c r="F18" i="107"/>
  <c r="N18" i="107" s="1"/>
  <c r="AF17" i="107"/>
  <c r="AE17" i="107"/>
  <c r="AD17" i="107"/>
  <c r="AC17" i="107"/>
  <c r="W17" i="107"/>
  <c r="V17" i="107"/>
  <c r="U17" i="107"/>
  <c r="X17" i="107" s="1"/>
  <c r="M17" i="107"/>
  <c r="F17" i="107"/>
  <c r="AF16" i="107"/>
  <c r="AE16" i="107"/>
  <c r="AD16" i="107"/>
  <c r="AC16" i="107"/>
  <c r="W16" i="107"/>
  <c r="V16" i="107"/>
  <c r="U16" i="107"/>
  <c r="M16" i="107"/>
  <c r="F16" i="107"/>
  <c r="N16" i="107" s="1"/>
  <c r="AF15" i="107"/>
  <c r="AE15" i="107"/>
  <c r="AD15" i="107"/>
  <c r="AC15" i="107"/>
  <c r="W15" i="107"/>
  <c r="V15" i="107"/>
  <c r="U15" i="107"/>
  <c r="M15" i="107"/>
  <c r="F15" i="107"/>
  <c r="N15" i="107" s="1"/>
  <c r="AF14" i="107"/>
  <c r="AE14" i="107"/>
  <c r="AD14" i="107"/>
  <c r="AC14" i="107"/>
  <c r="W14" i="107"/>
  <c r="V14" i="107"/>
  <c r="U14" i="107"/>
  <c r="M14" i="107"/>
  <c r="F14" i="107"/>
  <c r="AF13" i="107"/>
  <c r="AE13" i="107"/>
  <c r="AD13" i="107"/>
  <c r="AC13" i="107"/>
  <c r="W13" i="107"/>
  <c r="V13" i="107"/>
  <c r="U13" i="107"/>
  <c r="M13" i="107"/>
  <c r="F13" i="107"/>
  <c r="E5" i="107"/>
  <c r="A2" i="107"/>
  <c r="D103" i="106"/>
  <c r="T102" i="106"/>
  <c r="S102" i="106"/>
  <c r="R102" i="106"/>
  <c r="Q102" i="106"/>
  <c r="P102" i="106"/>
  <c r="O102" i="106"/>
  <c r="E102" i="106"/>
  <c r="D102" i="106"/>
  <c r="AF100" i="106"/>
  <c r="AE100" i="106"/>
  <c r="AD100" i="106"/>
  <c r="AC100" i="106"/>
  <c r="W100" i="106"/>
  <c r="V100" i="106"/>
  <c r="U100" i="106"/>
  <c r="X100" i="106" s="1"/>
  <c r="M100" i="106"/>
  <c r="F100" i="106"/>
  <c r="N100" i="106" s="1"/>
  <c r="AA100" i="106" s="1"/>
  <c r="AF99" i="106"/>
  <c r="AE99" i="106"/>
  <c r="AD99" i="106"/>
  <c r="AC99" i="106"/>
  <c r="W99" i="106"/>
  <c r="V99" i="106"/>
  <c r="U99" i="106"/>
  <c r="X99" i="106" s="1"/>
  <c r="M99" i="106"/>
  <c r="F99" i="106"/>
  <c r="N99" i="106" s="1"/>
  <c r="AF98" i="106"/>
  <c r="AE98" i="106"/>
  <c r="AD98" i="106"/>
  <c r="AC98" i="106"/>
  <c r="W98" i="106"/>
  <c r="V98" i="106"/>
  <c r="U98" i="106"/>
  <c r="Y98" i="106" s="1"/>
  <c r="X98" i="106" s="1"/>
  <c r="M98" i="106"/>
  <c r="F98" i="106"/>
  <c r="N98" i="106" s="1"/>
  <c r="AF97" i="106"/>
  <c r="AE97" i="106"/>
  <c r="AD97" i="106"/>
  <c r="AC97" i="106"/>
  <c r="W97" i="106"/>
  <c r="V97" i="106"/>
  <c r="U97" i="106"/>
  <c r="M97" i="106"/>
  <c r="F97" i="106"/>
  <c r="AF96" i="106"/>
  <c r="AE96" i="106"/>
  <c r="AD96" i="106"/>
  <c r="AC96" i="106"/>
  <c r="W96" i="106"/>
  <c r="V96" i="106"/>
  <c r="U96" i="106"/>
  <c r="M96" i="106"/>
  <c r="F96" i="106"/>
  <c r="AF95" i="106"/>
  <c r="AE95" i="106"/>
  <c r="AD95" i="106"/>
  <c r="AC95" i="106"/>
  <c r="W95" i="106"/>
  <c r="V95" i="106"/>
  <c r="U95" i="106"/>
  <c r="M95" i="106"/>
  <c r="F95" i="106"/>
  <c r="AF94" i="106"/>
  <c r="AE94" i="106"/>
  <c r="AD94" i="106"/>
  <c r="AC94" i="106"/>
  <c r="W94" i="106"/>
  <c r="V94" i="106"/>
  <c r="U94" i="106"/>
  <c r="X94" i="106" s="1"/>
  <c r="M94" i="106"/>
  <c r="F94" i="106"/>
  <c r="AF93" i="106"/>
  <c r="AE93" i="106"/>
  <c r="AD93" i="106"/>
  <c r="AC93" i="106"/>
  <c r="W93" i="106"/>
  <c r="V93" i="106"/>
  <c r="U93" i="106"/>
  <c r="M93" i="106"/>
  <c r="F93" i="106"/>
  <c r="AF92" i="106"/>
  <c r="AE92" i="106"/>
  <c r="AD92" i="106"/>
  <c r="AC92" i="106"/>
  <c r="W92" i="106"/>
  <c r="V92" i="106"/>
  <c r="U92" i="106"/>
  <c r="X92" i="106" s="1"/>
  <c r="M92" i="106"/>
  <c r="F92" i="106"/>
  <c r="N92" i="106" s="1"/>
  <c r="AF91" i="106"/>
  <c r="AE91" i="106"/>
  <c r="AD91" i="106"/>
  <c r="AC91" i="106"/>
  <c r="W91" i="106"/>
  <c r="V91" i="106"/>
  <c r="U91" i="106"/>
  <c r="X91" i="106" s="1"/>
  <c r="M91" i="106"/>
  <c r="F91" i="106"/>
  <c r="N91" i="106" s="1"/>
  <c r="AF90" i="106"/>
  <c r="AE90" i="106"/>
  <c r="AD90" i="106"/>
  <c r="AC90" i="106"/>
  <c r="W90" i="106"/>
  <c r="V90" i="106"/>
  <c r="U90" i="106"/>
  <c r="M90" i="106"/>
  <c r="F90" i="106"/>
  <c r="N90" i="106" s="1"/>
  <c r="AF89" i="106"/>
  <c r="AE89" i="106"/>
  <c r="AD89" i="106"/>
  <c r="AC89" i="106"/>
  <c r="W89" i="106"/>
  <c r="V89" i="106"/>
  <c r="U89" i="106"/>
  <c r="X89" i="106" s="1"/>
  <c r="M89" i="106"/>
  <c r="F89" i="106"/>
  <c r="AF88" i="106"/>
  <c r="AE88" i="106"/>
  <c r="AD88" i="106"/>
  <c r="AC88" i="106"/>
  <c r="W88" i="106"/>
  <c r="V88" i="106"/>
  <c r="U88" i="106"/>
  <c r="M88" i="106"/>
  <c r="F88" i="106"/>
  <c r="N88" i="106" s="1"/>
  <c r="AF87" i="106"/>
  <c r="AE87" i="106"/>
  <c r="AD87" i="106"/>
  <c r="AC87" i="106"/>
  <c r="W87" i="106"/>
  <c r="V87" i="106"/>
  <c r="U87" i="106"/>
  <c r="X87" i="106" s="1"/>
  <c r="M87" i="106"/>
  <c r="F87" i="106"/>
  <c r="N87" i="106" s="1"/>
  <c r="AF86" i="106"/>
  <c r="AE86" i="106"/>
  <c r="AD86" i="106"/>
  <c r="AC86" i="106"/>
  <c r="W86" i="106"/>
  <c r="V86" i="106"/>
  <c r="U86" i="106"/>
  <c r="M86" i="106"/>
  <c r="F86" i="106"/>
  <c r="AF85" i="106"/>
  <c r="AE85" i="106"/>
  <c r="AD85" i="106"/>
  <c r="AC85" i="106"/>
  <c r="W85" i="106"/>
  <c r="V85" i="106"/>
  <c r="U85" i="106"/>
  <c r="X85" i="106" s="1"/>
  <c r="M85" i="106"/>
  <c r="F85" i="106"/>
  <c r="N85" i="106" s="1"/>
  <c r="AF84" i="106"/>
  <c r="AE84" i="106"/>
  <c r="AD84" i="106"/>
  <c r="AC84" i="106"/>
  <c r="W84" i="106"/>
  <c r="V84" i="106"/>
  <c r="U84" i="106"/>
  <c r="M84" i="106"/>
  <c r="F84" i="106"/>
  <c r="N84" i="106" s="1"/>
  <c r="AF83" i="106"/>
  <c r="AE83" i="106"/>
  <c r="AD83" i="106"/>
  <c r="AC83" i="106"/>
  <c r="W83" i="106"/>
  <c r="V83" i="106"/>
  <c r="U83" i="106"/>
  <c r="X83" i="106" s="1"/>
  <c r="M83" i="106"/>
  <c r="F83" i="106"/>
  <c r="N83" i="106" s="1"/>
  <c r="AF82" i="106"/>
  <c r="AE82" i="106"/>
  <c r="AD82" i="106"/>
  <c r="AC82" i="106"/>
  <c r="W82" i="106"/>
  <c r="V82" i="106"/>
  <c r="U82" i="106"/>
  <c r="X82" i="106" s="1"/>
  <c r="M82" i="106"/>
  <c r="F82" i="106"/>
  <c r="N82" i="106" s="1"/>
  <c r="AF81" i="106"/>
  <c r="AE81" i="106"/>
  <c r="AD81" i="106"/>
  <c r="AC81" i="106"/>
  <c r="W81" i="106"/>
  <c r="V81" i="106"/>
  <c r="U81" i="106"/>
  <c r="M81" i="106"/>
  <c r="F81" i="106"/>
  <c r="AF80" i="106"/>
  <c r="AE80" i="106"/>
  <c r="AD80" i="106"/>
  <c r="AC80" i="106"/>
  <c r="W80" i="106"/>
  <c r="V80" i="106"/>
  <c r="U80" i="106"/>
  <c r="X80" i="106" s="1"/>
  <c r="M80" i="106"/>
  <c r="F80" i="106"/>
  <c r="N80" i="106" s="1"/>
  <c r="AF79" i="106"/>
  <c r="AE79" i="106"/>
  <c r="AD79" i="106"/>
  <c r="AC79" i="106"/>
  <c r="W79" i="106"/>
  <c r="V79" i="106"/>
  <c r="U79" i="106"/>
  <c r="M79" i="106"/>
  <c r="F79" i="106"/>
  <c r="AF78" i="106"/>
  <c r="AE78" i="106"/>
  <c r="AD78" i="106"/>
  <c r="AC78" i="106"/>
  <c r="W78" i="106"/>
  <c r="V78" i="106"/>
  <c r="U78" i="106"/>
  <c r="M78" i="106"/>
  <c r="F78" i="106"/>
  <c r="AF77" i="106"/>
  <c r="AE77" i="106"/>
  <c r="AD77" i="106"/>
  <c r="AC77" i="106"/>
  <c r="W77" i="106"/>
  <c r="V77" i="106"/>
  <c r="U77" i="106"/>
  <c r="X77" i="106" s="1"/>
  <c r="M77" i="106"/>
  <c r="F77" i="106"/>
  <c r="N77" i="106" s="1"/>
  <c r="AF76" i="106"/>
  <c r="AE76" i="106"/>
  <c r="AD76" i="106"/>
  <c r="AC76" i="106"/>
  <c r="W76" i="106"/>
  <c r="V76" i="106"/>
  <c r="U76" i="106"/>
  <c r="X76" i="106" s="1"/>
  <c r="M76" i="106"/>
  <c r="F76" i="106"/>
  <c r="N76" i="106" s="1"/>
  <c r="AF75" i="106"/>
  <c r="AE75" i="106"/>
  <c r="AD75" i="106"/>
  <c r="AC75" i="106"/>
  <c r="W75" i="106"/>
  <c r="V75" i="106"/>
  <c r="U75" i="106"/>
  <c r="X75" i="106" s="1"/>
  <c r="M75" i="106"/>
  <c r="F75" i="106"/>
  <c r="N75" i="106" s="1"/>
  <c r="AF74" i="106"/>
  <c r="AE74" i="106"/>
  <c r="AD74" i="106"/>
  <c r="AC74" i="106"/>
  <c r="W74" i="106"/>
  <c r="V74" i="106"/>
  <c r="U74" i="106"/>
  <c r="M74" i="106"/>
  <c r="F74" i="106"/>
  <c r="AF73" i="106"/>
  <c r="AE73" i="106"/>
  <c r="AD73" i="106"/>
  <c r="AC73" i="106"/>
  <c r="W73" i="106"/>
  <c r="V73" i="106"/>
  <c r="U73" i="106"/>
  <c r="X73" i="106" s="1"/>
  <c r="M73" i="106"/>
  <c r="F73" i="106"/>
  <c r="AF72" i="106"/>
  <c r="AE72" i="106"/>
  <c r="AD72" i="106"/>
  <c r="AC72" i="106"/>
  <c r="W72" i="106"/>
  <c r="V72" i="106"/>
  <c r="U72" i="106"/>
  <c r="M72" i="106"/>
  <c r="F72" i="106"/>
  <c r="AF71" i="106"/>
  <c r="AE71" i="106"/>
  <c r="AD71" i="106"/>
  <c r="AC71" i="106"/>
  <c r="W71" i="106"/>
  <c r="V71" i="106"/>
  <c r="U71" i="106"/>
  <c r="X71" i="106" s="1"/>
  <c r="M71" i="106"/>
  <c r="F71" i="106"/>
  <c r="AF70" i="106"/>
  <c r="AE70" i="106"/>
  <c r="AD70" i="106"/>
  <c r="AC70" i="106"/>
  <c r="W70" i="106"/>
  <c r="V70" i="106"/>
  <c r="U70" i="106"/>
  <c r="M70" i="106"/>
  <c r="F70" i="106"/>
  <c r="AF69" i="106"/>
  <c r="AE69" i="106"/>
  <c r="AD69" i="106"/>
  <c r="AC69" i="106"/>
  <c r="W69" i="106"/>
  <c r="V69" i="106"/>
  <c r="U69" i="106"/>
  <c r="X69" i="106" s="1"/>
  <c r="M69" i="106"/>
  <c r="F69" i="106"/>
  <c r="AF68" i="106"/>
  <c r="AE68" i="106"/>
  <c r="AD68" i="106"/>
  <c r="AC68" i="106"/>
  <c r="W68" i="106"/>
  <c r="V68" i="106"/>
  <c r="U68" i="106"/>
  <c r="X68" i="106" s="1"/>
  <c r="M68" i="106"/>
  <c r="F68" i="106"/>
  <c r="N68" i="106" s="1"/>
  <c r="AF67" i="106"/>
  <c r="AE67" i="106"/>
  <c r="AD67" i="106"/>
  <c r="AC67" i="106"/>
  <c r="W67" i="106"/>
  <c r="V67" i="106"/>
  <c r="U67" i="106"/>
  <c r="X67" i="106" s="1"/>
  <c r="M67" i="106"/>
  <c r="F67" i="106"/>
  <c r="N67" i="106" s="1"/>
  <c r="AF66" i="106"/>
  <c r="AE66" i="106"/>
  <c r="AD66" i="106"/>
  <c r="AC66" i="106"/>
  <c r="W66" i="106"/>
  <c r="V66" i="106"/>
  <c r="U66" i="106"/>
  <c r="M66" i="106"/>
  <c r="F66" i="106"/>
  <c r="N66" i="106" s="1"/>
  <c r="E49" i="106"/>
  <c r="D49" i="106"/>
  <c r="T48" i="106"/>
  <c r="S48" i="106"/>
  <c r="R48" i="106"/>
  <c r="Q48" i="106"/>
  <c r="P48" i="106"/>
  <c r="O48" i="106"/>
  <c r="E48" i="106"/>
  <c r="D48" i="106"/>
  <c r="AF46" i="106"/>
  <c r="AE46" i="106"/>
  <c r="AD46" i="106"/>
  <c r="AC46" i="106"/>
  <c r="W46" i="106"/>
  <c r="V46" i="106"/>
  <c r="U46" i="106"/>
  <c r="X46" i="106" s="1"/>
  <c r="M46" i="106"/>
  <c r="F46" i="106"/>
  <c r="AF45" i="106"/>
  <c r="AE45" i="106"/>
  <c r="AD45" i="106"/>
  <c r="AC45" i="106"/>
  <c r="W45" i="106"/>
  <c r="V45" i="106"/>
  <c r="U45" i="106"/>
  <c r="X45" i="106" s="1"/>
  <c r="M45" i="106"/>
  <c r="F45" i="106"/>
  <c r="AF44" i="106"/>
  <c r="AE44" i="106"/>
  <c r="AD44" i="106"/>
  <c r="AC44" i="106"/>
  <c r="W44" i="106"/>
  <c r="V44" i="106"/>
  <c r="U44" i="106"/>
  <c r="M44" i="106"/>
  <c r="F44" i="106"/>
  <c r="AF43" i="106"/>
  <c r="AE43" i="106"/>
  <c r="AD43" i="106"/>
  <c r="AC43" i="106"/>
  <c r="W43" i="106"/>
  <c r="V43" i="106"/>
  <c r="U43" i="106"/>
  <c r="X43" i="106" s="1"/>
  <c r="M43" i="106"/>
  <c r="F43" i="106"/>
  <c r="AF42" i="106"/>
  <c r="AE42" i="106"/>
  <c r="AD42" i="106"/>
  <c r="AC42" i="106"/>
  <c r="W42" i="106"/>
  <c r="V42" i="106"/>
  <c r="U42" i="106"/>
  <c r="M42" i="106"/>
  <c r="F42" i="106"/>
  <c r="AF41" i="106"/>
  <c r="AE41" i="106"/>
  <c r="AD41" i="106"/>
  <c r="AC41" i="106"/>
  <c r="W41" i="106"/>
  <c r="V41" i="106"/>
  <c r="U41" i="106"/>
  <c r="X41" i="106" s="1"/>
  <c r="M41" i="106"/>
  <c r="F41" i="106"/>
  <c r="AF40" i="106"/>
  <c r="AE40" i="106"/>
  <c r="AD40" i="106"/>
  <c r="AC40" i="106"/>
  <c r="W40" i="106"/>
  <c r="V40" i="106"/>
  <c r="U40" i="106"/>
  <c r="M40" i="106"/>
  <c r="F40" i="106"/>
  <c r="AF39" i="106"/>
  <c r="AE39" i="106"/>
  <c r="AD39" i="106"/>
  <c r="AC39" i="106"/>
  <c r="W39" i="106"/>
  <c r="V39" i="106"/>
  <c r="U39" i="106"/>
  <c r="M39" i="106"/>
  <c r="F39" i="106"/>
  <c r="N39" i="106" s="1"/>
  <c r="AF38" i="106"/>
  <c r="AE38" i="106"/>
  <c r="AD38" i="106"/>
  <c r="AC38" i="106"/>
  <c r="W38" i="106"/>
  <c r="V38" i="106"/>
  <c r="U38" i="106"/>
  <c r="M38" i="106"/>
  <c r="F38" i="106"/>
  <c r="N38" i="106" s="1"/>
  <c r="AF37" i="106"/>
  <c r="AE37" i="106"/>
  <c r="AD37" i="106"/>
  <c r="AC37" i="106"/>
  <c r="W37" i="106"/>
  <c r="V37" i="106"/>
  <c r="U37" i="106"/>
  <c r="X37" i="106" s="1"/>
  <c r="M37" i="106"/>
  <c r="F37" i="106"/>
  <c r="N37" i="106" s="1"/>
  <c r="AF36" i="106"/>
  <c r="AE36" i="106"/>
  <c r="AD36" i="106"/>
  <c r="AC36" i="106"/>
  <c r="W36" i="106"/>
  <c r="V36" i="106"/>
  <c r="U36" i="106"/>
  <c r="X36" i="106" s="1"/>
  <c r="M36" i="106"/>
  <c r="F36" i="106"/>
  <c r="N36" i="106" s="1"/>
  <c r="AF35" i="106"/>
  <c r="AE35" i="106"/>
  <c r="AD35" i="106"/>
  <c r="AC35" i="106"/>
  <c r="W35" i="106"/>
  <c r="V35" i="106"/>
  <c r="U35" i="106"/>
  <c r="M35" i="106"/>
  <c r="F35" i="106"/>
  <c r="N35" i="106" s="1"/>
  <c r="AF34" i="106"/>
  <c r="AE34" i="106"/>
  <c r="AD34" i="106"/>
  <c r="AC34" i="106"/>
  <c r="W34" i="106"/>
  <c r="V34" i="106"/>
  <c r="U34" i="106"/>
  <c r="M34" i="106"/>
  <c r="F34" i="106"/>
  <c r="AF33" i="106"/>
  <c r="AE33" i="106"/>
  <c r="AD33" i="106"/>
  <c r="AC33" i="106"/>
  <c r="W33" i="106"/>
  <c r="V33" i="106"/>
  <c r="U33" i="106"/>
  <c r="M33" i="106"/>
  <c r="F33" i="106"/>
  <c r="AF32" i="106"/>
  <c r="AE32" i="106"/>
  <c r="AD32" i="106"/>
  <c r="AC32" i="106"/>
  <c r="W32" i="106"/>
  <c r="V32" i="106"/>
  <c r="U32" i="106"/>
  <c r="M32" i="106"/>
  <c r="F32" i="106"/>
  <c r="AF31" i="106"/>
  <c r="AE31" i="106"/>
  <c r="AD31" i="106"/>
  <c r="AC31" i="106"/>
  <c r="W31" i="106"/>
  <c r="V31" i="106"/>
  <c r="U31" i="106"/>
  <c r="M31" i="106"/>
  <c r="F31" i="106"/>
  <c r="N31" i="106" s="1"/>
  <c r="AF30" i="106"/>
  <c r="AE30" i="106"/>
  <c r="AD30" i="106"/>
  <c r="AC30" i="106"/>
  <c r="W30" i="106"/>
  <c r="V30" i="106"/>
  <c r="U30" i="106"/>
  <c r="M30" i="106"/>
  <c r="F30" i="106"/>
  <c r="AF29" i="106"/>
  <c r="AE29" i="106"/>
  <c r="AD29" i="106"/>
  <c r="AC29" i="106"/>
  <c r="W29" i="106"/>
  <c r="V29" i="106"/>
  <c r="U29" i="106"/>
  <c r="M29" i="106"/>
  <c r="F29" i="106"/>
  <c r="N29" i="106" s="1"/>
  <c r="AF28" i="106"/>
  <c r="AE28" i="106"/>
  <c r="AD28" i="106"/>
  <c r="AC28" i="106"/>
  <c r="W28" i="106"/>
  <c r="V28" i="106"/>
  <c r="U28" i="106"/>
  <c r="M28" i="106"/>
  <c r="F28" i="106"/>
  <c r="N28" i="106" s="1"/>
  <c r="AF27" i="106"/>
  <c r="AE27" i="106"/>
  <c r="AD27" i="106"/>
  <c r="AC27" i="106"/>
  <c r="W27" i="106"/>
  <c r="V27" i="106"/>
  <c r="U27" i="106"/>
  <c r="X27" i="106" s="1"/>
  <c r="M27" i="106"/>
  <c r="F27" i="106"/>
  <c r="N27" i="106" s="1"/>
  <c r="AF26" i="106"/>
  <c r="AE26" i="106"/>
  <c r="AD26" i="106"/>
  <c r="AC26" i="106"/>
  <c r="W26" i="106"/>
  <c r="V26" i="106"/>
  <c r="U26" i="106"/>
  <c r="M26" i="106"/>
  <c r="F26" i="106"/>
  <c r="AF25" i="106"/>
  <c r="AE25" i="106"/>
  <c r="AD25" i="106"/>
  <c r="AC25" i="106"/>
  <c r="W25" i="106"/>
  <c r="V25" i="106"/>
  <c r="U25" i="106"/>
  <c r="M25" i="106"/>
  <c r="F25" i="106"/>
  <c r="N25" i="106" s="1"/>
  <c r="AF24" i="106"/>
  <c r="AE24" i="106"/>
  <c r="AD24" i="106"/>
  <c r="AC24" i="106"/>
  <c r="W24" i="106"/>
  <c r="V24" i="106"/>
  <c r="U24" i="106"/>
  <c r="X24" i="106" s="1"/>
  <c r="M24" i="106"/>
  <c r="F24" i="106"/>
  <c r="AF23" i="106"/>
  <c r="AE23" i="106"/>
  <c r="AD23" i="106"/>
  <c r="AC23" i="106"/>
  <c r="W23" i="106"/>
  <c r="V23" i="106"/>
  <c r="U23" i="106"/>
  <c r="M23" i="106"/>
  <c r="F23" i="106"/>
  <c r="N23" i="106" s="1"/>
  <c r="AF22" i="106"/>
  <c r="AE22" i="106"/>
  <c r="AD22" i="106"/>
  <c r="AC22" i="106"/>
  <c r="W22" i="106"/>
  <c r="V22" i="106"/>
  <c r="U22" i="106"/>
  <c r="M22" i="106"/>
  <c r="F22" i="106"/>
  <c r="AF21" i="106"/>
  <c r="AE21" i="106"/>
  <c r="AD21" i="106"/>
  <c r="AC21" i="106"/>
  <c r="W21" i="106"/>
  <c r="V21" i="106"/>
  <c r="U21" i="106"/>
  <c r="M21" i="106"/>
  <c r="F21" i="106"/>
  <c r="N21" i="106" s="1"/>
  <c r="AF20" i="106"/>
  <c r="AE20" i="106"/>
  <c r="AD20" i="106"/>
  <c r="AC20" i="106"/>
  <c r="W20" i="106"/>
  <c r="V20" i="106"/>
  <c r="U20" i="106"/>
  <c r="M20" i="106"/>
  <c r="F20" i="106"/>
  <c r="N20" i="106" s="1"/>
  <c r="AF19" i="106"/>
  <c r="AE19" i="106"/>
  <c r="AD19" i="106"/>
  <c r="AC19" i="106"/>
  <c r="W19" i="106"/>
  <c r="V19" i="106"/>
  <c r="U19" i="106"/>
  <c r="X19" i="106" s="1"/>
  <c r="M19" i="106"/>
  <c r="F19" i="106"/>
  <c r="N19" i="106" s="1"/>
  <c r="AF18" i="106"/>
  <c r="AE18" i="106"/>
  <c r="AD18" i="106"/>
  <c r="AC18" i="106"/>
  <c r="W18" i="106"/>
  <c r="V18" i="106"/>
  <c r="U18" i="106"/>
  <c r="M18" i="106"/>
  <c r="F18" i="106"/>
  <c r="AF17" i="106"/>
  <c r="AE17" i="106"/>
  <c r="AD17" i="106"/>
  <c r="AC17" i="106"/>
  <c r="W17" i="106"/>
  <c r="V17" i="106"/>
  <c r="U17" i="106"/>
  <c r="X17" i="106" s="1"/>
  <c r="M17" i="106"/>
  <c r="F17" i="106"/>
  <c r="AF16" i="106"/>
  <c r="AE16" i="106"/>
  <c r="AD16" i="106"/>
  <c r="AC16" i="106"/>
  <c r="W16" i="106"/>
  <c r="V16" i="106"/>
  <c r="U16" i="106"/>
  <c r="M16" i="106"/>
  <c r="F16" i="106"/>
  <c r="AF15" i="106"/>
  <c r="AE15" i="106"/>
  <c r="AD15" i="106"/>
  <c r="AC15" i="106"/>
  <c r="W15" i="106"/>
  <c r="V15" i="106"/>
  <c r="U15" i="106"/>
  <c r="M15" i="106"/>
  <c r="F15" i="106"/>
  <c r="AF14" i="106"/>
  <c r="AE14" i="106"/>
  <c r="AD14" i="106"/>
  <c r="AC14" i="106"/>
  <c r="W14" i="106"/>
  <c r="V14" i="106"/>
  <c r="U14" i="106"/>
  <c r="M14" i="106"/>
  <c r="F14" i="106"/>
  <c r="AF13" i="106"/>
  <c r="AE13" i="106"/>
  <c r="AD13" i="106"/>
  <c r="AC13" i="106"/>
  <c r="W13" i="106"/>
  <c r="V13" i="106"/>
  <c r="U13" i="106"/>
  <c r="M13" i="106"/>
  <c r="F13" i="106"/>
  <c r="E5" i="106"/>
  <c r="A2" i="106"/>
  <c r="D103" i="105"/>
  <c r="T102" i="105"/>
  <c r="S102" i="105"/>
  <c r="R102" i="105"/>
  <c r="Q102" i="105"/>
  <c r="P102" i="105"/>
  <c r="O102" i="105"/>
  <c r="E102" i="105"/>
  <c r="D102" i="105"/>
  <c r="AF100" i="105"/>
  <c r="AE100" i="105"/>
  <c r="AD100" i="105"/>
  <c r="AC100" i="105"/>
  <c r="W100" i="105"/>
  <c r="V100" i="105"/>
  <c r="U100" i="105"/>
  <c r="M100" i="105"/>
  <c r="F100" i="105"/>
  <c r="AF99" i="105"/>
  <c r="AE99" i="105"/>
  <c r="AD99" i="105"/>
  <c r="AC99" i="105"/>
  <c r="W99" i="105"/>
  <c r="V99" i="105"/>
  <c r="U99" i="105"/>
  <c r="X99" i="105" s="1"/>
  <c r="M99" i="105"/>
  <c r="F99" i="105"/>
  <c r="AF98" i="105"/>
  <c r="AE98" i="105"/>
  <c r="AD98" i="105"/>
  <c r="AC98" i="105"/>
  <c r="W98" i="105"/>
  <c r="V98" i="105"/>
  <c r="U98" i="105"/>
  <c r="X98" i="105" s="1"/>
  <c r="M98" i="105"/>
  <c r="F98" i="105"/>
  <c r="N98" i="105" s="1"/>
  <c r="AF97" i="105"/>
  <c r="AE97" i="105"/>
  <c r="AD97" i="105"/>
  <c r="AC97" i="105"/>
  <c r="W97" i="105"/>
  <c r="V97" i="105"/>
  <c r="U97" i="105"/>
  <c r="M97" i="105"/>
  <c r="F97" i="105"/>
  <c r="N97" i="105" s="1"/>
  <c r="AF96" i="105"/>
  <c r="AE96" i="105"/>
  <c r="AD96" i="105"/>
  <c r="AC96" i="105"/>
  <c r="W96" i="105"/>
  <c r="V96" i="105"/>
  <c r="U96" i="105"/>
  <c r="X96" i="105" s="1"/>
  <c r="M96" i="105"/>
  <c r="F96" i="105"/>
  <c r="N96" i="105" s="1"/>
  <c r="AF95" i="105"/>
  <c r="AE95" i="105"/>
  <c r="AD95" i="105"/>
  <c r="AC95" i="105"/>
  <c r="W95" i="105"/>
  <c r="V95" i="105"/>
  <c r="U95" i="105"/>
  <c r="X95" i="105" s="1"/>
  <c r="M95" i="105"/>
  <c r="F95" i="105"/>
  <c r="AF94" i="105"/>
  <c r="AE94" i="105"/>
  <c r="AD94" i="105"/>
  <c r="AC94" i="105"/>
  <c r="W94" i="105"/>
  <c r="V94" i="105"/>
  <c r="U94" i="105"/>
  <c r="X94" i="105" s="1"/>
  <c r="M94" i="105"/>
  <c r="F94" i="105"/>
  <c r="N94" i="105" s="1"/>
  <c r="AF93" i="105"/>
  <c r="AE93" i="105"/>
  <c r="AD93" i="105"/>
  <c r="AC93" i="105"/>
  <c r="W93" i="105"/>
  <c r="V93" i="105"/>
  <c r="U93" i="105"/>
  <c r="M93" i="105"/>
  <c r="F93" i="105"/>
  <c r="N93" i="105" s="1"/>
  <c r="AF92" i="105"/>
  <c r="AE92" i="105"/>
  <c r="AD92" i="105"/>
  <c r="AC92" i="105"/>
  <c r="W92" i="105"/>
  <c r="V92" i="105"/>
  <c r="U92" i="105"/>
  <c r="X92" i="105" s="1"/>
  <c r="M92" i="105"/>
  <c r="F92" i="105"/>
  <c r="AF91" i="105"/>
  <c r="AE91" i="105"/>
  <c r="AD91" i="105"/>
  <c r="AC91" i="105"/>
  <c r="W91" i="105"/>
  <c r="V91" i="105"/>
  <c r="U91" i="105"/>
  <c r="X91" i="105" s="1"/>
  <c r="M91" i="105"/>
  <c r="F91" i="105"/>
  <c r="AF90" i="105"/>
  <c r="AE90" i="105"/>
  <c r="AD90" i="105"/>
  <c r="AC90" i="105"/>
  <c r="W90" i="105"/>
  <c r="V90" i="105"/>
  <c r="U90" i="105"/>
  <c r="X90" i="105" s="1"/>
  <c r="M90" i="105"/>
  <c r="F90" i="105"/>
  <c r="AF89" i="105"/>
  <c r="AE89" i="105"/>
  <c r="AD89" i="105"/>
  <c r="AC89" i="105"/>
  <c r="W89" i="105"/>
  <c r="V89" i="105"/>
  <c r="U89" i="105"/>
  <c r="X89" i="105" s="1"/>
  <c r="M89" i="105"/>
  <c r="F89" i="105"/>
  <c r="N89" i="105" s="1"/>
  <c r="AF88" i="105"/>
  <c r="AE88" i="105"/>
  <c r="AD88" i="105"/>
  <c r="AC88" i="105"/>
  <c r="W88" i="105"/>
  <c r="V88" i="105"/>
  <c r="U88" i="105"/>
  <c r="M88" i="105"/>
  <c r="F88" i="105"/>
  <c r="N88" i="105" s="1"/>
  <c r="AF87" i="105"/>
  <c r="AE87" i="105"/>
  <c r="AD87" i="105"/>
  <c r="AC87" i="105"/>
  <c r="W87" i="105"/>
  <c r="V87" i="105"/>
  <c r="U87" i="105"/>
  <c r="X87" i="105" s="1"/>
  <c r="M87" i="105"/>
  <c r="F87" i="105"/>
  <c r="N87" i="105" s="1"/>
  <c r="AF86" i="105"/>
  <c r="AE86" i="105"/>
  <c r="AD86" i="105"/>
  <c r="AC86" i="105"/>
  <c r="W86" i="105"/>
  <c r="V86" i="105"/>
  <c r="U86" i="105"/>
  <c r="M86" i="105"/>
  <c r="F86" i="105"/>
  <c r="N86" i="105" s="1"/>
  <c r="AF85" i="105"/>
  <c r="AE85" i="105"/>
  <c r="AD85" i="105"/>
  <c r="AC85" i="105"/>
  <c r="W85" i="105"/>
  <c r="V85" i="105"/>
  <c r="U85" i="105"/>
  <c r="X85" i="105" s="1"/>
  <c r="M85" i="105"/>
  <c r="F85" i="105"/>
  <c r="AF84" i="105"/>
  <c r="AE84" i="105"/>
  <c r="AD84" i="105"/>
  <c r="AC84" i="105"/>
  <c r="W84" i="105"/>
  <c r="V84" i="105"/>
  <c r="U84" i="105"/>
  <c r="M84" i="105"/>
  <c r="F84" i="105"/>
  <c r="AF83" i="105"/>
  <c r="AE83" i="105"/>
  <c r="AD83" i="105"/>
  <c r="AC83" i="105"/>
  <c r="W83" i="105"/>
  <c r="V83" i="105"/>
  <c r="U83" i="105"/>
  <c r="M83" i="105"/>
  <c r="F83" i="105"/>
  <c r="AF82" i="105"/>
  <c r="AE82" i="105"/>
  <c r="AD82" i="105"/>
  <c r="AC82" i="105"/>
  <c r="W82" i="105"/>
  <c r="V82" i="105"/>
  <c r="U82" i="105"/>
  <c r="M82" i="105"/>
  <c r="F82" i="105"/>
  <c r="AF81" i="105"/>
  <c r="AE81" i="105"/>
  <c r="AD81" i="105"/>
  <c r="AC81" i="105"/>
  <c r="W81" i="105"/>
  <c r="V81" i="105"/>
  <c r="U81" i="105"/>
  <c r="X81" i="105" s="1"/>
  <c r="M81" i="105"/>
  <c r="F81" i="105"/>
  <c r="N81" i="105" s="1"/>
  <c r="AF80" i="105"/>
  <c r="AE80" i="105"/>
  <c r="AD80" i="105"/>
  <c r="AC80" i="105"/>
  <c r="W80" i="105"/>
  <c r="V80" i="105"/>
  <c r="U80" i="105"/>
  <c r="X80" i="105" s="1"/>
  <c r="M80" i="105"/>
  <c r="F80" i="105"/>
  <c r="N80" i="105" s="1"/>
  <c r="AF79" i="105"/>
  <c r="AE79" i="105"/>
  <c r="AD79" i="105"/>
  <c r="AC79" i="105"/>
  <c r="W79" i="105"/>
  <c r="V79" i="105"/>
  <c r="U79" i="105"/>
  <c r="X79" i="105" s="1"/>
  <c r="M79" i="105"/>
  <c r="F79" i="105"/>
  <c r="N79" i="105" s="1"/>
  <c r="AF78" i="105"/>
  <c r="AE78" i="105"/>
  <c r="AD78" i="105"/>
  <c r="AC78" i="105"/>
  <c r="W78" i="105"/>
  <c r="V78" i="105"/>
  <c r="U78" i="105"/>
  <c r="M78" i="105"/>
  <c r="F78" i="105"/>
  <c r="N78" i="105" s="1"/>
  <c r="AF77" i="105"/>
  <c r="AE77" i="105"/>
  <c r="AD77" i="105"/>
  <c r="AC77" i="105"/>
  <c r="W77" i="105"/>
  <c r="V77" i="105"/>
  <c r="U77" i="105"/>
  <c r="M77" i="105"/>
  <c r="F77" i="105"/>
  <c r="AF76" i="105"/>
  <c r="AE76" i="105"/>
  <c r="AD76" i="105"/>
  <c r="AC76" i="105"/>
  <c r="W76" i="105"/>
  <c r="V76" i="105"/>
  <c r="U76" i="105"/>
  <c r="M76" i="105"/>
  <c r="F76" i="105"/>
  <c r="AF75" i="105"/>
  <c r="AE75" i="105"/>
  <c r="AD75" i="105"/>
  <c r="AC75" i="105"/>
  <c r="W75" i="105"/>
  <c r="V75" i="105"/>
  <c r="U75" i="105"/>
  <c r="M75" i="105"/>
  <c r="F75" i="105"/>
  <c r="AF74" i="105"/>
  <c r="AE74" i="105"/>
  <c r="AD74" i="105"/>
  <c r="AC74" i="105"/>
  <c r="W74" i="105"/>
  <c r="V74" i="105"/>
  <c r="U74" i="105"/>
  <c r="M74" i="105"/>
  <c r="F74" i="105"/>
  <c r="AF73" i="105"/>
  <c r="AE73" i="105"/>
  <c r="AD73" i="105"/>
  <c r="AC73" i="105"/>
  <c r="W73" i="105"/>
  <c r="V73" i="105"/>
  <c r="U73" i="105"/>
  <c r="X73" i="105" s="1"/>
  <c r="M73" i="105"/>
  <c r="F73" i="105"/>
  <c r="N73" i="105" s="1"/>
  <c r="AF72" i="105"/>
  <c r="AE72" i="105"/>
  <c r="AD72" i="105"/>
  <c r="AC72" i="105"/>
  <c r="W72" i="105"/>
  <c r="V72" i="105"/>
  <c r="U72" i="105"/>
  <c r="X72" i="105" s="1"/>
  <c r="M72" i="105"/>
  <c r="F72" i="105"/>
  <c r="N72" i="105" s="1"/>
  <c r="AF71" i="105"/>
  <c r="AE71" i="105"/>
  <c r="AD71" i="105"/>
  <c r="AC71" i="105"/>
  <c r="W71" i="105"/>
  <c r="V71" i="105"/>
  <c r="U71" i="105"/>
  <c r="M71" i="105"/>
  <c r="F71" i="105"/>
  <c r="N71" i="105" s="1"/>
  <c r="AF70" i="105"/>
  <c r="AE70" i="105"/>
  <c r="AD70" i="105"/>
  <c r="AC70" i="105"/>
  <c r="W70" i="105"/>
  <c r="V70" i="105"/>
  <c r="U70" i="105"/>
  <c r="M70" i="105"/>
  <c r="F70" i="105"/>
  <c r="N70" i="105" s="1"/>
  <c r="AF69" i="105"/>
  <c r="AE69" i="105"/>
  <c r="AD69" i="105"/>
  <c r="AC69" i="105"/>
  <c r="W69" i="105"/>
  <c r="V69" i="105"/>
  <c r="U69" i="105"/>
  <c r="M69" i="105"/>
  <c r="F69" i="105"/>
  <c r="AF68" i="105"/>
  <c r="AE68" i="105"/>
  <c r="AD68" i="105"/>
  <c r="AC68" i="105"/>
  <c r="W68" i="105"/>
  <c r="V68" i="105"/>
  <c r="U68" i="105"/>
  <c r="M68" i="105"/>
  <c r="F68" i="105"/>
  <c r="AF67" i="105"/>
  <c r="AE67" i="105"/>
  <c r="AD67" i="105"/>
  <c r="AC67" i="105"/>
  <c r="W67" i="105"/>
  <c r="V67" i="105"/>
  <c r="U67" i="105"/>
  <c r="X67" i="105" s="1"/>
  <c r="M67" i="105"/>
  <c r="F67" i="105"/>
  <c r="AF66" i="105"/>
  <c r="AE66" i="105"/>
  <c r="AD66" i="105"/>
  <c r="AC66" i="105"/>
  <c r="W66" i="105"/>
  <c r="V66" i="105"/>
  <c r="U66" i="105"/>
  <c r="M66" i="105"/>
  <c r="F66" i="105"/>
  <c r="N66" i="105" s="1"/>
  <c r="E49" i="105"/>
  <c r="D49" i="105"/>
  <c r="T48" i="105"/>
  <c r="S48" i="105"/>
  <c r="R48" i="105"/>
  <c r="Q48" i="105"/>
  <c r="P48" i="105"/>
  <c r="O48" i="105"/>
  <c r="E48" i="105"/>
  <c r="D48" i="105"/>
  <c r="AF46" i="105"/>
  <c r="AE46" i="105"/>
  <c r="AD46" i="105"/>
  <c r="AC46" i="105"/>
  <c r="W46" i="105"/>
  <c r="V46" i="105"/>
  <c r="U46" i="105"/>
  <c r="M46" i="105"/>
  <c r="F46" i="105"/>
  <c r="N46" i="105" s="1"/>
  <c r="AF45" i="105"/>
  <c r="AE45" i="105"/>
  <c r="AD45" i="105"/>
  <c r="AC45" i="105"/>
  <c r="W45" i="105"/>
  <c r="V45" i="105"/>
  <c r="U45" i="105"/>
  <c r="M45" i="105"/>
  <c r="F45" i="105"/>
  <c r="N45" i="105" s="1"/>
  <c r="AF44" i="105"/>
  <c r="AE44" i="105"/>
  <c r="AD44" i="105"/>
  <c r="AC44" i="105"/>
  <c r="W44" i="105"/>
  <c r="V44" i="105"/>
  <c r="U44" i="105"/>
  <c r="M44" i="105"/>
  <c r="F44" i="105"/>
  <c r="N44" i="105" s="1"/>
  <c r="AF43" i="105"/>
  <c r="AE43" i="105"/>
  <c r="AD43" i="105"/>
  <c r="AC43" i="105"/>
  <c r="W43" i="105"/>
  <c r="V43" i="105"/>
  <c r="U43" i="105"/>
  <c r="M43" i="105"/>
  <c r="F43" i="105"/>
  <c r="N43" i="105" s="1"/>
  <c r="AF42" i="105"/>
  <c r="AE42" i="105"/>
  <c r="AD42" i="105"/>
  <c r="AC42" i="105"/>
  <c r="W42" i="105"/>
  <c r="V42" i="105"/>
  <c r="U42" i="105"/>
  <c r="M42" i="105"/>
  <c r="F42" i="105"/>
  <c r="N42" i="105" s="1"/>
  <c r="AF41" i="105"/>
  <c r="AE41" i="105"/>
  <c r="AD41" i="105"/>
  <c r="AC41" i="105"/>
  <c r="W41" i="105"/>
  <c r="V41" i="105"/>
  <c r="U41" i="105"/>
  <c r="M41" i="105"/>
  <c r="F41" i="105"/>
  <c r="N41" i="105" s="1"/>
  <c r="AF40" i="105"/>
  <c r="AE40" i="105"/>
  <c r="AD40" i="105"/>
  <c r="AC40" i="105"/>
  <c r="W40" i="105"/>
  <c r="V40" i="105"/>
  <c r="U40" i="105"/>
  <c r="M40" i="105"/>
  <c r="F40" i="105"/>
  <c r="N40" i="105" s="1"/>
  <c r="AF39" i="105"/>
  <c r="AE39" i="105"/>
  <c r="AD39" i="105"/>
  <c r="AC39" i="105"/>
  <c r="W39" i="105"/>
  <c r="V39" i="105"/>
  <c r="U39" i="105"/>
  <c r="M39" i="105"/>
  <c r="F39" i="105"/>
  <c r="N39" i="105" s="1"/>
  <c r="AF38" i="105"/>
  <c r="AE38" i="105"/>
  <c r="AD38" i="105"/>
  <c r="AC38" i="105"/>
  <c r="W38" i="105"/>
  <c r="V38" i="105"/>
  <c r="U38" i="105"/>
  <c r="M38" i="105"/>
  <c r="F38" i="105"/>
  <c r="AF37" i="105"/>
  <c r="AE37" i="105"/>
  <c r="AD37" i="105"/>
  <c r="AC37" i="105"/>
  <c r="W37" i="105"/>
  <c r="V37" i="105"/>
  <c r="U37" i="105"/>
  <c r="M37" i="105"/>
  <c r="F37" i="105"/>
  <c r="AF36" i="105"/>
  <c r="AE36" i="105"/>
  <c r="AD36" i="105"/>
  <c r="AC36" i="105"/>
  <c r="W36" i="105"/>
  <c r="V36" i="105"/>
  <c r="U36" i="105"/>
  <c r="X36" i="105" s="1"/>
  <c r="M36" i="105"/>
  <c r="F36" i="105"/>
  <c r="AF35" i="105"/>
  <c r="AE35" i="105"/>
  <c r="AD35" i="105"/>
  <c r="AC35" i="105"/>
  <c r="W35" i="105"/>
  <c r="V35" i="105"/>
  <c r="U35" i="105"/>
  <c r="M35" i="105"/>
  <c r="F35" i="105"/>
  <c r="AF34" i="105"/>
  <c r="AE34" i="105"/>
  <c r="AD34" i="105"/>
  <c r="AC34" i="105"/>
  <c r="W34" i="105"/>
  <c r="V34" i="105"/>
  <c r="U34" i="105"/>
  <c r="M34" i="105"/>
  <c r="F34" i="105"/>
  <c r="AF33" i="105"/>
  <c r="AE33" i="105"/>
  <c r="AD33" i="105"/>
  <c r="AC33" i="105"/>
  <c r="W33" i="105"/>
  <c r="V33" i="105"/>
  <c r="U33" i="105"/>
  <c r="X33" i="105" s="1"/>
  <c r="M33" i="105"/>
  <c r="F33" i="105"/>
  <c r="AF32" i="105"/>
  <c r="AE32" i="105"/>
  <c r="AD32" i="105"/>
  <c r="AC32" i="105"/>
  <c r="W32" i="105"/>
  <c r="V32" i="105"/>
  <c r="U32" i="105"/>
  <c r="X32" i="105" s="1"/>
  <c r="M32" i="105"/>
  <c r="F32" i="105"/>
  <c r="AF31" i="105"/>
  <c r="AE31" i="105"/>
  <c r="AD31" i="105"/>
  <c r="AC31" i="105"/>
  <c r="W31" i="105"/>
  <c r="V31" i="105"/>
  <c r="U31" i="105"/>
  <c r="M31" i="105"/>
  <c r="F31" i="105"/>
  <c r="AF30" i="105"/>
  <c r="AE30" i="105"/>
  <c r="AD30" i="105"/>
  <c r="AC30" i="105"/>
  <c r="W30" i="105"/>
  <c r="V30" i="105"/>
  <c r="U30" i="105"/>
  <c r="M30" i="105"/>
  <c r="F30" i="105"/>
  <c r="AF29" i="105"/>
  <c r="AE29" i="105"/>
  <c r="AD29" i="105"/>
  <c r="AC29" i="105"/>
  <c r="W29" i="105"/>
  <c r="V29" i="105"/>
  <c r="U29" i="105"/>
  <c r="M29" i="105"/>
  <c r="F29" i="105"/>
  <c r="AF28" i="105"/>
  <c r="AE28" i="105"/>
  <c r="AD28" i="105"/>
  <c r="AC28" i="105"/>
  <c r="W28" i="105"/>
  <c r="V28" i="105"/>
  <c r="U28" i="105"/>
  <c r="M28" i="105"/>
  <c r="F28" i="105"/>
  <c r="AF27" i="105"/>
  <c r="AE27" i="105"/>
  <c r="AD27" i="105"/>
  <c r="AC27" i="105"/>
  <c r="W27" i="105"/>
  <c r="V27" i="105"/>
  <c r="U27" i="105"/>
  <c r="M27" i="105"/>
  <c r="F27" i="105"/>
  <c r="AF26" i="105"/>
  <c r="AE26" i="105"/>
  <c r="AD26" i="105"/>
  <c r="AC26" i="105"/>
  <c r="W26" i="105"/>
  <c r="V26" i="105"/>
  <c r="U26" i="105"/>
  <c r="M26" i="105"/>
  <c r="F26" i="105"/>
  <c r="AF25" i="105"/>
  <c r="AE25" i="105"/>
  <c r="AD25" i="105"/>
  <c r="AC25" i="105"/>
  <c r="W25" i="105"/>
  <c r="V25" i="105"/>
  <c r="U25" i="105"/>
  <c r="M25" i="105"/>
  <c r="F25" i="105"/>
  <c r="AF24" i="105"/>
  <c r="AE24" i="105"/>
  <c r="AD24" i="105"/>
  <c r="AC24" i="105"/>
  <c r="W24" i="105"/>
  <c r="V24" i="105"/>
  <c r="U24" i="105"/>
  <c r="X24" i="105" s="1"/>
  <c r="M24" i="105"/>
  <c r="F24" i="105"/>
  <c r="AF23" i="105"/>
  <c r="AE23" i="105"/>
  <c r="AD23" i="105"/>
  <c r="AC23" i="105"/>
  <c r="W23" i="105"/>
  <c r="V23" i="105"/>
  <c r="U23" i="105"/>
  <c r="M23" i="105"/>
  <c r="F23" i="105"/>
  <c r="AF22" i="105"/>
  <c r="AE22" i="105"/>
  <c r="AD22" i="105"/>
  <c r="AC22" i="105"/>
  <c r="W22" i="105"/>
  <c r="V22" i="105"/>
  <c r="U22" i="105"/>
  <c r="M22" i="105"/>
  <c r="F22" i="105"/>
  <c r="AF21" i="105"/>
  <c r="AE21" i="105"/>
  <c r="AD21" i="105"/>
  <c r="AC21" i="105"/>
  <c r="W21" i="105"/>
  <c r="V21" i="105"/>
  <c r="U21" i="105"/>
  <c r="X21" i="105" s="1"/>
  <c r="M21" i="105"/>
  <c r="F21" i="105"/>
  <c r="AF20" i="105"/>
  <c r="AE20" i="105"/>
  <c r="AD20" i="105"/>
  <c r="AC20" i="105"/>
  <c r="W20" i="105"/>
  <c r="V20" i="105"/>
  <c r="U20" i="105"/>
  <c r="X20" i="105" s="1"/>
  <c r="M20" i="105"/>
  <c r="F20" i="105"/>
  <c r="AF19" i="105"/>
  <c r="AE19" i="105"/>
  <c r="AD19" i="105"/>
  <c r="AC19" i="105"/>
  <c r="W19" i="105"/>
  <c r="V19" i="105"/>
  <c r="U19" i="105"/>
  <c r="M19" i="105"/>
  <c r="F19" i="105"/>
  <c r="AF18" i="105"/>
  <c r="AE18" i="105"/>
  <c r="AD18" i="105"/>
  <c r="AC18" i="105"/>
  <c r="W18" i="105"/>
  <c r="V18" i="105"/>
  <c r="U18" i="105"/>
  <c r="M18" i="105"/>
  <c r="F18" i="105"/>
  <c r="AF17" i="105"/>
  <c r="AE17" i="105"/>
  <c r="AD17" i="105"/>
  <c r="AC17" i="105"/>
  <c r="W17" i="105"/>
  <c r="V17" i="105"/>
  <c r="U17" i="105"/>
  <c r="M17" i="105"/>
  <c r="F17" i="105"/>
  <c r="AF16" i="105"/>
  <c r="AE16" i="105"/>
  <c r="AD16" i="105"/>
  <c r="AC16" i="105"/>
  <c r="W16" i="105"/>
  <c r="V16" i="105"/>
  <c r="U16" i="105"/>
  <c r="X16" i="105" s="1"/>
  <c r="M16" i="105"/>
  <c r="F16" i="105"/>
  <c r="N16" i="105" s="1"/>
  <c r="AF15" i="105"/>
  <c r="AE15" i="105"/>
  <c r="AD15" i="105"/>
  <c r="AC15" i="105"/>
  <c r="W15" i="105"/>
  <c r="V15" i="105"/>
  <c r="U15" i="105"/>
  <c r="M15" i="105"/>
  <c r="F15" i="105"/>
  <c r="AF14" i="105"/>
  <c r="AE14" i="105"/>
  <c r="AD14" i="105"/>
  <c r="AC14" i="105"/>
  <c r="W14" i="105"/>
  <c r="V14" i="105"/>
  <c r="U14" i="105"/>
  <c r="M14" i="105"/>
  <c r="F14" i="105"/>
  <c r="AF13" i="105"/>
  <c r="AE13" i="105"/>
  <c r="AD13" i="105"/>
  <c r="AC13" i="105"/>
  <c r="W13" i="105"/>
  <c r="V13" i="105"/>
  <c r="U13" i="105"/>
  <c r="X13" i="105" s="1"/>
  <c r="M13" i="105"/>
  <c r="F13" i="105"/>
  <c r="E5" i="105"/>
  <c r="A2" i="105"/>
  <c r="A55" i="105" s="1"/>
  <c r="D103" i="104"/>
  <c r="T102" i="104"/>
  <c r="S102" i="104"/>
  <c r="R102" i="104"/>
  <c r="Q102" i="104"/>
  <c r="P102" i="104"/>
  <c r="O102" i="104"/>
  <c r="E102" i="104"/>
  <c r="D102" i="104"/>
  <c r="AF100" i="104"/>
  <c r="AE100" i="104"/>
  <c r="AD100" i="104"/>
  <c r="AC100" i="104"/>
  <c r="W100" i="104"/>
  <c r="V100" i="104"/>
  <c r="U100" i="104"/>
  <c r="X100" i="104" s="1"/>
  <c r="M100" i="104"/>
  <c r="F100" i="104"/>
  <c r="N100" i="104" s="1"/>
  <c r="AF99" i="104"/>
  <c r="AE99" i="104"/>
  <c r="AD99" i="104"/>
  <c r="AC99" i="104"/>
  <c r="W99" i="104"/>
  <c r="V99" i="104"/>
  <c r="U99" i="104"/>
  <c r="X99" i="104" s="1"/>
  <c r="M99" i="104"/>
  <c r="F99" i="104"/>
  <c r="AF98" i="104"/>
  <c r="AE98" i="104"/>
  <c r="AD98" i="104"/>
  <c r="AC98" i="104"/>
  <c r="W98" i="104"/>
  <c r="V98" i="104"/>
  <c r="U98" i="104"/>
  <c r="X98" i="104" s="1"/>
  <c r="M98" i="104"/>
  <c r="F98" i="104"/>
  <c r="AF97" i="104"/>
  <c r="AE97" i="104"/>
  <c r="AD97" i="104"/>
  <c r="AC97" i="104"/>
  <c r="W97" i="104"/>
  <c r="V97" i="104"/>
  <c r="U97" i="104"/>
  <c r="X97" i="104" s="1"/>
  <c r="M97" i="104"/>
  <c r="F97" i="104"/>
  <c r="AF96" i="104"/>
  <c r="AE96" i="104"/>
  <c r="AD96" i="104"/>
  <c r="AC96" i="104"/>
  <c r="W96" i="104"/>
  <c r="V96" i="104"/>
  <c r="U96" i="104"/>
  <c r="X96" i="104" s="1"/>
  <c r="M96" i="104"/>
  <c r="F96" i="104"/>
  <c r="N96" i="104" s="1"/>
  <c r="AF95" i="104"/>
  <c r="AE95" i="104"/>
  <c r="AD95" i="104"/>
  <c r="AC95" i="104"/>
  <c r="W95" i="104"/>
  <c r="V95" i="104"/>
  <c r="U95" i="104"/>
  <c r="M95" i="104"/>
  <c r="F95" i="104"/>
  <c r="AF94" i="104"/>
  <c r="AE94" i="104"/>
  <c r="AD94" i="104"/>
  <c r="AC94" i="104"/>
  <c r="W94" i="104"/>
  <c r="V94" i="104"/>
  <c r="U94" i="104"/>
  <c r="X94" i="104" s="1"/>
  <c r="M94" i="104"/>
  <c r="F94" i="104"/>
  <c r="AF93" i="104"/>
  <c r="AE93" i="104"/>
  <c r="AD93" i="104"/>
  <c r="AC93" i="104"/>
  <c r="W93" i="104"/>
  <c r="V93" i="104"/>
  <c r="U93" i="104"/>
  <c r="M93" i="104"/>
  <c r="F93" i="104"/>
  <c r="AF92" i="104"/>
  <c r="AE92" i="104"/>
  <c r="AD92" i="104"/>
  <c r="AC92" i="104"/>
  <c r="W92" i="104"/>
  <c r="V92" i="104"/>
  <c r="U92" i="104"/>
  <c r="X92" i="104" s="1"/>
  <c r="M92" i="104"/>
  <c r="F92" i="104"/>
  <c r="N92" i="104" s="1"/>
  <c r="AF91" i="104"/>
  <c r="AE91" i="104"/>
  <c r="AD91" i="104"/>
  <c r="AC91" i="104"/>
  <c r="W91" i="104"/>
  <c r="V91" i="104"/>
  <c r="U91" i="104"/>
  <c r="X91" i="104" s="1"/>
  <c r="M91" i="104"/>
  <c r="F91" i="104"/>
  <c r="AF90" i="104"/>
  <c r="AE90" i="104"/>
  <c r="AD90" i="104"/>
  <c r="AC90" i="104"/>
  <c r="W90" i="104"/>
  <c r="V90" i="104"/>
  <c r="U90" i="104"/>
  <c r="X90" i="104" s="1"/>
  <c r="M90" i="104"/>
  <c r="F90" i="104"/>
  <c r="AF89" i="104"/>
  <c r="AE89" i="104"/>
  <c r="AD89" i="104"/>
  <c r="AC89" i="104"/>
  <c r="W89" i="104"/>
  <c r="V89" i="104"/>
  <c r="U89" i="104"/>
  <c r="X89" i="104" s="1"/>
  <c r="M89" i="104"/>
  <c r="F89" i="104"/>
  <c r="AF88" i="104"/>
  <c r="AE88" i="104"/>
  <c r="AD88" i="104"/>
  <c r="AC88" i="104"/>
  <c r="W88" i="104"/>
  <c r="V88" i="104"/>
  <c r="U88" i="104"/>
  <c r="X88" i="104" s="1"/>
  <c r="M88" i="104"/>
  <c r="F88" i="104"/>
  <c r="N88" i="104" s="1"/>
  <c r="AF87" i="104"/>
  <c r="AE87" i="104"/>
  <c r="AD87" i="104"/>
  <c r="AC87" i="104"/>
  <c r="W87" i="104"/>
  <c r="V87" i="104"/>
  <c r="U87" i="104"/>
  <c r="M87" i="104"/>
  <c r="F87" i="104"/>
  <c r="AF86" i="104"/>
  <c r="AE86" i="104"/>
  <c r="AD86" i="104"/>
  <c r="AC86" i="104"/>
  <c r="W86" i="104"/>
  <c r="V86" i="104"/>
  <c r="U86" i="104"/>
  <c r="X86" i="104" s="1"/>
  <c r="M86" i="104"/>
  <c r="F86" i="104"/>
  <c r="AF85" i="104"/>
  <c r="AE85" i="104"/>
  <c r="AD85" i="104"/>
  <c r="AC85" i="104"/>
  <c r="W85" i="104"/>
  <c r="V85" i="104"/>
  <c r="U85" i="104"/>
  <c r="M85" i="104"/>
  <c r="F85" i="104"/>
  <c r="AF84" i="104"/>
  <c r="AE84" i="104"/>
  <c r="AD84" i="104"/>
  <c r="AC84" i="104"/>
  <c r="W84" i="104"/>
  <c r="V84" i="104"/>
  <c r="U84" i="104"/>
  <c r="X84" i="104" s="1"/>
  <c r="M84" i="104"/>
  <c r="F84" i="104"/>
  <c r="N84" i="104" s="1"/>
  <c r="AF83" i="104"/>
  <c r="AE83" i="104"/>
  <c r="AD83" i="104"/>
  <c r="AC83" i="104"/>
  <c r="W83" i="104"/>
  <c r="V83" i="104"/>
  <c r="U83" i="104"/>
  <c r="M83" i="104"/>
  <c r="F83" i="104"/>
  <c r="AF82" i="104"/>
  <c r="AE82" i="104"/>
  <c r="AD82" i="104"/>
  <c r="AC82" i="104"/>
  <c r="W82" i="104"/>
  <c r="V82" i="104"/>
  <c r="U82" i="104"/>
  <c r="M82" i="104"/>
  <c r="F82" i="104"/>
  <c r="AF81" i="104"/>
  <c r="AE81" i="104"/>
  <c r="AD81" i="104"/>
  <c r="AC81" i="104"/>
  <c r="W81" i="104"/>
  <c r="V81" i="104"/>
  <c r="U81" i="104"/>
  <c r="M81" i="104"/>
  <c r="F81" i="104"/>
  <c r="AF80" i="104"/>
  <c r="AE80" i="104"/>
  <c r="AD80" i="104"/>
  <c r="AC80" i="104"/>
  <c r="W80" i="104"/>
  <c r="V80" i="104"/>
  <c r="U80" i="104"/>
  <c r="X80" i="104" s="1"/>
  <c r="M80" i="104"/>
  <c r="F80" i="104"/>
  <c r="N80" i="104" s="1"/>
  <c r="AF79" i="104"/>
  <c r="AE79" i="104"/>
  <c r="AD79" i="104"/>
  <c r="AC79" i="104"/>
  <c r="W79" i="104"/>
  <c r="V79" i="104"/>
  <c r="U79" i="104"/>
  <c r="X79" i="104" s="1"/>
  <c r="M79" i="104"/>
  <c r="F79" i="104"/>
  <c r="AF78" i="104"/>
  <c r="AE78" i="104"/>
  <c r="AD78" i="104"/>
  <c r="AC78" i="104"/>
  <c r="W78" i="104"/>
  <c r="V78" i="104"/>
  <c r="U78" i="104"/>
  <c r="X78" i="104" s="1"/>
  <c r="M78" i="104"/>
  <c r="F78" i="104"/>
  <c r="AF77" i="104"/>
  <c r="AE77" i="104"/>
  <c r="AD77" i="104"/>
  <c r="AC77" i="104"/>
  <c r="W77" i="104"/>
  <c r="V77" i="104"/>
  <c r="U77" i="104"/>
  <c r="M77" i="104"/>
  <c r="F77" i="104"/>
  <c r="AF76" i="104"/>
  <c r="AE76" i="104"/>
  <c r="AD76" i="104"/>
  <c r="AC76" i="104"/>
  <c r="W76" i="104"/>
  <c r="V76" i="104"/>
  <c r="U76" i="104"/>
  <c r="X76" i="104" s="1"/>
  <c r="M76" i="104"/>
  <c r="F76" i="104"/>
  <c r="N76" i="104" s="1"/>
  <c r="AF75" i="104"/>
  <c r="AE75" i="104"/>
  <c r="AD75" i="104"/>
  <c r="AC75" i="104"/>
  <c r="W75" i="104"/>
  <c r="V75" i="104"/>
  <c r="U75" i="104"/>
  <c r="M75" i="104"/>
  <c r="F75" i="104"/>
  <c r="AF74" i="104"/>
  <c r="AE74" i="104"/>
  <c r="AD74" i="104"/>
  <c r="AC74" i="104"/>
  <c r="W74" i="104"/>
  <c r="V74" i="104"/>
  <c r="U74" i="104"/>
  <c r="M74" i="104"/>
  <c r="F74" i="104"/>
  <c r="AF73" i="104"/>
  <c r="AE73" i="104"/>
  <c r="AD73" i="104"/>
  <c r="AC73" i="104"/>
  <c r="W73" i="104"/>
  <c r="V73" i="104"/>
  <c r="U73" i="104"/>
  <c r="M73" i="104"/>
  <c r="F73" i="104"/>
  <c r="AF72" i="104"/>
  <c r="AE72" i="104"/>
  <c r="AD72" i="104"/>
  <c r="AC72" i="104"/>
  <c r="W72" i="104"/>
  <c r="V72" i="104"/>
  <c r="U72" i="104"/>
  <c r="X72" i="104" s="1"/>
  <c r="M72" i="104"/>
  <c r="F72" i="104"/>
  <c r="N72" i="104" s="1"/>
  <c r="AF71" i="104"/>
  <c r="AE71" i="104"/>
  <c r="AD71" i="104"/>
  <c r="AC71" i="104"/>
  <c r="W71" i="104"/>
  <c r="V71" i="104"/>
  <c r="U71" i="104"/>
  <c r="X71" i="104" s="1"/>
  <c r="M71" i="104"/>
  <c r="F71" i="104"/>
  <c r="AF70" i="104"/>
  <c r="AE70" i="104"/>
  <c r="AD70" i="104"/>
  <c r="AC70" i="104"/>
  <c r="W70" i="104"/>
  <c r="V70" i="104"/>
  <c r="U70" i="104"/>
  <c r="X70" i="104" s="1"/>
  <c r="M70" i="104"/>
  <c r="F70" i="104"/>
  <c r="AF69" i="104"/>
  <c r="AE69" i="104"/>
  <c r="AD69" i="104"/>
  <c r="AC69" i="104"/>
  <c r="W69" i="104"/>
  <c r="V69" i="104"/>
  <c r="U69" i="104"/>
  <c r="M69" i="104"/>
  <c r="F69" i="104"/>
  <c r="AF68" i="104"/>
  <c r="AE68" i="104"/>
  <c r="AD68" i="104"/>
  <c r="AC68" i="104"/>
  <c r="W68" i="104"/>
  <c r="V68" i="104"/>
  <c r="U68" i="104"/>
  <c r="X68" i="104" s="1"/>
  <c r="M68" i="104"/>
  <c r="F68" i="104"/>
  <c r="N68" i="104" s="1"/>
  <c r="AF67" i="104"/>
  <c r="AE67" i="104"/>
  <c r="AD67" i="104"/>
  <c r="AC67" i="104"/>
  <c r="W67" i="104"/>
  <c r="V67" i="104"/>
  <c r="U67" i="104"/>
  <c r="X67" i="104" s="1"/>
  <c r="M67" i="104"/>
  <c r="F67" i="104"/>
  <c r="AF66" i="104"/>
  <c r="AE66" i="104"/>
  <c r="AD66" i="104"/>
  <c r="AC66" i="104"/>
  <c r="W66" i="104"/>
  <c r="V66" i="104"/>
  <c r="U66" i="104"/>
  <c r="M66" i="104"/>
  <c r="F66" i="104"/>
  <c r="N66" i="104" s="1"/>
  <c r="E49" i="104"/>
  <c r="D49" i="104"/>
  <c r="T48" i="104"/>
  <c r="S48" i="104"/>
  <c r="R48" i="104"/>
  <c r="Q48" i="104"/>
  <c r="P48" i="104"/>
  <c r="O48" i="104"/>
  <c r="E48" i="104"/>
  <c r="D48" i="104"/>
  <c r="AF46" i="104"/>
  <c r="AE46" i="104"/>
  <c r="AD46" i="104"/>
  <c r="AC46" i="104"/>
  <c r="W46" i="104"/>
  <c r="V46" i="104"/>
  <c r="U46" i="104"/>
  <c r="X46" i="104" s="1"/>
  <c r="M46" i="104"/>
  <c r="F46" i="104"/>
  <c r="N46" i="104" s="1"/>
  <c r="AF45" i="104"/>
  <c r="AE45" i="104"/>
  <c r="AD45" i="104"/>
  <c r="AC45" i="104"/>
  <c r="W45" i="104"/>
  <c r="V45" i="104"/>
  <c r="U45" i="104"/>
  <c r="X45" i="104" s="1"/>
  <c r="M45" i="104"/>
  <c r="F45" i="104"/>
  <c r="N45" i="104" s="1"/>
  <c r="AF44" i="104"/>
  <c r="AE44" i="104"/>
  <c r="AD44" i="104"/>
  <c r="AC44" i="104"/>
  <c r="W44" i="104"/>
  <c r="V44" i="104"/>
  <c r="U44" i="104"/>
  <c r="M44" i="104"/>
  <c r="F44" i="104"/>
  <c r="N44" i="104" s="1"/>
  <c r="AF43" i="104"/>
  <c r="AE43" i="104"/>
  <c r="AD43" i="104"/>
  <c r="AC43" i="104"/>
  <c r="W43" i="104"/>
  <c r="V43" i="104"/>
  <c r="U43" i="104"/>
  <c r="X43" i="104" s="1"/>
  <c r="M43" i="104"/>
  <c r="F43" i="104"/>
  <c r="N43" i="104" s="1"/>
  <c r="AF42" i="104"/>
  <c r="AE42" i="104"/>
  <c r="AD42" i="104"/>
  <c r="AC42" i="104"/>
  <c r="W42" i="104"/>
  <c r="V42" i="104"/>
  <c r="U42" i="104"/>
  <c r="X42" i="104" s="1"/>
  <c r="M42" i="104"/>
  <c r="F42" i="104"/>
  <c r="AF41" i="104"/>
  <c r="AE41" i="104"/>
  <c r="AD41" i="104"/>
  <c r="AC41" i="104"/>
  <c r="W41" i="104"/>
  <c r="V41" i="104"/>
  <c r="U41" i="104"/>
  <c r="M41" i="104"/>
  <c r="F41" i="104"/>
  <c r="N41" i="104" s="1"/>
  <c r="AF40" i="104"/>
  <c r="AE40" i="104"/>
  <c r="AD40" i="104"/>
  <c r="AC40" i="104"/>
  <c r="W40" i="104"/>
  <c r="V40" i="104"/>
  <c r="U40" i="104"/>
  <c r="M40" i="104"/>
  <c r="F40" i="104"/>
  <c r="AF39" i="104"/>
  <c r="AE39" i="104"/>
  <c r="AD39" i="104"/>
  <c r="AC39" i="104"/>
  <c r="W39" i="104"/>
  <c r="V39" i="104"/>
  <c r="U39" i="104"/>
  <c r="M39" i="104"/>
  <c r="F39" i="104"/>
  <c r="AF38" i="104"/>
  <c r="AE38" i="104"/>
  <c r="AD38" i="104"/>
  <c r="AC38" i="104"/>
  <c r="W38" i="104"/>
  <c r="V38" i="104"/>
  <c r="U38" i="104"/>
  <c r="M38" i="104"/>
  <c r="F38" i="104"/>
  <c r="AF37" i="104"/>
  <c r="AE37" i="104"/>
  <c r="AD37" i="104"/>
  <c r="AC37" i="104"/>
  <c r="W37" i="104"/>
  <c r="V37" i="104"/>
  <c r="U37" i="104"/>
  <c r="M37" i="104"/>
  <c r="F37" i="104"/>
  <c r="N37" i="104" s="1"/>
  <c r="AF36" i="104"/>
  <c r="AE36" i="104"/>
  <c r="AD36" i="104"/>
  <c r="AC36" i="104"/>
  <c r="W36" i="104"/>
  <c r="V36" i="104"/>
  <c r="U36" i="104"/>
  <c r="X36" i="104" s="1"/>
  <c r="M36" i="104"/>
  <c r="F36" i="104"/>
  <c r="N36" i="104" s="1"/>
  <c r="AF35" i="104"/>
  <c r="AE35" i="104"/>
  <c r="AD35" i="104"/>
  <c r="AC35" i="104"/>
  <c r="W35" i="104"/>
  <c r="V35" i="104"/>
  <c r="U35" i="104"/>
  <c r="X35" i="104" s="1"/>
  <c r="M35" i="104"/>
  <c r="F35" i="104"/>
  <c r="N35" i="104" s="1"/>
  <c r="AF34" i="104"/>
  <c r="AE34" i="104"/>
  <c r="AD34" i="104"/>
  <c r="AC34" i="104"/>
  <c r="W34" i="104"/>
  <c r="V34" i="104"/>
  <c r="U34" i="104"/>
  <c r="X34" i="104" s="1"/>
  <c r="M34" i="104"/>
  <c r="F34" i="104"/>
  <c r="AF33" i="104"/>
  <c r="AE33" i="104"/>
  <c r="AD33" i="104"/>
  <c r="AC33" i="104"/>
  <c r="W33" i="104"/>
  <c r="V33" i="104"/>
  <c r="U33" i="104"/>
  <c r="M33" i="104"/>
  <c r="F33" i="104"/>
  <c r="N33" i="104" s="1"/>
  <c r="AF32" i="104"/>
  <c r="AE32" i="104"/>
  <c r="AD32" i="104"/>
  <c r="AC32" i="104"/>
  <c r="W32" i="104"/>
  <c r="V32" i="104"/>
  <c r="U32" i="104"/>
  <c r="X32" i="104" s="1"/>
  <c r="M32" i="104"/>
  <c r="F32" i="104"/>
  <c r="AF31" i="104"/>
  <c r="AE31" i="104"/>
  <c r="AD31" i="104"/>
  <c r="AC31" i="104"/>
  <c r="W31" i="104"/>
  <c r="V31" i="104"/>
  <c r="U31" i="104"/>
  <c r="M31" i="104"/>
  <c r="F31" i="104"/>
  <c r="AF30" i="104"/>
  <c r="AE30" i="104"/>
  <c r="AD30" i="104"/>
  <c r="AC30" i="104"/>
  <c r="W30" i="104"/>
  <c r="V30" i="104"/>
  <c r="U30" i="104"/>
  <c r="M30" i="104"/>
  <c r="F30" i="104"/>
  <c r="AF29" i="104"/>
  <c r="AE29" i="104"/>
  <c r="AD29" i="104"/>
  <c r="AC29" i="104"/>
  <c r="W29" i="104"/>
  <c r="V29" i="104"/>
  <c r="U29" i="104"/>
  <c r="M29" i="104"/>
  <c r="F29" i="104"/>
  <c r="N29" i="104" s="1"/>
  <c r="AF28" i="104"/>
  <c r="AE28" i="104"/>
  <c r="AD28" i="104"/>
  <c r="AC28" i="104"/>
  <c r="W28" i="104"/>
  <c r="V28" i="104"/>
  <c r="U28" i="104"/>
  <c r="X28" i="104" s="1"/>
  <c r="M28" i="104"/>
  <c r="F28" i="104"/>
  <c r="N28" i="104" s="1"/>
  <c r="AF27" i="104"/>
  <c r="AE27" i="104"/>
  <c r="AD27" i="104"/>
  <c r="AC27" i="104"/>
  <c r="W27" i="104"/>
  <c r="V27" i="104"/>
  <c r="U27" i="104"/>
  <c r="X27" i="104" s="1"/>
  <c r="M27" i="104"/>
  <c r="F27" i="104"/>
  <c r="N27" i="104" s="1"/>
  <c r="AF26" i="104"/>
  <c r="AE26" i="104"/>
  <c r="AD26" i="104"/>
  <c r="AC26" i="104"/>
  <c r="W26" i="104"/>
  <c r="V26" i="104"/>
  <c r="U26" i="104"/>
  <c r="M26" i="104"/>
  <c r="F26" i="104"/>
  <c r="AF25" i="104"/>
  <c r="AE25" i="104"/>
  <c r="AD25" i="104"/>
  <c r="AC25" i="104"/>
  <c r="W25" i="104"/>
  <c r="V25" i="104"/>
  <c r="U25" i="104"/>
  <c r="M25" i="104"/>
  <c r="F25" i="104"/>
  <c r="AF24" i="104"/>
  <c r="AE24" i="104"/>
  <c r="AD24" i="104"/>
  <c r="AC24" i="104"/>
  <c r="W24" i="104"/>
  <c r="V24" i="104"/>
  <c r="U24" i="104"/>
  <c r="M24" i="104"/>
  <c r="F24" i="104"/>
  <c r="AF23" i="104"/>
  <c r="AE23" i="104"/>
  <c r="AD23" i="104"/>
  <c r="AC23" i="104"/>
  <c r="W23" i="104"/>
  <c r="V23" i="104"/>
  <c r="U23" i="104"/>
  <c r="M23" i="104"/>
  <c r="F23" i="104"/>
  <c r="AF22" i="104"/>
  <c r="AE22" i="104"/>
  <c r="AD22" i="104"/>
  <c r="AC22" i="104"/>
  <c r="W22" i="104"/>
  <c r="V22" i="104"/>
  <c r="U22" i="104"/>
  <c r="M22" i="104"/>
  <c r="F22" i="104"/>
  <c r="AF21" i="104"/>
  <c r="AE21" i="104"/>
  <c r="AD21" i="104"/>
  <c r="AC21" i="104"/>
  <c r="W21" i="104"/>
  <c r="V21" i="104"/>
  <c r="U21" i="104"/>
  <c r="M21" i="104"/>
  <c r="F21" i="104"/>
  <c r="N21" i="104" s="1"/>
  <c r="AF20" i="104"/>
  <c r="AE20" i="104"/>
  <c r="AD20" i="104"/>
  <c r="AC20" i="104"/>
  <c r="W20" i="104"/>
  <c r="V20" i="104"/>
  <c r="U20" i="104"/>
  <c r="X20" i="104" s="1"/>
  <c r="M20" i="104"/>
  <c r="F20" i="104"/>
  <c r="N20" i="104" s="1"/>
  <c r="AF19" i="104"/>
  <c r="AE19" i="104"/>
  <c r="AD19" i="104"/>
  <c r="AC19" i="104"/>
  <c r="W19" i="104"/>
  <c r="V19" i="104"/>
  <c r="U19" i="104"/>
  <c r="X19" i="104" s="1"/>
  <c r="M19" i="104"/>
  <c r="F19" i="104"/>
  <c r="N19" i="104" s="1"/>
  <c r="AF18" i="104"/>
  <c r="AE18" i="104"/>
  <c r="AD18" i="104"/>
  <c r="AC18" i="104"/>
  <c r="W18" i="104"/>
  <c r="V18" i="104"/>
  <c r="U18" i="104"/>
  <c r="M18" i="104"/>
  <c r="F18" i="104"/>
  <c r="AF17" i="104"/>
  <c r="AE17" i="104"/>
  <c r="AD17" i="104"/>
  <c r="AC17" i="104"/>
  <c r="W17" i="104"/>
  <c r="V17" i="104"/>
  <c r="U17" i="104"/>
  <c r="M17" i="104"/>
  <c r="F17" i="104"/>
  <c r="AF16" i="104"/>
  <c r="AE16" i="104"/>
  <c r="AD16" i="104"/>
  <c r="AC16" i="104"/>
  <c r="W16" i="104"/>
  <c r="V16" i="104"/>
  <c r="U16" i="104"/>
  <c r="M16" i="104"/>
  <c r="F16" i="104"/>
  <c r="AF15" i="104"/>
  <c r="AE15" i="104"/>
  <c r="AD15" i="104"/>
  <c r="AC15" i="104"/>
  <c r="W15" i="104"/>
  <c r="V15" i="104"/>
  <c r="U15" i="104"/>
  <c r="M15" i="104"/>
  <c r="F15" i="104"/>
  <c r="AF14" i="104"/>
  <c r="AE14" i="104"/>
  <c r="AD14" i="104"/>
  <c r="AC14" i="104"/>
  <c r="W14" i="104"/>
  <c r="V14" i="104"/>
  <c r="U14" i="104"/>
  <c r="X14" i="104" s="1"/>
  <c r="M14" i="104"/>
  <c r="F14" i="104"/>
  <c r="N14" i="104" s="1"/>
  <c r="AF13" i="104"/>
  <c r="AE13" i="104"/>
  <c r="AD13" i="104"/>
  <c r="AC13" i="104"/>
  <c r="W13" i="104"/>
  <c r="V13" i="104"/>
  <c r="U13" i="104"/>
  <c r="M13" i="104"/>
  <c r="F13" i="104"/>
  <c r="E5" i="104"/>
  <c r="E58" i="104" s="1"/>
  <c r="A2" i="104"/>
  <c r="D103" i="103"/>
  <c r="T102" i="103"/>
  <c r="S102" i="103"/>
  <c r="R102" i="103"/>
  <c r="Q102" i="103"/>
  <c r="P102" i="103"/>
  <c r="O102" i="103"/>
  <c r="E102" i="103"/>
  <c r="D102" i="103"/>
  <c r="AF100" i="103"/>
  <c r="AE100" i="103"/>
  <c r="AD100" i="103"/>
  <c r="AC100" i="103"/>
  <c r="W100" i="103"/>
  <c r="V100" i="103"/>
  <c r="U100" i="103"/>
  <c r="X100" i="103" s="1"/>
  <c r="M100" i="103"/>
  <c r="F100" i="103"/>
  <c r="N100" i="103" s="1"/>
  <c r="AF99" i="103"/>
  <c r="AE99" i="103"/>
  <c r="AD99" i="103"/>
  <c r="AC99" i="103"/>
  <c r="W99" i="103"/>
  <c r="V99" i="103"/>
  <c r="U99" i="103"/>
  <c r="X99" i="103" s="1"/>
  <c r="M99" i="103"/>
  <c r="F99" i="103"/>
  <c r="N99" i="103" s="1"/>
  <c r="AF98" i="103"/>
  <c r="AE98" i="103"/>
  <c r="AD98" i="103"/>
  <c r="AC98" i="103"/>
  <c r="W98" i="103"/>
  <c r="V98" i="103"/>
  <c r="U98" i="103"/>
  <c r="X98" i="103" s="1"/>
  <c r="M98" i="103"/>
  <c r="F98" i="103"/>
  <c r="N98" i="103" s="1"/>
  <c r="AF97" i="103"/>
  <c r="AE97" i="103"/>
  <c r="AD97" i="103"/>
  <c r="AC97" i="103"/>
  <c r="W97" i="103"/>
  <c r="V97" i="103"/>
  <c r="U97" i="103"/>
  <c r="X97" i="103" s="1"/>
  <c r="M97" i="103"/>
  <c r="F97" i="103"/>
  <c r="N97" i="103" s="1"/>
  <c r="AF96" i="103"/>
  <c r="AE96" i="103"/>
  <c r="AD96" i="103"/>
  <c r="AC96" i="103"/>
  <c r="W96" i="103"/>
  <c r="V96" i="103"/>
  <c r="U96" i="103"/>
  <c r="M96" i="103"/>
  <c r="F96" i="103"/>
  <c r="N96" i="103" s="1"/>
  <c r="AF95" i="103"/>
  <c r="AE95" i="103"/>
  <c r="AD95" i="103"/>
  <c r="AC95" i="103"/>
  <c r="W95" i="103"/>
  <c r="V95" i="103"/>
  <c r="U95" i="103"/>
  <c r="M95" i="103"/>
  <c r="F95" i="103"/>
  <c r="N95" i="103" s="1"/>
  <c r="AF94" i="103"/>
  <c r="AE94" i="103"/>
  <c r="AD94" i="103"/>
  <c r="AC94" i="103"/>
  <c r="W94" i="103"/>
  <c r="V94" i="103"/>
  <c r="U94" i="103"/>
  <c r="M94" i="103"/>
  <c r="F94" i="103"/>
  <c r="AF93" i="103"/>
  <c r="AE93" i="103"/>
  <c r="AD93" i="103"/>
  <c r="AC93" i="103"/>
  <c r="W93" i="103"/>
  <c r="V93" i="103"/>
  <c r="U93" i="103"/>
  <c r="M93" i="103"/>
  <c r="F93" i="103"/>
  <c r="N93" i="103" s="1"/>
  <c r="AF92" i="103"/>
  <c r="AE92" i="103"/>
  <c r="AD92" i="103"/>
  <c r="AC92" i="103"/>
  <c r="W92" i="103"/>
  <c r="V92" i="103"/>
  <c r="U92" i="103"/>
  <c r="X92" i="103" s="1"/>
  <c r="M92" i="103"/>
  <c r="F92" i="103"/>
  <c r="N92" i="103" s="1"/>
  <c r="AF91" i="103"/>
  <c r="AE91" i="103"/>
  <c r="AD91" i="103"/>
  <c r="AC91" i="103"/>
  <c r="W91" i="103"/>
  <c r="V91" i="103"/>
  <c r="U91" i="103"/>
  <c r="M91" i="103"/>
  <c r="F91" i="103"/>
  <c r="AF90" i="103"/>
  <c r="AE90" i="103"/>
  <c r="AD90" i="103"/>
  <c r="AC90" i="103"/>
  <c r="W90" i="103"/>
  <c r="V90" i="103"/>
  <c r="U90" i="103"/>
  <c r="X90" i="103" s="1"/>
  <c r="M90" i="103"/>
  <c r="F90" i="103"/>
  <c r="AF89" i="103"/>
  <c r="AE89" i="103"/>
  <c r="AD89" i="103"/>
  <c r="AC89" i="103"/>
  <c r="W89" i="103"/>
  <c r="V89" i="103"/>
  <c r="U89" i="103"/>
  <c r="X89" i="103" s="1"/>
  <c r="M89" i="103"/>
  <c r="F89" i="103"/>
  <c r="N89" i="103" s="1"/>
  <c r="AF88" i="103"/>
  <c r="AE88" i="103"/>
  <c r="AD88" i="103"/>
  <c r="AC88" i="103"/>
  <c r="W88" i="103"/>
  <c r="V88" i="103"/>
  <c r="U88" i="103"/>
  <c r="X88" i="103" s="1"/>
  <c r="M88" i="103"/>
  <c r="F88" i="103"/>
  <c r="N88" i="103" s="1"/>
  <c r="AF87" i="103"/>
  <c r="AE87" i="103"/>
  <c r="AD87" i="103"/>
  <c r="AC87" i="103"/>
  <c r="W87" i="103"/>
  <c r="V87" i="103"/>
  <c r="U87" i="103"/>
  <c r="M87" i="103"/>
  <c r="F87" i="103"/>
  <c r="AF86" i="103"/>
  <c r="AE86" i="103"/>
  <c r="AD86" i="103"/>
  <c r="AC86" i="103"/>
  <c r="W86" i="103"/>
  <c r="V86" i="103"/>
  <c r="U86" i="103"/>
  <c r="M86" i="103"/>
  <c r="F86" i="103"/>
  <c r="AF85" i="103"/>
  <c r="AE85" i="103"/>
  <c r="AD85" i="103"/>
  <c r="AC85" i="103"/>
  <c r="W85" i="103"/>
  <c r="V85" i="103"/>
  <c r="U85" i="103"/>
  <c r="M85" i="103"/>
  <c r="F85" i="103"/>
  <c r="N85" i="103" s="1"/>
  <c r="AF84" i="103"/>
  <c r="AE84" i="103"/>
  <c r="AD84" i="103"/>
  <c r="AC84" i="103"/>
  <c r="W84" i="103"/>
  <c r="V84" i="103"/>
  <c r="U84" i="103"/>
  <c r="X84" i="103" s="1"/>
  <c r="M84" i="103"/>
  <c r="F84" i="103"/>
  <c r="N84" i="103" s="1"/>
  <c r="AF83" i="103"/>
  <c r="AE83" i="103"/>
  <c r="AD83" i="103"/>
  <c r="AC83" i="103"/>
  <c r="W83" i="103"/>
  <c r="V83" i="103"/>
  <c r="U83" i="103"/>
  <c r="M83" i="103"/>
  <c r="F83" i="103"/>
  <c r="AF82" i="103"/>
  <c r="AE82" i="103"/>
  <c r="AD82" i="103"/>
  <c r="AC82" i="103"/>
  <c r="W82" i="103"/>
  <c r="V82" i="103"/>
  <c r="U82" i="103"/>
  <c r="X82" i="103" s="1"/>
  <c r="M82" i="103"/>
  <c r="F82" i="103"/>
  <c r="AF81" i="103"/>
  <c r="AE81" i="103"/>
  <c r="AD81" i="103"/>
  <c r="AC81" i="103"/>
  <c r="W81" i="103"/>
  <c r="V81" i="103"/>
  <c r="U81" i="103"/>
  <c r="X81" i="103" s="1"/>
  <c r="M81" i="103"/>
  <c r="F81" i="103"/>
  <c r="N81" i="103" s="1"/>
  <c r="AF80" i="103"/>
  <c r="AE80" i="103"/>
  <c r="AD80" i="103"/>
  <c r="AC80" i="103"/>
  <c r="W80" i="103"/>
  <c r="V80" i="103"/>
  <c r="U80" i="103"/>
  <c r="X80" i="103" s="1"/>
  <c r="M80" i="103"/>
  <c r="F80" i="103"/>
  <c r="N80" i="103" s="1"/>
  <c r="AF79" i="103"/>
  <c r="AE79" i="103"/>
  <c r="AD79" i="103"/>
  <c r="AC79" i="103"/>
  <c r="W79" i="103"/>
  <c r="V79" i="103"/>
  <c r="U79" i="103"/>
  <c r="M79" i="103"/>
  <c r="F79" i="103"/>
  <c r="AF78" i="103"/>
  <c r="AE78" i="103"/>
  <c r="AD78" i="103"/>
  <c r="AC78" i="103"/>
  <c r="W78" i="103"/>
  <c r="V78" i="103"/>
  <c r="U78" i="103"/>
  <c r="M78" i="103"/>
  <c r="F78" i="103"/>
  <c r="AF77" i="103"/>
  <c r="AE77" i="103"/>
  <c r="AD77" i="103"/>
  <c r="AC77" i="103"/>
  <c r="W77" i="103"/>
  <c r="V77" i="103"/>
  <c r="U77" i="103"/>
  <c r="M77" i="103"/>
  <c r="F77" i="103"/>
  <c r="N77" i="103" s="1"/>
  <c r="AF76" i="103"/>
  <c r="AE76" i="103"/>
  <c r="AD76" i="103"/>
  <c r="AC76" i="103"/>
  <c r="W76" i="103"/>
  <c r="V76" i="103"/>
  <c r="U76" i="103"/>
  <c r="X76" i="103" s="1"/>
  <c r="M76" i="103"/>
  <c r="F76" i="103"/>
  <c r="N76" i="103" s="1"/>
  <c r="AF75" i="103"/>
  <c r="AE75" i="103"/>
  <c r="AD75" i="103"/>
  <c r="AC75" i="103"/>
  <c r="W75" i="103"/>
  <c r="V75" i="103"/>
  <c r="U75" i="103"/>
  <c r="M75" i="103"/>
  <c r="F75" i="103"/>
  <c r="AF74" i="103"/>
  <c r="AE74" i="103"/>
  <c r="AD74" i="103"/>
  <c r="AC74" i="103"/>
  <c r="W74" i="103"/>
  <c r="V74" i="103"/>
  <c r="U74" i="103"/>
  <c r="X74" i="103" s="1"/>
  <c r="M74" i="103"/>
  <c r="F74" i="103"/>
  <c r="AF73" i="103"/>
  <c r="AE73" i="103"/>
  <c r="AD73" i="103"/>
  <c r="AC73" i="103"/>
  <c r="W73" i="103"/>
  <c r="V73" i="103"/>
  <c r="U73" i="103"/>
  <c r="X73" i="103" s="1"/>
  <c r="M73" i="103"/>
  <c r="F73" i="103"/>
  <c r="N73" i="103" s="1"/>
  <c r="AF72" i="103"/>
  <c r="AE72" i="103"/>
  <c r="AD72" i="103"/>
  <c r="AC72" i="103"/>
  <c r="W72" i="103"/>
  <c r="V72" i="103"/>
  <c r="U72" i="103"/>
  <c r="X72" i="103" s="1"/>
  <c r="M72" i="103"/>
  <c r="F72" i="103"/>
  <c r="N72" i="103" s="1"/>
  <c r="AF71" i="103"/>
  <c r="AE71" i="103"/>
  <c r="AD71" i="103"/>
  <c r="AC71" i="103"/>
  <c r="W71" i="103"/>
  <c r="V71" i="103"/>
  <c r="U71" i="103"/>
  <c r="M71" i="103"/>
  <c r="F71" i="103"/>
  <c r="AF70" i="103"/>
  <c r="AE70" i="103"/>
  <c r="AD70" i="103"/>
  <c r="AC70" i="103"/>
  <c r="W70" i="103"/>
  <c r="V70" i="103"/>
  <c r="U70" i="103"/>
  <c r="X70" i="103" s="1"/>
  <c r="M70" i="103"/>
  <c r="F70" i="103"/>
  <c r="N70" i="103" s="1"/>
  <c r="AF69" i="103"/>
  <c r="AE69" i="103"/>
  <c r="AD69" i="103"/>
  <c r="AC69" i="103"/>
  <c r="W69" i="103"/>
  <c r="V69" i="103"/>
  <c r="U69" i="103"/>
  <c r="X69" i="103" s="1"/>
  <c r="M69" i="103"/>
  <c r="F69" i="103"/>
  <c r="N69" i="103" s="1"/>
  <c r="AF68" i="103"/>
  <c r="AE68" i="103"/>
  <c r="AD68" i="103"/>
  <c r="AC68" i="103"/>
  <c r="W68" i="103"/>
  <c r="V68" i="103"/>
  <c r="U68" i="103"/>
  <c r="X68" i="103" s="1"/>
  <c r="M68" i="103"/>
  <c r="F68" i="103"/>
  <c r="N68" i="103" s="1"/>
  <c r="AF67" i="103"/>
  <c r="AE67" i="103"/>
  <c r="AD67" i="103"/>
  <c r="AC67" i="103"/>
  <c r="W67" i="103"/>
  <c r="V67" i="103"/>
  <c r="U67" i="103"/>
  <c r="X67" i="103" s="1"/>
  <c r="M67" i="103"/>
  <c r="F67" i="103"/>
  <c r="N67" i="103" s="1"/>
  <c r="AF66" i="103"/>
  <c r="AE66" i="103"/>
  <c r="AD66" i="103"/>
  <c r="AC66" i="103"/>
  <c r="W66" i="103"/>
  <c r="V66" i="103"/>
  <c r="U66" i="103"/>
  <c r="X66" i="103" s="1"/>
  <c r="M66" i="103"/>
  <c r="F66" i="103"/>
  <c r="E49" i="103"/>
  <c r="D49" i="103"/>
  <c r="T48" i="103"/>
  <c r="S48" i="103"/>
  <c r="R48" i="103"/>
  <c r="Q48" i="103"/>
  <c r="P48" i="103"/>
  <c r="O48" i="103"/>
  <c r="E48" i="103"/>
  <c r="D48" i="103"/>
  <c r="AF46" i="103"/>
  <c r="AE46" i="103"/>
  <c r="AD46" i="103"/>
  <c r="AC46" i="103"/>
  <c r="W46" i="103"/>
  <c r="V46" i="103"/>
  <c r="U46" i="103"/>
  <c r="M46" i="103"/>
  <c r="F46" i="103"/>
  <c r="N46" i="103" s="1"/>
  <c r="AF45" i="103"/>
  <c r="AE45" i="103"/>
  <c r="AD45" i="103"/>
  <c r="AC45" i="103"/>
  <c r="W45" i="103"/>
  <c r="V45" i="103"/>
  <c r="U45" i="103"/>
  <c r="X45" i="103" s="1"/>
  <c r="M45" i="103"/>
  <c r="F45" i="103"/>
  <c r="AF44" i="103"/>
  <c r="AE44" i="103"/>
  <c r="AD44" i="103"/>
  <c r="AC44" i="103"/>
  <c r="W44" i="103"/>
  <c r="V44" i="103"/>
  <c r="U44" i="103"/>
  <c r="X44" i="103" s="1"/>
  <c r="M44" i="103"/>
  <c r="F44" i="103"/>
  <c r="AF43" i="103"/>
  <c r="AE43" i="103"/>
  <c r="AD43" i="103"/>
  <c r="AC43" i="103"/>
  <c r="W43" i="103"/>
  <c r="V43" i="103"/>
  <c r="U43" i="103"/>
  <c r="M43" i="103"/>
  <c r="F43" i="103"/>
  <c r="AF42" i="103"/>
  <c r="AE42" i="103"/>
  <c r="AD42" i="103"/>
  <c r="AC42" i="103"/>
  <c r="W42" i="103"/>
  <c r="V42" i="103"/>
  <c r="U42" i="103"/>
  <c r="X42" i="103" s="1"/>
  <c r="M42" i="103"/>
  <c r="F42" i="103"/>
  <c r="N42" i="103" s="1"/>
  <c r="AF41" i="103"/>
  <c r="AE41" i="103"/>
  <c r="AD41" i="103"/>
  <c r="AC41" i="103"/>
  <c r="W41" i="103"/>
  <c r="V41" i="103"/>
  <c r="U41" i="103"/>
  <c r="X41" i="103" s="1"/>
  <c r="M41" i="103"/>
  <c r="F41" i="103"/>
  <c r="AF40" i="103"/>
  <c r="AE40" i="103"/>
  <c r="AD40" i="103"/>
  <c r="AC40" i="103"/>
  <c r="W40" i="103"/>
  <c r="V40" i="103"/>
  <c r="U40" i="103"/>
  <c r="M40" i="103"/>
  <c r="F40" i="103"/>
  <c r="AF39" i="103"/>
  <c r="AE39" i="103"/>
  <c r="AD39" i="103"/>
  <c r="AC39" i="103"/>
  <c r="W39" i="103"/>
  <c r="V39" i="103"/>
  <c r="U39" i="103"/>
  <c r="X39" i="103" s="1"/>
  <c r="M39" i="103"/>
  <c r="F39" i="103"/>
  <c r="AF38" i="103"/>
  <c r="AE38" i="103"/>
  <c r="AD38" i="103"/>
  <c r="AC38" i="103"/>
  <c r="W38" i="103"/>
  <c r="V38" i="103"/>
  <c r="U38" i="103"/>
  <c r="X38" i="103" s="1"/>
  <c r="M38" i="103"/>
  <c r="F38" i="103"/>
  <c r="N38" i="103" s="1"/>
  <c r="AF37" i="103"/>
  <c r="AE37" i="103"/>
  <c r="AD37" i="103"/>
  <c r="AC37" i="103"/>
  <c r="W37" i="103"/>
  <c r="V37" i="103"/>
  <c r="U37" i="103"/>
  <c r="M37" i="103"/>
  <c r="F37" i="103"/>
  <c r="AF36" i="103"/>
  <c r="AE36" i="103"/>
  <c r="AD36" i="103"/>
  <c r="AC36" i="103"/>
  <c r="W36" i="103"/>
  <c r="V36" i="103"/>
  <c r="U36" i="103"/>
  <c r="X36" i="103" s="1"/>
  <c r="M36" i="103"/>
  <c r="F36" i="103"/>
  <c r="AF35" i="103"/>
  <c r="AE35" i="103"/>
  <c r="AD35" i="103"/>
  <c r="AC35" i="103"/>
  <c r="W35" i="103"/>
  <c r="V35" i="103"/>
  <c r="U35" i="103"/>
  <c r="X35" i="103" s="1"/>
  <c r="M35" i="103"/>
  <c r="F35" i="103"/>
  <c r="AF34" i="103"/>
  <c r="AE34" i="103"/>
  <c r="AD34" i="103"/>
  <c r="AC34" i="103"/>
  <c r="W34" i="103"/>
  <c r="V34" i="103"/>
  <c r="U34" i="103"/>
  <c r="X34" i="103" s="1"/>
  <c r="M34" i="103"/>
  <c r="F34" i="103"/>
  <c r="N34" i="103" s="1"/>
  <c r="AF33" i="103"/>
  <c r="AE33" i="103"/>
  <c r="AD33" i="103"/>
  <c r="AC33" i="103"/>
  <c r="W33" i="103"/>
  <c r="V33" i="103"/>
  <c r="U33" i="103"/>
  <c r="X33" i="103" s="1"/>
  <c r="M33" i="103"/>
  <c r="F33" i="103"/>
  <c r="AF32" i="103"/>
  <c r="AE32" i="103"/>
  <c r="AD32" i="103"/>
  <c r="AC32" i="103"/>
  <c r="W32" i="103"/>
  <c r="V32" i="103"/>
  <c r="U32" i="103"/>
  <c r="M32" i="103"/>
  <c r="F32" i="103"/>
  <c r="AF31" i="103"/>
  <c r="AE31" i="103"/>
  <c r="AD31" i="103"/>
  <c r="AC31" i="103"/>
  <c r="W31" i="103"/>
  <c r="V31" i="103"/>
  <c r="U31" i="103"/>
  <c r="X31" i="103" s="1"/>
  <c r="M31" i="103"/>
  <c r="F31" i="103"/>
  <c r="AF30" i="103"/>
  <c r="AE30" i="103"/>
  <c r="AD30" i="103"/>
  <c r="AC30" i="103"/>
  <c r="W30" i="103"/>
  <c r="V30" i="103"/>
  <c r="U30" i="103"/>
  <c r="X30" i="103" s="1"/>
  <c r="M30" i="103"/>
  <c r="F30" i="103"/>
  <c r="N30" i="103" s="1"/>
  <c r="AF29" i="103"/>
  <c r="AE29" i="103"/>
  <c r="AD29" i="103"/>
  <c r="AC29" i="103"/>
  <c r="W29" i="103"/>
  <c r="V29" i="103"/>
  <c r="U29" i="103"/>
  <c r="M29" i="103"/>
  <c r="F29" i="103"/>
  <c r="AF28" i="103"/>
  <c r="AE28" i="103"/>
  <c r="AD28" i="103"/>
  <c r="AC28" i="103"/>
  <c r="W28" i="103"/>
  <c r="V28" i="103"/>
  <c r="U28" i="103"/>
  <c r="M28" i="103"/>
  <c r="F28" i="103"/>
  <c r="AF27" i="103"/>
  <c r="AE27" i="103"/>
  <c r="AD27" i="103"/>
  <c r="AC27" i="103"/>
  <c r="W27" i="103"/>
  <c r="V27" i="103"/>
  <c r="U27" i="103"/>
  <c r="M27" i="103"/>
  <c r="F27" i="103"/>
  <c r="AF26" i="103"/>
  <c r="AE26" i="103"/>
  <c r="AD26" i="103"/>
  <c r="AC26" i="103"/>
  <c r="W26" i="103"/>
  <c r="V26" i="103"/>
  <c r="U26" i="103"/>
  <c r="X26" i="103" s="1"/>
  <c r="M26" i="103"/>
  <c r="F26" i="103"/>
  <c r="N26" i="103" s="1"/>
  <c r="AF25" i="103"/>
  <c r="AE25" i="103"/>
  <c r="AD25" i="103"/>
  <c r="AC25" i="103"/>
  <c r="W25" i="103"/>
  <c r="V25" i="103"/>
  <c r="U25" i="103"/>
  <c r="M25" i="103"/>
  <c r="F25" i="103"/>
  <c r="AF24" i="103"/>
  <c r="AE24" i="103"/>
  <c r="AD24" i="103"/>
  <c r="AC24" i="103"/>
  <c r="W24" i="103"/>
  <c r="V24" i="103"/>
  <c r="U24" i="103"/>
  <c r="M24" i="103"/>
  <c r="F24" i="103"/>
  <c r="AF23" i="103"/>
  <c r="AE23" i="103"/>
  <c r="AD23" i="103"/>
  <c r="AC23" i="103"/>
  <c r="W23" i="103"/>
  <c r="V23" i="103"/>
  <c r="U23" i="103"/>
  <c r="M23" i="103"/>
  <c r="F23" i="103"/>
  <c r="AF22" i="103"/>
  <c r="AE22" i="103"/>
  <c r="AD22" i="103"/>
  <c r="AC22" i="103"/>
  <c r="W22" i="103"/>
  <c r="V22" i="103"/>
  <c r="U22" i="103"/>
  <c r="M22" i="103"/>
  <c r="F22" i="103"/>
  <c r="N22" i="103" s="1"/>
  <c r="AF21" i="103"/>
  <c r="AE21" i="103"/>
  <c r="AD21" i="103"/>
  <c r="AC21" i="103"/>
  <c r="W21" i="103"/>
  <c r="V21" i="103"/>
  <c r="U21" i="103"/>
  <c r="M21" i="103"/>
  <c r="F21" i="103"/>
  <c r="AF20" i="103"/>
  <c r="AE20" i="103"/>
  <c r="AD20" i="103"/>
  <c r="AC20" i="103"/>
  <c r="W20" i="103"/>
  <c r="V20" i="103"/>
  <c r="U20" i="103"/>
  <c r="M20" i="103"/>
  <c r="F20" i="103"/>
  <c r="AF19" i="103"/>
  <c r="AE19" i="103"/>
  <c r="AD19" i="103"/>
  <c r="AC19" i="103"/>
  <c r="W19" i="103"/>
  <c r="V19" i="103"/>
  <c r="U19" i="103"/>
  <c r="M19" i="103"/>
  <c r="F19" i="103"/>
  <c r="AF18" i="103"/>
  <c r="AE18" i="103"/>
  <c r="AD18" i="103"/>
  <c r="AC18" i="103"/>
  <c r="W18" i="103"/>
  <c r="V18" i="103"/>
  <c r="U18" i="103"/>
  <c r="X18" i="103" s="1"/>
  <c r="M18" i="103"/>
  <c r="F18" i="103"/>
  <c r="N18" i="103" s="1"/>
  <c r="AF17" i="103"/>
  <c r="AE17" i="103"/>
  <c r="AD17" i="103"/>
  <c r="AC17" i="103"/>
  <c r="W17" i="103"/>
  <c r="V17" i="103"/>
  <c r="U17" i="103"/>
  <c r="M17" i="103"/>
  <c r="F17" i="103"/>
  <c r="AF16" i="103"/>
  <c r="AE16" i="103"/>
  <c r="AD16" i="103"/>
  <c r="AC16" i="103"/>
  <c r="W16" i="103"/>
  <c r="V16" i="103"/>
  <c r="U16" i="103"/>
  <c r="X16" i="103" s="1"/>
  <c r="M16" i="103"/>
  <c r="F16" i="103"/>
  <c r="AF15" i="103"/>
  <c r="AE15" i="103"/>
  <c r="AD15" i="103"/>
  <c r="AC15" i="103"/>
  <c r="W15" i="103"/>
  <c r="V15" i="103"/>
  <c r="U15" i="103"/>
  <c r="X15" i="103" s="1"/>
  <c r="M15" i="103"/>
  <c r="F15" i="103"/>
  <c r="AF14" i="103"/>
  <c r="AE14" i="103"/>
  <c r="AD14" i="103"/>
  <c r="AC14" i="103"/>
  <c r="W14" i="103"/>
  <c r="V14" i="103"/>
  <c r="U14" i="103"/>
  <c r="X14" i="103" s="1"/>
  <c r="M14" i="103"/>
  <c r="F14" i="103"/>
  <c r="N14" i="103" s="1"/>
  <c r="AF13" i="103"/>
  <c r="AE13" i="103"/>
  <c r="AD13" i="103"/>
  <c r="AC13" i="103"/>
  <c r="W13" i="103"/>
  <c r="V13" i="103"/>
  <c r="U13" i="103"/>
  <c r="M13" i="103"/>
  <c r="F13" i="103"/>
  <c r="E5" i="103"/>
  <c r="A2" i="103"/>
  <c r="D103" i="102"/>
  <c r="T102" i="102"/>
  <c r="S102" i="102"/>
  <c r="R102" i="102"/>
  <c r="Q102" i="102"/>
  <c r="P102" i="102"/>
  <c r="O102" i="102"/>
  <c r="E102" i="102"/>
  <c r="D102" i="102"/>
  <c r="AF100" i="102"/>
  <c r="AE100" i="102"/>
  <c r="AD100" i="102"/>
  <c r="AC100" i="102"/>
  <c r="W100" i="102"/>
  <c r="V100" i="102"/>
  <c r="U100" i="102"/>
  <c r="X100" i="102" s="1"/>
  <c r="M100" i="102"/>
  <c r="F100" i="102"/>
  <c r="N100" i="102" s="1"/>
  <c r="AF99" i="102"/>
  <c r="AE99" i="102"/>
  <c r="AD99" i="102"/>
  <c r="AC99" i="102"/>
  <c r="W99" i="102"/>
  <c r="V99" i="102"/>
  <c r="U99" i="102"/>
  <c r="M99" i="102"/>
  <c r="F99" i="102"/>
  <c r="AF98" i="102"/>
  <c r="AE98" i="102"/>
  <c r="AD98" i="102"/>
  <c r="AC98" i="102"/>
  <c r="W98" i="102"/>
  <c r="V98" i="102"/>
  <c r="U98" i="102"/>
  <c r="M98" i="102"/>
  <c r="F98" i="102"/>
  <c r="AF97" i="102"/>
  <c r="AE97" i="102"/>
  <c r="AD97" i="102"/>
  <c r="AC97" i="102"/>
  <c r="W97" i="102"/>
  <c r="V97" i="102"/>
  <c r="U97" i="102"/>
  <c r="X97" i="102" s="1"/>
  <c r="M97" i="102"/>
  <c r="F97" i="102"/>
  <c r="N97" i="102" s="1"/>
  <c r="AF96" i="102"/>
  <c r="AE96" i="102"/>
  <c r="AD96" i="102"/>
  <c r="AC96" i="102"/>
  <c r="W96" i="102"/>
  <c r="V96" i="102"/>
  <c r="U96" i="102"/>
  <c r="X96" i="102" s="1"/>
  <c r="M96" i="102"/>
  <c r="F96" i="102"/>
  <c r="N96" i="102" s="1"/>
  <c r="AF95" i="102"/>
  <c r="AE95" i="102"/>
  <c r="AD95" i="102"/>
  <c r="AC95" i="102"/>
  <c r="W95" i="102"/>
  <c r="V95" i="102"/>
  <c r="U95" i="102"/>
  <c r="M95" i="102"/>
  <c r="F95" i="102"/>
  <c r="AF94" i="102"/>
  <c r="AE94" i="102"/>
  <c r="AD94" i="102"/>
  <c r="AC94" i="102"/>
  <c r="W94" i="102"/>
  <c r="V94" i="102"/>
  <c r="U94" i="102"/>
  <c r="M94" i="102"/>
  <c r="F94" i="102"/>
  <c r="N94" i="102" s="1"/>
  <c r="AF93" i="102"/>
  <c r="AE93" i="102"/>
  <c r="AD93" i="102"/>
  <c r="AC93" i="102"/>
  <c r="W93" i="102"/>
  <c r="V93" i="102"/>
  <c r="U93" i="102"/>
  <c r="X93" i="102" s="1"/>
  <c r="M93" i="102"/>
  <c r="F93" i="102"/>
  <c r="AF92" i="102"/>
  <c r="AE92" i="102"/>
  <c r="AD92" i="102"/>
  <c r="AC92" i="102"/>
  <c r="W92" i="102"/>
  <c r="V92" i="102"/>
  <c r="U92" i="102"/>
  <c r="M92" i="102"/>
  <c r="F92" i="102"/>
  <c r="AF91" i="102"/>
  <c r="AE91" i="102"/>
  <c r="AD91" i="102"/>
  <c r="AC91" i="102"/>
  <c r="W91" i="102"/>
  <c r="V91" i="102"/>
  <c r="U91" i="102"/>
  <c r="X91" i="102" s="1"/>
  <c r="M91" i="102"/>
  <c r="F91" i="102"/>
  <c r="N91" i="102" s="1"/>
  <c r="AF90" i="102"/>
  <c r="AE90" i="102"/>
  <c r="AD90" i="102"/>
  <c r="AC90" i="102"/>
  <c r="W90" i="102"/>
  <c r="V90" i="102"/>
  <c r="U90" i="102"/>
  <c r="X90" i="102" s="1"/>
  <c r="M90" i="102"/>
  <c r="F90" i="102"/>
  <c r="AF89" i="102"/>
  <c r="AE89" i="102"/>
  <c r="AD89" i="102"/>
  <c r="AC89" i="102"/>
  <c r="W89" i="102"/>
  <c r="V89" i="102"/>
  <c r="U89" i="102"/>
  <c r="M89" i="102"/>
  <c r="F89" i="102"/>
  <c r="AF88" i="102"/>
  <c r="AE88" i="102"/>
  <c r="AD88" i="102"/>
  <c r="AC88" i="102"/>
  <c r="W88" i="102"/>
  <c r="V88" i="102"/>
  <c r="U88" i="102"/>
  <c r="X88" i="102" s="1"/>
  <c r="M88" i="102"/>
  <c r="F88" i="102"/>
  <c r="AF87" i="102"/>
  <c r="AE87" i="102"/>
  <c r="AD87" i="102"/>
  <c r="AC87" i="102"/>
  <c r="W87" i="102"/>
  <c r="V87" i="102"/>
  <c r="U87" i="102"/>
  <c r="X87" i="102" s="1"/>
  <c r="M87" i="102"/>
  <c r="F87" i="102"/>
  <c r="N87" i="102" s="1"/>
  <c r="AF86" i="102"/>
  <c r="AE86" i="102"/>
  <c r="AD86" i="102"/>
  <c r="AC86" i="102"/>
  <c r="W86" i="102"/>
  <c r="V86" i="102"/>
  <c r="U86" i="102"/>
  <c r="X86" i="102" s="1"/>
  <c r="M86" i="102"/>
  <c r="F86" i="102"/>
  <c r="AF85" i="102"/>
  <c r="AE85" i="102"/>
  <c r="AD85" i="102"/>
  <c r="AC85" i="102"/>
  <c r="W85" i="102"/>
  <c r="V85" i="102"/>
  <c r="U85" i="102"/>
  <c r="X85" i="102" s="1"/>
  <c r="M85" i="102"/>
  <c r="F85" i="102"/>
  <c r="AF84" i="102"/>
  <c r="AE84" i="102"/>
  <c r="AD84" i="102"/>
  <c r="AC84" i="102"/>
  <c r="W84" i="102"/>
  <c r="V84" i="102"/>
  <c r="U84" i="102"/>
  <c r="X84" i="102" s="1"/>
  <c r="M84" i="102"/>
  <c r="F84" i="102"/>
  <c r="N84" i="102" s="1"/>
  <c r="AF83" i="102"/>
  <c r="AE83" i="102"/>
  <c r="AD83" i="102"/>
  <c r="AC83" i="102"/>
  <c r="W83" i="102"/>
  <c r="V83" i="102"/>
  <c r="U83" i="102"/>
  <c r="M83" i="102"/>
  <c r="F83" i="102"/>
  <c r="AF82" i="102"/>
  <c r="AE82" i="102"/>
  <c r="AD82" i="102"/>
  <c r="AC82" i="102"/>
  <c r="W82" i="102"/>
  <c r="V82" i="102"/>
  <c r="U82" i="102"/>
  <c r="M82" i="102"/>
  <c r="F82" i="102"/>
  <c r="AF81" i="102"/>
  <c r="AE81" i="102"/>
  <c r="AD81" i="102"/>
  <c r="AC81" i="102"/>
  <c r="W81" i="102"/>
  <c r="V81" i="102"/>
  <c r="U81" i="102"/>
  <c r="X81" i="102" s="1"/>
  <c r="M81" i="102"/>
  <c r="F81" i="102"/>
  <c r="N81" i="102" s="1"/>
  <c r="AF80" i="102"/>
  <c r="AE80" i="102"/>
  <c r="AD80" i="102"/>
  <c r="AC80" i="102"/>
  <c r="W80" i="102"/>
  <c r="V80" i="102"/>
  <c r="U80" i="102"/>
  <c r="X80" i="102" s="1"/>
  <c r="M80" i="102"/>
  <c r="F80" i="102"/>
  <c r="N80" i="102" s="1"/>
  <c r="AF79" i="102"/>
  <c r="AE79" i="102"/>
  <c r="AD79" i="102"/>
  <c r="AC79" i="102"/>
  <c r="W79" i="102"/>
  <c r="V79" i="102"/>
  <c r="U79" i="102"/>
  <c r="X79" i="102" s="1"/>
  <c r="M79" i="102"/>
  <c r="F79" i="102"/>
  <c r="AF78" i="102"/>
  <c r="AE78" i="102"/>
  <c r="AD78" i="102"/>
  <c r="AC78" i="102"/>
  <c r="W78" i="102"/>
  <c r="V78" i="102"/>
  <c r="U78" i="102"/>
  <c r="X78" i="102" s="1"/>
  <c r="M78" i="102"/>
  <c r="F78" i="102"/>
  <c r="N78" i="102" s="1"/>
  <c r="AF77" i="102"/>
  <c r="AE77" i="102"/>
  <c r="AD77" i="102"/>
  <c r="AC77" i="102"/>
  <c r="W77" i="102"/>
  <c r="V77" i="102"/>
  <c r="U77" i="102"/>
  <c r="X77" i="102" s="1"/>
  <c r="M77" i="102"/>
  <c r="F77" i="102"/>
  <c r="AF76" i="102"/>
  <c r="AE76" i="102"/>
  <c r="AD76" i="102"/>
  <c r="AC76" i="102"/>
  <c r="W76" i="102"/>
  <c r="V76" i="102"/>
  <c r="U76" i="102"/>
  <c r="X76" i="102" s="1"/>
  <c r="M76" i="102"/>
  <c r="F76" i="102"/>
  <c r="AF75" i="102"/>
  <c r="AE75" i="102"/>
  <c r="AD75" i="102"/>
  <c r="AC75" i="102"/>
  <c r="W75" i="102"/>
  <c r="V75" i="102"/>
  <c r="U75" i="102"/>
  <c r="X75" i="102" s="1"/>
  <c r="M75" i="102"/>
  <c r="F75" i="102"/>
  <c r="N75" i="102" s="1"/>
  <c r="AF74" i="102"/>
  <c r="AE74" i="102"/>
  <c r="AD74" i="102"/>
  <c r="AC74" i="102"/>
  <c r="W74" i="102"/>
  <c r="V74" i="102"/>
  <c r="U74" i="102"/>
  <c r="X74" i="102" s="1"/>
  <c r="M74" i="102"/>
  <c r="F74" i="102"/>
  <c r="AF73" i="102"/>
  <c r="AE73" i="102"/>
  <c r="AD73" i="102"/>
  <c r="AC73" i="102"/>
  <c r="W73" i="102"/>
  <c r="V73" i="102"/>
  <c r="U73" i="102"/>
  <c r="X73" i="102" s="1"/>
  <c r="M73" i="102"/>
  <c r="F73" i="102"/>
  <c r="AF72" i="102"/>
  <c r="AE72" i="102"/>
  <c r="AD72" i="102"/>
  <c r="AC72" i="102"/>
  <c r="W72" i="102"/>
  <c r="V72" i="102"/>
  <c r="U72" i="102"/>
  <c r="X72" i="102" s="1"/>
  <c r="M72" i="102"/>
  <c r="F72" i="102"/>
  <c r="AF71" i="102"/>
  <c r="AE71" i="102"/>
  <c r="AD71" i="102"/>
  <c r="AC71" i="102"/>
  <c r="W71" i="102"/>
  <c r="V71" i="102"/>
  <c r="U71" i="102"/>
  <c r="X71" i="102" s="1"/>
  <c r="M71" i="102"/>
  <c r="F71" i="102"/>
  <c r="N71" i="102" s="1"/>
  <c r="AF70" i="102"/>
  <c r="AE70" i="102"/>
  <c r="AD70" i="102"/>
  <c r="AC70" i="102"/>
  <c r="W70" i="102"/>
  <c r="V70" i="102"/>
  <c r="U70" i="102"/>
  <c r="X70" i="102" s="1"/>
  <c r="M70" i="102"/>
  <c r="F70" i="102"/>
  <c r="AF69" i="102"/>
  <c r="AE69" i="102"/>
  <c r="AD69" i="102"/>
  <c r="AC69" i="102"/>
  <c r="W69" i="102"/>
  <c r="V69" i="102"/>
  <c r="U69" i="102"/>
  <c r="X69" i="102" s="1"/>
  <c r="M69" i="102"/>
  <c r="F69" i="102"/>
  <c r="N69" i="102" s="1"/>
  <c r="AF68" i="102"/>
  <c r="AE68" i="102"/>
  <c r="AD68" i="102"/>
  <c r="AC68" i="102"/>
  <c r="W68" i="102"/>
  <c r="V68" i="102"/>
  <c r="U68" i="102"/>
  <c r="X68" i="102" s="1"/>
  <c r="M68" i="102"/>
  <c r="F68" i="102"/>
  <c r="N68" i="102" s="1"/>
  <c r="AF67" i="102"/>
  <c r="AE67" i="102"/>
  <c r="AD67" i="102"/>
  <c r="AC67" i="102"/>
  <c r="W67" i="102"/>
  <c r="V67" i="102"/>
  <c r="U67" i="102"/>
  <c r="X67" i="102" s="1"/>
  <c r="M67" i="102"/>
  <c r="F67" i="102"/>
  <c r="AF66" i="102"/>
  <c r="AE66" i="102"/>
  <c r="AD66" i="102"/>
  <c r="AC66" i="102"/>
  <c r="W66" i="102"/>
  <c r="V66" i="102"/>
  <c r="U66" i="102"/>
  <c r="M66" i="102"/>
  <c r="F66" i="102"/>
  <c r="E49" i="102"/>
  <c r="D49" i="102"/>
  <c r="T48" i="102"/>
  <c r="S48" i="102"/>
  <c r="R48" i="102"/>
  <c r="Q48" i="102"/>
  <c r="P48" i="102"/>
  <c r="O48" i="102"/>
  <c r="E48" i="102"/>
  <c r="D48" i="102"/>
  <c r="AF46" i="102"/>
  <c r="AE46" i="102"/>
  <c r="AD46" i="102"/>
  <c r="AC46" i="102"/>
  <c r="W46" i="102"/>
  <c r="V46" i="102"/>
  <c r="U46" i="102"/>
  <c r="M46" i="102"/>
  <c r="F46" i="102"/>
  <c r="AF45" i="102"/>
  <c r="AE45" i="102"/>
  <c r="AD45" i="102"/>
  <c r="AC45" i="102"/>
  <c r="W45" i="102"/>
  <c r="V45" i="102"/>
  <c r="U45" i="102"/>
  <c r="M45" i="102"/>
  <c r="F45" i="102"/>
  <c r="AF44" i="102"/>
  <c r="AE44" i="102"/>
  <c r="AD44" i="102"/>
  <c r="AC44" i="102"/>
  <c r="W44" i="102"/>
  <c r="V44" i="102"/>
  <c r="U44" i="102"/>
  <c r="M44" i="102"/>
  <c r="F44" i="102"/>
  <c r="AF43" i="102"/>
  <c r="AE43" i="102"/>
  <c r="AD43" i="102"/>
  <c r="AC43" i="102"/>
  <c r="W43" i="102"/>
  <c r="V43" i="102"/>
  <c r="U43" i="102"/>
  <c r="X43" i="102" s="1"/>
  <c r="M43" i="102"/>
  <c r="F43" i="102"/>
  <c r="AF42" i="102"/>
  <c r="AE42" i="102"/>
  <c r="AD42" i="102"/>
  <c r="AC42" i="102"/>
  <c r="W42" i="102"/>
  <c r="V42" i="102"/>
  <c r="U42" i="102"/>
  <c r="M42" i="102"/>
  <c r="F42" i="102"/>
  <c r="AF41" i="102"/>
  <c r="AE41" i="102"/>
  <c r="AD41" i="102"/>
  <c r="AC41" i="102"/>
  <c r="W41" i="102"/>
  <c r="V41" i="102"/>
  <c r="U41" i="102"/>
  <c r="M41" i="102"/>
  <c r="F41" i="102"/>
  <c r="AF40" i="102"/>
  <c r="AE40" i="102"/>
  <c r="AD40" i="102"/>
  <c r="AC40" i="102"/>
  <c r="W40" i="102"/>
  <c r="V40" i="102"/>
  <c r="U40" i="102"/>
  <c r="M40" i="102"/>
  <c r="F40" i="102"/>
  <c r="AF39" i="102"/>
  <c r="AE39" i="102"/>
  <c r="AD39" i="102"/>
  <c r="AC39" i="102"/>
  <c r="W39" i="102"/>
  <c r="V39" i="102"/>
  <c r="U39" i="102"/>
  <c r="X39" i="102" s="1"/>
  <c r="M39" i="102"/>
  <c r="F39" i="102"/>
  <c r="AF38" i="102"/>
  <c r="AE38" i="102"/>
  <c r="AD38" i="102"/>
  <c r="AC38" i="102"/>
  <c r="W38" i="102"/>
  <c r="V38" i="102"/>
  <c r="U38" i="102"/>
  <c r="M38" i="102"/>
  <c r="F38" i="102"/>
  <c r="AF37" i="102"/>
  <c r="AE37" i="102"/>
  <c r="AD37" i="102"/>
  <c r="AC37" i="102"/>
  <c r="W37" i="102"/>
  <c r="V37" i="102"/>
  <c r="U37" i="102"/>
  <c r="M37" i="102"/>
  <c r="F37" i="102"/>
  <c r="AF36" i="102"/>
  <c r="AE36" i="102"/>
  <c r="AD36" i="102"/>
  <c r="AC36" i="102"/>
  <c r="W36" i="102"/>
  <c r="V36" i="102"/>
  <c r="U36" i="102"/>
  <c r="M36" i="102"/>
  <c r="F36" i="102"/>
  <c r="AF35" i="102"/>
  <c r="AE35" i="102"/>
  <c r="AD35" i="102"/>
  <c r="AC35" i="102"/>
  <c r="W35" i="102"/>
  <c r="V35" i="102"/>
  <c r="U35" i="102"/>
  <c r="X35" i="102" s="1"/>
  <c r="M35" i="102"/>
  <c r="F35" i="102"/>
  <c r="AF34" i="102"/>
  <c r="AE34" i="102"/>
  <c r="AD34" i="102"/>
  <c r="AC34" i="102"/>
  <c r="W34" i="102"/>
  <c r="V34" i="102"/>
  <c r="U34" i="102"/>
  <c r="M34" i="102"/>
  <c r="F34" i="102"/>
  <c r="AF33" i="102"/>
  <c r="AE33" i="102"/>
  <c r="AD33" i="102"/>
  <c r="AC33" i="102"/>
  <c r="W33" i="102"/>
  <c r="V33" i="102"/>
  <c r="U33" i="102"/>
  <c r="M33" i="102"/>
  <c r="F33" i="102"/>
  <c r="AF32" i="102"/>
  <c r="AE32" i="102"/>
  <c r="AD32" i="102"/>
  <c r="AC32" i="102"/>
  <c r="W32" i="102"/>
  <c r="V32" i="102"/>
  <c r="U32" i="102"/>
  <c r="M32" i="102"/>
  <c r="Z32" i="102" s="1"/>
  <c r="Y32" i="102" s="1"/>
  <c r="X32" i="102" s="1"/>
  <c r="F32" i="102"/>
  <c r="AF31" i="102"/>
  <c r="AE31" i="102"/>
  <c r="AD31" i="102"/>
  <c r="AC31" i="102"/>
  <c r="W31" i="102"/>
  <c r="V31" i="102"/>
  <c r="U31" i="102"/>
  <c r="X31" i="102" s="1"/>
  <c r="M31" i="102"/>
  <c r="F31" i="102"/>
  <c r="AF30" i="102"/>
  <c r="AE30" i="102"/>
  <c r="AD30" i="102"/>
  <c r="AC30" i="102"/>
  <c r="W30" i="102"/>
  <c r="V30" i="102"/>
  <c r="U30" i="102"/>
  <c r="M30" i="102"/>
  <c r="F30" i="102"/>
  <c r="AF29" i="102"/>
  <c r="AE29" i="102"/>
  <c r="AD29" i="102"/>
  <c r="AC29" i="102"/>
  <c r="W29" i="102"/>
  <c r="V29" i="102"/>
  <c r="U29" i="102"/>
  <c r="M29" i="102"/>
  <c r="F29" i="102"/>
  <c r="AF28" i="102"/>
  <c r="AE28" i="102"/>
  <c r="AD28" i="102"/>
  <c r="AC28" i="102"/>
  <c r="W28" i="102"/>
  <c r="V28" i="102"/>
  <c r="U28" i="102"/>
  <c r="M28" i="102"/>
  <c r="F28" i="102"/>
  <c r="AF27" i="102"/>
  <c r="AE27" i="102"/>
  <c r="AD27" i="102"/>
  <c r="AC27" i="102"/>
  <c r="W27" i="102"/>
  <c r="V27" i="102"/>
  <c r="U27" i="102"/>
  <c r="X27" i="102" s="1"/>
  <c r="M27" i="102"/>
  <c r="F27" i="102"/>
  <c r="AF26" i="102"/>
  <c r="AE26" i="102"/>
  <c r="AD26" i="102"/>
  <c r="AC26" i="102"/>
  <c r="W26" i="102"/>
  <c r="V26" i="102"/>
  <c r="U26" i="102"/>
  <c r="M26" i="102"/>
  <c r="F26" i="102"/>
  <c r="AF25" i="102"/>
  <c r="AE25" i="102"/>
  <c r="AD25" i="102"/>
  <c r="AC25" i="102"/>
  <c r="W25" i="102"/>
  <c r="V25" i="102"/>
  <c r="U25" i="102"/>
  <c r="M25" i="102"/>
  <c r="F25" i="102"/>
  <c r="AF24" i="102"/>
  <c r="AE24" i="102"/>
  <c r="AD24" i="102"/>
  <c r="AC24" i="102"/>
  <c r="W24" i="102"/>
  <c r="V24" i="102"/>
  <c r="U24" i="102"/>
  <c r="M24" i="102"/>
  <c r="F24" i="102"/>
  <c r="AF23" i="102"/>
  <c r="AE23" i="102"/>
  <c r="AD23" i="102"/>
  <c r="AC23" i="102"/>
  <c r="W23" i="102"/>
  <c r="V23" i="102"/>
  <c r="U23" i="102"/>
  <c r="X23" i="102" s="1"/>
  <c r="M23" i="102"/>
  <c r="F23" i="102"/>
  <c r="AF22" i="102"/>
  <c r="AE22" i="102"/>
  <c r="AD22" i="102"/>
  <c r="AC22" i="102"/>
  <c r="W22" i="102"/>
  <c r="V22" i="102"/>
  <c r="U22" i="102"/>
  <c r="M22" i="102"/>
  <c r="F22" i="102"/>
  <c r="AF21" i="102"/>
  <c r="AE21" i="102"/>
  <c r="AD21" i="102"/>
  <c r="AC21" i="102"/>
  <c r="W21" i="102"/>
  <c r="V21" i="102"/>
  <c r="U21" i="102"/>
  <c r="M21" i="102"/>
  <c r="F21" i="102"/>
  <c r="AF20" i="102"/>
  <c r="AE20" i="102"/>
  <c r="AD20" i="102"/>
  <c r="AC20" i="102"/>
  <c r="W20" i="102"/>
  <c r="V20" i="102"/>
  <c r="U20" i="102"/>
  <c r="M20" i="102"/>
  <c r="F20" i="102"/>
  <c r="AF19" i="102"/>
  <c r="AE19" i="102"/>
  <c r="AD19" i="102"/>
  <c r="AC19" i="102"/>
  <c r="W19" i="102"/>
  <c r="V19" i="102"/>
  <c r="U19" i="102"/>
  <c r="X19" i="102" s="1"/>
  <c r="M19" i="102"/>
  <c r="F19" i="102"/>
  <c r="AF18" i="102"/>
  <c r="AE18" i="102"/>
  <c r="AD18" i="102"/>
  <c r="AC18" i="102"/>
  <c r="W18" i="102"/>
  <c r="V18" i="102"/>
  <c r="U18" i="102"/>
  <c r="M18" i="102"/>
  <c r="F18" i="102"/>
  <c r="AF17" i="102"/>
  <c r="AE17" i="102"/>
  <c r="AD17" i="102"/>
  <c r="AC17" i="102"/>
  <c r="W17" i="102"/>
  <c r="V17" i="102"/>
  <c r="U17" i="102"/>
  <c r="M17" i="102"/>
  <c r="F17" i="102"/>
  <c r="AF16" i="102"/>
  <c r="AE16" i="102"/>
  <c r="AD16" i="102"/>
  <c r="AC16" i="102"/>
  <c r="W16" i="102"/>
  <c r="V16" i="102"/>
  <c r="U16" i="102"/>
  <c r="M16" i="102"/>
  <c r="F16" i="102"/>
  <c r="AF15" i="102"/>
  <c r="AE15" i="102"/>
  <c r="AD15" i="102"/>
  <c r="AC15" i="102"/>
  <c r="W15" i="102"/>
  <c r="V15" i="102"/>
  <c r="U15" i="102"/>
  <c r="X15" i="102" s="1"/>
  <c r="M15" i="102"/>
  <c r="F15" i="102"/>
  <c r="AF14" i="102"/>
  <c r="AE14" i="102"/>
  <c r="AD14" i="102"/>
  <c r="AC14" i="102"/>
  <c r="W14" i="102"/>
  <c r="V14" i="102"/>
  <c r="U14" i="102"/>
  <c r="M14" i="102"/>
  <c r="F14" i="102"/>
  <c r="N14" i="102" s="1"/>
  <c r="AF13" i="102"/>
  <c r="AE13" i="102"/>
  <c r="AD13" i="102"/>
  <c r="AC13" i="102"/>
  <c r="W13" i="102"/>
  <c r="V13" i="102"/>
  <c r="U13" i="102"/>
  <c r="X13" i="102" s="1"/>
  <c r="M13" i="102"/>
  <c r="F13" i="102"/>
  <c r="E5" i="102"/>
  <c r="A2" i="102"/>
  <c r="D103" i="101"/>
  <c r="T102" i="101"/>
  <c r="S102" i="101"/>
  <c r="R102" i="101"/>
  <c r="Q102" i="101"/>
  <c r="P102" i="101"/>
  <c r="O102" i="101"/>
  <c r="E102" i="101"/>
  <c r="D102" i="101"/>
  <c r="AF100" i="101"/>
  <c r="AE100" i="101"/>
  <c r="AD100" i="101"/>
  <c r="AC100" i="101"/>
  <c r="W100" i="101"/>
  <c r="V100" i="101"/>
  <c r="U100" i="101"/>
  <c r="X100" i="101" s="1"/>
  <c r="M100" i="101"/>
  <c r="F100" i="101"/>
  <c r="N100" i="101" s="1"/>
  <c r="AF99" i="101"/>
  <c r="AE99" i="101"/>
  <c r="AD99" i="101"/>
  <c r="AC99" i="101"/>
  <c r="W99" i="101"/>
  <c r="V99" i="101"/>
  <c r="U99" i="101"/>
  <c r="X99" i="101" s="1"/>
  <c r="M99" i="101"/>
  <c r="F99" i="101"/>
  <c r="N99" i="101" s="1"/>
  <c r="AF98" i="101"/>
  <c r="AE98" i="101"/>
  <c r="AD98" i="101"/>
  <c r="AC98" i="101"/>
  <c r="W98" i="101"/>
  <c r="V98" i="101"/>
  <c r="U98" i="101"/>
  <c r="X98" i="101" s="1"/>
  <c r="M98" i="101"/>
  <c r="F98" i="101"/>
  <c r="N98" i="101" s="1"/>
  <c r="AF97" i="101"/>
  <c r="AE97" i="101"/>
  <c r="AD97" i="101"/>
  <c r="AC97" i="101"/>
  <c r="W97" i="101"/>
  <c r="V97" i="101"/>
  <c r="U97" i="101"/>
  <c r="X97" i="101" s="1"/>
  <c r="M97" i="101"/>
  <c r="F97" i="101"/>
  <c r="N97" i="101" s="1"/>
  <c r="AF96" i="101"/>
  <c r="AE96" i="101"/>
  <c r="AD96" i="101"/>
  <c r="AC96" i="101"/>
  <c r="W96" i="101"/>
  <c r="V96" i="101"/>
  <c r="U96" i="101"/>
  <c r="X96" i="101" s="1"/>
  <c r="M96" i="101"/>
  <c r="F96" i="101"/>
  <c r="N96" i="101" s="1"/>
  <c r="AF95" i="101"/>
  <c r="AE95" i="101"/>
  <c r="AD95" i="101"/>
  <c r="AC95" i="101"/>
  <c r="W95" i="101"/>
  <c r="V95" i="101"/>
  <c r="U95" i="101"/>
  <c r="M95" i="101"/>
  <c r="F95" i="101"/>
  <c r="N95" i="101" s="1"/>
  <c r="AF94" i="101"/>
  <c r="AE94" i="101"/>
  <c r="AD94" i="101"/>
  <c r="AC94" i="101"/>
  <c r="W94" i="101"/>
  <c r="V94" i="101"/>
  <c r="U94" i="101"/>
  <c r="X94" i="101" s="1"/>
  <c r="M94" i="101"/>
  <c r="F94" i="101"/>
  <c r="N94" i="101" s="1"/>
  <c r="AF93" i="101"/>
  <c r="AE93" i="101"/>
  <c r="AD93" i="101"/>
  <c r="AC93" i="101"/>
  <c r="W93" i="101"/>
  <c r="V93" i="101"/>
  <c r="U93" i="101"/>
  <c r="X93" i="101" s="1"/>
  <c r="M93" i="101"/>
  <c r="F93" i="101"/>
  <c r="N93" i="101" s="1"/>
  <c r="AF92" i="101"/>
  <c r="AE92" i="101"/>
  <c r="AD92" i="101"/>
  <c r="AC92" i="101"/>
  <c r="W92" i="101"/>
  <c r="V92" i="101"/>
  <c r="U92" i="101"/>
  <c r="X92" i="101" s="1"/>
  <c r="M92" i="101"/>
  <c r="F92" i="101"/>
  <c r="N92" i="101" s="1"/>
  <c r="AF91" i="101"/>
  <c r="AE91" i="101"/>
  <c r="AD91" i="101"/>
  <c r="AC91" i="101"/>
  <c r="W91" i="101"/>
  <c r="V91" i="101"/>
  <c r="U91" i="101"/>
  <c r="X91" i="101" s="1"/>
  <c r="M91" i="101"/>
  <c r="F91" i="101"/>
  <c r="N91" i="101" s="1"/>
  <c r="AF90" i="101"/>
  <c r="AE90" i="101"/>
  <c r="AD90" i="101"/>
  <c r="AC90" i="101"/>
  <c r="W90" i="101"/>
  <c r="V90" i="101"/>
  <c r="U90" i="101"/>
  <c r="X90" i="101" s="1"/>
  <c r="M90" i="101"/>
  <c r="F90" i="101"/>
  <c r="N90" i="101" s="1"/>
  <c r="AF89" i="101"/>
  <c r="AE89" i="101"/>
  <c r="AD89" i="101"/>
  <c r="AC89" i="101"/>
  <c r="W89" i="101"/>
  <c r="V89" i="101"/>
  <c r="U89" i="101"/>
  <c r="X89" i="101" s="1"/>
  <c r="M89" i="101"/>
  <c r="F89" i="101"/>
  <c r="N89" i="101" s="1"/>
  <c r="AF88" i="101"/>
  <c r="AE88" i="101"/>
  <c r="AD88" i="101"/>
  <c r="AC88" i="101"/>
  <c r="W88" i="101"/>
  <c r="V88" i="101"/>
  <c r="U88" i="101"/>
  <c r="X88" i="101" s="1"/>
  <c r="M88" i="101"/>
  <c r="F88" i="101"/>
  <c r="N88" i="101" s="1"/>
  <c r="AF87" i="101"/>
  <c r="AE87" i="101"/>
  <c r="AD87" i="101"/>
  <c r="AC87" i="101"/>
  <c r="W87" i="101"/>
  <c r="V87" i="101"/>
  <c r="U87" i="101"/>
  <c r="M87" i="101"/>
  <c r="F87" i="101"/>
  <c r="N87" i="101" s="1"/>
  <c r="AF86" i="101"/>
  <c r="AE86" i="101"/>
  <c r="AD86" i="101"/>
  <c r="AC86" i="101"/>
  <c r="W86" i="101"/>
  <c r="V86" i="101"/>
  <c r="U86" i="101"/>
  <c r="X86" i="101" s="1"/>
  <c r="M86" i="101"/>
  <c r="F86" i="101"/>
  <c r="N86" i="101" s="1"/>
  <c r="AF85" i="101"/>
  <c r="AE85" i="101"/>
  <c r="AD85" i="101"/>
  <c r="AC85" i="101"/>
  <c r="W85" i="101"/>
  <c r="V85" i="101"/>
  <c r="U85" i="101"/>
  <c r="X85" i="101" s="1"/>
  <c r="M85" i="101"/>
  <c r="F85" i="101"/>
  <c r="N85" i="101" s="1"/>
  <c r="AF84" i="101"/>
  <c r="AE84" i="101"/>
  <c r="AD84" i="101"/>
  <c r="AC84" i="101"/>
  <c r="W84" i="101"/>
  <c r="V84" i="101"/>
  <c r="U84" i="101"/>
  <c r="X84" i="101" s="1"/>
  <c r="M84" i="101"/>
  <c r="F84" i="101"/>
  <c r="N84" i="101" s="1"/>
  <c r="AF83" i="101"/>
  <c r="AE83" i="101"/>
  <c r="AD83" i="101"/>
  <c r="AC83" i="101"/>
  <c r="W83" i="101"/>
  <c r="V83" i="101"/>
  <c r="U83" i="101"/>
  <c r="X83" i="101" s="1"/>
  <c r="M83" i="101"/>
  <c r="F83" i="101"/>
  <c r="N83" i="101" s="1"/>
  <c r="AF82" i="101"/>
  <c r="AE82" i="101"/>
  <c r="AD82" i="101"/>
  <c r="AC82" i="101"/>
  <c r="W82" i="101"/>
  <c r="V82" i="101"/>
  <c r="U82" i="101"/>
  <c r="X82" i="101" s="1"/>
  <c r="M82" i="101"/>
  <c r="F82" i="101"/>
  <c r="N82" i="101" s="1"/>
  <c r="AF81" i="101"/>
  <c r="AE81" i="101"/>
  <c r="AD81" i="101"/>
  <c r="AC81" i="101"/>
  <c r="W81" i="101"/>
  <c r="V81" i="101"/>
  <c r="U81" i="101"/>
  <c r="X81" i="101" s="1"/>
  <c r="M81" i="101"/>
  <c r="F81" i="101"/>
  <c r="N81" i="101" s="1"/>
  <c r="AF80" i="101"/>
  <c r="AE80" i="101"/>
  <c r="AD80" i="101"/>
  <c r="AC80" i="101"/>
  <c r="W80" i="101"/>
  <c r="V80" i="101"/>
  <c r="U80" i="101"/>
  <c r="X80" i="101" s="1"/>
  <c r="M80" i="101"/>
  <c r="F80" i="101"/>
  <c r="N80" i="101" s="1"/>
  <c r="AF79" i="101"/>
  <c r="AE79" i="101"/>
  <c r="AD79" i="101"/>
  <c r="AC79" i="101"/>
  <c r="W79" i="101"/>
  <c r="V79" i="101"/>
  <c r="U79" i="101"/>
  <c r="M79" i="101"/>
  <c r="F79" i="101"/>
  <c r="N79" i="101" s="1"/>
  <c r="AF78" i="101"/>
  <c r="AE78" i="101"/>
  <c r="AD78" i="101"/>
  <c r="AC78" i="101"/>
  <c r="W78" i="101"/>
  <c r="V78" i="101"/>
  <c r="U78" i="101"/>
  <c r="X78" i="101" s="1"/>
  <c r="M78" i="101"/>
  <c r="F78" i="101"/>
  <c r="N78" i="101" s="1"/>
  <c r="AF77" i="101"/>
  <c r="AE77" i="101"/>
  <c r="AD77" i="101"/>
  <c r="AC77" i="101"/>
  <c r="W77" i="101"/>
  <c r="V77" i="101"/>
  <c r="U77" i="101"/>
  <c r="X77" i="101" s="1"/>
  <c r="M77" i="101"/>
  <c r="F77" i="101"/>
  <c r="N77" i="101" s="1"/>
  <c r="AF76" i="101"/>
  <c r="AE76" i="101"/>
  <c r="AD76" i="101"/>
  <c r="AC76" i="101"/>
  <c r="W76" i="101"/>
  <c r="V76" i="101"/>
  <c r="U76" i="101"/>
  <c r="X76" i="101" s="1"/>
  <c r="M76" i="101"/>
  <c r="F76" i="101"/>
  <c r="N76" i="101" s="1"/>
  <c r="AF75" i="101"/>
  <c r="AE75" i="101"/>
  <c r="AD75" i="101"/>
  <c r="AC75" i="101"/>
  <c r="W75" i="101"/>
  <c r="V75" i="101"/>
  <c r="U75" i="101"/>
  <c r="X75" i="101" s="1"/>
  <c r="M75" i="101"/>
  <c r="F75" i="101"/>
  <c r="N75" i="101" s="1"/>
  <c r="AF74" i="101"/>
  <c r="AE74" i="101"/>
  <c r="AD74" i="101"/>
  <c r="AC74" i="101"/>
  <c r="W74" i="101"/>
  <c r="V74" i="101"/>
  <c r="U74" i="101"/>
  <c r="X74" i="101" s="1"/>
  <c r="M74" i="101"/>
  <c r="F74" i="101"/>
  <c r="N74" i="101" s="1"/>
  <c r="AF73" i="101"/>
  <c r="AE73" i="101"/>
  <c r="AD73" i="101"/>
  <c r="AC73" i="101"/>
  <c r="W73" i="101"/>
  <c r="V73" i="101"/>
  <c r="U73" i="101"/>
  <c r="X73" i="101" s="1"/>
  <c r="M73" i="101"/>
  <c r="F73" i="101"/>
  <c r="N73" i="101" s="1"/>
  <c r="AF72" i="101"/>
  <c r="AE72" i="101"/>
  <c r="AD72" i="101"/>
  <c r="AC72" i="101"/>
  <c r="W72" i="101"/>
  <c r="V72" i="101"/>
  <c r="U72" i="101"/>
  <c r="X72" i="101" s="1"/>
  <c r="M72" i="101"/>
  <c r="F72" i="101"/>
  <c r="N72" i="101" s="1"/>
  <c r="AF71" i="101"/>
  <c r="AE71" i="101"/>
  <c r="AD71" i="101"/>
  <c r="AC71" i="101"/>
  <c r="W71" i="101"/>
  <c r="V71" i="101"/>
  <c r="U71" i="101"/>
  <c r="M71" i="101"/>
  <c r="F71" i="101"/>
  <c r="N71" i="101" s="1"/>
  <c r="AF70" i="101"/>
  <c r="AE70" i="101"/>
  <c r="AD70" i="101"/>
  <c r="AC70" i="101"/>
  <c r="W70" i="101"/>
  <c r="V70" i="101"/>
  <c r="U70" i="101"/>
  <c r="X70" i="101" s="1"/>
  <c r="M70" i="101"/>
  <c r="F70" i="101"/>
  <c r="N70" i="101" s="1"/>
  <c r="AF69" i="101"/>
  <c r="AE69" i="101"/>
  <c r="AD69" i="101"/>
  <c r="AC69" i="101"/>
  <c r="W69" i="101"/>
  <c r="V69" i="101"/>
  <c r="U69" i="101"/>
  <c r="X69" i="101" s="1"/>
  <c r="M69" i="101"/>
  <c r="F69" i="101"/>
  <c r="N69" i="101" s="1"/>
  <c r="AF68" i="101"/>
  <c r="AE68" i="101"/>
  <c r="AD68" i="101"/>
  <c r="AC68" i="101"/>
  <c r="W68" i="101"/>
  <c r="V68" i="101"/>
  <c r="U68" i="101"/>
  <c r="X68" i="101" s="1"/>
  <c r="M68" i="101"/>
  <c r="F68" i="101"/>
  <c r="N68" i="101" s="1"/>
  <c r="AF67" i="101"/>
  <c r="AE67" i="101"/>
  <c r="AD67" i="101"/>
  <c r="AC67" i="101"/>
  <c r="W67" i="101"/>
  <c r="V67" i="101"/>
  <c r="U67" i="101"/>
  <c r="X67" i="101" s="1"/>
  <c r="M67" i="101"/>
  <c r="F67" i="101"/>
  <c r="N67" i="101" s="1"/>
  <c r="AF66" i="101"/>
  <c r="AE66" i="101"/>
  <c r="AD66" i="101"/>
  <c r="AC66" i="101"/>
  <c r="W66" i="101"/>
  <c r="V66" i="101"/>
  <c r="U66" i="101"/>
  <c r="M66" i="101"/>
  <c r="F66" i="101"/>
  <c r="N66" i="101" s="1"/>
  <c r="E49" i="101"/>
  <c r="D49" i="101"/>
  <c r="T48" i="101"/>
  <c r="S48" i="101"/>
  <c r="R48" i="101"/>
  <c r="Q48" i="101"/>
  <c r="P48" i="101"/>
  <c r="O48" i="101"/>
  <c r="E48" i="101"/>
  <c r="D48" i="101"/>
  <c r="AF46" i="101"/>
  <c r="AE46" i="101"/>
  <c r="AD46" i="101"/>
  <c r="AC46" i="101"/>
  <c r="W46" i="101"/>
  <c r="V46" i="101"/>
  <c r="U46" i="101"/>
  <c r="X46" i="101" s="1"/>
  <c r="M46" i="101"/>
  <c r="F46" i="101"/>
  <c r="N46" i="101" s="1"/>
  <c r="AF45" i="101"/>
  <c r="AE45" i="101"/>
  <c r="AD45" i="101"/>
  <c r="AC45" i="101"/>
  <c r="W45" i="101"/>
  <c r="V45" i="101"/>
  <c r="U45" i="101"/>
  <c r="X45" i="101" s="1"/>
  <c r="M45" i="101"/>
  <c r="F45" i="101"/>
  <c r="N45" i="101" s="1"/>
  <c r="AF44" i="101"/>
  <c r="AE44" i="101"/>
  <c r="AD44" i="101"/>
  <c r="AC44" i="101"/>
  <c r="W44" i="101"/>
  <c r="V44" i="101"/>
  <c r="U44" i="101"/>
  <c r="M44" i="101"/>
  <c r="F44" i="101"/>
  <c r="AF43" i="101"/>
  <c r="AE43" i="101"/>
  <c r="AD43" i="101"/>
  <c r="AC43" i="101"/>
  <c r="W43" i="101"/>
  <c r="V43" i="101"/>
  <c r="U43" i="101"/>
  <c r="X43" i="101" s="1"/>
  <c r="M43" i="101"/>
  <c r="F43" i="101"/>
  <c r="N43" i="101" s="1"/>
  <c r="AF42" i="101"/>
  <c r="AE42" i="101"/>
  <c r="AD42" i="101"/>
  <c r="AC42" i="101"/>
  <c r="W42" i="101"/>
  <c r="V42" i="101"/>
  <c r="U42" i="101"/>
  <c r="X42" i="101" s="1"/>
  <c r="M42" i="101"/>
  <c r="F42" i="101"/>
  <c r="N42" i="101" s="1"/>
  <c r="AF41" i="101"/>
  <c r="AE41" i="101"/>
  <c r="AD41" i="101"/>
  <c r="AC41" i="101"/>
  <c r="W41" i="101"/>
  <c r="V41" i="101"/>
  <c r="U41" i="101"/>
  <c r="X41" i="101" s="1"/>
  <c r="M41" i="101"/>
  <c r="F41" i="101"/>
  <c r="N41" i="101" s="1"/>
  <c r="AF40" i="101"/>
  <c r="AE40" i="101"/>
  <c r="AD40" i="101"/>
  <c r="AC40" i="101"/>
  <c r="W40" i="101"/>
  <c r="V40" i="101"/>
  <c r="U40" i="101"/>
  <c r="X40" i="101" s="1"/>
  <c r="M40" i="101"/>
  <c r="F40" i="101"/>
  <c r="AF39" i="101"/>
  <c r="AE39" i="101"/>
  <c r="AD39" i="101"/>
  <c r="AC39" i="101"/>
  <c r="W39" i="101"/>
  <c r="V39" i="101"/>
  <c r="U39" i="101"/>
  <c r="M39" i="101"/>
  <c r="F39" i="101"/>
  <c r="N39" i="101" s="1"/>
  <c r="AF38" i="101"/>
  <c r="AE38" i="101"/>
  <c r="AD38" i="101"/>
  <c r="AC38" i="101"/>
  <c r="W38" i="101"/>
  <c r="V38" i="101"/>
  <c r="U38" i="101"/>
  <c r="M38" i="101"/>
  <c r="F38" i="101"/>
  <c r="N38" i="101" s="1"/>
  <c r="AF37" i="101"/>
  <c r="AE37" i="101"/>
  <c r="AD37" i="101"/>
  <c r="AC37" i="101"/>
  <c r="W37" i="101"/>
  <c r="V37" i="101"/>
  <c r="U37" i="101"/>
  <c r="X37" i="101" s="1"/>
  <c r="M37" i="101"/>
  <c r="F37" i="101"/>
  <c r="N37" i="101" s="1"/>
  <c r="AF36" i="101"/>
  <c r="AE36" i="101"/>
  <c r="AD36" i="101"/>
  <c r="AC36" i="101"/>
  <c r="W36" i="101"/>
  <c r="V36" i="101"/>
  <c r="U36" i="101"/>
  <c r="X36" i="101" s="1"/>
  <c r="M36" i="101"/>
  <c r="F36" i="101"/>
  <c r="AF35" i="101"/>
  <c r="AE35" i="101"/>
  <c r="AD35" i="101"/>
  <c r="AC35" i="101"/>
  <c r="W35" i="101"/>
  <c r="V35" i="101"/>
  <c r="U35" i="101"/>
  <c r="X35" i="101" s="1"/>
  <c r="M35" i="101"/>
  <c r="F35" i="101"/>
  <c r="N35" i="101" s="1"/>
  <c r="AF34" i="101"/>
  <c r="AE34" i="101"/>
  <c r="AD34" i="101"/>
  <c r="AC34" i="101"/>
  <c r="W34" i="101"/>
  <c r="V34" i="101"/>
  <c r="U34" i="101"/>
  <c r="X34" i="101" s="1"/>
  <c r="M34" i="101"/>
  <c r="F34" i="101"/>
  <c r="N34" i="101" s="1"/>
  <c r="AF33" i="101"/>
  <c r="AE33" i="101"/>
  <c r="AD33" i="101"/>
  <c r="AC33" i="101"/>
  <c r="W33" i="101"/>
  <c r="V33" i="101"/>
  <c r="U33" i="101"/>
  <c r="X33" i="101" s="1"/>
  <c r="M33" i="101"/>
  <c r="F33" i="101"/>
  <c r="N33" i="101" s="1"/>
  <c r="AF32" i="101"/>
  <c r="AE32" i="101"/>
  <c r="AD32" i="101"/>
  <c r="AC32" i="101"/>
  <c r="W32" i="101"/>
  <c r="V32" i="101"/>
  <c r="U32" i="101"/>
  <c r="M32" i="101"/>
  <c r="F32" i="101"/>
  <c r="AF31" i="101"/>
  <c r="AE31" i="101"/>
  <c r="AD31" i="101"/>
  <c r="AC31" i="101"/>
  <c r="W31" i="101"/>
  <c r="V31" i="101"/>
  <c r="U31" i="101"/>
  <c r="X31" i="101" s="1"/>
  <c r="M31" i="101"/>
  <c r="F31" i="101"/>
  <c r="N31" i="101" s="1"/>
  <c r="AF30" i="101"/>
  <c r="AE30" i="101"/>
  <c r="AD30" i="101"/>
  <c r="AC30" i="101"/>
  <c r="W30" i="101"/>
  <c r="V30" i="101"/>
  <c r="U30" i="101"/>
  <c r="X30" i="101" s="1"/>
  <c r="M30" i="101"/>
  <c r="F30" i="101"/>
  <c r="N30" i="101" s="1"/>
  <c r="AF29" i="101"/>
  <c r="AE29" i="101"/>
  <c r="AD29" i="101"/>
  <c r="AC29" i="101"/>
  <c r="W29" i="101"/>
  <c r="V29" i="101"/>
  <c r="U29" i="101"/>
  <c r="X29" i="101" s="1"/>
  <c r="M29" i="101"/>
  <c r="F29" i="101"/>
  <c r="N29" i="101" s="1"/>
  <c r="AF28" i="101"/>
  <c r="AE28" i="101"/>
  <c r="AD28" i="101"/>
  <c r="AC28" i="101"/>
  <c r="W28" i="101"/>
  <c r="V28" i="101"/>
  <c r="U28" i="101"/>
  <c r="X28" i="101" s="1"/>
  <c r="M28" i="101"/>
  <c r="F28" i="101"/>
  <c r="AF27" i="101"/>
  <c r="AE27" i="101"/>
  <c r="AD27" i="101"/>
  <c r="AC27" i="101"/>
  <c r="W27" i="101"/>
  <c r="V27" i="101"/>
  <c r="U27" i="101"/>
  <c r="X27" i="101" s="1"/>
  <c r="M27" i="101"/>
  <c r="F27" i="101"/>
  <c r="N27" i="101" s="1"/>
  <c r="AF26" i="101"/>
  <c r="AE26" i="101"/>
  <c r="AD26" i="101"/>
  <c r="AC26" i="101"/>
  <c r="W26" i="101"/>
  <c r="V26" i="101"/>
  <c r="U26" i="101"/>
  <c r="X26" i="101" s="1"/>
  <c r="M26" i="101"/>
  <c r="F26" i="101"/>
  <c r="N26" i="101" s="1"/>
  <c r="AF25" i="101"/>
  <c r="AE25" i="101"/>
  <c r="AD25" i="101"/>
  <c r="AC25" i="101"/>
  <c r="W25" i="101"/>
  <c r="V25" i="101"/>
  <c r="U25" i="101"/>
  <c r="X25" i="101" s="1"/>
  <c r="M25" i="101"/>
  <c r="F25" i="101"/>
  <c r="N25" i="101" s="1"/>
  <c r="AF24" i="101"/>
  <c r="AE24" i="101"/>
  <c r="AD24" i="101"/>
  <c r="AC24" i="101"/>
  <c r="W24" i="101"/>
  <c r="V24" i="101"/>
  <c r="U24" i="101"/>
  <c r="M24" i="101"/>
  <c r="F24" i="101"/>
  <c r="AF23" i="101"/>
  <c r="AE23" i="101"/>
  <c r="AD23" i="101"/>
  <c r="AC23" i="101"/>
  <c r="W23" i="101"/>
  <c r="V23" i="101"/>
  <c r="U23" i="101"/>
  <c r="X23" i="101" s="1"/>
  <c r="M23" i="101"/>
  <c r="F23" i="101"/>
  <c r="N23" i="101" s="1"/>
  <c r="AF22" i="101"/>
  <c r="AE22" i="101"/>
  <c r="AD22" i="101"/>
  <c r="AC22" i="101"/>
  <c r="W22" i="101"/>
  <c r="V22" i="101"/>
  <c r="U22" i="101"/>
  <c r="M22" i="101"/>
  <c r="F22" i="101"/>
  <c r="N22" i="101" s="1"/>
  <c r="AF21" i="101"/>
  <c r="AE21" i="101"/>
  <c r="AD21" i="101"/>
  <c r="AC21" i="101"/>
  <c r="W21" i="101"/>
  <c r="V21" i="101"/>
  <c r="U21" i="101"/>
  <c r="X21" i="101" s="1"/>
  <c r="M21" i="101"/>
  <c r="F21" i="101"/>
  <c r="N21" i="101" s="1"/>
  <c r="AF20" i="101"/>
  <c r="AE20" i="101"/>
  <c r="AD20" i="101"/>
  <c r="AC20" i="101"/>
  <c r="W20" i="101"/>
  <c r="V20" i="101"/>
  <c r="U20" i="101"/>
  <c r="X20" i="101" s="1"/>
  <c r="M20" i="101"/>
  <c r="F20" i="101"/>
  <c r="AF19" i="101"/>
  <c r="AE19" i="101"/>
  <c r="AD19" i="101"/>
  <c r="AC19" i="101"/>
  <c r="W19" i="101"/>
  <c r="V19" i="101"/>
  <c r="U19" i="101"/>
  <c r="X19" i="101" s="1"/>
  <c r="M19" i="101"/>
  <c r="F19" i="101"/>
  <c r="N19" i="101" s="1"/>
  <c r="AF18" i="101"/>
  <c r="AE18" i="101"/>
  <c r="AD18" i="101"/>
  <c r="AC18" i="101"/>
  <c r="W18" i="101"/>
  <c r="V18" i="101"/>
  <c r="U18" i="101"/>
  <c r="X18" i="101" s="1"/>
  <c r="M18" i="101"/>
  <c r="F18" i="101"/>
  <c r="N18" i="101" s="1"/>
  <c r="AF17" i="101"/>
  <c r="AE17" i="101"/>
  <c r="AD17" i="101"/>
  <c r="AC17" i="101"/>
  <c r="W17" i="101"/>
  <c r="V17" i="101"/>
  <c r="U17" i="101"/>
  <c r="X17" i="101" s="1"/>
  <c r="M17" i="101"/>
  <c r="F17" i="101"/>
  <c r="N17" i="101" s="1"/>
  <c r="AF16" i="101"/>
  <c r="AE16" i="101"/>
  <c r="AD16" i="101"/>
  <c r="AC16" i="101"/>
  <c r="W16" i="101"/>
  <c r="V16" i="101"/>
  <c r="U16" i="101"/>
  <c r="M16" i="101"/>
  <c r="F16" i="101"/>
  <c r="AF15" i="101"/>
  <c r="AE15" i="101"/>
  <c r="AD15" i="101"/>
  <c r="AC15" i="101"/>
  <c r="W15" i="101"/>
  <c r="V15" i="101"/>
  <c r="U15" i="101"/>
  <c r="X15" i="101" s="1"/>
  <c r="M15" i="101"/>
  <c r="F15" i="101"/>
  <c r="N15" i="101" s="1"/>
  <c r="AF14" i="101"/>
  <c r="AE14" i="101"/>
  <c r="AD14" i="101"/>
  <c r="AC14" i="101"/>
  <c r="W14" i="101"/>
  <c r="V14" i="101"/>
  <c r="U14" i="101"/>
  <c r="X14" i="101" s="1"/>
  <c r="M14" i="101"/>
  <c r="F14" i="101"/>
  <c r="N14" i="101" s="1"/>
  <c r="AF13" i="101"/>
  <c r="AE13" i="101"/>
  <c r="AD13" i="101"/>
  <c r="AC13" i="101"/>
  <c r="W13" i="101"/>
  <c r="V13" i="101"/>
  <c r="U13" i="101"/>
  <c r="X13" i="101" s="1"/>
  <c r="M13" i="101"/>
  <c r="F13" i="101"/>
  <c r="E5" i="101"/>
  <c r="A2" i="101"/>
  <c r="D103" i="100"/>
  <c r="T102" i="100"/>
  <c r="S102" i="100"/>
  <c r="R102" i="100"/>
  <c r="Q102" i="100"/>
  <c r="P102" i="100"/>
  <c r="O102" i="100"/>
  <c r="E102" i="100"/>
  <c r="D102" i="100"/>
  <c r="AF100" i="100"/>
  <c r="AE100" i="100"/>
  <c r="AD100" i="100"/>
  <c r="AC100" i="100"/>
  <c r="W100" i="100"/>
  <c r="V100" i="100"/>
  <c r="U100" i="100"/>
  <c r="X100" i="100" s="1"/>
  <c r="M100" i="100"/>
  <c r="F100" i="100"/>
  <c r="AF99" i="100"/>
  <c r="AE99" i="100"/>
  <c r="AD99" i="100"/>
  <c r="AC99" i="100"/>
  <c r="W99" i="100"/>
  <c r="V99" i="100"/>
  <c r="U99" i="100"/>
  <c r="X99" i="100" s="1"/>
  <c r="M99" i="100"/>
  <c r="F99" i="100"/>
  <c r="N99" i="100" s="1"/>
  <c r="AF98" i="100"/>
  <c r="AE98" i="100"/>
  <c r="AD98" i="100"/>
  <c r="AC98" i="100"/>
  <c r="W98" i="100"/>
  <c r="V98" i="100"/>
  <c r="U98" i="100"/>
  <c r="M98" i="100"/>
  <c r="F98" i="100"/>
  <c r="AF97" i="100"/>
  <c r="AE97" i="100"/>
  <c r="AD97" i="100"/>
  <c r="AC97" i="100"/>
  <c r="W97" i="100"/>
  <c r="V97" i="100"/>
  <c r="U97" i="100"/>
  <c r="X97" i="100" s="1"/>
  <c r="M97" i="100"/>
  <c r="F97" i="100"/>
  <c r="N97" i="100" s="1"/>
  <c r="AF96" i="100"/>
  <c r="AE96" i="100"/>
  <c r="AD96" i="100"/>
  <c r="AC96" i="100"/>
  <c r="W96" i="100"/>
  <c r="V96" i="100"/>
  <c r="U96" i="100"/>
  <c r="X96" i="100" s="1"/>
  <c r="M96" i="100"/>
  <c r="F96" i="100"/>
  <c r="AF95" i="100"/>
  <c r="AE95" i="100"/>
  <c r="AD95" i="100"/>
  <c r="AC95" i="100"/>
  <c r="W95" i="100"/>
  <c r="V95" i="100"/>
  <c r="U95" i="100"/>
  <c r="X95" i="100" s="1"/>
  <c r="M95" i="100"/>
  <c r="F95" i="100"/>
  <c r="N95" i="100" s="1"/>
  <c r="AF94" i="100"/>
  <c r="AE94" i="100"/>
  <c r="AD94" i="100"/>
  <c r="AC94" i="100"/>
  <c r="W94" i="100"/>
  <c r="V94" i="100"/>
  <c r="U94" i="100"/>
  <c r="M94" i="100"/>
  <c r="F94" i="100"/>
  <c r="AF93" i="100"/>
  <c r="AE93" i="100"/>
  <c r="AD93" i="100"/>
  <c r="AC93" i="100"/>
  <c r="W93" i="100"/>
  <c r="V93" i="100"/>
  <c r="U93" i="100"/>
  <c r="X93" i="100" s="1"/>
  <c r="M93" i="100"/>
  <c r="F93" i="100"/>
  <c r="N93" i="100" s="1"/>
  <c r="AF92" i="100"/>
  <c r="AE92" i="100"/>
  <c r="AD92" i="100"/>
  <c r="AC92" i="100"/>
  <c r="W92" i="100"/>
  <c r="V92" i="100"/>
  <c r="U92" i="100"/>
  <c r="X92" i="100" s="1"/>
  <c r="M92" i="100"/>
  <c r="F92" i="100"/>
  <c r="AF91" i="100"/>
  <c r="AE91" i="100"/>
  <c r="AD91" i="100"/>
  <c r="AC91" i="100"/>
  <c r="W91" i="100"/>
  <c r="V91" i="100"/>
  <c r="U91" i="100"/>
  <c r="X91" i="100" s="1"/>
  <c r="M91" i="100"/>
  <c r="F91" i="100"/>
  <c r="N91" i="100" s="1"/>
  <c r="AF90" i="100"/>
  <c r="AE90" i="100"/>
  <c r="AD90" i="100"/>
  <c r="AC90" i="100"/>
  <c r="W90" i="100"/>
  <c r="V90" i="100"/>
  <c r="U90" i="100"/>
  <c r="M90" i="100"/>
  <c r="F90" i="100"/>
  <c r="AF89" i="100"/>
  <c r="AE89" i="100"/>
  <c r="AD89" i="100"/>
  <c r="AC89" i="100"/>
  <c r="W89" i="100"/>
  <c r="V89" i="100"/>
  <c r="U89" i="100"/>
  <c r="X89" i="100" s="1"/>
  <c r="M89" i="100"/>
  <c r="F89" i="100"/>
  <c r="N89" i="100" s="1"/>
  <c r="AF88" i="100"/>
  <c r="AE88" i="100"/>
  <c r="AD88" i="100"/>
  <c r="AC88" i="100"/>
  <c r="W88" i="100"/>
  <c r="V88" i="100"/>
  <c r="U88" i="100"/>
  <c r="X88" i="100" s="1"/>
  <c r="M88" i="100"/>
  <c r="F88" i="100"/>
  <c r="AF87" i="100"/>
  <c r="AE87" i="100"/>
  <c r="AD87" i="100"/>
  <c r="AC87" i="100"/>
  <c r="W87" i="100"/>
  <c r="V87" i="100"/>
  <c r="U87" i="100"/>
  <c r="X87" i="100" s="1"/>
  <c r="M87" i="100"/>
  <c r="F87" i="100"/>
  <c r="N87" i="100" s="1"/>
  <c r="AF86" i="100"/>
  <c r="AE86" i="100"/>
  <c r="AD86" i="100"/>
  <c r="AC86" i="100"/>
  <c r="W86" i="100"/>
  <c r="V86" i="100"/>
  <c r="U86" i="100"/>
  <c r="M86" i="100"/>
  <c r="F86" i="100"/>
  <c r="AF85" i="100"/>
  <c r="AE85" i="100"/>
  <c r="AD85" i="100"/>
  <c r="AC85" i="100"/>
  <c r="W85" i="100"/>
  <c r="V85" i="100"/>
  <c r="U85" i="100"/>
  <c r="X85" i="100" s="1"/>
  <c r="M85" i="100"/>
  <c r="F85" i="100"/>
  <c r="N85" i="100" s="1"/>
  <c r="AF84" i="100"/>
  <c r="AE84" i="100"/>
  <c r="AD84" i="100"/>
  <c r="AC84" i="100"/>
  <c r="W84" i="100"/>
  <c r="V84" i="100"/>
  <c r="U84" i="100"/>
  <c r="X84" i="100" s="1"/>
  <c r="M84" i="100"/>
  <c r="F84" i="100"/>
  <c r="AF83" i="100"/>
  <c r="AE83" i="100"/>
  <c r="AD83" i="100"/>
  <c r="AC83" i="100"/>
  <c r="W83" i="100"/>
  <c r="V83" i="100"/>
  <c r="U83" i="100"/>
  <c r="X83" i="100" s="1"/>
  <c r="M83" i="100"/>
  <c r="F83" i="100"/>
  <c r="N83" i="100" s="1"/>
  <c r="AF82" i="100"/>
  <c r="AE82" i="100"/>
  <c r="AD82" i="100"/>
  <c r="AC82" i="100"/>
  <c r="W82" i="100"/>
  <c r="V82" i="100"/>
  <c r="U82" i="100"/>
  <c r="M82" i="100"/>
  <c r="F82" i="100"/>
  <c r="AF81" i="100"/>
  <c r="AE81" i="100"/>
  <c r="AD81" i="100"/>
  <c r="AC81" i="100"/>
  <c r="W81" i="100"/>
  <c r="V81" i="100"/>
  <c r="U81" i="100"/>
  <c r="X81" i="100" s="1"/>
  <c r="M81" i="100"/>
  <c r="F81" i="100"/>
  <c r="N81" i="100" s="1"/>
  <c r="AF80" i="100"/>
  <c r="AE80" i="100"/>
  <c r="AD80" i="100"/>
  <c r="AC80" i="100"/>
  <c r="W80" i="100"/>
  <c r="V80" i="100"/>
  <c r="U80" i="100"/>
  <c r="X80" i="100" s="1"/>
  <c r="M80" i="100"/>
  <c r="F80" i="100"/>
  <c r="AF79" i="100"/>
  <c r="AE79" i="100"/>
  <c r="AD79" i="100"/>
  <c r="AC79" i="100"/>
  <c r="W79" i="100"/>
  <c r="V79" i="100"/>
  <c r="U79" i="100"/>
  <c r="X79" i="100" s="1"/>
  <c r="M79" i="100"/>
  <c r="F79" i="100"/>
  <c r="N79" i="100" s="1"/>
  <c r="AF78" i="100"/>
  <c r="AE78" i="100"/>
  <c r="AD78" i="100"/>
  <c r="AC78" i="100"/>
  <c r="W78" i="100"/>
  <c r="V78" i="100"/>
  <c r="U78" i="100"/>
  <c r="M78" i="100"/>
  <c r="F78" i="100"/>
  <c r="AF77" i="100"/>
  <c r="AE77" i="100"/>
  <c r="AD77" i="100"/>
  <c r="AC77" i="100"/>
  <c r="W77" i="100"/>
  <c r="V77" i="100"/>
  <c r="U77" i="100"/>
  <c r="X77" i="100" s="1"/>
  <c r="M77" i="100"/>
  <c r="F77" i="100"/>
  <c r="N77" i="100" s="1"/>
  <c r="AF76" i="100"/>
  <c r="AE76" i="100"/>
  <c r="AD76" i="100"/>
  <c r="AC76" i="100"/>
  <c r="W76" i="100"/>
  <c r="V76" i="100"/>
  <c r="U76" i="100"/>
  <c r="X76" i="100" s="1"/>
  <c r="M76" i="100"/>
  <c r="F76" i="100"/>
  <c r="AF75" i="100"/>
  <c r="AE75" i="100"/>
  <c r="AD75" i="100"/>
  <c r="AC75" i="100"/>
  <c r="W75" i="100"/>
  <c r="V75" i="100"/>
  <c r="U75" i="100"/>
  <c r="X75" i="100" s="1"/>
  <c r="M75" i="100"/>
  <c r="F75" i="100"/>
  <c r="N75" i="100" s="1"/>
  <c r="AF74" i="100"/>
  <c r="AE74" i="100"/>
  <c r="AD74" i="100"/>
  <c r="AC74" i="100"/>
  <c r="W74" i="100"/>
  <c r="V74" i="100"/>
  <c r="U74" i="100"/>
  <c r="M74" i="100"/>
  <c r="F74" i="100"/>
  <c r="AF73" i="100"/>
  <c r="AE73" i="100"/>
  <c r="AD73" i="100"/>
  <c r="AC73" i="100"/>
  <c r="W73" i="100"/>
  <c r="V73" i="100"/>
  <c r="U73" i="100"/>
  <c r="X73" i="100" s="1"/>
  <c r="M73" i="100"/>
  <c r="F73" i="100"/>
  <c r="N73" i="100" s="1"/>
  <c r="AF72" i="100"/>
  <c r="AE72" i="100"/>
  <c r="AD72" i="100"/>
  <c r="AC72" i="100"/>
  <c r="W72" i="100"/>
  <c r="V72" i="100"/>
  <c r="U72" i="100"/>
  <c r="X72" i="100" s="1"/>
  <c r="M72" i="100"/>
  <c r="F72" i="100"/>
  <c r="AF71" i="100"/>
  <c r="AE71" i="100"/>
  <c r="AD71" i="100"/>
  <c r="AC71" i="100"/>
  <c r="W71" i="100"/>
  <c r="V71" i="100"/>
  <c r="U71" i="100"/>
  <c r="X71" i="100" s="1"/>
  <c r="M71" i="100"/>
  <c r="F71" i="100"/>
  <c r="N71" i="100" s="1"/>
  <c r="AF70" i="100"/>
  <c r="AE70" i="100"/>
  <c r="AD70" i="100"/>
  <c r="AC70" i="100"/>
  <c r="W70" i="100"/>
  <c r="V70" i="100"/>
  <c r="U70" i="100"/>
  <c r="M70" i="100"/>
  <c r="F70" i="100"/>
  <c r="AF69" i="100"/>
  <c r="AE69" i="100"/>
  <c r="AD69" i="100"/>
  <c r="AC69" i="100"/>
  <c r="W69" i="100"/>
  <c r="V69" i="100"/>
  <c r="U69" i="100"/>
  <c r="X69" i="100" s="1"/>
  <c r="M69" i="100"/>
  <c r="F69" i="100"/>
  <c r="N69" i="100" s="1"/>
  <c r="AF68" i="100"/>
  <c r="AE68" i="100"/>
  <c r="AD68" i="100"/>
  <c r="AC68" i="100"/>
  <c r="W68" i="100"/>
  <c r="V68" i="100"/>
  <c r="U68" i="100"/>
  <c r="M68" i="100"/>
  <c r="F68" i="100"/>
  <c r="N68" i="100" s="1"/>
  <c r="AF67" i="100"/>
  <c r="AE67" i="100"/>
  <c r="AD67" i="100"/>
  <c r="AC67" i="100"/>
  <c r="W67" i="100"/>
  <c r="V67" i="100"/>
  <c r="U67" i="100"/>
  <c r="M67" i="100"/>
  <c r="F67" i="100"/>
  <c r="AF66" i="100"/>
  <c r="AE66" i="100"/>
  <c r="AD66" i="100"/>
  <c r="AC66" i="100"/>
  <c r="W66" i="100"/>
  <c r="V66" i="100"/>
  <c r="U66" i="100"/>
  <c r="X66" i="100" s="1"/>
  <c r="M66" i="100"/>
  <c r="F66" i="100"/>
  <c r="N66" i="100" s="1"/>
  <c r="E49" i="100"/>
  <c r="D49" i="100"/>
  <c r="T48" i="100"/>
  <c r="S48" i="100"/>
  <c r="R48" i="100"/>
  <c r="Q48" i="100"/>
  <c r="P48" i="100"/>
  <c r="O48" i="100"/>
  <c r="E48" i="100"/>
  <c r="D48" i="100"/>
  <c r="AF46" i="100"/>
  <c r="AE46" i="100"/>
  <c r="AD46" i="100"/>
  <c r="AC46" i="100"/>
  <c r="W46" i="100"/>
  <c r="V46" i="100"/>
  <c r="U46" i="100"/>
  <c r="X46" i="100" s="1"/>
  <c r="M46" i="100"/>
  <c r="F46" i="100"/>
  <c r="N46" i="100" s="1"/>
  <c r="AF45" i="100"/>
  <c r="AE45" i="100"/>
  <c r="AD45" i="100"/>
  <c r="AC45" i="100"/>
  <c r="W45" i="100"/>
  <c r="V45" i="100"/>
  <c r="U45" i="100"/>
  <c r="X45" i="100" s="1"/>
  <c r="M45" i="100"/>
  <c r="F45" i="100"/>
  <c r="N45" i="100" s="1"/>
  <c r="AF44" i="100"/>
  <c r="AE44" i="100"/>
  <c r="AD44" i="100"/>
  <c r="AC44" i="100"/>
  <c r="W44" i="100"/>
  <c r="V44" i="100"/>
  <c r="U44" i="100"/>
  <c r="X44" i="100" s="1"/>
  <c r="M44" i="100"/>
  <c r="F44" i="100"/>
  <c r="N44" i="100" s="1"/>
  <c r="AF43" i="100"/>
  <c r="AE43" i="100"/>
  <c r="AD43" i="100"/>
  <c r="AC43" i="100"/>
  <c r="W43" i="100"/>
  <c r="V43" i="100"/>
  <c r="U43" i="100"/>
  <c r="M43" i="100"/>
  <c r="F43" i="100"/>
  <c r="AF42" i="100"/>
  <c r="AE42" i="100"/>
  <c r="AD42" i="100"/>
  <c r="AC42" i="100"/>
  <c r="W42" i="100"/>
  <c r="V42" i="100"/>
  <c r="U42" i="100"/>
  <c r="M42" i="100"/>
  <c r="F42" i="100"/>
  <c r="N42" i="100" s="1"/>
  <c r="AF41" i="100"/>
  <c r="AE41" i="100"/>
  <c r="AD41" i="100"/>
  <c r="AC41" i="100"/>
  <c r="W41" i="100"/>
  <c r="V41" i="100"/>
  <c r="U41" i="100"/>
  <c r="M41" i="100"/>
  <c r="F41" i="100"/>
  <c r="AF40" i="100"/>
  <c r="AE40" i="100"/>
  <c r="AD40" i="100"/>
  <c r="AC40" i="100"/>
  <c r="W40" i="100"/>
  <c r="V40" i="100"/>
  <c r="U40" i="100"/>
  <c r="M40" i="100"/>
  <c r="F40" i="100"/>
  <c r="AF39" i="100"/>
  <c r="AE39" i="100"/>
  <c r="AD39" i="100"/>
  <c r="AC39" i="100"/>
  <c r="W39" i="100"/>
  <c r="V39" i="100"/>
  <c r="U39" i="100"/>
  <c r="X39" i="100" s="1"/>
  <c r="M39" i="100"/>
  <c r="F39" i="100"/>
  <c r="AF38" i="100"/>
  <c r="AE38" i="100"/>
  <c r="AD38" i="100"/>
  <c r="AC38" i="100"/>
  <c r="W38" i="100"/>
  <c r="V38" i="100"/>
  <c r="U38" i="100"/>
  <c r="M38" i="100"/>
  <c r="F38" i="100"/>
  <c r="N38" i="100" s="1"/>
  <c r="AF37" i="100"/>
  <c r="AE37" i="100"/>
  <c r="AD37" i="100"/>
  <c r="AC37" i="100"/>
  <c r="W37" i="100"/>
  <c r="V37" i="100"/>
  <c r="U37" i="100"/>
  <c r="M37" i="100"/>
  <c r="F37" i="100"/>
  <c r="AF36" i="100"/>
  <c r="AE36" i="100"/>
  <c r="AD36" i="100"/>
  <c r="AC36" i="100"/>
  <c r="W36" i="100"/>
  <c r="V36" i="100"/>
  <c r="U36" i="100"/>
  <c r="M36" i="100"/>
  <c r="F36" i="100"/>
  <c r="N36" i="100" s="1"/>
  <c r="AF35" i="100"/>
  <c r="AE35" i="100"/>
  <c r="AD35" i="100"/>
  <c r="AC35" i="100"/>
  <c r="W35" i="100"/>
  <c r="V35" i="100"/>
  <c r="U35" i="100"/>
  <c r="X35" i="100" s="1"/>
  <c r="M35" i="100"/>
  <c r="F35" i="100"/>
  <c r="N35" i="100" s="1"/>
  <c r="AF34" i="100"/>
  <c r="AE34" i="100"/>
  <c r="AD34" i="100"/>
  <c r="AC34" i="100"/>
  <c r="W34" i="100"/>
  <c r="V34" i="100"/>
  <c r="U34" i="100"/>
  <c r="X34" i="100" s="1"/>
  <c r="M34" i="100"/>
  <c r="F34" i="100"/>
  <c r="N34" i="100" s="1"/>
  <c r="AF33" i="100"/>
  <c r="AE33" i="100"/>
  <c r="AD33" i="100"/>
  <c r="AC33" i="100"/>
  <c r="W33" i="100"/>
  <c r="V33" i="100"/>
  <c r="U33" i="100"/>
  <c r="X33" i="100" s="1"/>
  <c r="M33" i="100"/>
  <c r="F33" i="100"/>
  <c r="N33" i="100" s="1"/>
  <c r="AF32" i="100"/>
  <c r="AE32" i="100"/>
  <c r="AD32" i="100"/>
  <c r="AC32" i="100"/>
  <c r="W32" i="100"/>
  <c r="V32" i="100"/>
  <c r="U32" i="100"/>
  <c r="X32" i="100" s="1"/>
  <c r="M32" i="100"/>
  <c r="F32" i="100"/>
  <c r="N32" i="100" s="1"/>
  <c r="AF31" i="100"/>
  <c r="AE31" i="100"/>
  <c r="AD31" i="100"/>
  <c r="AC31" i="100"/>
  <c r="W31" i="100"/>
  <c r="V31" i="100"/>
  <c r="U31" i="100"/>
  <c r="X31" i="100" s="1"/>
  <c r="M31" i="100"/>
  <c r="F31" i="100"/>
  <c r="N31" i="100" s="1"/>
  <c r="AF30" i="100"/>
  <c r="AE30" i="100"/>
  <c r="AD30" i="100"/>
  <c r="AC30" i="100"/>
  <c r="W30" i="100"/>
  <c r="V30" i="100"/>
  <c r="U30" i="100"/>
  <c r="X30" i="100" s="1"/>
  <c r="M30" i="100"/>
  <c r="F30" i="100"/>
  <c r="N30" i="100" s="1"/>
  <c r="AF29" i="100"/>
  <c r="AE29" i="100"/>
  <c r="AD29" i="100"/>
  <c r="AC29" i="100"/>
  <c r="W29" i="100"/>
  <c r="V29" i="100"/>
  <c r="U29" i="100"/>
  <c r="M29" i="100"/>
  <c r="F29" i="100"/>
  <c r="N29" i="100" s="1"/>
  <c r="AF28" i="100"/>
  <c r="AE28" i="100"/>
  <c r="AD28" i="100"/>
  <c r="AC28" i="100"/>
  <c r="W28" i="100"/>
  <c r="V28" i="100"/>
  <c r="U28" i="100"/>
  <c r="X28" i="100" s="1"/>
  <c r="M28" i="100"/>
  <c r="F28" i="100"/>
  <c r="N28" i="100" s="1"/>
  <c r="AF27" i="100"/>
  <c r="AE27" i="100"/>
  <c r="AD27" i="100"/>
  <c r="AC27" i="100"/>
  <c r="W27" i="100"/>
  <c r="V27" i="100"/>
  <c r="U27" i="100"/>
  <c r="X27" i="100" s="1"/>
  <c r="M27" i="100"/>
  <c r="F27" i="100"/>
  <c r="N27" i="100" s="1"/>
  <c r="AF26" i="100"/>
  <c r="AE26" i="100"/>
  <c r="AD26" i="100"/>
  <c r="AC26" i="100"/>
  <c r="W26" i="100"/>
  <c r="V26" i="100"/>
  <c r="U26" i="100"/>
  <c r="X26" i="100" s="1"/>
  <c r="M26" i="100"/>
  <c r="F26" i="100"/>
  <c r="N26" i="100" s="1"/>
  <c r="AF25" i="100"/>
  <c r="AE25" i="100"/>
  <c r="AD25" i="100"/>
  <c r="AC25" i="100"/>
  <c r="W25" i="100"/>
  <c r="V25" i="100"/>
  <c r="U25" i="100"/>
  <c r="X25" i="100" s="1"/>
  <c r="M25" i="100"/>
  <c r="F25" i="100"/>
  <c r="N25" i="100" s="1"/>
  <c r="AF24" i="100"/>
  <c r="AE24" i="100"/>
  <c r="AD24" i="100"/>
  <c r="AC24" i="100"/>
  <c r="W24" i="100"/>
  <c r="V24" i="100"/>
  <c r="U24" i="100"/>
  <c r="X24" i="100" s="1"/>
  <c r="M24" i="100"/>
  <c r="F24" i="100"/>
  <c r="N24" i="100" s="1"/>
  <c r="AF23" i="100"/>
  <c r="AE23" i="100"/>
  <c r="AD23" i="100"/>
  <c r="AC23" i="100"/>
  <c r="W23" i="100"/>
  <c r="V23" i="100"/>
  <c r="U23" i="100"/>
  <c r="M23" i="100"/>
  <c r="F23" i="100"/>
  <c r="N23" i="100" s="1"/>
  <c r="AF22" i="100"/>
  <c r="AE22" i="100"/>
  <c r="AD22" i="100"/>
  <c r="AC22" i="100"/>
  <c r="W22" i="100"/>
  <c r="V22" i="100"/>
  <c r="U22" i="100"/>
  <c r="X22" i="100" s="1"/>
  <c r="M22" i="100"/>
  <c r="F22" i="100"/>
  <c r="N22" i="100" s="1"/>
  <c r="AF21" i="100"/>
  <c r="AE21" i="100"/>
  <c r="AD21" i="100"/>
  <c r="AC21" i="100"/>
  <c r="W21" i="100"/>
  <c r="V21" i="100"/>
  <c r="U21" i="100"/>
  <c r="X21" i="100" s="1"/>
  <c r="M21" i="100"/>
  <c r="F21" i="100"/>
  <c r="N21" i="100" s="1"/>
  <c r="AF20" i="100"/>
  <c r="AE20" i="100"/>
  <c r="AD20" i="100"/>
  <c r="AC20" i="100"/>
  <c r="W20" i="100"/>
  <c r="V20" i="100"/>
  <c r="U20" i="100"/>
  <c r="M20" i="100"/>
  <c r="F20" i="100"/>
  <c r="N20" i="100" s="1"/>
  <c r="AF19" i="100"/>
  <c r="AE19" i="100"/>
  <c r="AD19" i="100"/>
  <c r="AC19" i="100"/>
  <c r="W19" i="100"/>
  <c r="V19" i="100"/>
  <c r="U19" i="100"/>
  <c r="X19" i="100" s="1"/>
  <c r="M19" i="100"/>
  <c r="F19" i="100"/>
  <c r="N19" i="100" s="1"/>
  <c r="AF18" i="100"/>
  <c r="AE18" i="100"/>
  <c r="AD18" i="100"/>
  <c r="AC18" i="100"/>
  <c r="W18" i="100"/>
  <c r="V18" i="100"/>
  <c r="U18" i="100"/>
  <c r="X18" i="100" s="1"/>
  <c r="M18" i="100"/>
  <c r="F18" i="100"/>
  <c r="N18" i="100" s="1"/>
  <c r="AF17" i="100"/>
  <c r="AE17" i="100"/>
  <c r="AD17" i="100"/>
  <c r="AC17" i="100"/>
  <c r="W17" i="100"/>
  <c r="V17" i="100"/>
  <c r="U17" i="100"/>
  <c r="X17" i="100" s="1"/>
  <c r="M17" i="100"/>
  <c r="F17" i="100"/>
  <c r="N17" i="100" s="1"/>
  <c r="AF16" i="100"/>
  <c r="AE16" i="100"/>
  <c r="AD16" i="100"/>
  <c r="AC16" i="100"/>
  <c r="W16" i="100"/>
  <c r="V16" i="100"/>
  <c r="U16" i="100"/>
  <c r="X16" i="100" s="1"/>
  <c r="M16" i="100"/>
  <c r="F16" i="100"/>
  <c r="N16" i="100" s="1"/>
  <c r="AF15" i="100"/>
  <c r="AE15" i="100"/>
  <c r="AD15" i="100"/>
  <c r="AC15" i="100"/>
  <c r="W15" i="100"/>
  <c r="V15" i="100"/>
  <c r="U15" i="100"/>
  <c r="X15" i="100" s="1"/>
  <c r="M15" i="100"/>
  <c r="F15" i="100"/>
  <c r="N15" i="100" s="1"/>
  <c r="AF14" i="100"/>
  <c r="AE14" i="100"/>
  <c r="AD14" i="100"/>
  <c r="AC14" i="100"/>
  <c r="W14" i="100"/>
  <c r="V14" i="100"/>
  <c r="U14" i="100"/>
  <c r="M14" i="100"/>
  <c r="F14" i="100"/>
  <c r="N14" i="100" s="1"/>
  <c r="AF13" i="100"/>
  <c r="AE13" i="100"/>
  <c r="AD13" i="100"/>
  <c r="AC13" i="100"/>
  <c r="W13" i="100"/>
  <c r="V13" i="100"/>
  <c r="U13" i="100"/>
  <c r="M13" i="100"/>
  <c r="F13" i="100"/>
  <c r="E5" i="100"/>
  <c r="A2" i="100"/>
  <c r="D103" i="99"/>
  <c r="T102" i="99"/>
  <c r="S102" i="99"/>
  <c r="R102" i="99"/>
  <c r="Q102" i="99"/>
  <c r="P102" i="99"/>
  <c r="O102" i="99"/>
  <c r="E102" i="99"/>
  <c r="D102" i="99"/>
  <c r="AF100" i="99"/>
  <c r="AE100" i="99"/>
  <c r="AD100" i="99"/>
  <c r="AC100" i="99"/>
  <c r="W100" i="99"/>
  <c r="V100" i="99"/>
  <c r="U100" i="99"/>
  <c r="X100" i="99" s="1"/>
  <c r="M100" i="99"/>
  <c r="F100" i="99"/>
  <c r="N100" i="99" s="1"/>
  <c r="AF99" i="99"/>
  <c r="AE99" i="99"/>
  <c r="AD99" i="99"/>
  <c r="AC99" i="99"/>
  <c r="W99" i="99"/>
  <c r="V99" i="99"/>
  <c r="U99" i="99"/>
  <c r="M99" i="99"/>
  <c r="F99" i="99"/>
  <c r="AF98" i="99"/>
  <c r="AE98" i="99"/>
  <c r="AD98" i="99"/>
  <c r="AC98" i="99"/>
  <c r="W98" i="99"/>
  <c r="V98" i="99"/>
  <c r="U98" i="99"/>
  <c r="X98" i="99" s="1"/>
  <c r="M98" i="99"/>
  <c r="F98" i="99"/>
  <c r="N98" i="99" s="1"/>
  <c r="AF97" i="99"/>
  <c r="AE97" i="99"/>
  <c r="AD97" i="99"/>
  <c r="AC97" i="99"/>
  <c r="W97" i="99"/>
  <c r="V97" i="99"/>
  <c r="U97" i="99"/>
  <c r="X97" i="99" s="1"/>
  <c r="M97" i="99"/>
  <c r="F97" i="99"/>
  <c r="N97" i="99" s="1"/>
  <c r="AF96" i="99"/>
  <c r="AE96" i="99"/>
  <c r="AD96" i="99"/>
  <c r="AC96" i="99"/>
  <c r="W96" i="99"/>
  <c r="V96" i="99"/>
  <c r="U96" i="99"/>
  <c r="M96" i="99"/>
  <c r="F96" i="99"/>
  <c r="AF95" i="99"/>
  <c r="AE95" i="99"/>
  <c r="AD95" i="99"/>
  <c r="AC95" i="99"/>
  <c r="W95" i="99"/>
  <c r="V95" i="99"/>
  <c r="U95" i="99"/>
  <c r="X95" i="99" s="1"/>
  <c r="M95" i="99"/>
  <c r="F95" i="99"/>
  <c r="N95" i="99" s="1"/>
  <c r="AF94" i="99"/>
  <c r="AE94" i="99"/>
  <c r="AD94" i="99"/>
  <c r="AC94" i="99"/>
  <c r="W94" i="99"/>
  <c r="V94" i="99"/>
  <c r="U94" i="99"/>
  <c r="M94" i="99"/>
  <c r="F94" i="99"/>
  <c r="AF93" i="99"/>
  <c r="AE93" i="99"/>
  <c r="AD93" i="99"/>
  <c r="AC93" i="99"/>
  <c r="W93" i="99"/>
  <c r="V93" i="99"/>
  <c r="U93" i="99"/>
  <c r="X93" i="99" s="1"/>
  <c r="M93" i="99"/>
  <c r="F93" i="99"/>
  <c r="N93" i="99" s="1"/>
  <c r="AF92" i="99"/>
  <c r="AE92" i="99"/>
  <c r="AD92" i="99"/>
  <c r="AC92" i="99"/>
  <c r="W92" i="99"/>
  <c r="V92" i="99"/>
  <c r="U92" i="99"/>
  <c r="X92" i="99" s="1"/>
  <c r="M92" i="99"/>
  <c r="F92" i="99"/>
  <c r="AF91" i="99"/>
  <c r="AE91" i="99"/>
  <c r="AD91" i="99"/>
  <c r="AC91" i="99"/>
  <c r="W91" i="99"/>
  <c r="V91" i="99"/>
  <c r="U91" i="99"/>
  <c r="M91" i="99"/>
  <c r="F91" i="99"/>
  <c r="N91" i="99" s="1"/>
  <c r="AF90" i="99"/>
  <c r="AE90" i="99"/>
  <c r="AD90" i="99"/>
  <c r="AC90" i="99"/>
  <c r="W90" i="99"/>
  <c r="V90" i="99"/>
  <c r="U90" i="99"/>
  <c r="X90" i="99" s="1"/>
  <c r="M90" i="99"/>
  <c r="F90" i="99"/>
  <c r="AF89" i="99"/>
  <c r="AE89" i="99"/>
  <c r="AD89" i="99"/>
  <c r="AC89" i="99"/>
  <c r="W89" i="99"/>
  <c r="V89" i="99"/>
  <c r="U89" i="99"/>
  <c r="X89" i="99" s="1"/>
  <c r="M89" i="99"/>
  <c r="F89" i="99"/>
  <c r="N89" i="99" s="1"/>
  <c r="AF88" i="99"/>
  <c r="AE88" i="99"/>
  <c r="AD88" i="99"/>
  <c r="AC88" i="99"/>
  <c r="W88" i="99"/>
  <c r="V88" i="99"/>
  <c r="U88" i="99"/>
  <c r="M88" i="99"/>
  <c r="F88" i="99"/>
  <c r="AF87" i="99"/>
  <c r="AE87" i="99"/>
  <c r="AD87" i="99"/>
  <c r="AC87" i="99"/>
  <c r="W87" i="99"/>
  <c r="V87" i="99"/>
  <c r="U87" i="99"/>
  <c r="X87" i="99" s="1"/>
  <c r="M87" i="99"/>
  <c r="F87" i="99"/>
  <c r="N87" i="99" s="1"/>
  <c r="AF86" i="99"/>
  <c r="AE86" i="99"/>
  <c r="AD86" i="99"/>
  <c r="AC86" i="99"/>
  <c r="W86" i="99"/>
  <c r="V86" i="99"/>
  <c r="U86" i="99"/>
  <c r="M86" i="99"/>
  <c r="F86" i="99"/>
  <c r="AF85" i="99"/>
  <c r="AE85" i="99"/>
  <c r="AD85" i="99"/>
  <c r="AC85" i="99"/>
  <c r="W85" i="99"/>
  <c r="V85" i="99"/>
  <c r="U85" i="99"/>
  <c r="X85" i="99" s="1"/>
  <c r="M85" i="99"/>
  <c r="F85" i="99"/>
  <c r="N85" i="99" s="1"/>
  <c r="AF84" i="99"/>
  <c r="AE84" i="99"/>
  <c r="AD84" i="99"/>
  <c r="AC84" i="99"/>
  <c r="W84" i="99"/>
  <c r="V84" i="99"/>
  <c r="U84" i="99"/>
  <c r="X84" i="99" s="1"/>
  <c r="M84" i="99"/>
  <c r="F84" i="99"/>
  <c r="AF83" i="99"/>
  <c r="AE83" i="99"/>
  <c r="AD83" i="99"/>
  <c r="AC83" i="99"/>
  <c r="W83" i="99"/>
  <c r="V83" i="99"/>
  <c r="U83" i="99"/>
  <c r="M83" i="99"/>
  <c r="F83" i="99"/>
  <c r="N83" i="99" s="1"/>
  <c r="AF82" i="99"/>
  <c r="AE82" i="99"/>
  <c r="AD82" i="99"/>
  <c r="AC82" i="99"/>
  <c r="W82" i="99"/>
  <c r="V82" i="99"/>
  <c r="U82" i="99"/>
  <c r="X82" i="99" s="1"/>
  <c r="M82" i="99"/>
  <c r="F82" i="99"/>
  <c r="AF81" i="99"/>
  <c r="AE81" i="99"/>
  <c r="AD81" i="99"/>
  <c r="AC81" i="99"/>
  <c r="W81" i="99"/>
  <c r="V81" i="99"/>
  <c r="U81" i="99"/>
  <c r="X81" i="99" s="1"/>
  <c r="M81" i="99"/>
  <c r="F81" i="99"/>
  <c r="N81" i="99" s="1"/>
  <c r="AF80" i="99"/>
  <c r="AE80" i="99"/>
  <c r="AD80" i="99"/>
  <c r="AC80" i="99"/>
  <c r="W80" i="99"/>
  <c r="V80" i="99"/>
  <c r="U80" i="99"/>
  <c r="M80" i="99"/>
  <c r="F80" i="99"/>
  <c r="AF79" i="99"/>
  <c r="AE79" i="99"/>
  <c r="AD79" i="99"/>
  <c r="AC79" i="99"/>
  <c r="W79" i="99"/>
  <c r="V79" i="99"/>
  <c r="U79" i="99"/>
  <c r="X79" i="99" s="1"/>
  <c r="M79" i="99"/>
  <c r="F79" i="99"/>
  <c r="N79" i="99" s="1"/>
  <c r="AF78" i="99"/>
  <c r="AE78" i="99"/>
  <c r="AD78" i="99"/>
  <c r="AC78" i="99"/>
  <c r="W78" i="99"/>
  <c r="V78" i="99"/>
  <c r="U78" i="99"/>
  <c r="M78" i="99"/>
  <c r="F78" i="99"/>
  <c r="AF77" i="99"/>
  <c r="AE77" i="99"/>
  <c r="AD77" i="99"/>
  <c r="AC77" i="99"/>
  <c r="W77" i="99"/>
  <c r="V77" i="99"/>
  <c r="U77" i="99"/>
  <c r="X77" i="99" s="1"/>
  <c r="M77" i="99"/>
  <c r="F77" i="99"/>
  <c r="N77" i="99" s="1"/>
  <c r="AF76" i="99"/>
  <c r="AE76" i="99"/>
  <c r="AD76" i="99"/>
  <c r="AC76" i="99"/>
  <c r="W76" i="99"/>
  <c r="V76" i="99"/>
  <c r="U76" i="99"/>
  <c r="X76" i="99" s="1"/>
  <c r="M76" i="99"/>
  <c r="F76" i="99"/>
  <c r="AF75" i="99"/>
  <c r="AE75" i="99"/>
  <c r="AD75" i="99"/>
  <c r="AC75" i="99"/>
  <c r="W75" i="99"/>
  <c r="V75" i="99"/>
  <c r="U75" i="99"/>
  <c r="M75" i="99"/>
  <c r="F75" i="99"/>
  <c r="N75" i="99" s="1"/>
  <c r="AF74" i="99"/>
  <c r="AE74" i="99"/>
  <c r="AD74" i="99"/>
  <c r="AC74" i="99"/>
  <c r="W74" i="99"/>
  <c r="V74" i="99"/>
  <c r="U74" i="99"/>
  <c r="X74" i="99" s="1"/>
  <c r="M74" i="99"/>
  <c r="F74" i="99"/>
  <c r="AF73" i="99"/>
  <c r="AE73" i="99"/>
  <c r="AD73" i="99"/>
  <c r="AC73" i="99"/>
  <c r="W73" i="99"/>
  <c r="V73" i="99"/>
  <c r="U73" i="99"/>
  <c r="X73" i="99" s="1"/>
  <c r="M73" i="99"/>
  <c r="F73" i="99"/>
  <c r="N73" i="99" s="1"/>
  <c r="AF72" i="99"/>
  <c r="AE72" i="99"/>
  <c r="AD72" i="99"/>
  <c r="AC72" i="99"/>
  <c r="W72" i="99"/>
  <c r="V72" i="99"/>
  <c r="U72" i="99"/>
  <c r="M72" i="99"/>
  <c r="F72" i="99"/>
  <c r="AF71" i="99"/>
  <c r="AE71" i="99"/>
  <c r="AD71" i="99"/>
  <c r="AC71" i="99"/>
  <c r="W71" i="99"/>
  <c r="V71" i="99"/>
  <c r="U71" i="99"/>
  <c r="X71" i="99" s="1"/>
  <c r="M71" i="99"/>
  <c r="F71" i="99"/>
  <c r="N71" i="99" s="1"/>
  <c r="AF70" i="99"/>
  <c r="AE70" i="99"/>
  <c r="AD70" i="99"/>
  <c r="AC70" i="99"/>
  <c r="W70" i="99"/>
  <c r="V70" i="99"/>
  <c r="U70" i="99"/>
  <c r="M70" i="99"/>
  <c r="F70" i="99"/>
  <c r="AF69" i="99"/>
  <c r="AE69" i="99"/>
  <c r="AD69" i="99"/>
  <c r="AC69" i="99"/>
  <c r="W69" i="99"/>
  <c r="V69" i="99"/>
  <c r="U69" i="99"/>
  <c r="X69" i="99" s="1"/>
  <c r="M69" i="99"/>
  <c r="F69" i="99"/>
  <c r="N69" i="99" s="1"/>
  <c r="AF68" i="99"/>
  <c r="AE68" i="99"/>
  <c r="AD68" i="99"/>
  <c r="AC68" i="99"/>
  <c r="W68" i="99"/>
  <c r="V68" i="99"/>
  <c r="U68" i="99"/>
  <c r="X68" i="99" s="1"/>
  <c r="M68" i="99"/>
  <c r="F68" i="99"/>
  <c r="AF67" i="99"/>
  <c r="AE67" i="99"/>
  <c r="AD67" i="99"/>
  <c r="AC67" i="99"/>
  <c r="W67" i="99"/>
  <c r="V67" i="99"/>
  <c r="U67" i="99"/>
  <c r="M67" i="99"/>
  <c r="F67" i="99"/>
  <c r="N67" i="99" s="1"/>
  <c r="AF66" i="99"/>
  <c r="AE66" i="99"/>
  <c r="AD66" i="99"/>
  <c r="AC66" i="99"/>
  <c r="W66" i="99"/>
  <c r="V66" i="99"/>
  <c r="U66" i="99"/>
  <c r="M66" i="99"/>
  <c r="F66" i="99"/>
  <c r="E49" i="99"/>
  <c r="D49" i="99"/>
  <c r="T48" i="99"/>
  <c r="S48" i="99"/>
  <c r="R48" i="99"/>
  <c r="Q48" i="99"/>
  <c r="P48" i="99"/>
  <c r="O48" i="99"/>
  <c r="E48" i="99"/>
  <c r="D48" i="99"/>
  <c r="AF46" i="99"/>
  <c r="AE46" i="99"/>
  <c r="AD46" i="99"/>
  <c r="AC46" i="99"/>
  <c r="W46" i="99"/>
  <c r="V46" i="99"/>
  <c r="U46" i="99"/>
  <c r="M46" i="99"/>
  <c r="F46" i="99"/>
  <c r="AF45" i="99"/>
  <c r="AE45" i="99"/>
  <c r="AD45" i="99"/>
  <c r="AC45" i="99"/>
  <c r="W45" i="99"/>
  <c r="V45" i="99"/>
  <c r="U45" i="99"/>
  <c r="X45" i="99" s="1"/>
  <c r="M45" i="99"/>
  <c r="F45" i="99"/>
  <c r="AF44" i="99"/>
  <c r="AE44" i="99"/>
  <c r="AD44" i="99"/>
  <c r="AC44" i="99"/>
  <c r="W44" i="99"/>
  <c r="V44" i="99"/>
  <c r="U44" i="99"/>
  <c r="M44" i="99"/>
  <c r="F44" i="99"/>
  <c r="AF43" i="99"/>
  <c r="AE43" i="99"/>
  <c r="AD43" i="99"/>
  <c r="AC43" i="99"/>
  <c r="W43" i="99"/>
  <c r="V43" i="99"/>
  <c r="U43" i="99"/>
  <c r="X43" i="99" s="1"/>
  <c r="M43" i="99"/>
  <c r="F43" i="99"/>
  <c r="AF42" i="99"/>
  <c r="AE42" i="99"/>
  <c r="AD42" i="99"/>
  <c r="AC42" i="99"/>
  <c r="W42" i="99"/>
  <c r="V42" i="99"/>
  <c r="U42" i="99"/>
  <c r="M42" i="99"/>
  <c r="F42" i="99"/>
  <c r="N42" i="99" s="1"/>
  <c r="AF41" i="99"/>
  <c r="AE41" i="99"/>
  <c r="AD41" i="99"/>
  <c r="AC41" i="99"/>
  <c r="W41" i="99"/>
  <c r="V41" i="99"/>
  <c r="U41" i="99"/>
  <c r="X41" i="99" s="1"/>
  <c r="M41" i="99"/>
  <c r="F41" i="99"/>
  <c r="N41" i="99" s="1"/>
  <c r="AF40" i="99"/>
  <c r="AE40" i="99"/>
  <c r="AD40" i="99"/>
  <c r="AC40" i="99"/>
  <c r="W40" i="99"/>
  <c r="V40" i="99"/>
  <c r="U40" i="99"/>
  <c r="M40" i="99"/>
  <c r="F40" i="99"/>
  <c r="N40" i="99" s="1"/>
  <c r="AF39" i="99"/>
  <c r="AE39" i="99"/>
  <c r="AD39" i="99"/>
  <c r="AC39" i="99"/>
  <c r="W39" i="99"/>
  <c r="V39" i="99"/>
  <c r="U39" i="99"/>
  <c r="M39" i="99"/>
  <c r="F39" i="99"/>
  <c r="AF38" i="99"/>
  <c r="AE38" i="99"/>
  <c r="AD38" i="99"/>
  <c r="AC38" i="99"/>
  <c r="W38" i="99"/>
  <c r="V38" i="99"/>
  <c r="U38" i="99"/>
  <c r="M38" i="99"/>
  <c r="F38" i="99"/>
  <c r="N38" i="99" s="1"/>
  <c r="AF37" i="99"/>
  <c r="AE37" i="99"/>
  <c r="AD37" i="99"/>
  <c r="AC37" i="99"/>
  <c r="W37" i="99"/>
  <c r="V37" i="99"/>
  <c r="U37" i="99"/>
  <c r="M37" i="99"/>
  <c r="F37" i="99"/>
  <c r="AF36" i="99"/>
  <c r="AE36" i="99"/>
  <c r="AD36" i="99"/>
  <c r="AC36" i="99"/>
  <c r="W36" i="99"/>
  <c r="V36" i="99"/>
  <c r="U36" i="99"/>
  <c r="M36" i="99"/>
  <c r="F36" i="99"/>
  <c r="AF35" i="99"/>
  <c r="AE35" i="99"/>
  <c r="AD35" i="99"/>
  <c r="AC35" i="99"/>
  <c r="W35" i="99"/>
  <c r="V35" i="99"/>
  <c r="U35" i="99"/>
  <c r="X35" i="99" s="1"/>
  <c r="M35" i="99"/>
  <c r="F35" i="99"/>
  <c r="AF34" i="99"/>
  <c r="AE34" i="99"/>
  <c r="AD34" i="99"/>
  <c r="AC34" i="99"/>
  <c r="W34" i="99"/>
  <c r="V34" i="99"/>
  <c r="U34" i="99"/>
  <c r="M34" i="99"/>
  <c r="F34" i="99"/>
  <c r="N34" i="99" s="1"/>
  <c r="AF33" i="99"/>
  <c r="AE33" i="99"/>
  <c r="AD33" i="99"/>
  <c r="AC33" i="99"/>
  <c r="W33" i="99"/>
  <c r="V33" i="99"/>
  <c r="U33" i="99"/>
  <c r="X33" i="99" s="1"/>
  <c r="M33" i="99"/>
  <c r="F33" i="99"/>
  <c r="N33" i="99" s="1"/>
  <c r="AF32" i="99"/>
  <c r="AE32" i="99"/>
  <c r="AD32" i="99"/>
  <c r="AC32" i="99"/>
  <c r="W32" i="99"/>
  <c r="V32" i="99"/>
  <c r="U32" i="99"/>
  <c r="X32" i="99" s="1"/>
  <c r="M32" i="99"/>
  <c r="F32" i="99"/>
  <c r="N32" i="99" s="1"/>
  <c r="AF31" i="99"/>
  <c r="AE31" i="99"/>
  <c r="AD31" i="99"/>
  <c r="AC31" i="99"/>
  <c r="W31" i="99"/>
  <c r="V31" i="99"/>
  <c r="U31" i="99"/>
  <c r="X31" i="99" s="1"/>
  <c r="M31" i="99"/>
  <c r="F31" i="99"/>
  <c r="AF30" i="99"/>
  <c r="AE30" i="99"/>
  <c r="AD30" i="99"/>
  <c r="AC30" i="99"/>
  <c r="W30" i="99"/>
  <c r="V30" i="99"/>
  <c r="U30" i="99"/>
  <c r="M30" i="99"/>
  <c r="F30" i="99"/>
  <c r="AF29" i="99"/>
  <c r="AE29" i="99"/>
  <c r="AD29" i="99"/>
  <c r="AC29" i="99"/>
  <c r="W29" i="99"/>
  <c r="V29" i="99"/>
  <c r="U29" i="99"/>
  <c r="M29" i="99"/>
  <c r="F29" i="99"/>
  <c r="AF28" i="99"/>
  <c r="AE28" i="99"/>
  <c r="AD28" i="99"/>
  <c r="AC28" i="99"/>
  <c r="W28" i="99"/>
  <c r="V28" i="99"/>
  <c r="U28" i="99"/>
  <c r="M28" i="99"/>
  <c r="F28" i="99"/>
  <c r="AF27" i="99"/>
  <c r="AE27" i="99"/>
  <c r="AD27" i="99"/>
  <c r="AC27" i="99"/>
  <c r="W27" i="99"/>
  <c r="V27" i="99"/>
  <c r="U27" i="99"/>
  <c r="M27" i="99"/>
  <c r="F27" i="99"/>
  <c r="AF26" i="99"/>
  <c r="AE26" i="99"/>
  <c r="AD26" i="99"/>
  <c r="AC26" i="99"/>
  <c r="W26" i="99"/>
  <c r="V26" i="99"/>
  <c r="U26" i="99"/>
  <c r="X26" i="99" s="1"/>
  <c r="M26" i="99"/>
  <c r="F26" i="99"/>
  <c r="N26" i="99" s="1"/>
  <c r="AF25" i="99"/>
  <c r="AE25" i="99"/>
  <c r="AD25" i="99"/>
  <c r="AC25" i="99"/>
  <c r="W25" i="99"/>
  <c r="V25" i="99"/>
  <c r="U25" i="99"/>
  <c r="M25" i="99"/>
  <c r="F25" i="99"/>
  <c r="AF24" i="99"/>
  <c r="AE24" i="99"/>
  <c r="AD24" i="99"/>
  <c r="AC24" i="99"/>
  <c r="W24" i="99"/>
  <c r="V24" i="99"/>
  <c r="U24" i="99"/>
  <c r="M24" i="99"/>
  <c r="F24" i="99"/>
  <c r="AF23" i="99"/>
  <c r="AE23" i="99"/>
  <c r="AD23" i="99"/>
  <c r="AC23" i="99"/>
  <c r="W23" i="99"/>
  <c r="V23" i="99"/>
  <c r="U23" i="99"/>
  <c r="M23" i="99"/>
  <c r="F23" i="99"/>
  <c r="AF22" i="99"/>
  <c r="AE22" i="99"/>
  <c r="AD22" i="99"/>
  <c r="AC22" i="99"/>
  <c r="W22" i="99"/>
  <c r="V22" i="99"/>
  <c r="U22" i="99"/>
  <c r="X22" i="99" s="1"/>
  <c r="M22" i="99"/>
  <c r="F22" i="99"/>
  <c r="N22" i="99" s="1"/>
  <c r="AF21" i="99"/>
  <c r="AE21" i="99"/>
  <c r="AD21" i="99"/>
  <c r="AC21" i="99"/>
  <c r="W21" i="99"/>
  <c r="V21" i="99"/>
  <c r="U21" i="99"/>
  <c r="M21" i="99"/>
  <c r="F21" i="99"/>
  <c r="AF20" i="99"/>
  <c r="AE20" i="99"/>
  <c r="AD20" i="99"/>
  <c r="AC20" i="99"/>
  <c r="W20" i="99"/>
  <c r="V20" i="99"/>
  <c r="U20" i="99"/>
  <c r="M20" i="99"/>
  <c r="F20" i="99"/>
  <c r="AF19" i="99"/>
  <c r="AE19" i="99"/>
  <c r="AD19" i="99"/>
  <c r="AC19" i="99"/>
  <c r="W19" i="99"/>
  <c r="V19" i="99"/>
  <c r="U19" i="99"/>
  <c r="M19" i="99"/>
  <c r="F19" i="99"/>
  <c r="AF18" i="99"/>
  <c r="AE18" i="99"/>
  <c r="AD18" i="99"/>
  <c r="AC18" i="99"/>
  <c r="W18" i="99"/>
  <c r="V18" i="99"/>
  <c r="U18" i="99"/>
  <c r="X18" i="99" s="1"/>
  <c r="M18" i="99"/>
  <c r="F18" i="99"/>
  <c r="N18" i="99" s="1"/>
  <c r="AF17" i="99"/>
  <c r="AE17" i="99"/>
  <c r="AD17" i="99"/>
  <c r="AC17" i="99"/>
  <c r="W17" i="99"/>
  <c r="V17" i="99"/>
  <c r="U17" i="99"/>
  <c r="M17" i="99"/>
  <c r="F17" i="99"/>
  <c r="AF16" i="99"/>
  <c r="AE16" i="99"/>
  <c r="AD16" i="99"/>
  <c r="AC16" i="99"/>
  <c r="W16" i="99"/>
  <c r="V16" i="99"/>
  <c r="U16" i="99"/>
  <c r="M16" i="99"/>
  <c r="F16" i="99"/>
  <c r="AF15" i="99"/>
  <c r="AE15" i="99"/>
  <c r="AD15" i="99"/>
  <c r="AC15" i="99"/>
  <c r="W15" i="99"/>
  <c r="V15" i="99"/>
  <c r="U15" i="99"/>
  <c r="M15" i="99"/>
  <c r="F15" i="99"/>
  <c r="AF14" i="99"/>
  <c r="AE14" i="99"/>
  <c r="AD14" i="99"/>
  <c r="AC14" i="99"/>
  <c r="W14" i="99"/>
  <c r="V14" i="99"/>
  <c r="U14" i="99"/>
  <c r="X14" i="99" s="1"/>
  <c r="M14" i="99"/>
  <c r="F14" i="99"/>
  <c r="N14" i="99" s="1"/>
  <c r="AF13" i="99"/>
  <c r="AE13" i="99"/>
  <c r="AD13" i="99"/>
  <c r="AC13" i="99"/>
  <c r="W13" i="99"/>
  <c r="V13" i="99"/>
  <c r="U13" i="99"/>
  <c r="X13" i="99" s="1"/>
  <c r="M13" i="99"/>
  <c r="F13" i="99"/>
  <c r="N13" i="99" s="1"/>
  <c r="E5" i="99"/>
  <c r="A2" i="99"/>
  <c r="D103" i="98"/>
  <c r="T102" i="98"/>
  <c r="S102" i="98"/>
  <c r="R102" i="98"/>
  <c r="Q102" i="98"/>
  <c r="P102" i="98"/>
  <c r="O102" i="98"/>
  <c r="E102" i="98"/>
  <c r="D102" i="98"/>
  <c r="AF100" i="98"/>
  <c r="AE100" i="98"/>
  <c r="AD100" i="98"/>
  <c r="AC100" i="98"/>
  <c r="W100" i="98"/>
  <c r="V100" i="98"/>
  <c r="U100" i="98"/>
  <c r="M100" i="98"/>
  <c r="F100" i="98"/>
  <c r="N100" i="98" s="1"/>
  <c r="AF99" i="98"/>
  <c r="AE99" i="98"/>
  <c r="AD99" i="98"/>
  <c r="AC99" i="98"/>
  <c r="W99" i="98"/>
  <c r="V99" i="98"/>
  <c r="U99" i="98"/>
  <c r="M99" i="98"/>
  <c r="F99" i="98"/>
  <c r="AF98" i="98"/>
  <c r="AE98" i="98"/>
  <c r="AD98" i="98"/>
  <c r="AC98" i="98"/>
  <c r="W98" i="98"/>
  <c r="V98" i="98"/>
  <c r="U98" i="98"/>
  <c r="M98" i="98"/>
  <c r="F98" i="98"/>
  <c r="AF97" i="98"/>
  <c r="AE97" i="98"/>
  <c r="AD97" i="98"/>
  <c r="AC97" i="98"/>
  <c r="W97" i="98"/>
  <c r="V97" i="98"/>
  <c r="U97" i="98"/>
  <c r="X97" i="98" s="1"/>
  <c r="M97" i="98"/>
  <c r="F97" i="98"/>
  <c r="N97" i="98" s="1"/>
  <c r="AF96" i="98"/>
  <c r="AE96" i="98"/>
  <c r="AD96" i="98"/>
  <c r="AC96" i="98"/>
  <c r="W96" i="98"/>
  <c r="V96" i="98"/>
  <c r="U96" i="98"/>
  <c r="X96" i="98" s="1"/>
  <c r="M96" i="98"/>
  <c r="F96" i="98"/>
  <c r="N96" i="98" s="1"/>
  <c r="AF95" i="98"/>
  <c r="AE95" i="98"/>
  <c r="AD95" i="98"/>
  <c r="AC95" i="98"/>
  <c r="W95" i="98"/>
  <c r="V95" i="98"/>
  <c r="U95" i="98"/>
  <c r="M95" i="98"/>
  <c r="F95" i="98"/>
  <c r="AF94" i="98"/>
  <c r="AE94" i="98"/>
  <c r="AD94" i="98"/>
  <c r="AC94" i="98"/>
  <c r="W94" i="98"/>
  <c r="V94" i="98"/>
  <c r="U94" i="98"/>
  <c r="M94" i="98"/>
  <c r="F94" i="98"/>
  <c r="AF93" i="98"/>
  <c r="AE93" i="98"/>
  <c r="AD93" i="98"/>
  <c r="AC93" i="98"/>
  <c r="W93" i="98"/>
  <c r="V93" i="98"/>
  <c r="U93" i="98"/>
  <c r="X93" i="98" s="1"/>
  <c r="M93" i="98"/>
  <c r="F93" i="98"/>
  <c r="N93" i="98" s="1"/>
  <c r="AF92" i="98"/>
  <c r="AE92" i="98"/>
  <c r="AD92" i="98"/>
  <c r="AC92" i="98"/>
  <c r="W92" i="98"/>
  <c r="V92" i="98"/>
  <c r="U92" i="98"/>
  <c r="M92" i="98"/>
  <c r="F92" i="98"/>
  <c r="AF91" i="98"/>
  <c r="AE91" i="98"/>
  <c r="AD91" i="98"/>
  <c r="AC91" i="98"/>
  <c r="W91" i="98"/>
  <c r="V91" i="98"/>
  <c r="U91" i="98"/>
  <c r="X91" i="98" s="1"/>
  <c r="M91" i="98"/>
  <c r="F91" i="98"/>
  <c r="N91" i="98" s="1"/>
  <c r="AF90" i="98"/>
  <c r="AE90" i="98"/>
  <c r="AD90" i="98"/>
  <c r="AC90" i="98"/>
  <c r="W90" i="98"/>
  <c r="V90" i="98"/>
  <c r="U90" i="98"/>
  <c r="X90" i="98" s="1"/>
  <c r="M90" i="98"/>
  <c r="F90" i="98"/>
  <c r="N90" i="98" s="1"/>
  <c r="AF89" i="98"/>
  <c r="AE89" i="98"/>
  <c r="AD89" i="98"/>
  <c r="AC89" i="98"/>
  <c r="W89" i="98"/>
  <c r="V89" i="98"/>
  <c r="U89" i="98"/>
  <c r="X89" i="98" s="1"/>
  <c r="M89" i="98"/>
  <c r="F89" i="98"/>
  <c r="N89" i="98" s="1"/>
  <c r="AF88" i="98"/>
  <c r="AE88" i="98"/>
  <c r="AD88" i="98"/>
  <c r="AC88" i="98"/>
  <c r="W88" i="98"/>
  <c r="V88" i="98"/>
  <c r="U88" i="98"/>
  <c r="M88" i="98"/>
  <c r="F88" i="98"/>
  <c r="AF87" i="98"/>
  <c r="AE87" i="98"/>
  <c r="AD87" i="98"/>
  <c r="AC87" i="98"/>
  <c r="W87" i="98"/>
  <c r="V87" i="98"/>
  <c r="U87" i="98"/>
  <c r="X87" i="98" s="1"/>
  <c r="M87" i="98"/>
  <c r="F87" i="98"/>
  <c r="AF86" i="98"/>
  <c r="AE86" i="98"/>
  <c r="AD86" i="98"/>
  <c r="AC86" i="98"/>
  <c r="W86" i="98"/>
  <c r="V86" i="98"/>
  <c r="U86" i="98"/>
  <c r="M86" i="98"/>
  <c r="F86" i="98"/>
  <c r="N86" i="98" s="1"/>
  <c r="AF85" i="98"/>
  <c r="AE85" i="98"/>
  <c r="AD85" i="98"/>
  <c r="AC85" i="98"/>
  <c r="W85" i="98"/>
  <c r="V85" i="98"/>
  <c r="U85" i="98"/>
  <c r="X85" i="98" s="1"/>
  <c r="M85" i="98"/>
  <c r="F85" i="98"/>
  <c r="N85" i="98" s="1"/>
  <c r="AF84" i="98"/>
  <c r="AE84" i="98"/>
  <c r="AD84" i="98"/>
  <c r="AC84" i="98"/>
  <c r="W84" i="98"/>
  <c r="V84" i="98"/>
  <c r="U84" i="98"/>
  <c r="M84" i="98"/>
  <c r="F84" i="98"/>
  <c r="AF83" i="98"/>
  <c r="AE83" i="98"/>
  <c r="AD83" i="98"/>
  <c r="AC83" i="98"/>
  <c r="W83" i="98"/>
  <c r="V83" i="98"/>
  <c r="U83" i="98"/>
  <c r="X83" i="98" s="1"/>
  <c r="M83" i="98"/>
  <c r="F83" i="98"/>
  <c r="AF82" i="98"/>
  <c r="AE82" i="98"/>
  <c r="AD82" i="98"/>
  <c r="AC82" i="98"/>
  <c r="W82" i="98"/>
  <c r="V82" i="98"/>
  <c r="U82" i="98"/>
  <c r="X82" i="98" s="1"/>
  <c r="M82" i="98"/>
  <c r="F82" i="98"/>
  <c r="N82" i="98" s="1"/>
  <c r="AF81" i="98"/>
  <c r="AE81" i="98"/>
  <c r="AD81" i="98"/>
  <c r="AC81" i="98"/>
  <c r="W81" i="98"/>
  <c r="V81" i="98"/>
  <c r="U81" i="98"/>
  <c r="X81" i="98" s="1"/>
  <c r="M81" i="98"/>
  <c r="F81" i="98"/>
  <c r="N81" i="98" s="1"/>
  <c r="AF80" i="98"/>
  <c r="AE80" i="98"/>
  <c r="AD80" i="98"/>
  <c r="AC80" i="98"/>
  <c r="W80" i="98"/>
  <c r="V80" i="98"/>
  <c r="U80" i="98"/>
  <c r="M80" i="98"/>
  <c r="F80" i="98"/>
  <c r="AF79" i="98"/>
  <c r="AE79" i="98"/>
  <c r="AD79" i="98"/>
  <c r="AC79" i="98"/>
  <c r="W79" i="98"/>
  <c r="V79" i="98"/>
  <c r="U79" i="98"/>
  <c r="X79" i="98" s="1"/>
  <c r="M79" i="98"/>
  <c r="F79" i="98"/>
  <c r="AF78" i="98"/>
  <c r="AE78" i="98"/>
  <c r="AD78" i="98"/>
  <c r="AC78" i="98"/>
  <c r="W78" i="98"/>
  <c r="V78" i="98"/>
  <c r="U78" i="98"/>
  <c r="X78" i="98" s="1"/>
  <c r="M78" i="98"/>
  <c r="F78" i="98"/>
  <c r="N78" i="98" s="1"/>
  <c r="AF77" i="98"/>
  <c r="AE77" i="98"/>
  <c r="AD77" i="98"/>
  <c r="AC77" i="98"/>
  <c r="W77" i="98"/>
  <c r="V77" i="98"/>
  <c r="U77" i="98"/>
  <c r="X77" i="98" s="1"/>
  <c r="M77" i="98"/>
  <c r="F77" i="98"/>
  <c r="N77" i="98" s="1"/>
  <c r="AF76" i="98"/>
  <c r="AE76" i="98"/>
  <c r="AD76" i="98"/>
  <c r="AC76" i="98"/>
  <c r="W76" i="98"/>
  <c r="V76" i="98"/>
  <c r="U76" i="98"/>
  <c r="M76" i="98"/>
  <c r="F76" i="98"/>
  <c r="AF75" i="98"/>
  <c r="AE75" i="98"/>
  <c r="AD75" i="98"/>
  <c r="AC75" i="98"/>
  <c r="W75" i="98"/>
  <c r="V75" i="98"/>
  <c r="U75" i="98"/>
  <c r="X75" i="98" s="1"/>
  <c r="M75" i="98"/>
  <c r="F75" i="98"/>
  <c r="AF74" i="98"/>
  <c r="AE74" i="98"/>
  <c r="AD74" i="98"/>
  <c r="AC74" i="98"/>
  <c r="W74" i="98"/>
  <c r="V74" i="98"/>
  <c r="U74" i="98"/>
  <c r="X74" i="98" s="1"/>
  <c r="M74" i="98"/>
  <c r="F74" i="98"/>
  <c r="N74" i="98" s="1"/>
  <c r="AF73" i="98"/>
  <c r="AE73" i="98"/>
  <c r="AD73" i="98"/>
  <c r="AC73" i="98"/>
  <c r="W73" i="98"/>
  <c r="V73" i="98"/>
  <c r="U73" i="98"/>
  <c r="X73" i="98" s="1"/>
  <c r="M73" i="98"/>
  <c r="F73" i="98"/>
  <c r="N73" i="98" s="1"/>
  <c r="AF72" i="98"/>
  <c r="AE72" i="98"/>
  <c r="AD72" i="98"/>
  <c r="AC72" i="98"/>
  <c r="W72" i="98"/>
  <c r="V72" i="98"/>
  <c r="U72" i="98"/>
  <c r="M72" i="98"/>
  <c r="F72" i="98"/>
  <c r="AF71" i="98"/>
  <c r="AE71" i="98"/>
  <c r="AD71" i="98"/>
  <c r="AC71" i="98"/>
  <c r="W71" i="98"/>
  <c r="V71" i="98"/>
  <c r="U71" i="98"/>
  <c r="M71" i="98"/>
  <c r="F71" i="98"/>
  <c r="AF70" i="98"/>
  <c r="AE70" i="98"/>
  <c r="AD70" i="98"/>
  <c r="AC70" i="98"/>
  <c r="W70" i="98"/>
  <c r="V70" i="98"/>
  <c r="U70" i="98"/>
  <c r="X70" i="98" s="1"/>
  <c r="M70" i="98"/>
  <c r="F70" i="98"/>
  <c r="N70" i="98" s="1"/>
  <c r="AF69" i="98"/>
  <c r="AE69" i="98"/>
  <c r="AD69" i="98"/>
  <c r="AC69" i="98"/>
  <c r="W69" i="98"/>
  <c r="V69" i="98"/>
  <c r="U69" i="98"/>
  <c r="X69" i="98" s="1"/>
  <c r="M69" i="98"/>
  <c r="F69" i="98"/>
  <c r="N69" i="98" s="1"/>
  <c r="AF68" i="98"/>
  <c r="AE68" i="98"/>
  <c r="AD68" i="98"/>
  <c r="AC68" i="98"/>
  <c r="W68" i="98"/>
  <c r="V68" i="98"/>
  <c r="U68" i="98"/>
  <c r="M68" i="98"/>
  <c r="F68" i="98"/>
  <c r="AF67" i="98"/>
  <c r="AE67" i="98"/>
  <c r="AD67" i="98"/>
  <c r="AC67" i="98"/>
  <c r="W67" i="98"/>
  <c r="V67" i="98"/>
  <c r="U67" i="98"/>
  <c r="M67" i="98"/>
  <c r="F67" i="98"/>
  <c r="AF66" i="98"/>
  <c r="AE66" i="98"/>
  <c r="AD66" i="98"/>
  <c r="AC66" i="98"/>
  <c r="W66" i="98"/>
  <c r="V66" i="98"/>
  <c r="U66" i="98"/>
  <c r="X66" i="98" s="1"/>
  <c r="M66" i="98"/>
  <c r="F66" i="98"/>
  <c r="N66" i="98" s="1"/>
  <c r="E49" i="98"/>
  <c r="D49" i="98"/>
  <c r="T48" i="98"/>
  <c r="S48" i="98"/>
  <c r="R48" i="98"/>
  <c r="Q48" i="98"/>
  <c r="P48" i="98"/>
  <c r="O48" i="98"/>
  <c r="E48" i="98"/>
  <c r="D48" i="98"/>
  <c r="AF46" i="98"/>
  <c r="AE46" i="98"/>
  <c r="AD46" i="98"/>
  <c r="AC46" i="98"/>
  <c r="W46" i="98"/>
  <c r="V46" i="98"/>
  <c r="U46" i="98"/>
  <c r="X46" i="98" s="1"/>
  <c r="M46" i="98"/>
  <c r="F46" i="98"/>
  <c r="AF45" i="98"/>
  <c r="AE45" i="98"/>
  <c r="AD45" i="98"/>
  <c r="AC45" i="98"/>
  <c r="W45" i="98"/>
  <c r="V45" i="98"/>
  <c r="U45" i="98"/>
  <c r="M45" i="98"/>
  <c r="F45" i="98"/>
  <c r="AF44" i="98"/>
  <c r="AE44" i="98"/>
  <c r="AD44" i="98"/>
  <c r="AC44" i="98"/>
  <c r="W44" i="98"/>
  <c r="V44" i="98"/>
  <c r="U44" i="98"/>
  <c r="M44" i="98"/>
  <c r="F44" i="98"/>
  <c r="AF43" i="98"/>
  <c r="AE43" i="98"/>
  <c r="AD43" i="98"/>
  <c r="AC43" i="98"/>
  <c r="W43" i="98"/>
  <c r="V43" i="98"/>
  <c r="U43" i="98"/>
  <c r="M43" i="98"/>
  <c r="F43" i="98"/>
  <c r="N43" i="98" s="1"/>
  <c r="AF42" i="98"/>
  <c r="AE42" i="98"/>
  <c r="AD42" i="98"/>
  <c r="AC42" i="98"/>
  <c r="W42" i="98"/>
  <c r="V42" i="98"/>
  <c r="U42" i="98"/>
  <c r="M42" i="98"/>
  <c r="F42" i="98"/>
  <c r="AF41" i="98"/>
  <c r="AE41" i="98"/>
  <c r="AD41" i="98"/>
  <c r="AC41" i="98"/>
  <c r="W41" i="98"/>
  <c r="V41" i="98"/>
  <c r="U41" i="98"/>
  <c r="M41" i="98"/>
  <c r="F41" i="98"/>
  <c r="AF40" i="98"/>
  <c r="AE40" i="98"/>
  <c r="AD40" i="98"/>
  <c r="AC40" i="98"/>
  <c r="W40" i="98"/>
  <c r="V40" i="98"/>
  <c r="U40" i="98"/>
  <c r="X40" i="98" s="1"/>
  <c r="M40" i="98"/>
  <c r="F40" i="98"/>
  <c r="AF39" i="98"/>
  <c r="AE39" i="98"/>
  <c r="AD39" i="98"/>
  <c r="AC39" i="98"/>
  <c r="W39" i="98"/>
  <c r="V39" i="98"/>
  <c r="U39" i="98"/>
  <c r="X39" i="98" s="1"/>
  <c r="M39" i="98"/>
  <c r="F39" i="98"/>
  <c r="N39" i="98" s="1"/>
  <c r="AF38" i="98"/>
  <c r="AE38" i="98"/>
  <c r="AD38" i="98"/>
  <c r="AC38" i="98"/>
  <c r="W38" i="98"/>
  <c r="V38" i="98"/>
  <c r="U38" i="98"/>
  <c r="M38" i="98"/>
  <c r="F38" i="98"/>
  <c r="AF37" i="98"/>
  <c r="AE37" i="98"/>
  <c r="AD37" i="98"/>
  <c r="AC37" i="98"/>
  <c r="W37" i="98"/>
  <c r="V37" i="98"/>
  <c r="U37" i="98"/>
  <c r="M37" i="98"/>
  <c r="F37" i="98"/>
  <c r="AF36" i="98"/>
  <c r="AE36" i="98"/>
  <c r="AD36" i="98"/>
  <c r="AC36" i="98"/>
  <c r="W36" i="98"/>
  <c r="V36" i="98"/>
  <c r="U36" i="98"/>
  <c r="X36" i="98" s="1"/>
  <c r="M36" i="98"/>
  <c r="F36" i="98"/>
  <c r="AF35" i="98"/>
  <c r="AE35" i="98"/>
  <c r="AD35" i="98"/>
  <c r="AC35" i="98"/>
  <c r="W35" i="98"/>
  <c r="V35" i="98"/>
  <c r="U35" i="98"/>
  <c r="X35" i="98" s="1"/>
  <c r="M35" i="98"/>
  <c r="F35" i="98"/>
  <c r="N35" i="98" s="1"/>
  <c r="AF34" i="98"/>
  <c r="AE34" i="98"/>
  <c r="AD34" i="98"/>
  <c r="AC34" i="98"/>
  <c r="W34" i="98"/>
  <c r="V34" i="98"/>
  <c r="U34" i="98"/>
  <c r="X34" i="98" s="1"/>
  <c r="M34" i="98"/>
  <c r="F34" i="98"/>
  <c r="AF33" i="98"/>
  <c r="AE33" i="98"/>
  <c r="AD33" i="98"/>
  <c r="AC33" i="98"/>
  <c r="W33" i="98"/>
  <c r="V33" i="98"/>
  <c r="U33" i="98"/>
  <c r="M33" i="98"/>
  <c r="F33" i="98"/>
  <c r="AF32" i="98"/>
  <c r="AE32" i="98"/>
  <c r="AD32" i="98"/>
  <c r="AC32" i="98"/>
  <c r="W32" i="98"/>
  <c r="V32" i="98"/>
  <c r="U32" i="98"/>
  <c r="M32" i="98"/>
  <c r="F32" i="98"/>
  <c r="AF31" i="98"/>
  <c r="AE31" i="98"/>
  <c r="AD31" i="98"/>
  <c r="AC31" i="98"/>
  <c r="W31" i="98"/>
  <c r="V31" i="98"/>
  <c r="U31" i="98"/>
  <c r="X31" i="98" s="1"/>
  <c r="M31" i="98"/>
  <c r="F31" i="98"/>
  <c r="N31" i="98" s="1"/>
  <c r="AF30" i="98"/>
  <c r="AE30" i="98"/>
  <c r="AD30" i="98"/>
  <c r="AC30" i="98"/>
  <c r="W30" i="98"/>
  <c r="V30" i="98"/>
  <c r="U30" i="98"/>
  <c r="X30" i="98" s="1"/>
  <c r="M30" i="98"/>
  <c r="F30" i="98"/>
  <c r="AF29" i="98"/>
  <c r="AE29" i="98"/>
  <c r="AD29" i="98"/>
  <c r="AC29" i="98"/>
  <c r="W29" i="98"/>
  <c r="V29" i="98"/>
  <c r="U29" i="98"/>
  <c r="M29" i="98"/>
  <c r="F29" i="98"/>
  <c r="AF28" i="98"/>
  <c r="AE28" i="98"/>
  <c r="AD28" i="98"/>
  <c r="AC28" i="98"/>
  <c r="W28" i="98"/>
  <c r="V28" i="98"/>
  <c r="U28" i="98"/>
  <c r="M28" i="98"/>
  <c r="F28" i="98"/>
  <c r="AF27" i="98"/>
  <c r="AE27" i="98"/>
  <c r="AD27" i="98"/>
  <c r="AC27" i="98"/>
  <c r="W27" i="98"/>
  <c r="V27" i="98"/>
  <c r="U27" i="98"/>
  <c r="M27" i="98"/>
  <c r="F27" i="98"/>
  <c r="N27" i="98" s="1"/>
  <c r="AF26" i="98"/>
  <c r="AE26" i="98"/>
  <c r="AD26" i="98"/>
  <c r="AC26" i="98"/>
  <c r="W26" i="98"/>
  <c r="V26" i="98"/>
  <c r="U26" i="98"/>
  <c r="M26" i="98"/>
  <c r="F26" i="98"/>
  <c r="AF25" i="98"/>
  <c r="AE25" i="98"/>
  <c r="AD25" i="98"/>
  <c r="AC25" i="98"/>
  <c r="W25" i="98"/>
  <c r="V25" i="98"/>
  <c r="U25" i="98"/>
  <c r="M25" i="98"/>
  <c r="F25" i="98"/>
  <c r="AF24" i="98"/>
  <c r="AE24" i="98"/>
  <c r="AD24" i="98"/>
  <c r="AC24" i="98"/>
  <c r="W24" i="98"/>
  <c r="V24" i="98"/>
  <c r="U24" i="98"/>
  <c r="X24" i="98" s="1"/>
  <c r="M24" i="98"/>
  <c r="F24" i="98"/>
  <c r="AF23" i="98"/>
  <c r="AE23" i="98"/>
  <c r="AD23" i="98"/>
  <c r="AC23" i="98"/>
  <c r="W23" i="98"/>
  <c r="V23" i="98"/>
  <c r="U23" i="98"/>
  <c r="X23" i="98" s="1"/>
  <c r="M23" i="98"/>
  <c r="F23" i="98"/>
  <c r="N23" i="98" s="1"/>
  <c r="AF22" i="98"/>
  <c r="AE22" i="98"/>
  <c r="AD22" i="98"/>
  <c r="AC22" i="98"/>
  <c r="W22" i="98"/>
  <c r="V22" i="98"/>
  <c r="U22" i="98"/>
  <c r="M22" i="98"/>
  <c r="F22" i="98"/>
  <c r="AF21" i="98"/>
  <c r="AE21" i="98"/>
  <c r="AD21" i="98"/>
  <c r="AC21" i="98"/>
  <c r="W21" i="98"/>
  <c r="V21" i="98"/>
  <c r="U21" i="98"/>
  <c r="M21" i="98"/>
  <c r="F21" i="98"/>
  <c r="AF20" i="98"/>
  <c r="AE20" i="98"/>
  <c r="AD20" i="98"/>
  <c r="AC20" i="98"/>
  <c r="W20" i="98"/>
  <c r="V20" i="98"/>
  <c r="U20" i="98"/>
  <c r="X20" i="98" s="1"/>
  <c r="M20" i="98"/>
  <c r="F20" i="98"/>
  <c r="AF19" i="98"/>
  <c r="AE19" i="98"/>
  <c r="AD19" i="98"/>
  <c r="AC19" i="98"/>
  <c r="W19" i="98"/>
  <c r="V19" i="98"/>
  <c r="U19" i="98"/>
  <c r="X19" i="98" s="1"/>
  <c r="M19" i="98"/>
  <c r="F19" i="98"/>
  <c r="N19" i="98" s="1"/>
  <c r="AF18" i="98"/>
  <c r="AE18" i="98"/>
  <c r="AD18" i="98"/>
  <c r="AC18" i="98"/>
  <c r="W18" i="98"/>
  <c r="V18" i="98"/>
  <c r="U18" i="98"/>
  <c r="X18" i="98" s="1"/>
  <c r="M18" i="98"/>
  <c r="F18" i="98"/>
  <c r="AF17" i="98"/>
  <c r="AE17" i="98"/>
  <c r="AD17" i="98"/>
  <c r="AC17" i="98"/>
  <c r="W17" i="98"/>
  <c r="V17" i="98"/>
  <c r="U17" i="98"/>
  <c r="M17" i="98"/>
  <c r="F17" i="98"/>
  <c r="AF16" i="98"/>
  <c r="AE16" i="98"/>
  <c r="AD16" i="98"/>
  <c r="AC16" i="98"/>
  <c r="W16" i="98"/>
  <c r="V16" i="98"/>
  <c r="U16" i="98"/>
  <c r="M16" i="98"/>
  <c r="F16" i="98"/>
  <c r="AF15" i="98"/>
  <c r="AE15" i="98"/>
  <c r="AD15" i="98"/>
  <c r="AC15" i="98"/>
  <c r="W15" i="98"/>
  <c r="V15" i="98"/>
  <c r="U15" i="98"/>
  <c r="X15" i="98" s="1"/>
  <c r="M15" i="98"/>
  <c r="F15" i="98"/>
  <c r="N15" i="98" s="1"/>
  <c r="AF14" i="98"/>
  <c r="AE14" i="98"/>
  <c r="AD14" i="98"/>
  <c r="AC14" i="98"/>
  <c r="W14" i="98"/>
  <c r="V14" i="98"/>
  <c r="U14" i="98"/>
  <c r="X14" i="98" s="1"/>
  <c r="M14" i="98"/>
  <c r="F14" i="98"/>
  <c r="AF13" i="98"/>
  <c r="AE13" i="98"/>
  <c r="AD13" i="98"/>
  <c r="AC13" i="98"/>
  <c r="W13" i="98"/>
  <c r="V13" i="98"/>
  <c r="U13" i="98"/>
  <c r="M13" i="98"/>
  <c r="F13" i="98"/>
  <c r="N13" i="98" s="1"/>
  <c r="E5" i="98"/>
  <c r="A2" i="98"/>
  <c r="D103" i="97"/>
  <c r="T102" i="97"/>
  <c r="S102" i="97"/>
  <c r="R102" i="97"/>
  <c r="Q102" i="97"/>
  <c r="P102" i="97"/>
  <c r="O102" i="97"/>
  <c r="E102" i="97"/>
  <c r="D102" i="97"/>
  <c r="AF100" i="97"/>
  <c r="AE100" i="97"/>
  <c r="AD100" i="97"/>
  <c r="AC100" i="97"/>
  <c r="W100" i="97"/>
  <c r="V100" i="97"/>
  <c r="U100" i="97"/>
  <c r="X100" i="97" s="1"/>
  <c r="M100" i="97"/>
  <c r="F100" i="97"/>
  <c r="N100" i="97" s="1"/>
  <c r="AF99" i="97"/>
  <c r="AE99" i="97"/>
  <c r="AD99" i="97"/>
  <c r="AC99" i="97"/>
  <c r="W99" i="97"/>
  <c r="V99" i="97"/>
  <c r="U99" i="97"/>
  <c r="X99" i="97" s="1"/>
  <c r="M99" i="97"/>
  <c r="F99" i="97"/>
  <c r="AF98" i="97"/>
  <c r="AE98" i="97"/>
  <c r="AD98" i="97"/>
  <c r="AC98" i="97"/>
  <c r="W98" i="97"/>
  <c r="V98" i="97"/>
  <c r="U98" i="97"/>
  <c r="X98" i="97" s="1"/>
  <c r="M98" i="97"/>
  <c r="F98" i="97"/>
  <c r="AF97" i="97"/>
  <c r="AE97" i="97"/>
  <c r="AD97" i="97"/>
  <c r="AC97" i="97"/>
  <c r="W97" i="97"/>
  <c r="V97" i="97"/>
  <c r="U97" i="97"/>
  <c r="M97" i="97"/>
  <c r="F97" i="97"/>
  <c r="AF96" i="97"/>
  <c r="AE96" i="97"/>
  <c r="AD96" i="97"/>
  <c r="AC96" i="97"/>
  <c r="W96" i="97"/>
  <c r="V96" i="97"/>
  <c r="U96" i="97"/>
  <c r="X96" i="97" s="1"/>
  <c r="M96" i="97"/>
  <c r="F96" i="97"/>
  <c r="N96" i="97" s="1"/>
  <c r="AF95" i="97"/>
  <c r="AE95" i="97"/>
  <c r="AD95" i="97"/>
  <c r="AC95" i="97"/>
  <c r="W95" i="97"/>
  <c r="V95" i="97"/>
  <c r="U95" i="97"/>
  <c r="X95" i="97" s="1"/>
  <c r="M95" i="97"/>
  <c r="F95" i="97"/>
  <c r="AF94" i="97"/>
  <c r="AE94" i="97"/>
  <c r="AD94" i="97"/>
  <c r="AC94" i="97"/>
  <c r="W94" i="97"/>
  <c r="V94" i="97"/>
  <c r="U94" i="97"/>
  <c r="X94" i="97" s="1"/>
  <c r="M94" i="97"/>
  <c r="F94" i="97"/>
  <c r="AF93" i="97"/>
  <c r="AE93" i="97"/>
  <c r="AD93" i="97"/>
  <c r="AC93" i="97"/>
  <c r="W93" i="97"/>
  <c r="V93" i="97"/>
  <c r="U93" i="97"/>
  <c r="X93" i="97" s="1"/>
  <c r="M93" i="97"/>
  <c r="F93" i="97"/>
  <c r="AF92" i="97"/>
  <c r="AE92" i="97"/>
  <c r="AD92" i="97"/>
  <c r="AC92" i="97"/>
  <c r="W92" i="97"/>
  <c r="V92" i="97"/>
  <c r="U92" i="97"/>
  <c r="X92" i="97" s="1"/>
  <c r="M92" i="97"/>
  <c r="F92" i="97"/>
  <c r="N92" i="97" s="1"/>
  <c r="AF91" i="97"/>
  <c r="AE91" i="97"/>
  <c r="AD91" i="97"/>
  <c r="AC91" i="97"/>
  <c r="W91" i="97"/>
  <c r="V91" i="97"/>
  <c r="U91" i="97"/>
  <c r="M91" i="97"/>
  <c r="F91" i="97"/>
  <c r="AF90" i="97"/>
  <c r="AE90" i="97"/>
  <c r="AD90" i="97"/>
  <c r="AC90" i="97"/>
  <c r="W90" i="97"/>
  <c r="V90" i="97"/>
  <c r="U90" i="97"/>
  <c r="M90" i="97"/>
  <c r="F90" i="97"/>
  <c r="AF89" i="97"/>
  <c r="AE89" i="97"/>
  <c r="AD89" i="97"/>
  <c r="AC89" i="97"/>
  <c r="W89" i="97"/>
  <c r="V89" i="97"/>
  <c r="U89" i="97"/>
  <c r="X89" i="97" s="1"/>
  <c r="M89" i="97"/>
  <c r="F89" i="97"/>
  <c r="AF88" i="97"/>
  <c r="AE88" i="97"/>
  <c r="AD88" i="97"/>
  <c r="AC88" i="97"/>
  <c r="W88" i="97"/>
  <c r="V88" i="97"/>
  <c r="U88" i="97"/>
  <c r="X88" i="97" s="1"/>
  <c r="M88" i="97"/>
  <c r="F88" i="97"/>
  <c r="N88" i="97" s="1"/>
  <c r="AF87" i="97"/>
  <c r="AE87" i="97"/>
  <c r="AD87" i="97"/>
  <c r="AC87" i="97"/>
  <c r="W87" i="97"/>
  <c r="V87" i="97"/>
  <c r="U87" i="97"/>
  <c r="M87" i="97"/>
  <c r="F87" i="97"/>
  <c r="AF86" i="97"/>
  <c r="AE86" i="97"/>
  <c r="AD86" i="97"/>
  <c r="AC86" i="97"/>
  <c r="W86" i="97"/>
  <c r="V86" i="97"/>
  <c r="U86" i="97"/>
  <c r="M86" i="97"/>
  <c r="F86" i="97"/>
  <c r="AF85" i="97"/>
  <c r="AE85" i="97"/>
  <c r="AD85" i="97"/>
  <c r="AC85" i="97"/>
  <c r="W85" i="97"/>
  <c r="V85" i="97"/>
  <c r="U85" i="97"/>
  <c r="M85" i="97"/>
  <c r="F85" i="97"/>
  <c r="AF84" i="97"/>
  <c r="AE84" i="97"/>
  <c r="AD84" i="97"/>
  <c r="AC84" i="97"/>
  <c r="W84" i="97"/>
  <c r="V84" i="97"/>
  <c r="U84" i="97"/>
  <c r="X84" i="97" s="1"/>
  <c r="M84" i="97"/>
  <c r="F84" i="97"/>
  <c r="N84" i="97" s="1"/>
  <c r="AF83" i="97"/>
  <c r="AE83" i="97"/>
  <c r="AD83" i="97"/>
  <c r="AC83" i="97"/>
  <c r="W83" i="97"/>
  <c r="V83" i="97"/>
  <c r="U83" i="97"/>
  <c r="M83" i="97"/>
  <c r="F83" i="97"/>
  <c r="AF82" i="97"/>
  <c r="AE82" i="97"/>
  <c r="AD82" i="97"/>
  <c r="AC82" i="97"/>
  <c r="W82" i="97"/>
  <c r="V82" i="97"/>
  <c r="U82" i="97"/>
  <c r="M82" i="97"/>
  <c r="F82" i="97"/>
  <c r="AF81" i="97"/>
  <c r="AE81" i="97"/>
  <c r="AD81" i="97"/>
  <c r="AC81" i="97"/>
  <c r="W81" i="97"/>
  <c r="V81" i="97"/>
  <c r="U81" i="97"/>
  <c r="M81" i="97"/>
  <c r="F81" i="97"/>
  <c r="AF80" i="97"/>
  <c r="AE80" i="97"/>
  <c r="AD80" i="97"/>
  <c r="AC80" i="97"/>
  <c r="W80" i="97"/>
  <c r="V80" i="97"/>
  <c r="U80" i="97"/>
  <c r="M80" i="97"/>
  <c r="F80" i="97"/>
  <c r="N80" i="97" s="1"/>
  <c r="AF79" i="97"/>
  <c r="AE79" i="97"/>
  <c r="AD79" i="97"/>
  <c r="AC79" i="97"/>
  <c r="W79" i="97"/>
  <c r="V79" i="97"/>
  <c r="U79" i="97"/>
  <c r="X79" i="97" s="1"/>
  <c r="M79" i="97"/>
  <c r="F79" i="97"/>
  <c r="AF78" i="97"/>
  <c r="AE78" i="97"/>
  <c r="AD78" i="97"/>
  <c r="AC78" i="97"/>
  <c r="W78" i="97"/>
  <c r="V78" i="97"/>
  <c r="U78" i="97"/>
  <c r="X78" i="97" s="1"/>
  <c r="M78" i="97"/>
  <c r="F78" i="97"/>
  <c r="AF77" i="97"/>
  <c r="AE77" i="97"/>
  <c r="AD77" i="97"/>
  <c r="AC77" i="97"/>
  <c r="W77" i="97"/>
  <c r="V77" i="97"/>
  <c r="U77" i="97"/>
  <c r="M77" i="97"/>
  <c r="F77" i="97"/>
  <c r="AF76" i="97"/>
  <c r="AE76" i="97"/>
  <c r="AD76" i="97"/>
  <c r="AC76" i="97"/>
  <c r="W76" i="97"/>
  <c r="V76" i="97"/>
  <c r="U76" i="97"/>
  <c r="X76" i="97" s="1"/>
  <c r="M76" i="97"/>
  <c r="F76" i="97"/>
  <c r="N76" i="97" s="1"/>
  <c r="AF75" i="97"/>
  <c r="AE75" i="97"/>
  <c r="AD75" i="97"/>
  <c r="AC75" i="97"/>
  <c r="W75" i="97"/>
  <c r="V75" i="97"/>
  <c r="U75" i="97"/>
  <c r="X75" i="97" s="1"/>
  <c r="M75" i="97"/>
  <c r="F75" i="97"/>
  <c r="AF74" i="97"/>
  <c r="AE74" i="97"/>
  <c r="AD74" i="97"/>
  <c r="AC74" i="97"/>
  <c r="W74" i="97"/>
  <c r="V74" i="97"/>
  <c r="U74" i="97"/>
  <c r="X74" i="97" s="1"/>
  <c r="M74" i="97"/>
  <c r="F74" i="97"/>
  <c r="AF73" i="97"/>
  <c r="AE73" i="97"/>
  <c r="AD73" i="97"/>
  <c r="AC73" i="97"/>
  <c r="W73" i="97"/>
  <c r="V73" i="97"/>
  <c r="U73" i="97"/>
  <c r="X73" i="97" s="1"/>
  <c r="M73" i="97"/>
  <c r="F73" i="97"/>
  <c r="AF72" i="97"/>
  <c r="AE72" i="97"/>
  <c r="AD72" i="97"/>
  <c r="AC72" i="97"/>
  <c r="W72" i="97"/>
  <c r="V72" i="97"/>
  <c r="U72" i="97"/>
  <c r="X72" i="97" s="1"/>
  <c r="M72" i="97"/>
  <c r="F72" i="97"/>
  <c r="N72" i="97" s="1"/>
  <c r="AF71" i="97"/>
  <c r="AE71" i="97"/>
  <c r="AD71" i="97"/>
  <c r="AC71" i="97"/>
  <c r="W71" i="97"/>
  <c r="V71" i="97"/>
  <c r="U71" i="97"/>
  <c r="M71" i="97"/>
  <c r="F71" i="97"/>
  <c r="AF70" i="97"/>
  <c r="AE70" i="97"/>
  <c r="AD70" i="97"/>
  <c r="AC70" i="97"/>
  <c r="W70" i="97"/>
  <c r="V70" i="97"/>
  <c r="U70" i="97"/>
  <c r="M70" i="97"/>
  <c r="F70" i="97"/>
  <c r="AF69" i="97"/>
  <c r="AE69" i="97"/>
  <c r="AD69" i="97"/>
  <c r="AC69" i="97"/>
  <c r="W69" i="97"/>
  <c r="V69" i="97"/>
  <c r="U69" i="97"/>
  <c r="M69" i="97"/>
  <c r="F69" i="97"/>
  <c r="AF68" i="97"/>
  <c r="AE68" i="97"/>
  <c r="AD68" i="97"/>
  <c r="AC68" i="97"/>
  <c r="W68" i="97"/>
  <c r="V68" i="97"/>
  <c r="U68" i="97"/>
  <c r="X68" i="97" s="1"/>
  <c r="M68" i="97"/>
  <c r="F68" i="97"/>
  <c r="N68" i="97" s="1"/>
  <c r="AF67" i="97"/>
  <c r="AE67" i="97"/>
  <c r="AD67" i="97"/>
  <c r="AC67" i="97"/>
  <c r="W67" i="97"/>
  <c r="V67" i="97"/>
  <c r="U67" i="97"/>
  <c r="M67" i="97"/>
  <c r="F67" i="97"/>
  <c r="AF66" i="97"/>
  <c r="AE66" i="97"/>
  <c r="AD66" i="97"/>
  <c r="AC66" i="97"/>
  <c r="W66" i="97"/>
  <c r="V66" i="97"/>
  <c r="U66" i="97"/>
  <c r="M66" i="97"/>
  <c r="F66" i="97"/>
  <c r="E49" i="97"/>
  <c r="D49" i="97"/>
  <c r="T48" i="97"/>
  <c r="S48" i="97"/>
  <c r="R48" i="97"/>
  <c r="Q48" i="97"/>
  <c r="P48" i="97"/>
  <c r="O48" i="97"/>
  <c r="E48" i="97"/>
  <c r="D48" i="97"/>
  <c r="AF46" i="97"/>
  <c r="AE46" i="97"/>
  <c r="AD46" i="97"/>
  <c r="AC46" i="97"/>
  <c r="W46" i="97"/>
  <c r="V46" i="97"/>
  <c r="U46" i="97"/>
  <c r="M46" i="97"/>
  <c r="F46" i="97"/>
  <c r="N46" i="97" s="1"/>
  <c r="AF45" i="97"/>
  <c r="AE45" i="97"/>
  <c r="AD45" i="97"/>
  <c r="AC45" i="97"/>
  <c r="W45" i="97"/>
  <c r="V45" i="97"/>
  <c r="U45" i="97"/>
  <c r="X45" i="97" s="1"/>
  <c r="M45" i="97"/>
  <c r="F45" i="97"/>
  <c r="N45" i="97" s="1"/>
  <c r="AF44" i="97"/>
  <c r="AE44" i="97"/>
  <c r="AD44" i="97"/>
  <c r="AC44" i="97"/>
  <c r="W44" i="97"/>
  <c r="V44" i="97"/>
  <c r="U44" i="97"/>
  <c r="M44" i="97"/>
  <c r="F44" i="97"/>
  <c r="AF43" i="97"/>
  <c r="AE43" i="97"/>
  <c r="AD43" i="97"/>
  <c r="AC43" i="97"/>
  <c r="W43" i="97"/>
  <c r="V43" i="97"/>
  <c r="U43" i="97"/>
  <c r="M43" i="97"/>
  <c r="F43" i="97"/>
  <c r="AF42" i="97"/>
  <c r="AE42" i="97"/>
  <c r="AD42" i="97"/>
  <c r="AC42" i="97"/>
  <c r="W42" i="97"/>
  <c r="V42" i="97"/>
  <c r="U42" i="97"/>
  <c r="M42" i="97"/>
  <c r="F42" i="97"/>
  <c r="AF41" i="97"/>
  <c r="AE41" i="97"/>
  <c r="AD41" i="97"/>
  <c r="AC41" i="97"/>
  <c r="W41" i="97"/>
  <c r="V41" i="97"/>
  <c r="U41" i="97"/>
  <c r="M41" i="97"/>
  <c r="F41" i="97"/>
  <c r="AF40" i="97"/>
  <c r="AE40" i="97"/>
  <c r="AD40" i="97"/>
  <c r="AC40" i="97"/>
  <c r="W40" i="97"/>
  <c r="V40" i="97"/>
  <c r="U40" i="97"/>
  <c r="M40" i="97"/>
  <c r="F40" i="97"/>
  <c r="N40" i="97" s="1"/>
  <c r="AF39" i="97"/>
  <c r="AE39" i="97"/>
  <c r="AD39" i="97"/>
  <c r="AC39" i="97"/>
  <c r="W39" i="97"/>
  <c r="V39" i="97"/>
  <c r="U39" i="97"/>
  <c r="X39" i="97" s="1"/>
  <c r="M39" i="97"/>
  <c r="F39" i="97"/>
  <c r="N39" i="97" s="1"/>
  <c r="AF38" i="97"/>
  <c r="AE38" i="97"/>
  <c r="AD38" i="97"/>
  <c r="AC38" i="97"/>
  <c r="W38" i="97"/>
  <c r="V38" i="97"/>
  <c r="U38" i="97"/>
  <c r="M38" i="97"/>
  <c r="F38" i="97"/>
  <c r="N38" i="97" s="1"/>
  <c r="AF37" i="97"/>
  <c r="AE37" i="97"/>
  <c r="AD37" i="97"/>
  <c r="AC37" i="97"/>
  <c r="W37" i="97"/>
  <c r="V37" i="97"/>
  <c r="U37" i="97"/>
  <c r="X37" i="97" s="1"/>
  <c r="M37" i="97"/>
  <c r="F37" i="97"/>
  <c r="N37" i="97" s="1"/>
  <c r="AF36" i="97"/>
  <c r="AE36" i="97"/>
  <c r="AD36" i="97"/>
  <c r="AC36" i="97"/>
  <c r="W36" i="97"/>
  <c r="V36" i="97"/>
  <c r="U36" i="97"/>
  <c r="X36" i="97" s="1"/>
  <c r="M36" i="97"/>
  <c r="F36" i="97"/>
  <c r="AF35" i="97"/>
  <c r="AE35" i="97"/>
  <c r="AD35" i="97"/>
  <c r="AC35" i="97"/>
  <c r="W35" i="97"/>
  <c r="V35" i="97"/>
  <c r="U35" i="97"/>
  <c r="M35" i="97"/>
  <c r="F35" i="97"/>
  <c r="N35" i="97" s="1"/>
  <c r="AF34" i="97"/>
  <c r="AE34" i="97"/>
  <c r="AD34" i="97"/>
  <c r="AC34" i="97"/>
  <c r="W34" i="97"/>
  <c r="V34" i="97"/>
  <c r="U34" i="97"/>
  <c r="M34" i="97"/>
  <c r="F34" i="97"/>
  <c r="AF33" i="97"/>
  <c r="AE33" i="97"/>
  <c r="AD33" i="97"/>
  <c r="AC33" i="97"/>
  <c r="W33" i="97"/>
  <c r="V33" i="97"/>
  <c r="U33" i="97"/>
  <c r="M33" i="97"/>
  <c r="F33" i="97"/>
  <c r="AF32" i="97"/>
  <c r="AE32" i="97"/>
  <c r="AD32" i="97"/>
  <c r="AC32" i="97"/>
  <c r="W32" i="97"/>
  <c r="V32" i="97"/>
  <c r="U32" i="97"/>
  <c r="M32" i="97"/>
  <c r="F32" i="97"/>
  <c r="AF31" i="97"/>
  <c r="AE31" i="97"/>
  <c r="AD31" i="97"/>
  <c r="AC31" i="97"/>
  <c r="W31" i="97"/>
  <c r="V31" i="97"/>
  <c r="U31" i="97"/>
  <c r="X31" i="97" s="1"/>
  <c r="M31" i="97"/>
  <c r="F31" i="97"/>
  <c r="N31" i="97" s="1"/>
  <c r="AF30" i="97"/>
  <c r="AE30" i="97"/>
  <c r="AD30" i="97"/>
  <c r="AC30" i="97"/>
  <c r="W30" i="97"/>
  <c r="V30" i="97"/>
  <c r="U30" i="97"/>
  <c r="M30" i="97"/>
  <c r="F30" i="97"/>
  <c r="N30" i="97" s="1"/>
  <c r="AF29" i="97"/>
  <c r="AE29" i="97"/>
  <c r="AD29" i="97"/>
  <c r="AC29" i="97"/>
  <c r="W29" i="97"/>
  <c r="V29" i="97"/>
  <c r="U29" i="97"/>
  <c r="M29" i="97"/>
  <c r="F29" i="97"/>
  <c r="N29" i="97" s="1"/>
  <c r="AF28" i="97"/>
  <c r="AE28" i="97"/>
  <c r="AD28" i="97"/>
  <c r="AC28" i="97"/>
  <c r="W28" i="97"/>
  <c r="V28" i="97"/>
  <c r="U28" i="97"/>
  <c r="X28" i="97" s="1"/>
  <c r="M28" i="97"/>
  <c r="F28" i="97"/>
  <c r="AF27" i="97"/>
  <c r="AE27" i="97"/>
  <c r="AD27" i="97"/>
  <c r="AC27" i="97"/>
  <c r="W27" i="97"/>
  <c r="V27" i="97"/>
  <c r="U27" i="97"/>
  <c r="M27" i="97"/>
  <c r="F27" i="97"/>
  <c r="N27" i="97" s="1"/>
  <c r="AF26" i="97"/>
  <c r="AE26" i="97"/>
  <c r="AD26" i="97"/>
  <c r="AC26" i="97"/>
  <c r="W26" i="97"/>
  <c r="V26" i="97"/>
  <c r="U26" i="97"/>
  <c r="X26" i="97" s="1"/>
  <c r="M26" i="97"/>
  <c r="F26" i="97"/>
  <c r="AF25" i="97"/>
  <c r="AE25" i="97"/>
  <c r="AD25" i="97"/>
  <c r="AC25" i="97"/>
  <c r="W25" i="97"/>
  <c r="V25" i="97"/>
  <c r="U25" i="97"/>
  <c r="M25" i="97"/>
  <c r="F25" i="97"/>
  <c r="AF24" i="97"/>
  <c r="AE24" i="97"/>
  <c r="AD24" i="97"/>
  <c r="AC24" i="97"/>
  <c r="W24" i="97"/>
  <c r="V24" i="97"/>
  <c r="U24" i="97"/>
  <c r="M24" i="97"/>
  <c r="F24" i="97"/>
  <c r="AF23" i="97"/>
  <c r="AE23" i="97"/>
  <c r="AD23" i="97"/>
  <c r="AC23" i="97"/>
  <c r="W23" i="97"/>
  <c r="V23" i="97"/>
  <c r="U23" i="97"/>
  <c r="M23" i="97"/>
  <c r="F23" i="97"/>
  <c r="N23" i="97" s="1"/>
  <c r="AF22" i="97"/>
  <c r="AE22" i="97"/>
  <c r="AD22" i="97"/>
  <c r="AC22" i="97"/>
  <c r="W22" i="97"/>
  <c r="V22" i="97"/>
  <c r="U22" i="97"/>
  <c r="M22" i="97"/>
  <c r="F22" i="97"/>
  <c r="N22" i="97" s="1"/>
  <c r="AF21" i="97"/>
  <c r="AE21" i="97"/>
  <c r="AD21" i="97"/>
  <c r="AC21" i="97"/>
  <c r="W21" i="97"/>
  <c r="V21" i="97"/>
  <c r="U21" i="97"/>
  <c r="M21" i="97"/>
  <c r="F21" i="97"/>
  <c r="N21" i="97" s="1"/>
  <c r="AF20" i="97"/>
  <c r="AE20" i="97"/>
  <c r="AD20" i="97"/>
  <c r="AC20" i="97"/>
  <c r="W20" i="97"/>
  <c r="V20" i="97"/>
  <c r="U20" i="97"/>
  <c r="M20" i="97"/>
  <c r="F20" i="97"/>
  <c r="AF19" i="97"/>
  <c r="AE19" i="97"/>
  <c r="AD19" i="97"/>
  <c r="AC19" i="97"/>
  <c r="W19" i="97"/>
  <c r="V19" i="97"/>
  <c r="U19" i="97"/>
  <c r="M19" i="97"/>
  <c r="F19" i="97"/>
  <c r="AF18" i="97"/>
  <c r="AE18" i="97"/>
  <c r="AD18" i="97"/>
  <c r="AC18" i="97"/>
  <c r="W18" i="97"/>
  <c r="V18" i="97"/>
  <c r="U18" i="97"/>
  <c r="X18" i="97" s="1"/>
  <c r="M18" i="97"/>
  <c r="F18" i="97"/>
  <c r="AF17" i="97"/>
  <c r="AE17" i="97"/>
  <c r="AD17" i="97"/>
  <c r="AC17" i="97"/>
  <c r="W17" i="97"/>
  <c r="V17" i="97"/>
  <c r="U17" i="97"/>
  <c r="M17" i="97"/>
  <c r="F17" i="97"/>
  <c r="AF16" i="97"/>
  <c r="AE16" i="97"/>
  <c r="AD16" i="97"/>
  <c r="AC16" i="97"/>
  <c r="W16" i="97"/>
  <c r="V16" i="97"/>
  <c r="U16" i="97"/>
  <c r="M16" i="97"/>
  <c r="F16" i="97"/>
  <c r="AF15" i="97"/>
  <c r="AE15" i="97"/>
  <c r="AD15" i="97"/>
  <c r="AC15" i="97"/>
  <c r="W15" i="97"/>
  <c r="V15" i="97"/>
  <c r="U15" i="97"/>
  <c r="M15" i="97"/>
  <c r="F15" i="97"/>
  <c r="N15" i="97" s="1"/>
  <c r="AF14" i="97"/>
  <c r="AE14" i="97"/>
  <c r="AD14" i="97"/>
  <c r="AC14" i="97"/>
  <c r="W14" i="97"/>
  <c r="V14" i="97"/>
  <c r="U14" i="97"/>
  <c r="X14" i="97" s="1"/>
  <c r="M14" i="97"/>
  <c r="F14" i="97"/>
  <c r="N14" i="97" s="1"/>
  <c r="AF13" i="97"/>
  <c r="AE13" i="97"/>
  <c r="AD13" i="97"/>
  <c r="AC13" i="97"/>
  <c r="W13" i="97"/>
  <c r="V13" i="97"/>
  <c r="U13" i="97"/>
  <c r="X13" i="97" s="1"/>
  <c r="M13" i="97"/>
  <c r="F13" i="97"/>
  <c r="N13" i="97" s="1"/>
  <c r="E5" i="97"/>
  <c r="A2" i="97"/>
  <c r="D103" i="96"/>
  <c r="T102" i="96"/>
  <c r="S102" i="96"/>
  <c r="R102" i="96"/>
  <c r="Q102" i="96"/>
  <c r="P102" i="96"/>
  <c r="O102" i="96"/>
  <c r="E102" i="96"/>
  <c r="D102" i="96"/>
  <c r="AF100" i="96"/>
  <c r="AE100" i="96"/>
  <c r="AD100" i="96"/>
  <c r="AC100" i="96"/>
  <c r="W100" i="96"/>
  <c r="V100" i="96"/>
  <c r="U100" i="96"/>
  <c r="M100" i="96"/>
  <c r="F100" i="96"/>
  <c r="AF99" i="96"/>
  <c r="AE99" i="96"/>
  <c r="AD99" i="96"/>
  <c r="AC99" i="96"/>
  <c r="W99" i="96"/>
  <c r="V99" i="96"/>
  <c r="U99" i="96"/>
  <c r="X99" i="96" s="1"/>
  <c r="M99" i="96"/>
  <c r="F99" i="96"/>
  <c r="N99" i="96" s="1"/>
  <c r="AF98" i="96"/>
  <c r="AE98" i="96"/>
  <c r="AD98" i="96"/>
  <c r="AC98" i="96"/>
  <c r="W98" i="96"/>
  <c r="V98" i="96"/>
  <c r="U98" i="96"/>
  <c r="M98" i="96"/>
  <c r="F98" i="96"/>
  <c r="N98" i="96" s="1"/>
  <c r="AF97" i="96"/>
  <c r="AE97" i="96"/>
  <c r="AD97" i="96"/>
  <c r="AC97" i="96"/>
  <c r="W97" i="96"/>
  <c r="V97" i="96"/>
  <c r="U97" i="96"/>
  <c r="M97" i="96"/>
  <c r="F97" i="96"/>
  <c r="AF96" i="96"/>
  <c r="AE96" i="96"/>
  <c r="AD96" i="96"/>
  <c r="AC96" i="96"/>
  <c r="W96" i="96"/>
  <c r="V96" i="96"/>
  <c r="U96" i="96"/>
  <c r="X96" i="96" s="1"/>
  <c r="M96" i="96"/>
  <c r="F96" i="96"/>
  <c r="AF95" i="96"/>
  <c r="AE95" i="96"/>
  <c r="AD95" i="96"/>
  <c r="AC95" i="96"/>
  <c r="W95" i="96"/>
  <c r="V95" i="96"/>
  <c r="U95" i="96"/>
  <c r="X95" i="96" s="1"/>
  <c r="M95" i="96"/>
  <c r="F95" i="96"/>
  <c r="N95" i="96" s="1"/>
  <c r="AF94" i="96"/>
  <c r="AE94" i="96"/>
  <c r="AD94" i="96"/>
  <c r="AC94" i="96"/>
  <c r="W94" i="96"/>
  <c r="V94" i="96"/>
  <c r="U94" i="96"/>
  <c r="M94" i="96"/>
  <c r="F94" i="96"/>
  <c r="N94" i="96" s="1"/>
  <c r="AF93" i="96"/>
  <c r="AE93" i="96"/>
  <c r="AD93" i="96"/>
  <c r="AC93" i="96"/>
  <c r="W93" i="96"/>
  <c r="V93" i="96"/>
  <c r="U93" i="96"/>
  <c r="X93" i="96" s="1"/>
  <c r="M93" i="96"/>
  <c r="F93" i="96"/>
  <c r="N93" i="96" s="1"/>
  <c r="AF92" i="96"/>
  <c r="AE92" i="96"/>
  <c r="AD92" i="96"/>
  <c r="AC92" i="96"/>
  <c r="W92" i="96"/>
  <c r="V92" i="96"/>
  <c r="U92" i="96"/>
  <c r="M92" i="96"/>
  <c r="F92" i="96"/>
  <c r="AF91" i="96"/>
  <c r="AE91" i="96"/>
  <c r="AD91" i="96"/>
  <c r="AC91" i="96"/>
  <c r="W91" i="96"/>
  <c r="V91" i="96"/>
  <c r="U91" i="96"/>
  <c r="X91" i="96" s="1"/>
  <c r="M91" i="96"/>
  <c r="F91" i="96"/>
  <c r="N91" i="96" s="1"/>
  <c r="AF90" i="96"/>
  <c r="AE90" i="96"/>
  <c r="AD90" i="96"/>
  <c r="AC90" i="96"/>
  <c r="W90" i="96"/>
  <c r="V90" i="96"/>
  <c r="U90" i="96"/>
  <c r="M90" i="96"/>
  <c r="F90" i="96"/>
  <c r="N90" i="96" s="1"/>
  <c r="AF89" i="96"/>
  <c r="AE89" i="96"/>
  <c r="AD89" i="96"/>
  <c r="AC89" i="96"/>
  <c r="W89" i="96"/>
  <c r="V89" i="96"/>
  <c r="U89" i="96"/>
  <c r="X89" i="96" s="1"/>
  <c r="M89" i="96"/>
  <c r="F89" i="96"/>
  <c r="AF88" i="96"/>
  <c r="AE88" i="96"/>
  <c r="AD88" i="96"/>
  <c r="AC88" i="96"/>
  <c r="W88" i="96"/>
  <c r="V88" i="96"/>
  <c r="U88" i="96"/>
  <c r="X88" i="96" s="1"/>
  <c r="M88" i="96"/>
  <c r="F88" i="96"/>
  <c r="AF87" i="96"/>
  <c r="AE87" i="96"/>
  <c r="AD87" i="96"/>
  <c r="AC87" i="96"/>
  <c r="W87" i="96"/>
  <c r="V87" i="96"/>
  <c r="U87" i="96"/>
  <c r="X87" i="96" s="1"/>
  <c r="M87" i="96"/>
  <c r="F87" i="96"/>
  <c r="N87" i="96" s="1"/>
  <c r="AF86" i="96"/>
  <c r="AE86" i="96"/>
  <c r="AD86" i="96"/>
  <c r="AC86" i="96"/>
  <c r="W86" i="96"/>
  <c r="V86" i="96"/>
  <c r="U86" i="96"/>
  <c r="M86" i="96"/>
  <c r="F86" i="96"/>
  <c r="N86" i="96" s="1"/>
  <c r="AF85" i="96"/>
  <c r="AE85" i="96"/>
  <c r="AD85" i="96"/>
  <c r="AC85" i="96"/>
  <c r="W85" i="96"/>
  <c r="V85" i="96"/>
  <c r="U85" i="96"/>
  <c r="X85" i="96" s="1"/>
  <c r="M85" i="96"/>
  <c r="F85" i="96"/>
  <c r="N85" i="96" s="1"/>
  <c r="AF84" i="96"/>
  <c r="AE84" i="96"/>
  <c r="AD84" i="96"/>
  <c r="AC84" i="96"/>
  <c r="W84" i="96"/>
  <c r="V84" i="96"/>
  <c r="U84" i="96"/>
  <c r="M84" i="96"/>
  <c r="F84" i="96"/>
  <c r="AF83" i="96"/>
  <c r="AE83" i="96"/>
  <c r="AD83" i="96"/>
  <c r="AC83" i="96"/>
  <c r="W83" i="96"/>
  <c r="V83" i="96"/>
  <c r="U83" i="96"/>
  <c r="X83" i="96" s="1"/>
  <c r="M83" i="96"/>
  <c r="F83" i="96"/>
  <c r="N83" i="96" s="1"/>
  <c r="AF82" i="96"/>
  <c r="AE82" i="96"/>
  <c r="AD82" i="96"/>
  <c r="AC82" i="96"/>
  <c r="W82" i="96"/>
  <c r="V82" i="96"/>
  <c r="U82" i="96"/>
  <c r="M82" i="96"/>
  <c r="F82" i="96"/>
  <c r="N82" i="96" s="1"/>
  <c r="AF81" i="96"/>
  <c r="AE81" i="96"/>
  <c r="AD81" i="96"/>
  <c r="AC81" i="96"/>
  <c r="W81" i="96"/>
  <c r="V81" i="96"/>
  <c r="U81" i="96"/>
  <c r="M81" i="96"/>
  <c r="F81" i="96"/>
  <c r="AF80" i="96"/>
  <c r="AE80" i="96"/>
  <c r="AD80" i="96"/>
  <c r="AC80" i="96"/>
  <c r="W80" i="96"/>
  <c r="V80" i="96"/>
  <c r="U80" i="96"/>
  <c r="M80" i="96"/>
  <c r="F80" i="96"/>
  <c r="AF79" i="96"/>
  <c r="AE79" i="96"/>
  <c r="AD79" i="96"/>
  <c r="AC79" i="96"/>
  <c r="W79" i="96"/>
  <c r="V79" i="96"/>
  <c r="U79" i="96"/>
  <c r="X79" i="96" s="1"/>
  <c r="M79" i="96"/>
  <c r="F79" i="96"/>
  <c r="N79" i="96" s="1"/>
  <c r="AF78" i="96"/>
  <c r="AE78" i="96"/>
  <c r="AD78" i="96"/>
  <c r="AC78" i="96"/>
  <c r="W78" i="96"/>
  <c r="V78" i="96"/>
  <c r="U78" i="96"/>
  <c r="M78" i="96"/>
  <c r="F78" i="96"/>
  <c r="N78" i="96" s="1"/>
  <c r="AF77" i="96"/>
  <c r="AE77" i="96"/>
  <c r="AD77" i="96"/>
  <c r="AC77" i="96"/>
  <c r="W77" i="96"/>
  <c r="V77" i="96"/>
  <c r="U77" i="96"/>
  <c r="M77" i="96"/>
  <c r="F77" i="96"/>
  <c r="N77" i="96" s="1"/>
  <c r="AF76" i="96"/>
  <c r="AE76" i="96"/>
  <c r="AD76" i="96"/>
  <c r="AC76" i="96"/>
  <c r="W76" i="96"/>
  <c r="V76" i="96"/>
  <c r="U76" i="96"/>
  <c r="M76" i="96"/>
  <c r="F76" i="96"/>
  <c r="N76" i="96" s="1"/>
  <c r="AF75" i="96"/>
  <c r="AE75" i="96"/>
  <c r="AD75" i="96"/>
  <c r="AC75" i="96"/>
  <c r="W75" i="96"/>
  <c r="V75" i="96"/>
  <c r="U75" i="96"/>
  <c r="M75" i="96"/>
  <c r="F75" i="96"/>
  <c r="N75" i="96" s="1"/>
  <c r="AF74" i="96"/>
  <c r="AE74" i="96"/>
  <c r="AD74" i="96"/>
  <c r="AC74" i="96"/>
  <c r="W74" i="96"/>
  <c r="V74" i="96"/>
  <c r="U74" i="96"/>
  <c r="M74" i="96"/>
  <c r="F74" i="96"/>
  <c r="AF73" i="96"/>
  <c r="AE73" i="96"/>
  <c r="AD73" i="96"/>
  <c r="AC73" i="96"/>
  <c r="W73" i="96"/>
  <c r="V73" i="96"/>
  <c r="U73" i="96"/>
  <c r="M73" i="96"/>
  <c r="F73" i="96"/>
  <c r="AF72" i="96"/>
  <c r="AE72" i="96"/>
  <c r="AD72" i="96"/>
  <c r="AC72" i="96"/>
  <c r="W72" i="96"/>
  <c r="V72" i="96"/>
  <c r="U72" i="96"/>
  <c r="M72" i="96"/>
  <c r="F72" i="96"/>
  <c r="N72" i="96" s="1"/>
  <c r="AF71" i="96"/>
  <c r="AE71" i="96"/>
  <c r="AD71" i="96"/>
  <c r="AC71" i="96"/>
  <c r="W71" i="96"/>
  <c r="V71" i="96"/>
  <c r="U71" i="96"/>
  <c r="M71" i="96"/>
  <c r="F71" i="96"/>
  <c r="N71" i="96" s="1"/>
  <c r="AF70" i="96"/>
  <c r="AE70" i="96"/>
  <c r="AD70" i="96"/>
  <c r="AC70" i="96"/>
  <c r="W70" i="96"/>
  <c r="V70" i="96"/>
  <c r="U70" i="96"/>
  <c r="X70" i="96" s="1"/>
  <c r="M70" i="96"/>
  <c r="F70" i="96"/>
  <c r="N70" i="96" s="1"/>
  <c r="AF69" i="96"/>
  <c r="AE69" i="96"/>
  <c r="AD69" i="96"/>
  <c r="AC69" i="96"/>
  <c r="W69" i="96"/>
  <c r="V69" i="96"/>
  <c r="U69" i="96"/>
  <c r="M69" i="96"/>
  <c r="F69" i="96"/>
  <c r="AF68" i="96"/>
  <c r="AE68" i="96"/>
  <c r="AD68" i="96"/>
  <c r="AC68" i="96"/>
  <c r="W68" i="96"/>
  <c r="V68" i="96"/>
  <c r="U68" i="96"/>
  <c r="X68" i="96" s="1"/>
  <c r="M68" i="96"/>
  <c r="F68" i="96"/>
  <c r="N68" i="96" s="1"/>
  <c r="AF67" i="96"/>
  <c r="AE67" i="96"/>
  <c r="AD67" i="96"/>
  <c r="AC67" i="96"/>
  <c r="W67" i="96"/>
  <c r="V67" i="96"/>
  <c r="U67" i="96"/>
  <c r="M67" i="96"/>
  <c r="F67" i="96"/>
  <c r="N67" i="96" s="1"/>
  <c r="AF66" i="96"/>
  <c r="AE66" i="96"/>
  <c r="AD66" i="96"/>
  <c r="AC66" i="96"/>
  <c r="W66" i="96"/>
  <c r="V66" i="96"/>
  <c r="U66" i="96"/>
  <c r="M66" i="96"/>
  <c r="F66" i="96"/>
  <c r="E49" i="96"/>
  <c r="D49" i="96"/>
  <c r="T48" i="96"/>
  <c r="S48" i="96"/>
  <c r="R48" i="96"/>
  <c r="Q48" i="96"/>
  <c r="P48" i="96"/>
  <c r="O48" i="96"/>
  <c r="E48" i="96"/>
  <c r="D48" i="96"/>
  <c r="AF46" i="96"/>
  <c r="AE46" i="96"/>
  <c r="AD46" i="96"/>
  <c r="AC46" i="96"/>
  <c r="W46" i="96"/>
  <c r="V46" i="96"/>
  <c r="U46" i="96"/>
  <c r="X46" i="96" s="1"/>
  <c r="M46" i="96"/>
  <c r="F46" i="96"/>
  <c r="N46" i="96" s="1"/>
  <c r="AF45" i="96"/>
  <c r="AE45" i="96"/>
  <c r="AD45" i="96"/>
  <c r="AC45" i="96"/>
  <c r="W45" i="96"/>
  <c r="V45" i="96"/>
  <c r="U45" i="96"/>
  <c r="X45" i="96" s="1"/>
  <c r="M45" i="96"/>
  <c r="F45" i="96"/>
  <c r="AF44" i="96"/>
  <c r="AE44" i="96"/>
  <c r="AD44" i="96"/>
  <c r="AC44" i="96"/>
  <c r="W44" i="96"/>
  <c r="V44" i="96"/>
  <c r="U44" i="96"/>
  <c r="M44" i="96"/>
  <c r="F44" i="96"/>
  <c r="AF43" i="96"/>
  <c r="AE43" i="96"/>
  <c r="AD43" i="96"/>
  <c r="AC43" i="96"/>
  <c r="W43" i="96"/>
  <c r="V43" i="96"/>
  <c r="U43" i="96"/>
  <c r="M43" i="96"/>
  <c r="F43" i="96"/>
  <c r="AF42" i="96"/>
  <c r="AE42" i="96"/>
  <c r="AD42" i="96"/>
  <c r="AC42" i="96"/>
  <c r="W42" i="96"/>
  <c r="V42" i="96"/>
  <c r="U42" i="96"/>
  <c r="X42" i="96" s="1"/>
  <c r="M42" i="96"/>
  <c r="F42" i="96"/>
  <c r="N42" i="96" s="1"/>
  <c r="AF41" i="96"/>
  <c r="AE41" i="96"/>
  <c r="AD41" i="96"/>
  <c r="AC41" i="96"/>
  <c r="W41" i="96"/>
  <c r="V41" i="96"/>
  <c r="U41" i="96"/>
  <c r="M41" i="96"/>
  <c r="F41" i="96"/>
  <c r="AF40" i="96"/>
  <c r="AE40" i="96"/>
  <c r="AD40" i="96"/>
  <c r="AC40" i="96"/>
  <c r="W40" i="96"/>
  <c r="V40" i="96"/>
  <c r="U40" i="96"/>
  <c r="M40" i="96"/>
  <c r="F40" i="96"/>
  <c r="AF39" i="96"/>
  <c r="AE39" i="96"/>
  <c r="AD39" i="96"/>
  <c r="AC39" i="96"/>
  <c r="W39" i="96"/>
  <c r="V39" i="96"/>
  <c r="U39" i="96"/>
  <c r="M39" i="96"/>
  <c r="F39" i="96"/>
  <c r="AF38" i="96"/>
  <c r="AE38" i="96"/>
  <c r="AD38" i="96"/>
  <c r="AC38" i="96"/>
  <c r="W38" i="96"/>
  <c r="V38" i="96"/>
  <c r="U38" i="96"/>
  <c r="X38" i="96" s="1"/>
  <c r="M38" i="96"/>
  <c r="F38" i="96"/>
  <c r="N38" i="96" s="1"/>
  <c r="AF37" i="96"/>
  <c r="AE37" i="96"/>
  <c r="AD37" i="96"/>
  <c r="AC37" i="96"/>
  <c r="W37" i="96"/>
  <c r="V37" i="96"/>
  <c r="U37" i="96"/>
  <c r="M37" i="96"/>
  <c r="F37" i="96"/>
  <c r="AF36" i="96"/>
  <c r="AE36" i="96"/>
  <c r="AD36" i="96"/>
  <c r="AC36" i="96"/>
  <c r="W36" i="96"/>
  <c r="V36" i="96"/>
  <c r="U36" i="96"/>
  <c r="M36" i="96"/>
  <c r="F36" i="96"/>
  <c r="AF35" i="96"/>
  <c r="AE35" i="96"/>
  <c r="AD35" i="96"/>
  <c r="AC35" i="96"/>
  <c r="W35" i="96"/>
  <c r="V35" i="96"/>
  <c r="U35" i="96"/>
  <c r="M35" i="96"/>
  <c r="F35" i="96"/>
  <c r="AF34" i="96"/>
  <c r="AE34" i="96"/>
  <c r="AD34" i="96"/>
  <c r="AC34" i="96"/>
  <c r="W34" i="96"/>
  <c r="V34" i="96"/>
  <c r="U34" i="96"/>
  <c r="X34" i="96" s="1"/>
  <c r="M34" i="96"/>
  <c r="F34" i="96"/>
  <c r="N34" i="96" s="1"/>
  <c r="AF33" i="96"/>
  <c r="AE33" i="96"/>
  <c r="AD33" i="96"/>
  <c r="AC33" i="96"/>
  <c r="W33" i="96"/>
  <c r="V33" i="96"/>
  <c r="U33" i="96"/>
  <c r="M33" i="96"/>
  <c r="F33" i="96"/>
  <c r="AF32" i="96"/>
  <c r="AE32" i="96"/>
  <c r="AD32" i="96"/>
  <c r="AC32" i="96"/>
  <c r="W32" i="96"/>
  <c r="V32" i="96"/>
  <c r="U32" i="96"/>
  <c r="M32" i="96"/>
  <c r="F32" i="96"/>
  <c r="AF31" i="96"/>
  <c r="AE31" i="96"/>
  <c r="AD31" i="96"/>
  <c r="AC31" i="96"/>
  <c r="W31" i="96"/>
  <c r="V31" i="96"/>
  <c r="U31" i="96"/>
  <c r="M31" i="96"/>
  <c r="F31" i="96"/>
  <c r="AF30" i="96"/>
  <c r="AE30" i="96"/>
  <c r="AD30" i="96"/>
  <c r="AC30" i="96"/>
  <c r="W30" i="96"/>
  <c r="V30" i="96"/>
  <c r="U30" i="96"/>
  <c r="X30" i="96" s="1"/>
  <c r="M30" i="96"/>
  <c r="F30" i="96"/>
  <c r="N30" i="96" s="1"/>
  <c r="AF29" i="96"/>
  <c r="AE29" i="96"/>
  <c r="AD29" i="96"/>
  <c r="AC29" i="96"/>
  <c r="W29" i="96"/>
  <c r="V29" i="96"/>
  <c r="U29" i="96"/>
  <c r="X29" i="96" s="1"/>
  <c r="M29" i="96"/>
  <c r="F29" i="96"/>
  <c r="AF28" i="96"/>
  <c r="AE28" i="96"/>
  <c r="AD28" i="96"/>
  <c r="AC28" i="96"/>
  <c r="W28" i="96"/>
  <c r="V28" i="96"/>
  <c r="U28" i="96"/>
  <c r="X28" i="96" s="1"/>
  <c r="M28" i="96"/>
  <c r="F28" i="96"/>
  <c r="N28" i="96" s="1"/>
  <c r="AF27" i="96"/>
  <c r="AE27" i="96"/>
  <c r="AD27" i="96"/>
  <c r="AC27" i="96"/>
  <c r="W27" i="96"/>
  <c r="V27" i="96"/>
  <c r="U27" i="96"/>
  <c r="X27" i="96" s="1"/>
  <c r="M27" i="96"/>
  <c r="F27" i="96"/>
  <c r="AF26" i="96"/>
  <c r="AE26" i="96"/>
  <c r="AD26" i="96"/>
  <c r="AC26" i="96"/>
  <c r="W26" i="96"/>
  <c r="V26" i="96"/>
  <c r="U26" i="96"/>
  <c r="M26" i="96"/>
  <c r="F26" i="96"/>
  <c r="AF25" i="96"/>
  <c r="AE25" i="96"/>
  <c r="AD25" i="96"/>
  <c r="AC25" i="96"/>
  <c r="W25" i="96"/>
  <c r="V25" i="96"/>
  <c r="U25" i="96"/>
  <c r="M25" i="96"/>
  <c r="F25" i="96"/>
  <c r="AF24" i="96"/>
  <c r="AE24" i="96"/>
  <c r="AD24" i="96"/>
  <c r="AC24" i="96"/>
  <c r="W24" i="96"/>
  <c r="V24" i="96"/>
  <c r="U24" i="96"/>
  <c r="X24" i="96" s="1"/>
  <c r="M24" i="96"/>
  <c r="F24" i="96"/>
  <c r="N24" i="96" s="1"/>
  <c r="AF23" i="96"/>
  <c r="AE23" i="96"/>
  <c r="AD23" i="96"/>
  <c r="AC23" i="96"/>
  <c r="W23" i="96"/>
  <c r="V23" i="96"/>
  <c r="U23" i="96"/>
  <c r="X23" i="96" s="1"/>
  <c r="M23" i="96"/>
  <c r="F23" i="96"/>
  <c r="AF22" i="96"/>
  <c r="AE22" i="96"/>
  <c r="AD22" i="96"/>
  <c r="AC22" i="96"/>
  <c r="W22" i="96"/>
  <c r="V22" i="96"/>
  <c r="U22" i="96"/>
  <c r="M22" i="96"/>
  <c r="F22" i="96"/>
  <c r="AF21" i="96"/>
  <c r="AE21" i="96"/>
  <c r="AD21" i="96"/>
  <c r="AC21" i="96"/>
  <c r="W21" i="96"/>
  <c r="V21" i="96"/>
  <c r="U21" i="96"/>
  <c r="M21" i="96"/>
  <c r="F21" i="96"/>
  <c r="AF20" i="96"/>
  <c r="AE20" i="96"/>
  <c r="AD20" i="96"/>
  <c r="AC20" i="96"/>
  <c r="W20" i="96"/>
  <c r="V20" i="96"/>
  <c r="U20" i="96"/>
  <c r="M20" i="96"/>
  <c r="F20" i="96"/>
  <c r="N20" i="96" s="1"/>
  <c r="AF19" i="96"/>
  <c r="AE19" i="96"/>
  <c r="AD19" i="96"/>
  <c r="AC19" i="96"/>
  <c r="W19" i="96"/>
  <c r="V19" i="96"/>
  <c r="U19" i="96"/>
  <c r="M19" i="96"/>
  <c r="F19" i="96"/>
  <c r="AF18" i="96"/>
  <c r="AE18" i="96"/>
  <c r="AD18" i="96"/>
  <c r="AC18" i="96"/>
  <c r="W18" i="96"/>
  <c r="V18" i="96"/>
  <c r="U18" i="96"/>
  <c r="M18" i="96"/>
  <c r="F18" i="96"/>
  <c r="AF17" i="96"/>
  <c r="AE17" i="96"/>
  <c r="AD17" i="96"/>
  <c r="AC17" i="96"/>
  <c r="W17" i="96"/>
  <c r="V17" i="96"/>
  <c r="U17" i="96"/>
  <c r="M17" i="96"/>
  <c r="F17" i="96"/>
  <c r="AF16" i="96"/>
  <c r="AE16" i="96"/>
  <c r="AD16" i="96"/>
  <c r="AC16" i="96"/>
  <c r="W16" i="96"/>
  <c r="V16" i="96"/>
  <c r="U16" i="96"/>
  <c r="X16" i="96" s="1"/>
  <c r="M16" i="96"/>
  <c r="F16" i="96"/>
  <c r="N16" i="96" s="1"/>
  <c r="AF15" i="96"/>
  <c r="AE15" i="96"/>
  <c r="AD15" i="96"/>
  <c r="AC15" i="96"/>
  <c r="W15" i="96"/>
  <c r="V15" i="96"/>
  <c r="U15" i="96"/>
  <c r="X15" i="96" s="1"/>
  <c r="M15" i="96"/>
  <c r="F15" i="96"/>
  <c r="AF14" i="96"/>
  <c r="AE14" i="96"/>
  <c r="AD14" i="96"/>
  <c r="AC14" i="96"/>
  <c r="W14" i="96"/>
  <c r="V14" i="96"/>
  <c r="U14" i="96"/>
  <c r="M14" i="96"/>
  <c r="F14" i="96"/>
  <c r="AF13" i="96"/>
  <c r="AE13" i="96"/>
  <c r="AD13" i="96"/>
  <c r="AC13" i="96"/>
  <c r="W13" i="96"/>
  <c r="V13" i="96"/>
  <c r="U13" i="96"/>
  <c r="M13" i="96"/>
  <c r="F13" i="96"/>
  <c r="E5" i="96"/>
  <c r="A2" i="96"/>
  <c r="D103" i="95"/>
  <c r="T102" i="95"/>
  <c r="S102" i="95"/>
  <c r="R102" i="95"/>
  <c r="Q102" i="95"/>
  <c r="P102" i="95"/>
  <c r="O102" i="95"/>
  <c r="E102" i="95"/>
  <c r="D102" i="95"/>
  <c r="AF100" i="95"/>
  <c r="AE100" i="95"/>
  <c r="AD100" i="95"/>
  <c r="AC100" i="95"/>
  <c r="W100" i="95"/>
  <c r="V100" i="95"/>
  <c r="U100" i="95"/>
  <c r="X100" i="95" s="1"/>
  <c r="M100" i="95"/>
  <c r="F100" i="95"/>
  <c r="AF99" i="95"/>
  <c r="AE99" i="95"/>
  <c r="AD99" i="95"/>
  <c r="AC99" i="95"/>
  <c r="W99" i="95"/>
  <c r="V99" i="95"/>
  <c r="U99" i="95"/>
  <c r="M99" i="95"/>
  <c r="F99" i="95"/>
  <c r="AF98" i="95"/>
  <c r="AE98" i="95"/>
  <c r="AD98" i="95"/>
  <c r="AC98" i="95"/>
  <c r="W98" i="95"/>
  <c r="V98" i="95"/>
  <c r="U98" i="95"/>
  <c r="X98" i="95" s="1"/>
  <c r="M98" i="95"/>
  <c r="F98" i="95"/>
  <c r="N98" i="95" s="1"/>
  <c r="AF97" i="95"/>
  <c r="AE97" i="95"/>
  <c r="AD97" i="95"/>
  <c r="AC97" i="95"/>
  <c r="W97" i="95"/>
  <c r="V97" i="95"/>
  <c r="U97" i="95"/>
  <c r="M97" i="95"/>
  <c r="F97" i="95"/>
  <c r="AF96" i="95"/>
  <c r="AE96" i="95"/>
  <c r="AD96" i="95"/>
  <c r="AC96" i="95"/>
  <c r="W96" i="95"/>
  <c r="V96" i="95"/>
  <c r="U96" i="95"/>
  <c r="M96" i="95"/>
  <c r="F96" i="95"/>
  <c r="AF95" i="95"/>
  <c r="AE95" i="95"/>
  <c r="AD95" i="95"/>
  <c r="AC95" i="95"/>
  <c r="W95" i="95"/>
  <c r="V95" i="95"/>
  <c r="U95" i="95"/>
  <c r="M95" i="95"/>
  <c r="F95" i="95"/>
  <c r="AF94" i="95"/>
  <c r="AE94" i="95"/>
  <c r="AD94" i="95"/>
  <c r="AC94" i="95"/>
  <c r="W94" i="95"/>
  <c r="V94" i="95"/>
  <c r="U94" i="95"/>
  <c r="X94" i="95" s="1"/>
  <c r="M94" i="95"/>
  <c r="F94" i="95"/>
  <c r="N94" i="95" s="1"/>
  <c r="AF93" i="95"/>
  <c r="AE93" i="95"/>
  <c r="AD93" i="95"/>
  <c r="AC93" i="95"/>
  <c r="W93" i="95"/>
  <c r="V93" i="95"/>
  <c r="U93" i="95"/>
  <c r="M93" i="95"/>
  <c r="F93" i="95"/>
  <c r="AF92" i="95"/>
  <c r="AE92" i="95"/>
  <c r="AD92" i="95"/>
  <c r="AC92" i="95"/>
  <c r="W92" i="95"/>
  <c r="V92" i="95"/>
  <c r="U92" i="95"/>
  <c r="X92" i="95" s="1"/>
  <c r="M92" i="95"/>
  <c r="F92" i="95"/>
  <c r="N92" i="95" s="1"/>
  <c r="AF91" i="95"/>
  <c r="AE91" i="95"/>
  <c r="AD91" i="95"/>
  <c r="AC91" i="95"/>
  <c r="W91" i="95"/>
  <c r="V91" i="95"/>
  <c r="U91" i="95"/>
  <c r="M91" i="95"/>
  <c r="F91" i="95"/>
  <c r="N91" i="95" s="1"/>
  <c r="AF90" i="95"/>
  <c r="AE90" i="95"/>
  <c r="AD90" i="95"/>
  <c r="AC90" i="95"/>
  <c r="W90" i="95"/>
  <c r="V90" i="95"/>
  <c r="U90" i="95"/>
  <c r="M90" i="95"/>
  <c r="F90" i="95"/>
  <c r="N90" i="95" s="1"/>
  <c r="AF89" i="95"/>
  <c r="AE89" i="95"/>
  <c r="AD89" i="95"/>
  <c r="AC89" i="95"/>
  <c r="W89" i="95"/>
  <c r="V89" i="95"/>
  <c r="U89" i="95"/>
  <c r="M89" i="95"/>
  <c r="F89" i="95"/>
  <c r="N89" i="95" s="1"/>
  <c r="AF88" i="95"/>
  <c r="AE88" i="95"/>
  <c r="AD88" i="95"/>
  <c r="AC88" i="95"/>
  <c r="W88" i="95"/>
  <c r="V88" i="95"/>
  <c r="U88" i="95"/>
  <c r="X88" i="95" s="1"/>
  <c r="M88" i="95"/>
  <c r="F88" i="95"/>
  <c r="N88" i="95" s="1"/>
  <c r="AF87" i="95"/>
  <c r="AE87" i="95"/>
  <c r="AD87" i="95"/>
  <c r="AC87" i="95"/>
  <c r="W87" i="95"/>
  <c r="V87" i="95"/>
  <c r="U87" i="95"/>
  <c r="M87" i="95"/>
  <c r="F87" i="95"/>
  <c r="N87" i="95" s="1"/>
  <c r="AF86" i="95"/>
  <c r="AE86" i="95"/>
  <c r="AD86" i="95"/>
  <c r="AC86" i="95"/>
  <c r="W86" i="95"/>
  <c r="V86" i="95"/>
  <c r="U86" i="95"/>
  <c r="X86" i="95" s="1"/>
  <c r="M86" i="95"/>
  <c r="F86" i="95"/>
  <c r="N86" i="95" s="1"/>
  <c r="AF85" i="95"/>
  <c r="AE85" i="95"/>
  <c r="AD85" i="95"/>
  <c r="AC85" i="95"/>
  <c r="W85" i="95"/>
  <c r="V85" i="95"/>
  <c r="U85" i="95"/>
  <c r="M85" i="95"/>
  <c r="F85" i="95"/>
  <c r="N85" i="95" s="1"/>
  <c r="AF84" i="95"/>
  <c r="AE84" i="95"/>
  <c r="AD84" i="95"/>
  <c r="AC84" i="95"/>
  <c r="W84" i="95"/>
  <c r="V84" i="95"/>
  <c r="U84" i="95"/>
  <c r="M84" i="95"/>
  <c r="F84" i="95"/>
  <c r="AF83" i="95"/>
  <c r="AE83" i="95"/>
  <c r="AD83" i="95"/>
  <c r="AC83" i="95"/>
  <c r="W83" i="95"/>
  <c r="V83" i="95"/>
  <c r="U83" i="95"/>
  <c r="M83" i="95"/>
  <c r="F83" i="95"/>
  <c r="AF82" i="95"/>
  <c r="AE82" i="95"/>
  <c r="AD82" i="95"/>
  <c r="AC82" i="95"/>
  <c r="W82" i="95"/>
  <c r="V82" i="95"/>
  <c r="U82" i="95"/>
  <c r="M82" i="95"/>
  <c r="F82" i="95"/>
  <c r="N82" i="95" s="1"/>
  <c r="AF81" i="95"/>
  <c r="AE81" i="95"/>
  <c r="AD81" i="95"/>
  <c r="AC81" i="95"/>
  <c r="W81" i="95"/>
  <c r="V81" i="95"/>
  <c r="U81" i="95"/>
  <c r="M81" i="95"/>
  <c r="F81" i="95"/>
  <c r="AF80" i="95"/>
  <c r="AE80" i="95"/>
  <c r="AD80" i="95"/>
  <c r="AC80" i="95"/>
  <c r="W80" i="95"/>
  <c r="V80" i="95"/>
  <c r="U80" i="95"/>
  <c r="X80" i="95" s="1"/>
  <c r="M80" i="95"/>
  <c r="F80" i="95"/>
  <c r="AF79" i="95"/>
  <c r="AE79" i="95"/>
  <c r="AD79" i="95"/>
  <c r="AC79" i="95"/>
  <c r="W79" i="95"/>
  <c r="V79" i="95"/>
  <c r="U79" i="95"/>
  <c r="X79" i="95" s="1"/>
  <c r="M79" i="95"/>
  <c r="F79" i="95"/>
  <c r="AF78" i="95"/>
  <c r="AE78" i="95"/>
  <c r="AD78" i="95"/>
  <c r="AC78" i="95"/>
  <c r="W78" i="95"/>
  <c r="V78" i="95"/>
  <c r="U78" i="95"/>
  <c r="X78" i="95" s="1"/>
  <c r="M78" i="95"/>
  <c r="F78" i="95"/>
  <c r="N78" i="95" s="1"/>
  <c r="AF77" i="95"/>
  <c r="AE77" i="95"/>
  <c r="AD77" i="95"/>
  <c r="AC77" i="95"/>
  <c r="W77" i="95"/>
  <c r="V77" i="95"/>
  <c r="U77" i="95"/>
  <c r="M77" i="95"/>
  <c r="F77" i="95"/>
  <c r="AF76" i="95"/>
  <c r="AE76" i="95"/>
  <c r="AD76" i="95"/>
  <c r="AC76" i="95"/>
  <c r="W76" i="95"/>
  <c r="V76" i="95"/>
  <c r="U76" i="95"/>
  <c r="M76" i="95"/>
  <c r="F76" i="95"/>
  <c r="N76" i="95" s="1"/>
  <c r="AF75" i="95"/>
  <c r="AE75" i="95"/>
  <c r="AD75" i="95"/>
  <c r="AC75" i="95"/>
  <c r="W75" i="95"/>
  <c r="V75" i="95"/>
  <c r="U75" i="95"/>
  <c r="M75" i="95"/>
  <c r="F75" i="95"/>
  <c r="N75" i="95" s="1"/>
  <c r="AF74" i="95"/>
  <c r="AE74" i="95"/>
  <c r="AD74" i="95"/>
  <c r="AC74" i="95"/>
  <c r="W74" i="95"/>
  <c r="V74" i="95"/>
  <c r="U74" i="95"/>
  <c r="M74" i="95"/>
  <c r="F74" i="95"/>
  <c r="N74" i="95" s="1"/>
  <c r="AF73" i="95"/>
  <c r="AE73" i="95"/>
  <c r="AD73" i="95"/>
  <c r="AC73" i="95"/>
  <c r="W73" i="95"/>
  <c r="V73" i="95"/>
  <c r="U73" i="95"/>
  <c r="M73" i="95"/>
  <c r="F73" i="95"/>
  <c r="N73" i="95" s="1"/>
  <c r="AF72" i="95"/>
  <c r="AE72" i="95"/>
  <c r="AD72" i="95"/>
  <c r="AC72" i="95"/>
  <c r="W72" i="95"/>
  <c r="V72" i="95"/>
  <c r="U72" i="95"/>
  <c r="X72" i="95" s="1"/>
  <c r="M72" i="95"/>
  <c r="F72" i="95"/>
  <c r="N72" i="95" s="1"/>
  <c r="AF71" i="95"/>
  <c r="AE71" i="95"/>
  <c r="AD71" i="95"/>
  <c r="AC71" i="95"/>
  <c r="W71" i="95"/>
  <c r="V71" i="95"/>
  <c r="U71" i="95"/>
  <c r="M71" i="95"/>
  <c r="F71" i="95"/>
  <c r="N71" i="95" s="1"/>
  <c r="AF70" i="95"/>
  <c r="AE70" i="95"/>
  <c r="AD70" i="95"/>
  <c r="AC70" i="95"/>
  <c r="W70" i="95"/>
  <c r="V70" i="95"/>
  <c r="U70" i="95"/>
  <c r="X70" i="95" s="1"/>
  <c r="M70" i="95"/>
  <c r="F70" i="95"/>
  <c r="N70" i="95" s="1"/>
  <c r="AF69" i="95"/>
  <c r="AE69" i="95"/>
  <c r="AD69" i="95"/>
  <c r="AC69" i="95"/>
  <c r="W69" i="95"/>
  <c r="V69" i="95"/>
  <c r="U69" i="95"/>
  <c r="X69" i="95" s="1"/>
  <c r="M69" i="95"/>
  <c r="F69" i="95"/>
  <c r="N69" i="95" s="1"/>
  <c r="AF68" i="95"/>
  <c r="AE68" i="95"/>
  <c r="AD68" i="95"/>
  <c r="AC68" i="95"/>
  <c r="W68" i="95"/>
  <c r="V68" i="95"/>
  <c r="U68" i="95"/>
  <c r="M68" i="95"/>
  <c r="F68" i="95"/>
  <c r="AF67" i="95"/>
  <c r="AE67" i="95"/>
  <c r="AD67" i="95"/>
  <c r="AC67" i="95"/>
  <c r="W67" i="95"/>
  <c r="V67" i="95"/>
  <c r="U67" i="95"/>
  <c r="M67" i="95"/>
  <c r="F67" i="95"/>
  <c r="N67" i="95" s="1"/>
  <c r="AF66" i="95"/>
  <c r="AE66" i="95"/>
  <c r="AD66" i="95"/>
  <c r="AC66" i="95"/>
  <c r="W66" i="95"/>
  <c r="V66" i="95"/>
  <c r="U66" i="95"/>
  <c r="M66" i="95"/>
  <c r="F66" i="95"/>
  <c r="E49" i="95"/>
  <c r="D49" i="95"/>
  <c r="T48" i="95"/>
  <c r="S48" i="95"/>
  <c r="R48" i="95"/>
  <c r="Q48" i="95"/>
  <c r="P48" i="95"/>
  <c r="O48" i="95"/>
  <c r="E48" i="95"/>
  <c r="D48" i="95"/>
  <c r="AF46" i="95"/>
  <c r="AE46" i="95"/>
  <c r="AD46" i="95"/>
  <c r="AC46" i="95"/>
  <c r="W46" i="95"/>
  <c r="V46" i="95"/>
  <c r="U46" i="95"/>
  <c r="M46" i="95"/>
  <c r="F46" i="95"/>
  <c r="AF45" i="95"/>
  <c r="AE45" i="95"/>
  <c r="AD45" i="95"/>
  <c r="AC45" i="95"/>
  <c r="W45" i="95"/>
  <c r="V45" i="95"/>
  <c r="U45" i="95"/>
  <c r="M45" i="95"/>
  <c r="F45" i="95"/>
  <c r="AF44" i="95"/>
  <c r="AE44" i="95"/>
  <c r="AD44" i="95"/>
  <c r="AC44" i="95"/>
  <c r="W44" i="95"/>
  <c r="V44" i="95"/>
  <c r="U44" i="95"/>
  <c r="X44" i="95" s="1"/>
  <c r="M44" i="95"/>
  <c r="F44" i="95"/>
  <c r="N44" i="95" s="1"/>
  <c r="AF43" i="95"/>
  <c r="AE43" i="95"/>
  <c r="AD43" i="95"/>
  <c r="AC43" i="95"/>
  <c r="W43" i="95"/>
  <c r="V43" i="95"/>
  <c r="U43" i="95"/>
  <c r="M43" i="95"/>
  <c r="F43" i="95"/>
  <c r="AF42" i="95"/>
  <c r="AE42" i="95"/>
  <c r="AD42" i="95"/>
  <c r="AC42" i="95"/>
  <c r="W42" i="95"/>
  <c r="V42" i="95"/>
  <c r="U42" i="95"/>
  <c r="M42" i="95"/>
  <c r="F42" i="95"/>
  <c r="AF41" i="95"/>
  <c r="AE41" i="95"/>
  <c r="AD41" i="95"/>
  <c r="AC41" i="95"/>
  <c r="W41" i="95"/>
  <c r="V41" i="95"/>
  <c r="U41" i="95"/>
  <c r="X41" i="95" s="1"/>
  <c r="M41" i="95"/>
  <c r="F41" i="95"/>
  <c r="AF40" i="95"/>
  <c r="AE40" i="95"/>
  <c r="AD40" i="95"/>
  <c r="AC40" i="95"/>
  <c r="W40" i="95"/>
  <c r="V40" i="95"/>
  <c r="U40" i="95"/>
  <c r="X40" i="95" s="1"/>
  <c r="M40" i="95"/>
  <c r="F40" i="95"/>
  <c r="N40" i="95" s="1"/>
  <c r="AF39" i="95"/>
  <c r="AE39" i="95"/>
  <c r="AD39" i="95"/>
  <c r="AC39" i="95"/>
  <c r="W39" i="95"/>
  <c r="V39" i="95"/>
  <c r="U39" i="95"/>
  <c r="M39" i="95"/>
  <c r="F39" i="95"/>
  <c r="AF38" i="95"/>
  <c r="AE38" i="95"/>
  <c r="AD38" i="95"/>
  <c r="AC38" i="95"/>
  <c r="W38" i="95"/>
  <c r="V38" i="95"/>
  <c r="U38" i="95"/>
  <c r="M38" i="95"/>
  <c r="F38" i="95"/>
  <c r="AF37" i="95"/>
  <c r="AE37" i="95"/>
  <c r="AD37" i="95"/>
  <c r="AC37" i="95"/>
  <c r="W37" i="95"/>
  <c r="V37" i="95"/>
  <c r="U37" i="95"/>
  <c r="M37" i="95"/>
  <c r="F37" i="95"/>
  <c r="AF36" i="95"/>
  <c r="AE36" i="95"/>
  <c r="AD36" i="95"/>
  <c r="AC36" i="95"/>
  <c r="W36" i="95"/>
  <c r="V36" i="95"/>
  <c r="U36" i="95"/>
  <c r="X36" i="95" s="1"/>
  <c r="M36" i="95"/>
  <c r="F36" i="95"/>
  <c r="N36" i="95" s="1"/>
  <c r="AF35" i="95"/>
  <c r="AE35" i="95"/>
  <c r="AD35" i="95"/>
  <c r="AC35" i="95"/>
  <c r="W35" i="95"/>
  <c r="V35" i="95"/>
  <c r="U35" i="95"/>
  <c r="M35" i="95"/>
  <c r="F35" i="95"/>
  <c r="AF34" i="95"/>
  <c r="AE34" i="95"/>
  <c r="AD34" i="95"/>
  <c r="AC34" i="95"/>
  <c r="W34" i="95"/>
  <c r="V34" i="95"/>
  <c r="U34" i="95"/>
  <c r="M34" i="95"/>
  <c r="F34" i="95"/>
  <c r="AF33" i="95"/>
  <c r="AE33" i="95"/>
  <c r="AD33" i="95"/>
  <c r="AC33" i="95"/>
  <c r="W33" i="95"/>
  <c r="V33" i="95"/>
  <c r="U33" i="95"/>
  <c r="M33" i="95"/>
  <c r="F33" i="95"/>
  <c r="AF32" i="95"/>
  <c r="AE32" i="95"/>
  <c r="AD32" i="95"/>
  <c r="AC32" i="95"/>
  <c r="W32" i="95"/>
  <c r="V32" i="95"/>
  <c r="U32" i="95"/>
  <c r="X32" i="95" s="1"/>
  <c r="M32" i="95"/>
  <c r="F32" i="95"/>
  <c r="N32" i="95" s="1"/>
  <c r="AF31" i="95"/>
  <c r="AE31" i="95"/>
  <c r="AD31" i="95"/>
  <c r="AC31" i="95"/>
  <c r="W31" i="95"/>
  <c r="V31" i="95"/>
  <c r="U31" i="95"/>
  <c r="M31" i="95"/>
  <c r="F31" i="95"/>
  <c r="AF30" i="95"/>
  <c r="AE30" i="95"/>
  <c r="AD30" i="95"/>
  <c r="AC30" i="95"/>
  <c r="W30" i="95"/>
  <c r="V30" i="95"/>
  <c r="U30" i="95"/>
  <c r="M30" i="95"/>
  <c r="F30" i="95"/>
  <c r="AF29" i="95"/>
  <c r="AE29" i="95"/>
  <c r="AD29" i="95"/>
  <c r="AC29" i="95"/>
  <c r="W29" i="95"/>
  <c r="V29" i="95"/>
  <c r="U29" i="95"/>
  <c r="X29" i="95" s="1"/>
  <c r="M29" i="95"/>
  <c r="F29" i="95"/>
  <c r="AF28" i="95"/>
  <c r="AE28" i="95"/>
  <c r="AD28" i="95"/>
  <c r="AC28" i="95"/>
  <c r="W28" i="95"/>
  <c r="V28" i="95"/>
  <c r="U28" i="95"/>
  <c r="X28" i="95" s="1"/>
  <c r="M28" i="95"/>
  <c r="F28" i="95"/>
  <c r="N28" i="95" s="1"/>
  <c r="AF27" i="95"/>
  <c r="AE27" i="95"/>
  <c r="AD27" i="95"/>
  <c r="AC27" i="95"/>
  <c r="W27" i="95"/>
  <c r="V27" i="95"/>
  <c r="U27" i="95"/>
  <c r="M27" i="95"/>
  <c r="F27" i="95"/>
  <c r="AF26" i="95"/>
  <c r="AE26" i="95"/>
  <c r="AD26" i="95"/>
  <c r="AC26" i="95"/>
  <c r="W26" i="95"/>
  <c r="V26" i="95"/>
  <c r="U26" i="95"/>
  <c r="M26" i="95"/>
  <c r="F26" i="95"/>
  <c r="AF25" i="95"/>
  <c r="AE25" i="95"/>
  <c r="AD25" i="95"/>
  <c r="AC25" i="95"/>
  <c r="W25" i="95"/>
  <c r="V25" i="95"/>
  <c r="U25" i="95"/>
  <c r="M25" i="95"/>
  <c r="F25" i="95"/>
  <c r="AF24" i="95"/>
  <c r="AE24" i="95"/>
  <c r="AD24" i="95"/>
  <c r="AC24" i="95"/>
  <c r="W24" i="95"/>
  <c r="V24" i="95"/>
  <c r="U24" i="95"/>
  <c r="X24" i="95" s="1"/>
  <c r="M24" i="95"/>
  <c r="F24" i="95"/>
  <c r="N24" i="95" s="1"/>
  <c r="AF23" i="95"/>
  <c r="AE23" i="95"/>
  <c r="AD23" i="95"/>
  <c r="AC23" i="95"/>
  <c r="W23" i="95"/>
  <c r="V23" i="95"/>
  <c r="U23" i="95"/>
  <c r="M23" i="95"/>
  <c r="F23" i="95"/>
  <c r="AF22" i="95"/>
  <c r="AE22" i="95"/>
  <c r="AD22" i="95"/>
  <c r="AC22" i="95"/>
  <c r="W22" i="95"/>
  <c r="V22" i="95"/>
  <c r="U22" i="95"/>
  <c r="M22" i="95"/>
  <c r="F22" i="95"/>
  <c r="AF21" i="95"/>
  <c r="AE21" i="95"/>
  <c r="AD21" i="95"/>
  <c r="AC21" i="95"/>
  <c r="W21" i="95"/>
  <c r="V21" i="95"/>
  <c r="U21" i="95"/>
  <c r="X21" i="95" s="1"/>
  <c r="M21" i="95"/>
  <c r="F21" i="95"/>
  <c r="AF20" i="95"/>
  <c r="AE20" i="95"/>
  <c r="AD20" i="95"/>
  <c r="AC20" i="95"/>
  <c r="W20" i="95"/>
  <c r="V20" i="95"/>
  <c r="U20" i="95"/>
  <c r="X20" i="95" s="1"/>
  <c r="M20" i="95"/>
  <c r="F20" i="95"/>
  <c r="N20" i="95" s="1"/>
  <c r="AF19" i="95"/>
  <c r="AE19" i="95"/>
  <c r="AD19" i="95"/>
  <c r="AC19" i="95"/>
  <c r="W19" i="95"/>
  <c r="V19" i="95"/>
  <c r="U19" i="95"/>
  <c r="M19" i="95"/>
  <c r="F19" i="95"/>
  <c r="AF18" i="95"/>
  <c r="AE18" i="95"/>
  <c r="AD18" i="95"/>
  <c r="AC18" i="95"/>
  <c r="W18" i="95"/>
  <c r="V18" i="95"/>
  <c r="U18" i="95"/>
  <c r="X18" i="95" s="1"/>
  <c r="M18" i="95"/>
  <c r="F18" i="95"/>
  <c r="AF17" i="95"/>
  <c r="AE17" i="95"/>
  <c r="AD17" i="95"/>
  <c r="AC17" i="95"/>
  <c r="W17" i="95"/>
  <c r="V17" i="95"/>
  <c r="U17" i="95"/>
  <c r="M17" i="95"/>
  <c r="F17" i="95"/>
  <c r="AF16" i="95"/>
  <c r="AE16" i="95"/>
  <c r="AD16" i="95"/>
  <c r="AC16" i="95"/>
  <c r="W16" i="95"/>
  <c r="V16" i="95"/>
  <c r="U16" i="95"/>
  <c r="X16" i="95" s="1"/>
  <c r="M16" i="95"/>
  <c r="F16" i="95"/>
  <c r="AF15" i="95"/>
  <c r="AE15" i="95"/>
  <c r="AD15" i="95"/>
  <c r="AC15" i="95"/>
  <c r="W15" i="95"/>
  <c r="V15" i="95"/>
  <c r="U15" i="95"/>
  <c r="M15" i="95"/>
  <c r="F15" i="95"/>
  <c r="N15" i="95" s="1"/>
  <c r="AF14" i="95"/>
  <c r="AE14" i="95"/>
  <c r="AD14" i="95"/>
  <c r="AC14" i="95"/>
  <c r="W14" i="95"/>
  <c r="V14" i="95"/>
  <c r="U14" i="95"/>
  <c r="X14" i="95" s="1"/>
  <c r="M14" i="95"/>
  <c r="F14" i="95"/>
  <c r="N14" i="95" s="1"/>
  <c r="AF13" i="95"/>
  <c r="AE13" i="95"/>
  <c r="AD13" i="95"/>
  <c r="AC13" i="95"/>
  <c r="W13" i="95"/>
  <c r="V13" i="95"/>
  <c r="U13" i="95"/>
  <c r="X13" i="95" s="1"/>
  <c r="M13" i="95"/>
  <c r="F13" i="95"/>
  <c r="N13" i="95" s="1"/>
  <c r="E5" i="95"/>
  <c r="A2" i="95"/>
  <c r="D53" i="76"/>
  <c r="D46" i="76"/>
  <c r="D19" i="76"/>
  <c r="D12" i="76"/>
  <c r="A3" i="76"/>
  <c r="A2" i="76"/>
  <c r="D46" i="75"/>
  <c r="D12" i="75"/>
  <c r="A3" i="75"/>
  <c r="A2" i="75"/>
  <c r="H56" i="92"/>
  <c r="G49" i="92"/>
  <c r="F49" i="92"/>
  <c r="E49" i="92"/>
  <c r="D49" i="92"/>
  <c r="H48" i="92"/>
  <c r="H47" i="92"/>
  <c r="H46" i="92"/>
  <c r="H45" i="92"/>
  <c r="H44" i="92"/>
  <c r="H43" i="92"/>
  <c r="H42" i="92"/>
  <c r="H41" i="92"/>
  <c r="H40" i="92"/>
  <c r="H39" i="92"/>
  <c r="H38" i="92"/>
  <c r="H37" i="92"/>
  <c r="H36" i="92"/>
  <c r="H35" i="92"/>
  <c r="H34" i="92"/>
  <c r="H33" i="92"/>
  <c r="H32" i="92"/>
  <c r="H31" i="92"/>
  <c r="H30" i="92"/>
  <c r="H29" i="92"/>
  <c r="H28" i="92"/>
  <c r="H27" i="92"/>
  <c r="H26" i="92"/>
  <c r="H22" i="92"/>
  <c r="G15" i="92"/>
  <c r="F15" i="92"/>
  <c r="E15" i="92"/>
  <c r="E58" i="92" s="1"/>
  <c r="D15" i="92"/>
  <c r="D58" i="92" s="1"/>
  <c r="H14" i="92"/>
  <c r="H13" i="92"/>
  <c r="H12" i="92"/>
  <c r="H8" i="92"/>
  <c r="A3" i="92"/>
  <c r="A2" i="92"/>
  <c r="H56" i="74"/>
  <c r="G49" i="74"/>
  <c r="F49" i="74"/>
  <c r="E49" i="74"/>
  <c r="D49" i="74"/>
  <c r="H48" i="74"/>
  <c r="H47" i="74"/>
  <c r="H46" i="74"/>
  <c r="H45" i="74"/>
  <c r="H44" i="74"/>
  <c r="H43" i="74"/>
  <c r="H42" i="74"/>
  <c r="H41" i="74"/>
  <c r="H40" i="74"/>
  <c r="H39" i="74"/>
  <c r="H38" i="74"/>
  <c r="H37" i="74"/>
  <c r="H36" i="74"/>
  <c r="H35" i="74"/>
  <c r="H34" i="74"/>
  <c r="H33" i="74"/>
  <c r="H32" i="74"/>
  <c r="H31" i="74"/>
  <c r="H30" i="74"/>
  <c r="H29" i="74"/>
  <c r="H28" i="74"/>
  <c r="H27" i="74"/>
  <c r="H26" i="74"/>
  <c r="H22" i="74"/>
  <c r="G15" i="74"/>
  <c r="F15" i="74"/>
  <c r="E15" i="74"/>
  <c r="D15" i="74"/>
  <c r="D58" i="74" s="1"/>
  <c r="H14" i="74"/>
  <c r="H13" i="74"/>
  <c r="H12" i="74"/>
  <c r="H8" i="74"/>
  <c r="A3" i="74"/>
  <c r="A2" i="74"/>
  <c r="D53" i="94"/>
  <c r="D46" i="94"/>
  <c r="D19" i="94"/>
  <c r="D12" i="94"/>
  <c r="A3" i="94"/>
  <c r="A2" i="94"/>
  <c r="G49" i="73"/>
  <c r="F49" i="73"/>
  <c r="E49" i="73"/>
  <c r="D49" i="73"/>
  <c r="H48" i="73"/>
  <c r="H47" i="73"/>
  <c r="H46" i="73"/>
  <c r="H45" i="73"/>
  <c r="H44" i="73"/>
  <c r="H43" i="73"/>
  <c r="H42" i="73"/>
  <c r="Z40" i="102" l="1"/>
  <c r="Y40" i="102" s="1"/>
  <c r="X40" i="102" s="1"/>
  <c r="N32" i="116"/>
  <c r="AA32" i="116" s="1"/>
  <c r="Y71" i="108"/>
  <c r="Z75" i="108"/>
  <c r="AA66" i="109"/>
  <c r="AA70" i="109"/>
  <c r="AA78" i="109"/>
  <c r="AA86" i="109"/>
  <c r="Z18" i="110"/>
  <c r="Y22" i="110"/>
  <c r="Z26" i="110"/>
  <c r="Z42" i="110"/>
  <c r="Z46" i="110"/>
  <c r="Z69" i="110"/>
  <c r="Z17" i="103"/>
  <c r="Z21" i="103"/>
  <c r="Z25" i="103"/>
  <c r="Z29" i="103"/>
  <c r="Y37" i="103"/>
  <c r="Z41" i="103"/>
  <c r="X236" i="116"/>
  <c r="Z66" i="100"/>
  <c r="Y22" i="105"/>
  <c r="X22" i="105" s="1"/>
  <c r="Y82" i="95"/>
  <c r="Y38" i="99"/>
  <c r="X38" i="99" s="1"/>
  <c r="Y42" i="99"/>
  <c r="X42" i="99" s="1"/>
  <c r="AA69" i="101"/>
  <c r="Y25" i="95"/>
  <c r="AA94" i="96"/>
  <c r="Z20" i="95"/>
  <c r="Y20" i="95" s="1"/>
  <c r="Z69" i="95"/>
  <c r="Z77" i="95"/>
  <c r="Z85" i="96"/>
  <c r="Y85" i="96" s="1"/>
  <c r="Z38" i="97"/>
  <c r="Z67" i="97"/>
  <c r="Z71" i="97"/>
  <c r="Z83" i="103"/>
  <c r="Z16" i="107"/>
  <c r="Z32" i="107"/>
  <c r="Z36" i="107"/>
  <c r="Z43" i="107"/>
  <c r="Z84" i="107"/>
  <c r="Z88" i="107"/>
  <c r="AA42" i="101"/>
  <c r="Z70" i="101"/>
  <c r="Z83" i="102"/>
  <c r="Z99" i="102"/>
  <c r="Z90" i="103"/>
  <c r="Z96" i="104"/>
  <c r="Z100" i="104"/>
  <c r="Z16" i="105"/>
  <c r="Z20" i="105"/>
  <c r="Z72" i="105"/>
  <c r="Y72" i="105" s="1"/>
  <c r="Y76" i="105"/>
  <c r="X76" i="105" s="1"/>
  <c r="AA97" i="105"/>
  <c r="AA16" i="108"/>
  <c r="Z25" i="105"/>
  <c r="Y25" i="105" s="1"/>
  <c r="Z80" i="95"/>
  <c r="Z36" i="98"/>
  <c r="Z39" i="98"/>
  <c r="Y39" i="98" s="1"/>
  <c r="Z68" i="98"/>
  <c r="Z88" i="98"/>
  <c r="Z92" i="98"/>
  <c r="Z96" i="98"/>
  <c r="Z100" i="98"/>
  <c r="Z17" i="99"/>
  <c r="Z31" i="100"/>
  <c r="Z46" i="100"/>
  <c r="Z46" i="101"/>
  <c r="Z14" i="103"/>
  <c r="Y14" i="103" s="1"/>
  <c r="Z16" i="103"/>
  <c r="Z23" i="103"/>
  <c r="Y23" i="103" s="1"/>
  <c r="Z27" i="103"/>
  <c r="Y27" i="103" s="1"/>
  <c r="Z38" i="103"/>
  <c r="Y38" i="103" s="1"/>
  <c r="Y25" i="104"/>
  <c r="X25" i="104" s="1"/>
  <c r="Y33" i="104"/>
  <c r="X33" i="104" s="1"/>
  <c r="Z21" i="105"/>
  <c r="Z24" i="105"/>
  <c r="Z100" i="107"/>
  <c r="Z13" i="108"/>
  <c r="Z17" i="108"/>
  <c r="Z21" i="108"/>
  <c r="Z25" i="108"/>
  <c r="Z29" i="108"/>
  <c r="Z33" i="108"/>
  <c r="Z37" i="108"/>
  <c r="Z41" i="108"/>
  <c r="Z45" i="108"/>
  <c r="Z70" i="108"/>
  <c r="Y74" i="108"/>
  <c r="X74" i="108" s="1"/>
  <c r="Z23" i="109"/>
  <c r="Z27" i="109"/>
  <c r="Z39" i="109"/>
  <c r="Z42" i="109"/>
  <c r="Z87" i="110"/>
  <c r="AA73" i="105"/>
  <c r="Z92" i="105"/>
  <c r="Y92" i="105" s="1"/>
  <c r="Z95" i="105"/>
  <c r="Y95" i="105" s="1"/>
  <c r="Z80" i="106"/>
  <c r="Z84" i="106"/>
  <c r="Z88" i="106"/>
  <c r="Z96" i="106"/>
  <c r="Z100" i="106"/>
  <c r="Y100" i="106" s="1"/>
  <c r="Y13" i="107"/>
  <c r="Z25" i="107"/>
  <c r="Z27" i="95"/>
  <c r="Y27" i="95" s="1"/>
  <c r="X27" i="95" s="1"/>
  <c r="Z84" i="95"/>
  <c r="AA78" i="96"/>
  <c r="Z80" i="96"/>
  <c r="Y80" i="96" s="1"/>
  <c r="Z88" i="96"/>
  <c r="Y88" i="96" s="1"/>
  <c r="Z91" i="96"/>
  <c r="Z94" i="96"/>
  <c r="Z70" i="98"/>
  <c r="Y78" i="98"/>
  <c r="Z39" i="99"/>
  <c r="Z43" i="99"/>
  <c r="Z75" i="99"/>
  <c r="Z79" i="99"/>
  <c r="Z82" i="99"/>
  <c r="Z89" i="99"/>
  <c r="Z73" i="100"/>
  <c r="Y73" i="100" s="1"/>
  <c r="Z68" i="102"/>
  <c r="Z76" i="102"/>
  <c r="Y76" i="102" s="1"/>
  <c r="Z92" i="95"/>
  <c r="Z18" i="95"/>
  <c r="Y18" i="95" s="1"/>
  <c r="Z15" i="96"/>
  <c r="Y15" i="96" s="1"/>
  <c r="Z30" i="96"/>
  <c r="Y30" i="96" s="1"/>
  <c r="Z34" i="96"/>
  <c r="Y34" i="96" s="1"/>
  <c r="Z38" i="96"/>
  <c r="Y38" i="96" s="1"/>
  <c r="Z46" i="96"/>
  <c r="Y46" i="96" s="1"/>
  <c r="Z14" i="97"/>
  <c r="Z18" i="97"/>
  <c r="Z29" i="97"/>
  <c r="Z37" i="97"/>
  <c r="Z69" i="97"/>
  <c r="Z81" i="97"/>
  <c r="Y81" i="97" s="1"/>
  <c r="Z93" i="97"/>
  <c r="Z96" i="97"/>
  <c r="Z13" i="98"/>
  <c r="Y25" i="98"/>
  <c r="X25" i="98" s="1"/>
  <c r="Z85" i="98"/>
  <c r="Z92" i="99"/>
  <c r="AA93" i="99"/>
  <c r="Z95" i="99"/>
  <c r="Z99" i="99"/>
  <c r="Z83" i="100"/>
  <c r="Y83" i="100" s="1"/>
  <c r="Z87" i="100"/>
  <c r="Y87" i="100" s="1"/>
  <c r="Z16" i="101"/>
  <c r="Z24" i="101"/>
  <c r="Z32" i="101"/>
  <c r="Z40" i="101"/>
  <c r="AA41" i="101"/>
  <c r="AA89" i="101"/>
  <c r="Z91" i="101"/>
  <c r="Z94" i="101"/>
  <c r="Y98" i="101"/>
  <c r="Z15" i="102"/>
  <c r="Z18" i="102"/>
  <c r="Y18" i="102" s="1"/>
  <c r="X18" i="102" s="1"/>
  <c r="Z29" i="105"/>
  <c r="Z45" i="105"/>
  <c r="Z66" i="105"/>
  <c r="Z94" i="107"/>
  <c r="Z76" i="110"/>
  <c r="Z80" i="110"/>
  <c r="Z74" i="95"/>
  <c r="Z37" i="96"/>
  <c r="Y37" i="96" s="1"/>
  <c r="Z41" i="96"/>
  <c r="Y41" i="96" s="1"/>
  <c r="Z70" i="96"/>
  <c r="Y70" i="96" s="1"/>
  <c r="Z92" i="96"/>
  <c r="Y100" i="96"/>
  <c r="X100" i="96" s="1"/>
  <c r="AA29" i="97"/>
  <c r="Z87" i="97"/>
  <c r="Y91" i="97"/>
  <c r="AA96" i="98"/>
  <c r="AA100" i="98"/>
  <c r="Y16" i="99"/>
  <c r="Y20" i="99"/>
  <c r="Z24" i="99"/>
  <c r="Y24" i="99" s="1"/>
  <c r="Z28" i="99"/>
  <c r="Z72" i="99"/>
  <c r="Y86" i="99"/>
  <c r="Z90" i="99"/>
  <c r="Z96" i="99"/>
  <c r="Y44" i="101"/>
  <c r="Z45" i="101"/>
  <c r="AA66" i="101"/>
  <c r="AA70" i="101"/>
  <c r="Y72" i="101"/>
  <c r="Z76" i="101"/>
  <c r="Y88" i="101"/>
  <c r="Z99" i="101"/>
  <c r="Z23" i="102"/>
  <c r="Z26" i="102"/>
  <c r="Y26" i="102" s="1"/>
  <c r="X26" i="102" s="1"/>
  <c r="Z78" i="102"/>
  <c r="Z74" i="103"/>
  <c r="Z81" i="103"/>
  <c r="Y81" i="103" s="1"/>
  <c r="Z99" i="103"/>
  <c r="Y99" i="103" s="1"/>
  <c r="Z28" i="104"/>
  <c r="AA33" i="104"/>
  <c r="Z33" i="104" s="1"/>
  <c r="Z93" i="104"/>
  <c r="Z17" i="105"/>
  <c r="Z42" i="105"/>
  <c r="Z46" i="105"/>
  <c r="Z67" i="105"/>
  <c r="Y67" i="105" s="1"/>
  <c r="AA72" i="105"/>
  <c r="Y93" i="105"/>
  <c r="X93" i="105" s="1"/>
  <c r="Z97" i="105"/>
  <c r="AA20" i="106"/>
  <c r="Z22" i="106"/>
  <c r="Z30" i="106"/>
  <c r="Z46" i="106"/>
  <c r="Y46" i="106" s="1"/>
  <c r="AA80" i="106"/>
  <c r="Z82" i="106"/>
  <c r="Z90" i="106"/>
  <c r="Z94" i="106"/>
  <c r="AA99" i="106"/>
  <c r="Z90" i="107"/>
  <c r="AA91" i="107"/>
  <c r="AA94" i="107"/>
  <c r="Z20" i="108"/>
  <c r="Z24" i="108"/>
  <c r="Z28" i="108"/>
  <c r="Z32" i="108"/>
  <c r="Z36" i="108"/>
  <c r="Z40" i="108"/>
  <c r="Z44" i="108"/>
  <c r="Z69" i="108"/>
  <c r="AA74" i="108"/>
  <c r="Z74" i="108" s="1"/>
  <c r="Z77" i="108"/>
  <c r="Z93" i="108"/>
  <c r="Z97" i="108"/>
  <c r="Y33" i="109"/>
  <c r="X33" i="109" s="1"/>
  <c r="Y37" i="109"/>
  <c r="X37" i="109" s="1"/>
  <c r="AA67" i="109"/>
  <c r="Z70" i="109"/>
  <c r="Z74" i="109"/>
  <c r="Z78" i="109"/>
  <c r="Z82" i="109"/>
  <c r="Z86" i="109"/>
  <c r="Z90" i="109"/>
  <c r="Z94" i="109"/>
  <c r="Z98" i="109"/>
  <c r="Y14" i="110"/>
  <c r="X14" i="110" s="1"/>
  <c r="Y19" i="110"/>
  <c r="Z31" i="110"/>
  <c r="Y43" i="110"/>
  <c r="Z70" i="110"/>
  <c r="AA71" i="110"/>
  <c r="Z73" i="110"/>
  <c r="Y73" i="110" s="1"/>
  <c r="Z81" i="110"/>
  <c r="AA82" i="110"/>
  <c r="Z84" i="110"/>
  <c r="Z92" i="110"/>
  <c r="Y92" i="110" s="1"/>
  <c r="X92" i="110" s="1"/>
  <c r="Z96" i="110"/>
  <c r="Y70" i="99"/>
  <c r="Y78" i="99"/>
  <c r="Y95" i="104"/>
  <c r="AA94" i="109"/>
  <c r="Y17" i="116"/>
  <c r="X17" i="116" s="1"/>
  <c r="AA69" i="95"/>
  <c r="Y71" i="96"/>
  <c r="X71" i="96" s="1"/>
  <c r="Y34" i="97"/>
  <c r="Z41" i="97"/>
  <c r="Z45" i="97"/>
  <c r="Z66" i="97"/>
  <c r="Y70" i="97"/>
  <c r="Z82" i="97"/>
  <c r="Z90" i="97"/>
  <c r="Z30" i="98"/>
  <c r="Y30" i="98" s="1"/>
  <c r="Z44" i="98"/>
  <c r="AA67" i="99"/>
  <c r="AA75" i="99"/>
  <c r="AA79" i="99"/>
  <c r="AA85" i="99"/>
  <c r="AA95" i="99"/>
  <c r="AA34" i="100"/>
  <c r="Z45" i="100"/>
  <c r="AA94" i="101"/>
  <c r="Z69" i="102"/>
  <c r="Y69" i="102" s="1"/>
  <c r="Y78" i="103"/>
  <c r="Z97" i="103"/>
  <c r="Y97" i="103" s="1"/>
  <c r="Z33" i="105"/>
  <c r="Z69" i="105"/>
  <c r="AA76" i="110"/>
  <c r="AA80" i="110"/>
  <c r="AA83" i="110"/>
  <c r="AA81" i="98"/>
  <c r="AA85" i="98"/>
  <c r="AA89" i="98"/>
  <c r="AA97" i="98"/>
  <c r="AA14" i="99"/>
  <c r="Z14" i="99" s="1"/>
  <c r="Z19" i="99"/>
  <c r="AA28" i="100"/>
  <c r="AA17" i="101"/>
  <c r="AA25" i="101"/>
  <c r="AA33" i="101"/>
  <c r="AA85" i="101"/>
  <c r="Z17" i="102"/>
  <c r="AA81" i="103"/>
  <c r="Y86" i="103"/>
  <c r="AA19" i="104"/>
  <c r="Y40" i="104"/>
  <c r="AA66" i="104"/>
  <c r="Y44" i="105"/>
  <c r="X44" i="105" s="1"/>
  <c r="AA90" i="106"/>
  <c r="Y68" i="107"/>
  <c r="X68" i="107" s="1"/>
  <c r="AA73" i="107"/>
  <c r="AA81" i="107"/>
  <c r="AA85" i="107"/>
  <c r="Y30" i="109"/>
  <c r="Z44" i="95"/>
  <c r="Y44" i="95" s="1"/>
  <c r="Z79" i="95"/>
  <c r="Z91" i="95"/>
  <c r="Z17" i="96"/>
  <c r="Z16" i="95"/>
  <c r="Z16" i="96"/>
  <c r="Y16" i="96" s="1"/>
  <c r="Z28" i="96"/>
  <c r="Z43" i="96"/>
  <c r="Z67" i="96"/>
  <c r="Y82" i="96"/>
  <c r="X82" i="96" s="1"/>
  <c r="Z83" i="96"/>
  <c r="Z24" i="97"/>
  <c r="AA37" i="97"/>
  <c r="Z95" i="97"/>
  <c r="Z24" i="98"/>
  <c r="Z67" i="98"/>
  <c r="Z79" i="98"/>
  <c r="Z82" i="98"/>
  <c r="Z86" i="98"/>
  <c r="Z66" i="99"/>
  <c r="Z91" i="99"/>
  <c r="Y94" i="99"/>
  <c r="Z98" i="99"/>
  <c r="Z14" i="100"/>
  <c r="Z17" i="100"/>
  <c r="Y17" i="100" s="1"/>
  <c r="Z21" i="100"/>
  <c r="Y21" i="100" s="1"/>
  <c r="Z25" i="100"/>
  <c r="Y25" i="100" s="1"/>
  <c r="Z32" i="100"/>
  <c r="Y40" i="100"/>
  <c r="X40" i="100" s="1"/>
  <c r="Y44" i="100"/>
  <c r="Z15" i="101"/>
  <c r="Z22" i="101"/>
  <c r="Y30" i="101"/>
  <c r="AA72" i="101"/>
  <c r="AA73" i="101"/>
  <c r="Z75" i="101"/>
  <c r="Z78" i="101"/>
  <c r="Y82" i="101"/>
  <c r="Z86" i="101"/>
  <c r="Z92" i="101"/>
  <c r="Z39" i="102"/>
  <c r="Z41" i="102"/>
  <c r="Z42" i="102"/>
  <c r="Y42" i="102" s="1"/>
  <c r="X42" i="102" s="1"/>
  <c r="Z67" i="102"/>
  <c r="Z70" i="102"/>
  <c r="Z18" i="103"/>
  <c r="Y18" i="103" s="1"/>
  <c r="Z30" i="103"/>
  <c r="Y30" i="103" s="1"/>
  <c r="Z100" i="103"/>
  <c r="Y16" i="104"/>
  <c r="Z23" i="104"/>
  <c r="Z35" i="105"/>
  <c r="Y39" i="105"/>
  <c r="X39" i="105" s="1"/>
  <c r="Z43" i="105"/>
  <c r="AA45" i="105"/>
  <c r="Z100" i="105"/>
  <c r="Y100" i="105" s="1"/>
  <c r="Z13" i="106"/>
  <c r="AA19" i="106"/>
  <c r="Z25" i="106"/>
  <c r="Z33" i="106"/>
  <c r="Z37" i="106"/>
  <c r="Z41" i="106"/>
  <c r="Z68" i="106"/>
  <c r="Y68" i="106" s="1"/>
  <c r="Z76" i="106"/>
  <c r="Y76" i="106" s="1"/>
  <c r="Z27" i="107"/>
  <c r="Z35" i="107"/>
  <c r="Z38" i="107"/>
  <c r="Z42" i="107"/>
  <c r="Z71" i="107"/>
  <c r="Z78" i="107"/>
  <c r="Z80" i="108"/>
  <c r="Z88" i="108"/>
  <c r="Y88" i="108" s="1"/>
  <c r="X88" i="108" s="1"/>
  <c r="Z92" i="108"/>
  <c r="Z96" i="108"/>
  <c r="Y96" i="108" s="1"/>
  <c r="X96" i="108" s="1"/>
  <c r="Z100" i="108"/>
  <c r="Z86" i="110"/>
  <c r="Y13" i="95"/>
  <c r="Z29" i="95"/>
  <c r="Z40" i="95"/>
  <c r="Y40" i="95" s="1"/>
  <c r="Z83" i="95"/>
  <c r="Y83" i="95" s="1"/>
  <c r="Z98" i="95"/>
  <c r="D55" i="75"/>
  <c r="Z21" i="95"/>
  <c r="Y21" i="95" s="1"/>
  <c r="Z28" i="95"/>
  <c r="Y28" i="95" s="1"/>
  <c r="Z34" i="95"/>
  <c r="Y34" i="95" s="1"/>
  <c r="X34" i="95" s="1"/>
  <c r="Z38" i="95"/>
  <c r="Y38" i="95" s="1"/>
  <c r="X38" i="95" s="1"/>
  <c r="Z42" i="95"/>
  <c r="Y42" i="95" s="1"/>
  <c r="X42" i="95" s="1"/>
  <c r="Y45" i="95"/>
  <c r="Z85" i="95"/>
  <c r="AA90" i="96"/>
  <c r="Y23" i="97"/>
  <c r="X23" i="97" s="1"/>
  <c r="Z83" i="97"/>
  <c r="Z19" i="98"/>
  <c r="Y19" i="98" s="1"/>
  <c r="Z93" i="98"/>
  <c r="Y93" i="98" s="1"/>
  <c r="Z21" i="99"/>
  <c r="Z25" i="99"/>
  <c r="AA38" i="99"/>
  <c r="Z69" i="99"/>
  <c r="Z87" i="99"/>
  <c r="Z20" i="100"/>
  <c r="AA21" i="100"/>
  <c r="Z24" i="100"/>
  <c r="Z28" i="100"/>
  <c r="Z39" i="100"/>
  <c r="Z81" i="100"/>
  <c r="Y81" i="100" s="1"/>
  <c r="Z89" i="100"/>
  <c r="Y89" i="100" s="1"/>
  <c r="Z97" i="100"/>
  <c r="Y97" i="100" s="1"/>
  <c r="AA78" i="101"/>
  <c r="AA86" i="101"/>
  <c r="Z33" i="102"/>
  <c r="AA26" i="103"/>
  <c r="Y28" i="103"/>
  <c r="AA30" i="103"/>
  <c r="AA67" i="103"/>
  <c r="Y18" i="104"/>
  <c r="Z19" i="104"/>
  <c r="Y21" i="104"/>
  <c r="X21" i="104" s="1"/>
  <c r="AA35" i="104"/>
  <c r="Y41" i="104"/>
  <c r="X41" i="104" s="1"/>
  <c r="AA43" i="104"/>
  <c r="Z66" i="104"/>
  <c r="Z74" i="104"/>
  <c r="Z82" i="104"/>
  <c r="Y41" i="105"/>
  <c r="X41" i="105" s="1"/>
  <c r="AA79" i="105"/>
  <c r="Z86" i="105"/>
  <c r="AA87" i="105"/>
  <c r="Z87" i="105" s="1"/>
  <c r="AA88" i="105"/>
  <c r="AA25" i="106"/>
  <c r="AA29" i="106"/>
  <c r="Y35" i="106"/>
  <c r="X35" i="106" s="1"/>
  <c r="Z74" i="106"/>
  <c r="AA83" i="106"/>
  <c r="AA87" i="106"/>
  <c r="Z87" i="106" s="1"/>
  <c r="Z97" i="106"/>
  <c r="AA19" i="107"/>
  <c r="AA35" i="107"/>
  <c r="Z41" i="107"/>
  <c r="AA42" i="107"/>
  <c r="AA43" i="107"/>
  <c r="Z44" i="107"/>
  <c r="Z45" i="107"/>
  <c r="AA67" i="107"/>
  <c r="Y69" i="107"/>
  <c r="X69" i="107" s="1"/>
  <c r="Z70" i="107"/>
  <c r="AA74" i="107"/>
  <c r="Y77" i="107"/>
  <c r="X77" i="107" s="1"/>
  <c r="AA84" i="108"/>
  <c r="AA92" i="108"/>
  <c r="AA96" i="108"/>
  <c r="Y98" i="108"/>
  <c r="X98" i="108" s="1"/>
  <c r="Z32" i="109"/>
  <c r="Z36" i="109"/>
  <c r="Z100" i="109"/>
  <c r="Z13" i="110"/>
  <c r="Z17" i="110"/>
  <c r="AA18" i="110"/>
  <c r="Y40" i="110"/>
  <c r="X40" i="110" s="1"/>
  <c r="Y88" i="110"/>
  <c r="X88" i="110" s="1"/>
  <c r="H49" i="92"/>
  <c r="AF48" i="95"/>
  <c r="AA90" i="98"/>
  <c r="Y89" i="99"/>
  <c r="AA29" i="100"/>
  <c r="AC102" i="103"/>
  <c r="Y21" i="106"/>
  <c r="X21" i="106" s="1"/>
  <c r="AA78" i="108"/>
  <c r="AA94" i="110"/>
  <c r="Y15" i="95"/>
  <c r="X15" i="95" s="1"/>
  <c r="Z33" i="95"/>
  <c r="AA67" i="95"/>
  <c r="AA82" i="95"/>
  <c r="AA86" i="95"/>
  <c r="AA90" i="95"/>
  <c r="Y72" i="96"/>
  <c r="X72" i="96" s="1"/>
  <c r="AA86" i="96"/>
  <c r="Y90" i="96"/>
  <c r="X90" i="96" s="1"/>
  <c r="AF102" i="97"/>
  <c r="V102" i="98"/>
  <c r="AA73" i="99"/>
  <c r="AA77" i="99"/>
  <c r="AA87" i="99"/>
  <c r="AA18" i="100"/>
  <c r="AA22" i="100"/>
  <c r="Z22" i="100" s="1"/>
  <c r="AA26" i="100"/>
  <c r="Z26" i="100" s="1"/>
  <c r="X39" i="101"/>
  <c r="Y39" i="101"/>
  <c r="AA46" i="101"/>
  <c r="AA67" i="101"/>
  <c r="AA14" i="103"/>
  <c r="AA68" i="103"/>
  <c r="AA93" i="105"/>
  <c r="M102" i="107"/>
  <c r="Y20" i="108"/>
  <c r="X20" i="108" s="1"/>
  <c r="Y24" i="108"/>
  <c r="X24" i="108" s="1"/>
  <c r="Y28" i="108"/>
  <c r="X28" i="108" s="1"/>
  <c r="Y32" i="108"/>
  <c r="X32" i="108" s="1"/>
  <c r="Y36" i="108"/>
  <c r="X36" i="108" s="1"/>
  <c r="Y40" i="108"/>
  <c r="X40" i="108" s="1"/>
  <c r="Y44" i="108"/>
  <c r="X44" i="108" s="1"/>
  <c r="Y41" i="109"/>
  <c r="X41" i="109" s="1"/>
  <c r="Y66" i="109"/>
  <c r="X66" i="109" s="1"/>
  <c r="AA72" i="109"/>
  <c r="AA80" i="109"/>
  <c r="AA20" i="110"/>
  <c r="Y38" i="110"/>
  <c r="Z72" i="110"/>
  <c r="Y76" i="110"/>
  <c r="X76" i="110" s="1"/>
  <c r="Y84" i="110"/>
  <c r="X84" i="110" s="1"/>
  <c r="X22" i="97"/>
  <c r="Y22" i="97"/>
  <c r="X71" i="105"/>
  <c r="Y71" i="105"/>
  <c r="Y97" i="105"/>
  <c r="X97" i="105" s="1"/>
  <c r="W102" i="95"/>
  <c r="AA74" i="95"/>
  <c r="Y91" i="95"/>
  <c r="X91" i="95" s="1"/>
  <c r="AA70" i="96"/>
  <c r="AA82" i="98"/>
  <c r="AA86" i="98"/>
  <c r="AA43" i="105"/>
  <c r="M102" i="110"/>
  <c r="Y86" i="110"/>
  <c r="X86" i="110" s="1"/>
  <c r="AA90" i="110"/>
  <c r="AA14" i="95"/>
  <c r="D57" i="94"/>
  <c r="Y14" i="95"/>
  <c r="Z46" i="95"/>
  <c r="Y46" i="95" s="1"/>
  <c r="X46" i="95" s="1"/>
  <c r="Z71" i="95"/>
  <c r="Y71" i="95" s="1"/>
  <c r="X71" i="95" s="1"/>
  <c r="Y74" i="95"/>
  <c r="X74" i="95" s="1"/>
  <c r="Z75" i="95"/>
  <c r="Z86" i="95"/>
  <c r="AA87" i="95"/>
  <c r="Z90" i="95"/>
  <c r="Z93" i="95"/>
  <c r="Z100" i="95"/>
  <c r="Z23" i="96"/>
  <c r="Y23" i="96" s="1"/>
  <c r="Z29" i="96"/>
  <c r="Y29" i="96" s="1"/>
  <c r="Z36" i="96"/>
  <c r="Z89" i="96"/>
  <c r="Y89" i="96" s="1"/>
  <c r="Z33" i="100"/>
  <c r="Y33" i="100" s="1"/>
  <c r="Z37" i="100"/>
  <c r="AA15" i="101"/>
  <c r="AA26" i="101"/>
  <c r="Z24" i="102"/>
  <c r="Y24" i="102" s="1"/>
  <c r="X24" i="102" s="1"/>
  <c r="AA38" i="103"/>
  <c r="Y38" i="104"/>
  <c r="Z73" i="104"/>
  <c r="Z81" i="104"/>
  <c r="Z83" i="105"/>
  <c r="Y83" i="105" s="1"/>
  <c r="Z29" i="106"/>
  <c r="Z32" i="106"/>
  <c r="Z36" i="106"/>
  <c r="Z92" i="106"/>
  <c r="Y92" i="106" s="1"/>
  <c r="Z95" i="106"/>
  <c r="X26" i="107"/>
  <c r="Y26" i="107"/>
  <c r="Y30" i="107"/>
  <c r="AA82" i="107"/>
  <c r="Z82" i="107" s="1"/>
  <c r="Y87" i="108"/>
  <c r="Z99" i="108"/>
  <c r="W48" i="109"/>
  <c r="Y94" i="96"/>
  <c r="X94" i="96" s="1"/>
  <c r="Z98" i="96"/>
  <c r="Y27" i="97"/>
  <c r="X27" i="97" s="1"/>
  <c r="Z28" i="97"/>
  <c r="Y86" i="97"/>
  <c r="AE48" i="99"/>
  <c r="Z29" i="99"/>
  <c r="Z32" i="99"/>
  <c r="Z40" i="99"/>
  <c r="AA71" i="99"/>
  <c r="Z80" i="99"/>
  <c r="AA81" i="99"/>
  <c r="AA97" i="99"/>
  <c r="AA30" i="100"/>
  <c r="AA33" i="100"/>
  <c r="Y38" i="100"/>
  <c r="X38" i="100" s="1"/>
  <c r="Y41" i="100"/>
  <c r="Y42" i="100"/>
  <c r="X42" i="100" s="1"/>
  <c r="AA19" i="101"/>
  <c r="AA23" i="101"/>
  <c r="AA27" i="101"/>
  <c r="AA31" i="101"/>
  <c r="AA35" i="101"/>
  <c r="AA39" i="101"/>
  <c r="Z43" i="101"/>
  <c r="U102" i="101"/>
  <c r="AA77" i="101"/>
  <c r="Z77" i="101" s="1"/>
  <c r="AA80" i="101"/>
  <c r="Z83" i="101"/>
  <c r="AA93" i="101"/>
  <c r="Z93" i="101" s="1"/>
  <c r="AA96" i="101"/>
  <c r="W48" i="102"/>
  <c r="Z25" i="102"/>
  <c r="AA69" i="102"/>
  <c r="AA71" i="102"/>
  <c r="AA75" i="102"/>
  <c r="AA80" i="102"/>
  <c r="AA84" i="102"/>
  <c r="AA91" i="102"/>
  <c r="Z97" i="102"/>
  <c r="AA34" i="103"/>
  <c r="V102" i="103"/>
  <c r="AA69" i="103"/>
  <c r="AA73" i="103"/>
  <c r="AA89" i="103"/>
  <c r="Z94" i="103"/>
  <c r="M48" i="104"/>
  <c r="Y26" i="104"/>
  <c r="Y30" i="104"/>
  <c r="Z43" i="104"/>
  <c r="Y66" i="104"/>
  <c r="AA41" i="105"/>
  <c r="Y42" i="105"/>
  <c r="X42" i="105" s="1"/>
  <c r="Y46" i="105"/>
  <c r="X46" i="105" s="1"/>
  <c r="AD102" i="105"/>
  <c r="AA71" i="105"/>
  <c r="Y81" i="105"/>
  <c r="AA89" i="105"/>
  <c r="Z91" i="105"/>
  <c r="Y91" i="105" s="1"/>
  <c r="Z98" i="105"/>
  <c r="Y98" i="105" s="1"/>
  <c r="Y25" i="106"/>
  <c r="X25" i="106" s="1"/>
  <c r="AA27" i="106"/>
  <c r="Y29" i="106"/>
  <c r="X29" i="106" s="1"/>
  <c r="Y66" i="106"/>
  <c r="X66" i="106" s="1"/>
  <c r="AA77" i="106"/>
  <c r="AA85" i="106"/>
  <c r="Y88" i="106"/>
  <c r="X88" i="106" s="1"/>
  <c r="AA91" i="106"/>
  <c r="Y16" i="107"/>
  <c r="X16" i="107" s="1"/>
  <c r="AA18" i="107"/>
  <c r="AA26" i="107"/>
  <c r="Z68" i="107"/>
  <c r="AA87" i="107"/>
  <c r="Z89" i="107"/>
  <c r="Z91" i="107"/>
  <c r="Y97" i="107"/>
  <c r="AA98" i="107"/>
  <c r="Y17" i="108"/>
  <c r="X17" i="108" s="1"/>
  <c r="Y21" i="108"/>
  <c r="X21" i="108" s="1"/>
  <c r="Y25" i="108"/>
  <c r="X25" i="108" s="1"/>
  <c r="Y29" i="108"/>
  <c r="X29" i="108" s="1"/>
  <c r="Y33" i="108"/>
  <c r="X33" i="108" s="1"/>
  <c r="Y37" i="108"/>
  <c r="X37" i="108" s="1"/>
  <c r="Y41" i="108"/>
  <c r="X41" i="108" s="1"/>
  <c r="Y66" i="108"/>
  <c r="AA79" i="108"/>
  <c r="Y84" i="108"/>
  <c r="X84" i="108" s="1"/>
  <c r="AA86" i="108"/>
  <c r="AA94" i="108"/>
  <c r="AA98" i="108"/>
  <c r="Z17" i="109"/>
  <c r="Y20" i="109"/>
  <c r="X20" i="109" s="1"/>
  <c r="Y24" i="109"/>
  <c r="X24" i="109" s="1"/>
  <c r="Z33" i="109"/>
  <c r="Z43" i="109"/>
  <c r="Y46" i="109"/>
  <c r="AA69" i="109"/>
  <c r="Z76" i="109"/>
  <c r="Z84" i="109"/>
  <c r="Z88" i="109"/>
  <c r="Z92" i="109"/>
  <c r="Z96" i="109"/>
  <c r="AA14" i="110"/>
  <c r="AF48" i="110"/>
  <c r="Y16" i="110"/>
  <c r="Y27" i="110"/>
  <c r="AD102" i="110"/>
  <c r="Z78" i="110"/>
  <c r="Z93" i="96"/>
  <c r="Y93" i="96" s="1"/>
  <c r="Z96" i="96"/>
  <c r="Y96" i="96" s="1"/>
  <c r="Z99" i="96"/>
  <c r="Z22" i="97"/>
  <c r="Z39" i="97"/>
  <c r="V102" i="97"/>
  <c r="Y68" i="97"/>
  <c r="Y84" i="97"/>
  <c r="Z88" i="97"/>
  <c r="Z92" i="97"/>
  <c r="Z94" i="97"/>
  <c r="Z98" i="97"/>
  <c r="Z18" i="98"/>
  <c r="Y18" i="98" s="1"/>
  <c r="Z28" i="98"/>
  <c r="Z35" i="98"/>
  <c r="Y35" i="98" s="1"/>
  <c r="Z66" i="98"/>
  <c r="Y69" i="98"/>
  <c r="AA70" i="98"/>
  <c r="AA74" i="98"/>
  <c r="Z77" i="98"/>
  <c r="AA78" i="98"/>
  <c r="Z91" i="98"/>
  <c r="Y91" i="98" s="1"/>
  <c r="Y95" i="98"/>
  <c r="Z99" i="98"/>
  <c r="Z15" i="99"/>
  <c r="Y15" i="99" s="1"/>
  <c r="Z23" i="99"/>
  <c r="Z41" i="99"/>
  <c r="Z44" i="99"/>
  <c r="Z68" i="99"/>
  <c r="Z71" i="99"/>
  <c r="Z88" i="99"/>
  <c r="AA89" i="99"/>
  <c r="Z93" i="99"/>
  <c r="AA98" i="99"/>
  <c r="AA14" i="100"/>
  <c r="Z16" i="100"/>
  <c r="AA17" i="100"/>
  <c r="Z23" i="100"/>
  <c r="AA24" i="100"/>
  <c r="AA25" i="100"/>
  <c r="Z27" i="100"/>
  <c r="Z43" i="100"/>
  <c r="AA68" i="100"/>
  <c r="Z68" i="100" s="1"/>
  <c r="Z71" i="100"/>
  <c r="Y71" i="100" s="1"/>
  <c r="Z95" i="100"/>
  <c r="Y95" i="100" s="1"/>
  <c r="Z99" i="100"/>
  <c r="Y99" i="100" s="1"/>
  <c r="Z19" i="101"/>
  <c r="Z23" i="101"/>
  <c r="Z31" i="101"/>
  <c r="Z41" i="101"/>
  <c r="Z69" i="101"/>
  <c r="Z85" i="101"/>
  <c r="AA88" i="101"/>
  <c r="Z16" i="102"/>
  <c r="Y16" i="102" s="1"/>
  <c r="X16" i="102" s="1"/>
  <c r="Z31" i="102"/>
  <c r="Z34" i="102"/>
  <c r="Y34" i="102" s="1"/>
  <c r="X34" i="102" s="1"/>
  <c r="Z71" i="102"/>
  <c r="Y71" i="102" s="1"/>
  <c r="Z75" i="102"/>
  <c r="Z77" i="102"/>
  <c r="Y77" i="102" s="1"/>
  <c r="Z84" i="102"/>
  <c r="Z88" i="102"/>
  <c r="Y88" i="102" s="1"/>
  <c r="Z91" i="102"/>
  <c r="Z98" i="102"/>
  <c r="AA18" i="103"/>
  <c r="Z34" i="103"/>
  <c r="Y34" i="103" s="1"/>
  <c r="Z42" i="103"/>
  <c r="Y42" i="103" s="1"/>
  <c r="Z45" i="103"/>
  <c r="Z73" i="103"/>
  <c r="Y73" i="103" s="1"/>
  <c r="Z75" i="103"/>
  <c r="Z82" i="103"/>
  <c r="Z89" i="103"/>
  <c r="Y89" i="103" s="1"/>
  <c r="Z91" i="103"/>
  <c r="Z37" i="104"/>
  <c r="Z44" i="104"/>
  <c r="Z88" i="104"/>
  <c r="Z92" i="104"/>
  <c r="Z15" i="105"/>
  <c r="AA16" i="105"/>
  <c r="Z28" i="105"/>
  <c r="Z32" i="105"/>
  <c r="Y34" i="105"/>
  <c r="X34" i="105" s="1"/>
  <c r="Y38" i="105"/>
  <c r="X38" i="105" s="1"/>
  <c r="Y40" i="105"/>
  <c r="X40" i="105" s="1"/>
  <c r="Z79" i="105"/>
  <c r="Z94" i="105"/>
  <c r="Z96" i="105"/>
  <c r="Y96" i="105" s="1"/>
  <c r="AF48" i="106"/>
  <c r="Y15" i="106"/>
  <c r="X15" i="106" s="1"/>
  <c r="Z16" i="106"/>
  <c r="Y23" i="106"/>
  <c r="X23" i="106" s="1"/>
  <c r="Z24" i="106"/>
  <c r="Z27" i="106"/>
  <c r="AA36" i="106"/>
  <c r="Z45" i="106"/>
  <c r="AA68" i="106"/>
  <c r="Z77" i="106"/>
  <c r="Y81" i="106"/>
  <c r="AA82" i="106"/>
  <c r="Z85" i="106"/>
  <c r="Y85" i="106" s="1"/>
  <c r="Y90" i="106"/>
  <c r="X90" i="106" s="1"/>
  <c r="Z99" i="106"/>
  <c r="Z22" i="107"/>
  <c r="Z29" i="107"/>
  <c r="Y32" i="107"/>
  <c r="X32" i="107" s="1"/>
  <c r="AA34" i="107"/>
  <c r="Z69" i="107"/>
  <c r="Z76" i="107"/>
  <c r="Z79" i="107"/>
  <c r="Y92" i="107"/>
  <c r="Z98" i="107"/>
  <c r="Y98" i="107" s="1"/>
  <c r="AE48" i="108"/>
  <c r="Z15" i="108"/>
  <c r="Z72" i="108"/>
  <c r="AA73" i="108"/>
  <c r="Z73" i="108" s="1"/>
  <c r="Z86" i="108"/>
  <c r="Z90" i="108"/>
  <c r="Z22" i="109"/>
  <c r="Z26" i="109"/>
  <c r="Z38" i="109"/>
  <c r="AF102" i="109"/>
  <c r="Z69" i="109"/>
  <c r="Z29" i="110"/>
  <c r="Y29" i="110" s="1"/>
  <c r="X29" i="110" s="1"/>
  <c r="Z33" i="110"/>
  <c r="Y33" i="110" s="1"/>
  <c r="X33" i="110" s="1"/>
  <c r="Z37" i="110"/>
  <c r="Y37" i="110" s="1"/>
  <c r="X37" i="110" s="1"/>
  <c r="Z71" i="110"/>
  <c r="Z82" i="110"/>
  <c r="Z83" i="110"/>
  <c r="Y236" i="116"/>
  <c r="Z17" i="95"/>
  <c r="AE48" i="95"/>
  <c r="N19" i="95"/>
  <c r="AA19" i="95" s="1"/>
  <c r="N21" i="95"/>
  <c r="AA21" i="95" s="1"/>
  <c r="Z23" i="95"/>
  <c r="Y23" i="95" s="1"/>
  <c r="X23" i="95" s="1"/>
  <c r="Z26" i="95"/>
  <c r="Y26" i="95" s="1"/>
  <c r="X26" i="95" s="1"/>
  <c r="X33" i="95"/>
  <c r="Z35" i="95"/>
  <c r="Y35" i="95" s="1"/>
  <c r="X35" i="95" s="1"/>
  <c r="Z39" i="95"/>
  <c r="Y39" i="95" s="1"/>
  <c r="X39" i="95" s="1"/>
  <c r="N42" i="95"/>
  <c r="AA42" i="95" s="1"/>
  <c r="Z43" i="95"/>
  <c r="Y43" i="95" s="1"/>
  <c r="X43" i="95" s="1"/>
  <c r="AA44" i="95"/>
  <c r="N46" i="95"/>
  <c r="AA46" i="95" s="1"/>
  <c r="AE102" i="95"/>
  <c r="AD102" i="95" s="1"/>
  <c r="Y70" i="95"/>
  <c r="Y75" i="95"/>
  <c r="X75" i="95" s="1"/>
  <c r="Z81" i="95"/>
  <c r="N84" i="95"/>
  <c r="AA84" i="95" s="1"/>
  <c r="Y88" i="95"/>
  <c r="Y89" i="95"/>
  <c r="X89" i="95" s="1"/>
  <c r="Y90" i="95"/>
  <c r="X90" i="95" s="1"/>
  <c r="Y92" i="95"/>
  <c r="Y96" i="95"/>
  <c r="AA98" i="95"/>
  <c r="Y98" i="95"/>
  <c r="F48" i="96"/>
  <c r="W48" i="96"/>
  <c r="Z18" i="96"/>
  <c r="Z22" i="96"/>
  <c r="N23" i="96"/>
  <c r="AA23" i="96" s="1"/>
  <c r="Z27" i="96"/>
  <c r="Y27" i="96" s="1"/>
  <c r="Y28" i="96"/>
  <c r="AA28" i="96"/>
  <c r="Z31" i="96"/>
  <c r="Z35" i="96"/>
  <c r="Z40" i="96"/>
  <c r="Z45" i="96"/>
  <c r="Y45" i="96" s="1"/>
  <c r="W102" i="96"/>
  <c r="Y67" i="96"/>
  <c r="X67" i="96" s="1"/>
  <c r="N69" i="96"/>
  <c r="AA69" i="96" s="1"/>
  <c r="V102" i="96"/>
  <c r="Z71" i="96"/>
  <c r="Z82" i="96"/>
  <c r="Z87" i="96"/>
  <c r="Y87" i="96" s="1"/>
  <c r="N89" i="96"/>
  <c r="AA89" i="96" s="1"/>
  <c r="Z95" i="96"/>
  <c r="Y95" i="96" s="1"/>
  <c r="AA95" i="96"/>
  <c r="Z97" i="96"/>
  <c r="Y97" i="96" s="1"/>
  <c r="Y98" i="96"/>
  <c r="X98" i="96" s="1"/>
  <c r="N100" i="96"/>
  <c r="AA100" i="96" s="1"/>
  <c r="Z100" i="96" s="1"/>
  <c r="AA14" i="97"/>
  <c r="Y29" i="97"/>
  <c r="N32" i="97"/>
  <c r="AA32" i="97" s="1"/>
  <c r="AA35" i="97"/>
  <c r="Z35" i="97" s="1"/>
  <c r="Y40" i="97"/>
  <c r="N42" i="97"/>
  <c r="AA42" i="97" s="1"/>
  <c r="Z42" i="97" s="1"/>
  <c r="Y46" i="97"/>
  <c r="Z73" i="97"/>
  <c r="Z74" i="97"/>
  <c r="Z75" i="97"/>
  <c r="Z76" i="97"/>
  <c r="Z78" i="97"/>
  <c r="Z79" i="97"/>
  <c r="Z85" i="97"/>
  <c r="Y88" i="97"/>
  <c r="Z89" i="97"/>
  <c r="Y89" i="97" s="1"/>
  <c r="Z15" i="98"/>
  <c r="Y15" i="98" s="1"/>
  <c r="F48" i="98"/>
  <c r="Z20" i="98"/>
  <c r="Z23" i="98"/>
  <c r="Y23" i="98" s="1"/>
  <c r="N30" i="98"/>
  <c r="AA30" i="98" s="1"/>
  <c r="Z34" i="98"/>
  <c r="Y34" i="98" s="1"/>
  <c r="N36" i="98"/>
  <c r="AA36" i="98" s="1"/>
  <c r="Z40" i="98"/>
  <c r="Y41" i="98"/>
  <c r="X41" i="98" s="1"/>
  <c r="AA43" i="98"/>
  <c r="Z46" i="98"/>
  <c r="Y46" i="98" s="1"/>
  <c r="AE102" i="98"/>
  <c r="Z73" i="98"/>
  <c r="AA73" i="98"/>
  <c r="Z75" i="98"/>
  <c r="AA77" i="98"/>
  <c r="Z81" i="98"/>
  <c r="Z84" i="98"/>
  <c r="AA93" i="98"/>
  <c r="Z97" i="98"/>
  <c r="Y97" i="98" s="1"/>
  <c r="Y14" i="99"/>
  <c r="Z26" i="99"/>
  <c r="Y26" i="99" s="1"/>
  <c r="N31" i="99"/>
  <c r="AA31" i="99" s="1"/>
  <c r="Z33" i="99"/>
  <c r="Y34" i="99"/>
  <c r="X34" i="99" s="1"/>
  <c r="Z35" i="99"/>
  <c r="Y36" i="99"/>
  <c r="X36" i="99" s="1"/>
  <c r="AA40" i="99"/>
  <c r="N43" i="99"/>
  <c r="AA43" i="99" s="1"/>
  <c r="N45" i="99"/>
  <c r="AA45" i="99" s="1"/>
  <c r="Z45" i="99" s="1"/>
  <c r="AE102" i="99"/>
  <c r="N68" i="99"/>
  <c r="AA68" i="99" s="1"/>
  <c r="AA69" i="99"/>
  <c r="Y71" i="99"/>
  <c r="Y73" i="99"/>
  <c r="Z74" i="99"/>
  <c r="Z76" i="99"/>
  <c r="Z77" i="99"/>
  <c r="AF102" i="99"/>
  <c r="AA83" i="99"/>
  <c r="Z83" i="99"/>
  <c r="Z84" i="99"/>
  <c r="Z85" i="99"/>
  <c r="AA91" i="99"/>
  <c r="N92" i="99"/>
  <c r="AA92" i="99" s="1"/>
  <c r="Y98" i="99"/>
  <c r="Y100" i="99"/>
  <c r="F48" i="100"/>
  <c r="W48" i="100"/>
  <c r="V48" i="100"/>
  <c r="U48" i="100" s="1"/>
  <c r="AD48" i="100"/>
  <c r="AA15" i="100"/>
  <c r="AA16" i="100"/>
  <c r="Z19" i="100"/>
  <c r="AA20" i="100"/>
  <c r="Y26" i="100"/>
  <c r="Y27" i="100"/>
  <c r="Y30" i="100"/>
  <c r="Y31" i="100"/>
  <c r="AA31" i="100"/>
  <c r="AA32" i="100"/>
  <c r="Z35" i="100"/>
  <c r="H15" i="74"/>
  <c r="H49" i="74"/>
  <c r="AD48" i="95"/>
  <c r="N23" i="95"/>
  <c r="AA23" i="95" s="1"/>
  <c r="Z24" i="95"/>
  <c r="Y24" i="95" s="1"/>
  <c r="N26" i="95"/>
  <c r="AA26" i="95" s="1"/>
  <c r="N35" i="95"/>
  <c r="AA35" i="95" s="1"/>
  <c r="Z36" i="95"/>
  <c r="Y36" i="95" s="1"/>
  <c r="N39" i="95"/>
  <c r="AA39" i="95" s="1"/>
  <c r="N41" i="95"/>
  <c r="Z41" i="95"/>
  <c r="Y69" i="95"/>
  <c r="AA71" i="95"/>
  <c r="AA73" i="95"/>
  <c r="V102" i="95"/>
  <c r="AA75" i="95"/>
  <c r="X84" i="95"/>
  <c r="Y87" i="95"/>
  <c r="X87" i="95" s="1"/>
  <c r="AD48" i="96"/>
  <c r="N18" i="96"/>
  <c r="AA18" i="96" s="1"/>
  <c r="Z24" i="96"/>
  <c r="Y24" i="96" s="1"/>
  <c r="N31" i="96"/>
  <c r="AE102" i="96"/>
  <c r="AD102" i="96" s="1"/>
  <c r="AC102" i="96" s="1"/>
  <c r="Z72" i="96"/>
  <c r="AA76" i="96"/>
  <c r="Z90" i="96"/>
  <c r="Z17" i="97"/>
  <c r="N18" i="97"/>
  <c r="AA18" i="97" s="1"/>
  <c r="AE48" i="97"/>
  <c r="Z26" i="97"/>
  <c r="N28" i="97"/>
  <c r="AA28" i="97" s="1"/>
  <c r="X29" i="97"/>
  <c r="Y31" i="97"/>
  <c r="Z32" i="97"/>
  <c r="X32" i="97"/>
  <c r="Y35" i="97"/>
  <c r="X35" i="97" s="1"/>
  <c r="X40" i="97"/>
  <c r="X42" i="97"/>
  <c r="AA45" i="97"/>
  <c r="X46" i="97"/>
  <c r="Y72" i="97"/>
  <c r="AA72" i="97"/>
  <c r="F102" i="97"/>
  <c r="N89" i="97"/>
  <c r="AA89" i="97" s="1"/>
  <c r="Z99" i="97"/>
  <c r="Y100" i="97"/>
  <c r="N14" i="98"/>
  <c r="AA14" i="98" s="1"/>
  <c r="N20" i="98"/>
  <c r="AA27" i="98"/>
  <c r="Z31" i="98"/>
  <c r="Y31" i="98" s="1"/>
  <c r="AA39" i="98"/>
  <c r="N46" i="98"/>
  <c r="AA46" i="98" s="1"/>
  <c r="Y74" i="98"/>
  <c r="Y82" i="98"/>
  <c r="N87" i="98"/>
  <c r="AA87" i="98" s="1"/>
  <c r="Y96" i="98"/>
  <c r="V48" i="99"/>
  <c r="Z18" i="99"/>
  <c r="Y18" i="99" s="1"/>
  <c r="Z22" i="99"/>
  <c r="Y22" i="99" s="1"/>
  <c r="AD48" i="99"/>
  <c r="AC48" i="99" s="1"/>
  <c r="AA41" i="99"/>
  <c r="N76" i="99"/>
  <c r="AA76" i="99" s="1"/>
  <c r="N84" i="99"/>
  <c r="AA84" i="99" s="1"/>
  <c r="Y87" i="99"/>
  <c r="Y34" i="100"/>
  <c r="AA36" i="100"/>
  <c r="Y45" i="100"/>
  <c r="Y66" i="100"/>
  <c r="AE102" i="100"/>
  <c r="AF102" i="100"/>
  <c r="Z13" i="101"/>
  <c r="Y14" i="101"/>
  <c r="Y15" i="101"/>
  <c r="Y17" i="101"/>
  <c r="Z18" i="101"/>
  <c r="Z20" i="101"/>
  <c r="Z21" i="101"/>
  <c r="AA22" i="101"/>
  <c r="Z26" i="101"/>
  <c r="Y27" i="101"/>
  <c r="Z28" i="101"/>
  <c r="Z29" i="101"/>
  <c r="Z34" i="101"/>
  <c r="AA34" i="101"/>
  <c r="Z36" i="101"/>
  <c r="Z37" i="101"/>
  <c r="AA37" i="101"/>
  <c r="Y42" i="101"/>
  <c r="AA43" i="101"/>
  <c r="Y45" i="101"/>
  <c r="AD102" i="101"/>
  <c r="AF102" i="101"/>
  <c r="W102" i="101"/>
  <c r="AA68" i="101"/>
  <c r="Y70" i="101"/>
  <c r="Y74" i="101"/>
  <c r="Y75" i="101"/>
  <c r="AA76" i="101"/>
  <c r="Y77" i="101"/>
  <c r="Y80" i="101"/>
  <c r="AA81" i="101"/>
  <c r="Z81" i="101" s="1"/>
  <c r="Z84" i="101"/>
  <c r="AA84" i="101"/>
  <c r="Y86" i="101"/>
  <c r="Y90" i="101"/>
  <c r="Y91" i="101"/>
  <c r="AA92" i="101"/>
  <c r="Y93" i="101"/>
  <c r="Y96" i="101"/>
  <c r="AA97" i="101"/>
  <c r="Z97" i="101" s="1"/>
  <c r="Z100" i="101"/>
  <c r="AA100" i="101"/>
  <c r="AD48" i="102"/>
  <c r="Z14" i="102"/>
  <c r="Y14" i="102" s="1"/>
  <c r="X14" i="102" s="1"/>
  <c r="V48" i="102"/>
  <c r="AF48" i="102"/>
  <c r="N18" i="102"/>
  <c r="AA18" i="102" s="1"/>
  <c r="Z19" i="102"/>
  <c r="Z20" i="102"/>
  <c r="Y20" i="102" s="1"/>
  <c r="X20" i="102" s="1"/>
  <c r="Z22" i="102"/>
  <c r="Y22" i="102" s="1"/>
  <c r="X22" i="102" s="1"/>
  <c r="N26" i="102"/>
  <c r="AA26" i="102" s="1"/>
  <c r="Z27" i="102"/>
  <c r="Z28" i="102"/>
  <c r="Y28" i="102" s="1"/>
  <c r="X28" i="102" s="1"/>
  <c r="Z30" i="102"/>
  <c r="Y30" i="102" s="1"/>
  <c r="X30" i="102" s="1"/>
  <c r="N34" i="102"/>
  <c r="AA34" i="102" s="1"/>
  <c r="Z35" i="102"/>
  <c r="Z36" i="102"/>
  <c r="Y36" i="102" s="1"/>
  <c r="X36" i="102" s="1"/>
  <c r="Z38" i="102"/>
  <c r="Y38" i="102" s="1"/>
  <c r="X38" i="102" s="1"/>
  <c r="N42" i="102"/>
  <c r="AA42" i="102" s="1"/>
  <c r="Z43" i="102"/>
  <c r="Z44" i="102"/>
  <c r="Y44" i="102" s="1"/>
  <c r="X44" i="102" s="1"/>
  <c r="Z46" i="102"/>
  <c r="Y46" i="102" s="1"/>
  <c r="X46" i="102" s="1"/>
  <c r="N67" i="102"/>
  <c r="AA67" i="102" s="1"/>
  <c r="AC102" i="102"/>
  <c r="AA68" i="102"/>
  <c r="W102" i="102"/>
  <c r="N70" i="102"/>
  <c r="AA70" i="102" s="1"/>
  <c r="Z72" i="102"/>
  <c r="Y75" i="102"/>
  <c r="Z79" i="102"/>
  <c r="Z80" i="102"/>
  <c r="Y80" i="102" s="1"/>
  <c r="Y81" i="102"/>
  <c r="Y84" i="102"/>
  <c r="Z85" i="102"/>
  <c r="Z86" i="102"/>
  <c r="Z87" i="102"/>
  <c r="Y87" i="102" s="1"/>
  <c r="AA87" i="102"/>
  <c r="Y89" i="102"/>
  <c r="Z90" i="102"/>
  <c r="Z93" i="102"/>
  <c r="Z96" i="102"/>
  <c r="Y96" i="102" s="1"/>
  <c r="Y100" i="102"/>
  <c r="Z13" i="103"/>
  <c r="AE48" i="103"/>
  <c r="AA22" i="103"/>
  <c r="Y32" i="103"/>
  <c r="Z33" i="103"/>
  <c r="N36" i="103"/>
  <c r="AA36" i="103" s="1"/>
  <c r="N41" i="103"/>
  <c r="AA41" i="103" s="1"/>
  <c r="AA42" i="103"/>
  <c r="AA46" i="103"/>
  <c r="Z67" i="103"/>
  <c r="Z69" i="103"/>
  <c r="Y69" i="103" s="1"/>
  <c r="Y70" i="103"/>
  <c r="Y72" i="103"/>
  <c r="Z76" i="103"/>
  <c r="AA76" i="103"/>
  <c r="AA77" i="103"/>
  <c r="Y80" i="103"/>
  <c r="Z84" i="103"/>
  <c r="AA84" i="103"/>
  <c r="AA85" i="103"/>
  <c r="Y88" i="103"/>
  <c r="Z92" i="103"/>
  <c r="AA92" i="103"/>
  <c r="AA95" i="103"/>
  <c r="Y100" i="103"/>
  <c r="AC48" i="104"/>
  <c r="W48" i="104"/>
  <c r="AD48" i="104"/>
  <c r="Y20" i="104"/>
  <c r="Z21" i="104"/>
  <c r="Y27" i="104"/>
  <c r="Z32" i="104"/>
  <c r="Y32" i="104" s="1"/>
  <c r="N34" i="104"/>
  <c r="AA34" i="104" s="1"/>
  <c r="Z34" i="104" s="1"/>
  <c r="Z36" i="104"/>
  <c r="Z67" i="104"/>
  <c r="Z68" i="104"/>
  <c r="V102" i="104"/>
  <c r="Z70" i="104"/>
  <c r="Z71" i="104"/>
  <c r="Z72" i="104"/>
  <c r="Z76" i="104"/>
  <c r="Z78" i="104"/>
  <c r="Z79" i="104"/>
  <c r="Z80" i="104"/>
  <c r="AA80" i="104"/>
  <c r="Z84" i="104"/>
  <c r="Z89" i="104"/>
  <c r="Z90" i="104"/>
  <c r="Y92" i="104"/>
  <c r="Z94" i="104"/>
  <c r="Z97" i="104"/>
  <c r="Z98" i="104"/>
  <c r="Y100" i="104"/>
  <c r="Z13" i="105"/>
  <c r="Y14" i="105"/>
  <c r="X14" i="105" s="1"/>
  <c r="Z19" i="105"/>
  <c r="N24" i="105"/>
  <c r="AA24" i="105" s="1"/>
  <c r="Z31" i="105"/>
  <c r="Z36" i="105"/>
  <c r="N38" i="105"/>
  <c r="AA38" i="105" s="1"/>
  <c r="Z38" i="105" s="1"/>
  <c r="Z39" i="105"/>
  <c r="Z41" i="105"/>
  <c r="Z44" i="105"/>
  <c r="N67" i="105"/>
  <c r="AA67" i="105" s="1"/>
  <c r="N68" i="105"/>
  <c r="AA68" i="105" s="1"/>
  <c r="Z68" i="105" s="1"/>
  <c r="Y70" i="105"/>
  <c r="X70" i="105" s="1"/>
  <c r="Z73" i="105"/>
  <c r="Z80" i="105"/>
  <c r="Y80" i="105" s="1"/>
  <c r="AA80" i="105"/>
  <c r="N92" i="105"/>
  <c r="AA92" i="105" s="1"/>
  <c r="Z99" i="105"/>
  <c r="Y99" i="105" s="1"/>
  <c r="Z17" i="106"/>
  <c r="Z18" i="106"/>
  <c r="Y20" i="106"/>
  <c r="X20" i="106" s="1"/>
  <c r="AA21" i="106"/>
  <c r="Z21" i="106" s="1"/>
  <c r="N24" i="106"/>
  <c r="AA24" i="106" s="1"/>
  <c r="Y26" i="106"/>
  <c r="X26" i="106" s="1"/>
  <c r="Y28" i="106"/>
  <c r="X28" i="106" s="1"/>
  <c r="Z31" i="106"/>
  <c r="AA31" i="106"/>
  <c r="Y34" i="106"/>
  <c r="X34" i="106" s="1"/>
  <c r="Y36" i="106"/>
  <c r="AA38" i="106"/>
  <c r="Y39" i="106"/>
  <c r="X39" i="106" s="1"/>
  <c r="Z40" i="106"/>
  <c r="Z43" i="106"/>
  <c r="Y44" i="106"/>
  <c r="X44" i="106" s="1"/>
  <c r="N45" i="106"/>
  <c r="AA45" i="106" s="1"/>
  <c r="AD102" i="106"/>
  <c r="Z69" i="106"/>
  <c r="N71" i="106"/>
  <c r="AA71" i="106" s="1"/>
  <c r="Z71" i="106" s="1"/>
  <c r="Z73" i="106"/>
  <c r="Y73" i="106" s="1"/>
  <c r="Z83" i="106"/>
  <c r="Y83" i="106" s="1"/>
  <c r="AA84" i="106"/>
  <c r="Z86" i="106"/>
  <c r="Y86" i="106" s="1"/>
  <c r="X86" i="106" s="1"/>
  <c r="N89" i="106"/>
  <c r="AA89" i="106" s="1"/>
  <c r="Y99" i="106"/>
  <c r="AE48" i="107"/>
  <c r="N14" i="107"/>
  <c r="AA14" i="107" s="1"/>
  <c r="AD48" i="107"/>
  <c r="Z15" i="107"/>
  <c r="Y15" i="107" s="1"/>
  <c r="X15" i="107" s="1"/>
  <c r="Z17" i="107"/>
  <c r="Z18" i="107"/>
  <c r="Z20" i="107"/>
  <c r="AA23" i="107"/>
  <c r="Y24" i="107"/>
  <c r="X24" i="107" s="1"/>
  <c r="N29" i="107"/>
  <c r="AA29" i="107" s="1"/>
  <c r="Z31" i="107"/>
  <c r="Y31" i="107" s="1"/>
  <c r="X31" i="107" s="1"/>
  <c r="Z33" i="107"/>
  <c r="Z34" i="107"/>
  <c r="Z39" i="107"/>
  <c r="Y39" i="107" s="1"/>
  <c r="X39" i="107" s="1"/>
  <c r="AA40" i="107"/>
  <c r="N45" i="107"/>
  <c r="AA45" i="107" s="1"/>
  <c r="Z67" i="107"/>
  <c r="Y71" i="107"/>
  <c r="Z74" i="107"/>
  <c r="Y74" i="107" s="1"/>
  <c r="AA75" i="107"/>
  <c r="Y75" i="107"/>
  <c r="X75" i="107" s="1"/>
  <c r="Z77" i="107"/>
  <c r="AA83" i="107"/>
  <c r="Z83" i="107" s="1"/>
  <c r="Y83" i="107"/>
  <c r="X83" i="107" s="1"/>
  <c r="Z86" i="107"/>
  <c r="N88" i="107"/>
  <c r="AA88" i="107" s="1"/>
  <c r="N93" i="107"/>
  <c r="AA93" i="107" s="1"/>
  <c r="AA95" i="107"/>
  <c r="Z95" i="107" s="1"/>
  <c r="Y95" i="107"/>
  <c r="Y96" i="107"/>
  <c r="F48" i="108"/>
  <c r="AD48" i="108"/>
  <c r="Z14" i="108"/>
  <c r="Z16" i="108"/>
  <c r="AA70" i="108"/>
  <c r="Y72" i="108"/>
  <c r="X72" i="108" s="1"/>
  <c r="N75" i="108"/>
  <c r="AA75" i="108" s="1"/>
  <c r="AA76" i="108"/>
  <c r="Z76" i="108" s="1"/>
  <c r="Y78" i="108"/>
  <c r="X78" i="108" s="1"/>
  <c r="Y80" i="108"/>
  <c r="X80" i="108" s="1"/>
  <c r="AA81" i="108"/>
  <c r="Y82" i="108"/>
  <c r="X82" i="108" s="1"/>
  <c r="Z83" i="108"/>
  <c r="Y89" i="108"/>
  <c r="Y92" i="108"/>
  <c r="X92" i="108" s="1"/>
  <c r="AA97" i="108"/>
  <c r="AA21" i="109"/>
  <c r="AA25" i="109"/>
  <c r="N34" i="109"/>
  <c r="AA34" i="109" s="1"/>
  <c r="N35" i="109"/>
  <c r="AA35" i="109" s="1"/>
  <c r="AA36" i="109"/>
  <c r="AA40" i="109"/>
  <c r="Y44" i="109"/>
  <c r="X44" i="109" s="1"/>
  <c r="Y45" i="109"/>
  <c r="X45" i="109" s="1"/>
  <c r="Y70" i="109"/>
  <c r="X70" i="109" s="1"/>
  <c r="Y72" i="109"/>
  <c r="X72" i="109" s="1"/>
  <c r="Y76" i="109"/>
  <c r="X76" i="109" s="1"/>
  <c r="Y82" i="109"/>
  <c r="X82" i="109" s="1"/>
  <c r="AA98" i="109"/>
  <c r="Y13" i="110"/>
  <c r="AE48" i="110"/>
  <c r="AD48" i="110"/>
  <c r="Z20" i="110"/>
  <c r="Y20" i="110" s="1"/>
  <c r="N21" i="110"/>
  <c r="AA21" i="110" s="1"/>
  <c r="N24" i="110"/>
  <c r="AA24" i="110" s="1"/>
  <c r="Z24" i="110" s="1"/>
  <c r="N34" i="110"/>
  <c r="AA34" i="110" s="1"/>
  <c r="N39" i="110"/>
  <c r="AA39" i="110" s="1"/>
  <c r="N41" i="110"/>
  <c r="AA41" i="110" s="1"/>
  <c r="Y83" i="110"/>
  <c r="Y85" i="110"/>
  <c r="Z94" i="110"/>
  <c r="N95" i="110"/>
  <c r="AA95" i="110" s="1"/>
  <c r="M102" i="100"/>
  <c r="Z75" i="100"/>
  <c r="Y75" i="100" s="1"/>
  <c r="Z79" i="100"/>
  <c r="Y79" i="100" s="1"/>
  <c r="Z91" i="100"/>
  <c r="Y91" i="100" s="1"/>
  <c r="Y19" i="101"/>
  <c r="Y25" i="101"/>
  <c r="Y35" i="101"/>
  <c r="Y69" i="101"/>
  <c r="Z73" i="101"/>
  <c r="Y85" i="101"/>
  <c r="Z89" i="101"/>
  <c r="AE48" i="102"/>
  <c r="N22" i="102"/>
  <c r="AA22" i="102" s="1"/>
  <c r="N30" i="102"/>
  <c r="AA30" i="102" s="1"/>
  <c r="N38" i="102"/>
  <c r="AA38" i="102" s="1"/>
  <c r="N46" i="102"/>
  <c r="AA46" i="102" s="1"/>
  <c r="AD102" i="102"/>
  <c r="N74" i="102"/>
  <c r="AA74" i="102" s="1"/>
  <c r="Z74" i="102" s="1"/>
  <c r="N90" i="102"/>
  <c r="Z26" i="103"/>
  <c r="Y26" i="103" s="1"/>
  <c r="N33" i="103"/>
  <c r="AA33" i="103" s="1"/>
  <c r="AE102" i="103"/>
  <c r="AD102" i="103" s="1"/>
  <c r="Y13" i="104"/>
  <c r="Y14" i="104"/>
  <c r="F48" i="104"/>
  <c r="Y28" i="104"/>
  <c r="Y35" i="104"/>
  <c r="Y43" i="104"/>
  <c r="Y88" i="104"/>
  <c r="AA88" i="104"/>
  <c r="N94" i="104"/>
  <c r="AA94" i="104" s="1"/>
  <c r="AA96" i="104"/>
  <c r="N13" i="105"/>
  <c r="AA13" i="105" s="1"/>
  <c r="Y16" i="105"/>
  <c r="V48" i="105"/>
  <c r="N23" i="105"/>
  <c r="AA23" i="105" s="1"/>
  <c r="N36" i="105"/>
  <c r="AA36" i="105" s="1"/>
  <c r="N37" i="105"/>
  <c r="AA37" i="105" s="1"/>
  <c r="Z40" i="105"/>
  <c r="F102" i="105"/>
  <c r="Y79" i="105"/>
  <c r="AA86" i="105"/>
  <c r="Z93" i="105"/>
  <c r="AA98" i="105"/>
  <c r="Z20" i="106"/>
  <c r="AA28" i="106"/>
  <c r="Z28" i="106" s="1"/>
  <c r="N34" i="106"/>
  <c r="AA34" i="106" s="1"/>
  <c r="Z34" i="106" s="1"/>
  <c r="Z35" i="106"/>
  <c r="AC102" i="106"/>
  <c r="N73" i="106"/>
  <c r="Y75" i="106"/>
  <c r="Y82" i="106"/>
  <c r="Y87" i="106"/>
  <c r="Z98" i="106"/>
  <c r="N17" i="107"/>
  <c r="AA17" i="107" s="1"/>
  <c r="Z23" i="107"/>
  <c r="Y23" i="107" s="1"/>
  <c r="X23" i="107" s="1"/>
  <c r="V48" i="107"/>
  <c r="N33" i="107"/>
  <c r="AA33" i="107" s="1"/>
  <c r="AA39" i="107"/>
  <c r="N46" i="107"/>
  <c r="AA46" i="107" s="1"/>
  <c r="Y45" i="108"/>
  <c r="X45" i="108" s="1"/>
  <c r="N67" i="108"/>
  <c r="AA67" i="108" s="1"/>
  <c r="W102" i="108"/>
  <c r="Y69" i="108"/>
  <c r="AF102" i="108"/>
  <c r="AE102" i="108" s="1"/>
  <c r="Y73" i="108"/>
  <c r="N83" i="108"/>
  <c r="AA83" i="108" s="1"/>
  <c r="Z84" i="108"/>
  <c r="N85" i="108"/>
  <c r="AA85" i="108" s="1"/>
  <c r="Y90" i="108"/>
  <c r="X90" i="108" s="1"/>
  <c r="Z98" i="108"/>
  <c r="N14" i="109"/>
  <c r="AA14" i="109" s="1"/>
  <c r="N15" i="109"/>
  <c r="AA15" i="109" s="1"/>
  <c r="Z16" i="109"/>
  <c r="Y17" i="109"/>
  <c r="X17" i="109" s="1"/>
  <c r="Z18" i="109"/>
  <c r="Z19" i="109"/>
  <c r="AF48" i="109"/>
  <c r="Y21" i="109"/>
  <c r="X21" i="109" s="1"/>
  <c r="Y25" i="109"/>
  <c r="X25" i="109" s="1"/>
  <c r="Z28" i="109"/>
  <c r="Z29" i="109"/>
  <c r="Z34" i="109"/>
  <c r="X34" i="109"/>
  <c r="Z37" i="109"/>
  <c r="Y40" i="109"/>
  <c r="X40" i="109" s="1"/>
  <c r="Z67" i="109"/>
  <c r="Y74" i="109"/>
  <c r="X74" i="109" s="1"/>
  <c r="Y78" i="109"/>
  <c r="X78" i="109" s="1"/>
  <c r="Y80" i="109"/>
  <c r="X80" i="109" s="1"/>
  <c r="Y84" i="109"/>
  <c r="X84" i="109" s="1"/>
  <c r="Z87" i="109"/>
  <c r="AA88" i="109"/>
  <c r="Y88" i="109"/>
  <c r="X88" i="109" s="1"/>
  <c r="Z91" i="109"/>
  <c r="Y92" i="109"/>
  <c r="X92" i="109" s="1"/>
  <c r="Z95" i="109"/>
  <c r="AA96" i="109"/>
  <c r="Y96" i="109"/>
  <c r="X96" i="109" s="1"/>
  <c r="Z99" i="109"/>
  <c r="Y100" i="109"/>
  <c r="X100" i="109" s="1"/>
  <c r="X13" i="110"/>
  <c r="Z14" i="110"/>
  <c r="X20" i="110"/>
  <c r="Z21" i="110"/>
  <c r="Y21" i="110" s="1"/>
  <c r="X21" i="110" s="1"/>
  <c r="N23" i="110"/>
  <c r="AA23" i="110" s="1"/>
  <c r="Y24" i="110"/>
  <c r="X24" i="110" s="1"/>
  <c r="N25" i="110"/>
  <c r="AA25" i="110" s="1"/>
  <c r="Z30" i="110"/>
  <c r="Z34" i="110"/>
  <c r="X34" i="110"/>
  <c r="Z35" i="110"/>
  <c r="Y36" i="110"/>
  <c r="X36" i="110" s="1"/>
  <c r="N37" i="110"/>
  <c r="AA37" i="110" s="1"/>
  <c r="N40" i="110"/>
  <c r="AA40" i="110" s="1"/>
  <c r="Z40" i="110" s="1"/>
  <c r="Z45" i="110"/>
  <c r="Y45" i="110" s="1"/>
  <c r="X45" i="110" s="1"/>
  <c r="F102" i="110"/>
  <c r="W102" i="110"/>
  <c r="AE102" i="110"/>
  <c r="N67" i="110"/>
  <c r="AA67" i="110" s="1"/>
  <c r="Z68" i="110"/>
  <c r="V102" i="110"/>
  <c r="Y75" i="110"/>
  <c r="X75" i="110" s="1"/>
  <c r="Y78" i="110"/>
  <c r="X78" i="110" s="1"/>
  <c r="Z79" i="110"/>
  <c r="Y82" i="110"/>
  <c r="X82" i="110" s="1"/>
  <c r="X83" i="110"/>
  <c r="X85" i="110"/>
  <c r="N87" i="110"/>
  <c r="Z88" i="110"/>
  <c r="Y89" i="110"/>
  <c r="Y90" i="110"/>
  <c r="AA92" i="110"/>
  <c r="Z93" i="110"/>
  <c r="AA93" i="110"/>
  <c r="Y94" i="110"/>
  <c r="X94" i="110" s="1"/>
  <c r="N97" i="110"/>
  <c r="AA97" i="110" s="1"/>
  <c r="Z98" i="110"/>
  <c r="AA98" i="110"/>
  <c r="Z100" i="110"/>
  <c r="AA100" i="110"/>
  <c r="U48" i="116"/>
  <c r="AD48" i="116"/>
  <c r="Y14" i="116"/>
  <c r="Z16" i="116"/>
  <c r="Y18" i="116"/>
  <c r="X18" i="116" s="1"/>
  <c r="X14" i="116"/>
  <c r="Z15" i="116"/>
  <c r="Y15" i="116" s="1"/>
  <c r="Y13" i="103"/>
  <c r="D55" i="94"/>
  <c r="X67" i="95"/>
  <c r="U102" i="95"/>
  <c r="Y67" i="95"/>
  <c r="X76" i="95"/>
  <c r="Y76" i="95"/>
  <c r="F102" i="96"/>
  <c r="N66" i="96"/>
  <c r="AA66" i="96" s="1"/>
  <c r="N73" i="96"/>
  <c r="AA73" i="96" s="1"/>
  <c r="Y73" i="96"/>
  <c r="X73" i="96" s="1"/>
  <c r="Z73" i="96"/>
  <c r="Y92" i="96"/>
  <c r="X92" i="96" s="1"/>
  <c r="Y15" i="97"/>
  <c r="X15" i="97" s="1"/>
  <c r="Z15" i="97"/>
  <c r="X21" i="97"/>
  <c r="Y21" i="97"/>
  <c r="N16" i="98"/>
  <c r="AA16" i="98" s="1"/>
  <c r="X16" i="98"/>
  <c r="Y16" i="98"/>
  <c r="N37" i="98"/>
  <c r="AA37" i="98" s="1"/>
  <c r="Z37" i="98" s="1"/>
  <c r="Y37" i="98"/>
  <c r="X37" i="98" s="1"/>
  <c r="V48" i="95"/>
  <c r="N30" i="95"/>
  <c r="AA30" i="95" s="1"/>
  <c r="U48" i="95"/>
  <c r="AC102" i="95"/>
  <c r="N68" i="95"/>
  <c r="AA68" i="95" s="1"/>
  <c r="Y68" i="95"/>
  <c r="X68" i="95" s="1"/>
  <c r="N95" i="95"/>
  <c r="AA95" i="95" s="1"/>
  <c r="Z95" i="95"/>
  <c r="X95" i="95"/>
  <c r="N97" i="95"/>
  <c r="AA97" i="95" s="1"/>
  <c r="X97" i="95"/>
  <c r="AE48" i="96"/>
  <c r="Y18" i="96"/>
  <c r="X18" i="96" s="1"/>
  <c r="X20" i="96"/>
  <c r="Z20" i="96"/>
  <c r="Y20" i="96" s="1"/>
  <c r="Y31" i="96"/>
  <c r="X31" i="96" s="1"/>
  <c r="AA34" i="96"/>
  <c r="X66" i="96"/>
  <c r="U102" i="96"/>
  <c r="Y66" i="96"/>
  <c r="Z68" i="96"/>
  <c r="Y75" i="96"/>
  <c r="X75" i="96" s="1"/>
  <c r="Z75" i="96"/>
  <c r="AD48" i="97"/>
  <c r="N19" i="97"/>
  <c r="AA19" i="97" s="1"/>
  <c r="Z19" i="97" s="1"/>
  <c r="Y19" i="97"/>
  <c r="X19" i="97" s="1"/>
  <c r="X30" i="97"/>
  <c r="Y30" i="97"/>
  <c r="F48" i="97"/>
  <c r="Z72" i="97"/>
  <c r="M102" i="97"/>
  <c r="X80" i="97"/>
  <c r="Y80" i="97"/>
  <c r="AD48" i="98"/>
  <c r="M48" i="98"/>
  <c r="Z14" i="98"/>
  <c r="Y14" i="98" s="1"/>
  <c r="N21" i="98"/>
  <c r="AA21" i="98" s="1"/>
  <c r="Z21" i="98" s="1"/>
  <c r="Y21" i="98"/>
  <c r="X21" i="98" s="1"/>
  <c r="N32" i="98"/>
  <c r="X32" i="98"/>
  <c r="Y32" i="98"/>
  <c r="N42" i="98"/>
  <c r="AA42" i="98" s="1"/>
  <c r="X42" i="98"/>
  <c r="Z42" i="98"/>
  <c r="Y42" i="98" s="1"/>
  <c r="AA66" i="98"/>
  <c r="Z89" i="98"/>
  <c r="N94" i="98"/>
  <c r="AA94" i="98" s="1"/>
  <c r="Z94" i="98" s="1"/>
  <c r="X94" i="98"/>
  <c r="Y94" i="98"/>
  <c r="N27" i="99"/>
  <c r="AA27" i="99" s="1"/>
  <c r="X27" i="99"/>
  <c r="Z27" i="99"/>
  <c r="Y27" i="99" s="1"/>
  <c r="AA34" i="99"/>
  <c r="Z34" i="99" s="1"/>
  <c r="Z38" i="99"/>
  <c r="Y41" i="99"/>
  <c r="X67" i="99"/>
  <c r="Y67" i="99"/>
  <c r="Z81" i="99"/>
  <c r="Y15" i="100"/>
  <c r="Y18" i="100"/>
  <c r="X29" i="100"/>
  <c r="Z29" i="100"/>
  <c r="Y29" i="100" s="1"/>
  <c r="AC102" i="100"/>
  <c r="N67" i="100"/>
  <c r="AA67" i="100" s="1"/>
  <c r="F102" i="100"/>
  <c r="AD48" i="101"/>
  <c r="AC48" i="101" s="1"/>
  <c r="Y23" i="101"/>
  <c r="Z33" i="101"/>
  <c r="X38" i="101"/>
  <c r="Y38" i="101"/>
  <c r="AC102" i="101"/>
  <c r="Z67" i="101"/>
  <c r="X71" i="101"/>
  <c r="Y71" i="101"/>
  <c r="X79" i="101"/>
  <c r="Y79" i="101"/>
  <c r="X87" i="101"/>
  <c r="Y87" i="101"/>
  <c r="X95" i="101"/>
  <c r="Y95" i="101"/>
  <c r="N21" i="102"/>
  <c r="AA21" i="102" s="1"/>
  <c r="X21" i="102"/>
  <c r="Y21" i="102"/>
  <c r="N29" i="102"/>
  <c r="AA29" i="102" s="1"/>
  <c r="X29" i="102"/>
  <c r="Y29" i="102"/>
  <c r="N37" i="102"/>
  <c r="AA37" i="102" s="1"/>
  <c r="X37" i="102"/>
  <c r="Y37" i="102"/>
  <c r="N45" i="102"/>
  <c r="AA45" i="102" s="1"/>
  <c r="X45" i="102"/>
  <c r="Y45" i="102"/>
  <c r="N66" i="102"/>
  <c r="U102" i="102"/>
  <c r="X66" i="102"/>
  <c r="N82" i="102"/>
  <c r="AA82" i="102" s="1"/>
  <c r="Z82" i="102" s="1"/>
  <c r="X82" i="102"/>
  <c r="Y82" i="102"/>
  <c r="X94" i="102"/>
  <c r="Y94" i="102"/>
  <c r="F102" i="102"/>
  <c r="W48" i="103"/>
  <c r="N19" i="103"/>
  <c r="AA19" i="103" s="1"/>
  <c r="X19" i="103"/>
  <c r="Z19" i="103"/>
  <c r="Y19" i="103" s="1"/>
  <c r="X22" i="103"/>
  <c r="Z22" i="103"/>
  <c r="Y22" i="103" s="1"/>
  <c r="N40" i="103"/>
  <c r="AA40" i="103" s="1"/>
  <c r="Z40" i="103" s="1"/>
  <c r="X40" i="103"/>
  <c r="M48" i="103"/>
  <c r="Z68" i="103"/>
  <c r="N71" i="103"/>
  <c r="AA71" i="103" s="1"/>
  <c r="Y71" i="103"/>
  <c r="X71" i="103" s="1"/>
  <c r="Z71" i="103"/>
  <c r="X77" i="103"/>
  <c r="Z77" i="103"/>
  <c r="Y77" i="103" s="1"/>
  <c r="N79" i="103"/>
  <c r="AA79" i="103" s="1"/>
  <c r="Y79" i="103"/>
  <c r="X79" i="103" s="1"/>
  <c r="Z79" i="103"/>
  <c r="X85" i="103"/>
  <c r="Z85" i="103"/>
  <c r="Y85" i="103" s="1"/>
  <c r="N87" i="103"/>
  <c r="AA87" i="103" s="1"/>
  <c r="Y87" i="103"/>
  <c r="X87" i="103" s="1"/>
  <c r="Z87" i="103"/>
  <c r="X93" i="103"/>
  <c r="Z93" i="103"/>
  <c r="Y93" i="103" s="1"/>
  <c r="X96" i="103"/>
  <c r="Y96" i="103"/>
  <c r="Z98" i="103"/>
  <c r="V48" i="104"/>
  <c r="N15" i="104"/>
  <c r="AA15" i="104" s="1"/>
  <c r="Y15" i="104"/>
  <c r="X15" i="104" s="1"/>
  <c r="Z15" i="104"/>
  <c r="Y19" i="104"/>
  <c r="N22" i="104"/>
  <c r="AA22" i="104" s="1"/>
  <c r="Z22" i="104" s="1"/>
  <c r="X22" i="104"/>
  <c r="Y22" i="104"/>
  <c r="AA41" i="104"/>
  <c r="Z41" i="104" s="1"/>
  <c r="Z45" i="104"/>
  <c r="AF102" i="104"/>
  <c r="N87" i="104"/>
  <c r="AA87" i="104" s="1"/>
  <c r="X87" i="104"/>
  <c r="AD48" i="105"/>
  <c r="AC48" i="105" s="1"/>
  <c r="AE48" i="106"/>
  <c r="N14" i="106"/>
  <c r="AA14" i="106" s="1"/>
  <c r="Z14" i="106" s="1"/>
  <c r="X14" i="106"/>
  <c r="Y14" i="106"/>
  <c r="W48" i="106"/>
  <c r="AC48" i="106"/>
  <c r="W102" i="106"/>
  <c r="AC48" i="107"/>
  <c r="Y14" i="108"/>
  <c r="X14" i="108" s="1"/>
  <c r="W48" i="95"/>
  <c r="Z14" i="95"/>
  <c r="Z15" i="95"/>
  <c r="AA15" i="95"/>
  <c r="Y17" i="95"/>
  <c r="X17" i="95" s="1"/>
  <c r="Z19" i="95"/>
  <c r="Y19" i="95" s="1"/>
  <c r="X19" i="95" s="1"/>
  <c r="N22" i="95"/>
  <c r="AA22" i="95" s="1"/>
  <c r="N31" i="95"/>
  <c r="AA31" i="95" s="1"/>
  <c r="Z32" i="95"/>
  <c r="Y32" i="95" s="1"/>
  <c r="AA32" i="95"/>
  <c r="N37" i="95"/>
  <c r="AA37" i="95" s="1"/>
  <c r="X37" i="95"/>
  <c r="Z37" i="95"/>
  <c r="Y37" i="95" s="1"/>
  <c r="N45" i="95"/>
  <c r="AA45" i="95" s="1"/>
  <c r="X45" i="95"/>
  <c r="F48" i="95"/>
  <c r="Z67" i="95"/>
  <c r="Z76" i="95"/>
  <c r="X82" i="95"/>
  <c r="Z82" i="95"/>
  <c r="Y85" i="95"/>
  <c r="X85" i="95" s="1"/>
  <c r="Z87" i="95"/>
  <c r="AA92" i="95"/>
  <c r="N99" i="95"/>
  <c r="AA99" i="95" s="1"/>
  <c r="X99" i="95"/>
  <c r="Z99" i="95"/>
  <c r="Y99" i="95" s="1"/>
  <c r="Y22" i="96"/>
  <c r="X22" i="96" s="1"/>
  <c r="N25" i="96"/>
  <c r="AA25" i="96" s="1"/>
  <c r="Y25" i="96"/>
  <c r="X25" i="96" s="1"/>
  <c r="Z25" i="96"/>
  <c r="Z42" i="96"/>
  <c r="Y42" i="96" s="1"/>
  <c r="Y68" i="96"/>
  <c r="Y76" i="96"/>
  <c r="X76" i="96" s="1"/>
  <c r="Z76" i="96"/>
  <c r="AA77" i="96"/>
  <c r="Z79" i="96"/>
  <c r="Y79" i="96" s="1"/>
  <c r="Z86" i="96"/>
  <c r="Y86" i="96"/>
  <c r="X86" i="96" s="1"/>
  <c r="AA15" i="97"/>
  <c r="Z21" i="97"/>
  <c r="N24" i="97"/>
  <c r="AA24" i="97" s="1"/>
  <c r="X24" i="97"/>
  <c r="Y24" i="97"/>
  <c r="Z31" i="97"/>
  <c r="X38" i="97"/>
  <c r="Y38" i="97"/>
  <c r="N41" i="97"/>
  <c r="AA41" i="97" s="1"/>
  <c r="Y41" i="97"/>
  <c r="X41" i="97" s="1"/>
  <c r="N43" i="97"/>
  <c r="AA43" i="97" s="1"/>
  <c r="Z43" i="97" s="1"/>
  <c r="Y43" i="97"/>
  <c r="X43" i="97" s="1"/>
  <c r="AA76" i="97"/>
  <c r="N90" i="97"/>
  <c r="AA90" i="97" s="1"/>
  <c r="X90" i="97"/>
  <c r="Y90" i="97"/>
  <c r="AA13" i="98"/>
  <c r="Z16" i="98"/>
  <c r="AF48" i="98"/>
  <c r="AA23" i="98"/>
  <c r="X43" i="98"/>
  <c r="Z43" i="98"/>
  <c r="Y43" i="98" s="1"/>
  <c r="AC102" i="98"/>
  <c r="F102" i="98"/>
  <c r="AD102" i="98"/>
  <c r="Z78" i="98"/>
  <c r="Y89" i="98"/>
  <c r="F48" i="99"/>
  <c r="N15" i="99"/>
  <c r="AA15" i="99" s="1"/>
  <c r="X15" i="99"/>
  <c r="N37" i="99"/>
  <c r="AA37" i="99" s="1"/>
  <c r="X37" i="99"/>
  <c r="Z37" i="99"/>
  <c r="Y37" i="99" s="1"/>
  <c r="X40" i="99"/>
  <c r="Y40" i="99"/>
  <c r="N44" i="99"/>
  <c r="AA44" i="99" s="1"/>
  <c r="Y44" i="99"/>
  <c r="X44" i="99" s="1"/>
  <c r="N46" i="99"/>
  <c r="AA46" i="99" s="1"/>
  <c r="Z46" i="99" s="1"/>
  <c r="Y46" i="99"/>
  <c r="X46" i="99" s="1"/>
  <c r="AD102" i="99"/>
  <c r="AC102" i="99" s="1"/>
  <c r="Z73" i="99"/>
  <c r="Y81" i="99"/>
  <c r="X91" i="99"/>
  <c r="Y91" i="99"/>
  <c r="X14" i="100"/>
  <c r="Y14" i="100"/>
  <c r="AA19" i="100"/>
  <c r="X23" i="100"/>
  <c r="Y23" i="100"/>
  <c r="Y36" i="100"/>
  <c r="X36" i="100" s="1"/>
  <c r="Z36" i="100"/>
  <c r="V102" i="100"/>
  <c r="Z69" i="100"/>
  <c r="Y69" i="100" s="1"/>
  <c r="Z85" i="100"/>
  <c r="Y85" i="100" s="1"/>
  <c r="F48" i="101"/>
  <c r="W48" i="101"/>
  <c r="Z17" i="101"/>
  <c r="X22" i="101"/>
  <c r="Y22" i="101"/>
  <c r="Z27" i="101"/>
  <c r="Y33" i="101"/>
  <c r="Z39" i="101"/>
  <c r="U48" i="101"/>
  <c r="N102" i="101"/>
  <c r="Y67" i="101"/>
  <c r="Z72" i="101"/>
  <c r="Z80" i="101"/>
  <c r="Z88" i="101"/>
  <c r="Z96" i="101"/>
  <c r="F48" i="103"/>
  <c r="AF48" i="103"/>
  <c r="N37" i="103"/>
  <c r="AA37" i="103" s="1"/>
  <c r="X37" i="103"/>
  <c r="Y68" i="103"/>
  <c r="Z72" i="103"/>
  <c r="Z80" i="103"/>
  <c r="Z88" i="103"/>
  <c r="Y98" i="103"/>
  <c r="AE48" i="104"/>
  <c r="N18" i="104"/>
  <c r="AA18" i="104" s="1"/>
  <c r="Z18" i="104" s="1"/>
  <c r="X18" i="104"/>
  <c r="X37" i="104"/>
  <c r="Y37" i="104"/>
  <c r="N39" i="104"/>
  <c r="AA39" i="104" s="1"/>
  <c r="Y39" i="104"/>
  <c r="X39" i="104" s="1"/>
  <c r="Z39" i="104"/>
  <c r="Y45" i="104"/>
  <c r="Y46" i="104"/>
  <c r="U102" i="104"/>
  <c r="X66" i="104"/>
  <c r="W102" i="104"/>
  <c r="Y93" i="104"/>
  <c r="X93" i="104" s="1"/>
  <c r="Y96" i="104"/>
  <c r="N25" i="105"/>
  <c r="AA25" i="105" s="1"/>
  <c r="X25" i="105"/>
  <c r="N35" i="105"/>
  <c r="AA35" i="105" s="1"/>
  <c r="Y35" i="105"/>
  <c r="X35" i="105" s="1"/>
  <c r="AF102" i="105"/>
  <c r="AE102" i="105" s="1"/>
  <c r="Z78" i="105"/>
  <c r="Y78" i="105"/>
  <c r="X78" i="105" s="1"/>
  <c r="Y89" i="105"/>
  <c r="M102" i="105"/>
  <c r="M48" i="106"/>
  <c r="Z19" i="106"/>
  <c r="Y38" i="106"/>
  <c r="X38" i="106" s="1"/>
  <c r="Z38" i="106"/>
  <c r="X84" i="106"/>
  <c r="Y84" i="106"/>
  <c r="Z91" i="106"/>
  <c r="N30" i="107"/>
  <c r="AA30" i="107" s="1"/>
  <c r="X30" i="107"/>
  <c r="AF102" i="107"/>
  <c r="N78" i="107"/>
  <c r="AA78" i="107" s="1"/>
  <c r="X78" i="107"/>
  <c r="Y78" i="107"/>
  <c r="N97" i="107"/>
  <c r="AA97" i="107" s="1"/>
  <c r="Z97" i="107" s="1"/>
  <c r="X97" i="107"/>
  <c r="AA100" i="107"/>
  <c r="V102" i="108"/>
  <c r="AD102" i="108"/>
  <c r="AC102" i="108" s="1"/>
  <c r="AA72" i="108"/>
  <c r="Z81" i="108"/>
  <c r="AA87" i="108"/>
  <c r="Z87" i="108" s="1"/>
  <c r="Y94" i="108"/>
  <c r="N13" i="109"/>
  <c r="F48" i="109"/>
  <c r="M48" i="95"/>
  <c r="Z13" i="95"/>
  <c r="N81" i="95"/>
  <c r="X81" i="95"/>
  <c r="Y81" i="95"/>
  <c r="N96" i="95"/>
  <c r="AA96" i="95" s="1"/>
  <c r="Z96" i="95"/>
  <c r="X96" i="95"/>
  <c r="X77" i="96"/>
  <c r="Z77" i="96"/>
  <c r="Y77" i="96" s="1"/>
  <c r="N97" i="96"/>
  <c r="AA97" i="96" s="1"/>
  <c r="X97" i="96"/>
  <c r="AA13" i="97"/>
  <c r="N85" i="97"/>
  <c r="AA85" i="97" s="1"/>
  <c r="X85" i="97"/>
  <c r="Y85" i="97"/>
  <c r="N87" i="97"/>
  <c r="AA87" i="97" s="1"/>
  <c r="X87" i="97"/>
  <c r="Y87" i="97"/>
  <c r="N26" i="98"/>
  <c r="AA26" i="98" s="1"/>
  <c r="X26" i="98"/>
  <c r="Z26" i="98"/>
  <c r="Y26" i="98" s="1"/>
  <c r="U48" i="98"/>
  <c r="N19" i="99"/>
  <c r="AA19" i="99" s="1"/>
  <c r="X19" i="99"/>
  <c r="Y19" i="99"/>
  <c r="X83" i="99"/>
  <c r="Y83" i="99"/>
  <c r="F102" i="99"/>
  <c r="Z15" i="100"/>
  <c r="M48" i="100"/>
  <c r="X67" i="100"/>
  <c r="U102" i="100"/>
  <c r="Y102" i="100" s="1"/>
  <c r="Z67" i="100"/>
  <c r="Y67" i="100" s="1"/>
  <c r="M48" i="101"/>
  <c r="F102" i="101"/>
  <c r="N17" i="102"/>
  <c r="AA17" i="102" s="1"/>
  <c r="X17" i="102"/>
  <c r="Y17" i="102"/>
  <c r="N25" i="102"/>
  <c r="AA25" i="102" s="1"/>
  <c r="X25" i="102"/>
  <c r="Y25" i="102"/>
  <c r="N33" i="102"/>
  <c r="AA33" i="102" s="1"/>
  <c r="X33" i="102"/>
  <c r="Y33" i="102"/>
  <c r="N41" i="102"/>
  <c r="AA41" i="102" s="1"/>
  <c r="X41" i="102"/>
  <c r="Y41" i="102"/>
  <c r="N89" i="102"/>
  <c r="AA89" i="102" s="1"/>
  <c r="X89" i="102"/>
  <c r="N13" i="103"/>
  <c r="U48" i="103"/>
  <c r="X13" i="103"/>
  <c r="N32" i="103"/>
  <c r="AA32" i="103" s="1"/>
  <c r="Z32" i="103" s="1"/>
  <c r="X32" i="103"/>
  <c r="X46" i="103"/>
  <c r="Z46" i="103"/>
  <c r="Y46" i="103" s="1"/>
  <c r="N95" i="104"/>
  <c r="AA95" i="104" s="1"/>
  <c r="X95" i="104"/>
  <c r="N82" i="105"/>
  <c r="AA82" i="105" s="1"/>
  <c r="Z82" i="105" s="1"/>
  <c r="Y82" i="105"/>
  <c r="X82" i="105" s="1"/>
  <c r="N74" i="106"/>
  <c r="AA74" i="106" s="1"/>
  <c r="X74" i="106"/>
  <c r="Y74" i="106"/>
  <c r="Y29" i="107"/>
  <c r="X29" i="107" s="1"/>
  <c r="N44" i="107"/>
  <c r="AA44" i="107" s="1"/>
  <c r="X44" i="107"/>
  <c r="Y44" i="107"/>
  <c r="Z68" i="108"/>
  <c r="Y68" i="108"/>
  <c r="X68" i="108" s="1"/>
  <c r="AA13" i="95"/>
  <c r="N25" i="95"/>
  <c r="AA25" i="95" s="1"/>
  <c r="Z25" i="95"/>
  <c r="X25" i="95"/>
  <c r="Z30" i="95"/>
  <c r="Y30" i="95" s="1"/>
  <c r="X30" i="95" s="1"/>
  <c r="AA36" i="95"/>
  <c r="Z66" i="95"/>
  <c r="M102" i="95"/>
  <c r="Y66" i="95"/>
  <c r="X66" i="95" s="1"/>
  <c r="Z68" i="95"/>
  <c r="Z73" i="95"/>
  <c r="Y73" i="95"/>
  <c r="X73" i="95" s="1"/>
  <c r="N83" i="95"/>
  <c r="AA83" i="95" s="1"/>
  <c r="X83" i="95"/>
  <c r="Y86" i="95"/>
  <c r="Z89" i="95"/>
  <c r="N93" i="95"/>
  <c r="AA93" i="95" s="1"/>
  <c r="Y93" i="95"/>
  <c r="X93" i="95" s="1"/>
  <c r="Y95" i="95"/>
  <c r="Y97" i="95"/>
  <c r="AC48" i="96"/>
  <c r="N17" i="96"/>
  <c r="AA17" i="96" s="1"/>
  <c r="Y17" i="96"/>
  <c r="X17" i="96" s="1"/>
  <c r="N19" i="96"/>
  <c r="AA19" i="96" s="1"/>
  <c r="X19" i="96"/>
  <c r="Z19" i="96"/>
  <c r="Y19" i="96" s="1"/>
  <c r="AA20" i="96"/>
  <c r="N32" i="96"/>
  <c r="AA32" i="96" s="1"/>
  <c r="Y32" i="96"/>
  <c r="X32" i="96" s="1"/>
  <c r="Z32" i="96"/>
  <c r="N36" i="96"/>
  <c r="Y36" i="96"/>
  <c r="X36" i="96" s="1"/>
  <c r="N41" i="96"/>
  <c r="AA41" i="96" s="1"/>
  <c r="X41" i="96"/>
  <c r="Z66" i="96"/>
  <c r="AF102" i="96"/>
  <c r="M102" i="96"/>
  <c r="Z69" i="96"/>
  <c r="Y69" i="96" s="1"/>
  <c r="X69" i="96" s="1"/>
  <c r="AA75" i="96"/>
  <c r="Y78" i="96"/>
  <c r="X78" i="96" s="1"/>
  <c r="Z78" i="96"/>
  <c r="Y99" i="96"/>
  <c r="AC48" i="97"/>
  <c r="W48" i="97"/>
  <c r="Y17" i="97"/>
  <c r="X17" i="97" s="1"/>
  <c r="Z30" i="97"/>
  <c r="N33" i="97"/>
  <c r="AA33" i="97" s="1"/>
  <c r="Z33" i="97" s="1"/>
  <c r="Y33" i="97"/>
  <c r="X33" i="97" s="1"/>
  <c r="Y39" i="97"/>
  <c r="AE102" i="97"/>
  <c r="N69" i="97"/>
  <c r="AA69" i="97" s="1"/>
  <c r="X69" i="97"/>
  <c r="Y69" i="97"/>
  <c r="N71" i="97"/>
  <c r="AA71" i="97" s="1"/>
  <c r="X71" i="97"/>
  <c r="Y71" i="97"/>
  <c r="Z80" i="97"/>
  <c r="U102" i="97"/>
  <c r="X13" i="98"/>
  <c r="Y13" i="98"/>
  <c r="X27" i="98"/>
  <c r="Z27" i="98"/>
  <c r="Y27" i="98" s="1"/>
  <c r="Z32" i="98"/>
  <c r="AC48" i="98"/>
  <c r="X86" i="98"/>
  <c r="Y86" i="98"/>
  <c r="N88" i="98"/>
  <c r="AA88" i="98" s="1"/>
  <c r="Y88" i="98"/>
  <c r="X88" i="98" s="1"/>
  <c r="Z90" i="98"/>
  <c r="X100" i="98"/>
  <c r="Y100" i="98"/>
  <c r="U102" i="98"/>
  <c r="W48" i="99"/>
  <c r="N23" i="99"/>
  <c r="AA23" i="99" s="1"/>
  <c r="X23" i="99"/>
  <c r="Y23" i="99"/>
  <c r="Z67" i="99"/>
  <c r="X75" i="99"/>
  <c r="Y75" i="99"/>
  <c r="Y97" i="99"/>
  <c r="AC48" i="100"/>
  <c r="X20" i="100"/>
  <c r="Y20" i="100"/>
  <c r="Y24" i="100"/>
  <c r="AA35" i="100"/>
  <c r="AF48" i="100"/>
  <c r="AE48" i="100" s="1"/>
  <c r="AA66" i="100"/>
  <c r="X68" i="100"/>
  <c r="Y68" i="100"/>
  <c r="Z77" i="100"/>
  <c r="Y77" i="100" s="1"/>
  <c r="Z93" i="100"/>
  <c r="Y93" i="100" s="1"/>
  <c r="V48" i="101"/>
  <c r="AA18" i="101"/>
  <c r="AA21" i="101"/>
  <c r="Z38" i="101"/>
  <c r="X66" i="101"/>
  <c r="Z66" i="101"/>
  <c r="Y66" i="101" s="1"/>
  <c r="M102" i="101"/>
  <c r="Z68" i="101"/>
  <c r="Z71" i="101"/>
  <c r="Z79" i="101"/>
  <c r="Z87" i="101"/>
  <c r="Z95" i="101"/>
  <c r="M48" i="102"/>
  <c r="Z13" i="102"/>
  <c r="Z21" i="102"/>
  <c r="Z29" i="102"/>
  <c r="Z37" i="102"/>
  <c r="Z45" i="102"/>
  <c r="AC48" i="102"/>
  <c r="Y66" i="102"/>
  <c r="Z94" i="102"/>
  <c r="AD48" i="103"/>
  <c r="N27" i="103"/>
  <c r="AA27" i="103" s="1"/>
  <c r="X27" i="103"/>
  <c r="N29" i="103"/>
  <c r="AA29" i="103" s="1"/>
  <c r="X29" i="103"/>
  <c r="Y29" i="103"/>
  <c r="Y40" i="103"/>
  <c r="F102" i="103"/>
  <c r="W102" i="103"/>
  <c r="AA93" i="103"/>
  <c r="X95" i="103"/>
  <c r="Z95" i="103"/>
  <c r="Y95" i="103" s="1"/>
  <c r="Z96" i="103"/>
  <c r="N30" i="104"/>
  <c r="AA30" i="104" s="1"/>
  <c r="Z30" i="104" s="1"/>
  <c r="X30" i="104"/>
  <c r="AA36" i="104"/>
  <c r="X44" i="104"/>
  <c r="Y44" i="104"/>
  <c r="AA72" i="104"/>
  <c r="Y87" i="104"/>
  <c r="N15" i="105"/>
  <c r="AA15" i="105" s="1"/>
  <c r="Y15" i="105"/>
  <c r="X15" i="105" s="1"/>
  <c r="U102" i="105"/>
  <c r="Y66" i="105"/>
  <c r="X66" i="105" s="1"/>
  <c r="Z70" i="105"/>
  <c r="X88" i="105"/>
  <c r="Z88" i="105"/>
  <c r="Y88" i="105" s="1"/>
  <c r="N100" i="105"/>
  <c r="AA100" i="105" s="1"/>
  <c r="X100" i="105"/>
  <c r="N15" i="106"/>
  <c r="AA15" i="106" s="1"/>
  <c r="Z15" i="106" s="1"/>
  <c r="F48" i="106"/>
  <c r="N33" i="106"/>
  <c r="AA33" i="106" s="1"/>
  <c r="Y33" i="106"/>
  <c r="X33" i="106" s="1"/>
  <c r="F102" i="106"/>
  <c r="V102" i="106"/>
  <c r="Y19" i="107"/>
  <c r="AA27" i="107"/>
  <c r="Y40" i="107"/>
  <c r="X40" i="107" s="1"/>
  <c r="Z40" i="107"/>
  <c r="Z73" i="107"/>
  <c r="Y73" i="107"/>
  <c r="X73" i="107" s="1"/>
  <c r="Z81" i="107"/>
  <c r="Y81" i="107"/>
  <c r="X81" i="107" s="1"/>
  <c r="Y85" i="107"/>
  <c r="N99" i="108"/>
  <c r="AA99" i="108" s="1"/>
  <c r="Y99" i="108"/>
  <c r="X99" i="108" s="1"/>
  <c r="Z14" i="109"/>
  <c r="M48" i="109"/>
  <c r="AE48" i="105"/>
  <c r="Z23" i="105"/>
  <c r="Y37" i="105"/>
  <c r="W102" i="105"/>
  <c r="N77" i="105"/>
  <c r="AA77" i="105" s="1"/>
  <c r="X77" i="105"/>
  <c r="Z77" i="105"/>
  <c r="N84" i="105"/>
  <c r="AA84" i="105" s="1"/>
  <c r="Z84" i="105" s="1"/>
  <c r="Y84" i="105"/>
  <c r="X84" i="105" s="1"/>
  <c r="Z89" i="105"/>
  <c r="V48" i="106"/>
  <c r="Y16" i="106"/>
  <c r="X16" i="106" s="1"/>
  <c r="Y18" i="106"/>
  <c r="X18" i="106" s="1"/>
  <c r="Y27" i="106"/>
  <c r="Y30" i="106"/>
  <c r="X30" i="106" s="1"/>
  <c r="AA37" i="106"/>
  <c r="Y40" i="106"/>
  <c r="X40" i="106" s="1"/>
  <c r="Y67" i="106"/>
  <c r="N72" i="106"/>
  <c r="AA72" i="106" s="1"/>
  <c r="X72" i="106"/>
  <c r="Z72" i="106"/>
  <c r="Y77" i="106"/>
  <c r="M48" i="107"/>
  <c r="Y14" i="107"/>
  <c r="Z19" i="107"/>
  <c r="AA24" i="107"/>
  <c r="Z26" i="107"/>
  <c r="N28" i="107"/>
  <c r="AA28" i="107" s="1"/>
  <c r="X28" i="107"/>
  <c r="Z28" i="107"/>
  <c r="Y35" i="107"/>
  <c r="Y42" i="107"/>
  <c r="Y45" i="107"/>
  <c r="X45" i="107" s="1"/>
  <c r="Y46" i="107"/>
  <c r="W102" i="107"/>
  <c r="Z85" i="107"/>
  <c r="Z87" i="107"/>
  <c r="Z93" i="107"/>
  <c r="Y93" i="107" s="1"/>
  <c r="Y94" i="107"/>
  <c r="F102" i="107"/>
  <c r="U102" i="107"/>
  <c r="Y13" i="108"/>
  <c r="X13" i="108" s="1"/>
  <c r="AF48" i="108"/>
  <c r="Y15" i="108"/>
  <c r="X15" i="108" s="1"/>
  <c r="M102" i="108"/>
  <c r="Z67" i="108"/>
  <c r="Z78" i="108"/>
  <c r="Y79" i="108"/>
  <c r="Y83" i="108"/>
  <c r="X83" i="108" s="1"/>
  <c r="Y85" i="108"/>
  <c r="Z94" i="108"/>
  <c r="AA95" i="108"/>
  <c r="Z95" i="108" s="1"/>
  <c r="F102" i="108"/>
  <c r="Z13" i="109"/>
  <c r="AA16" i="109"/>
  <c r="AA20" i="109"/>
  <c r="AA24" i="109"/>
  <c r="N31" i="109"/>
  <c r="AA31" i="109" s="1"/>
  <c r="X31" i="109"/>
  <c r="Z31" i="109"/>
  <c r="Y35" i="109"/>
  <c r="AA41" i="109"/>
  <c r="Z44" i="109"/>
  <c r="Z45" i="109"/>
  <c r="F102" i="109"/>
  <c r="N68" i="109"/>
  <c r="AA68" i="109" s="1"/>
  <c r="X68" i="109"/>
  <c r="Z68" i="109"/>
  <c r="AA90" i="109"/>
  <c r="N28" i="110"/>
  <c r="AA28" i="110" s="1"/>
  <c r="Z28" i="110" s="1"/>
  <c r="Y28" i="110"/>
  <c r="X28" i="110" s="1"/>
  <c r="Y39" i="110"/>
  <c r="M48" i="110"/>
  <c r="U48" i="110"/>
  <c r="AA68" i="110"/>
  <c r="AA77" i="110"/>
  <c r="Z77" i="110" s="1"/>
  <c r="Z90" i="110"/>
  <c r="AA91" i="110"/>
  <c r="Z91" i="110" s="1"/>
  <c r="Y97" i="110"/>
  <c r="F48" i="116"/>
  <c r="Y13" i="116"/>
  <c r="Z17" i="116"/>
  <c r="Z22" i="95"/>
  <c r="Y22" i="95" s="1"/>
  <c r="X22" i="95" s="1"/>
  <c r="N29" i="95"/>
  <c r="AA29" i="95" s="1"/>
  <c r="Y29" i="95"/>
  <c r="Z31" i="95"/>
  <c r="Y31" i="95" s="1"/>
  <c r="X31" i="95" s="1"/>
  <c r="Y41" i="95"/>
  <c r="AA70" i="95"/>
  <c r="Z70" i="95" s="1"/>
  <c r="Y72" i="95"/>
  <c r="AA72" i="95"/>
  <c r="Z72" i="95" s="1"/>
  <c r="AA76" i="95"/>
  <c r="AA81" i="95"/>
  <c r="AA88" i="95"/>
  <c r="Z88" i="95" s="1"/>
  <c r="AA89" i="95"/>
  <c r="Z97" i="95"/>
  <c r="M48" i="96"/>
  <c r="AF48" i="96"/>
  <c r="Y35" i="96"/>
  <c r="X35" i="96" s="1"/>
  <c r="AA38" i="96"/>
  <c r="N43" i="96"/>
  <c r="AA43" i="96" s="1"/>
  <c r="Y43" i="96"/>
  <c r="X43" i="96" s="1"/>
  <c r="N80" i="96"/>
  <c r="AA80" i="96" s="1"/>
  <c r="X80" i="96"/>
  <c r="AA83" i="96"/>
  <c r="AA87" i="96"/>
  <c r="Y91" i="96"/>
  <c r="AA91" i="96"/>
  <c r="U48" i="97"/>
  <c r="Y13" i="97"/>
  <c r="AF48" i="97"/>
  <c r="V48" i="97"/>
  <c r="Y32" i="97"/>
  <c r="Y37" i="97"/>
  <c r="Y42" i="97"/>
  <c r="Z46" i="97"/>
  <c r="AC102" i="97"/>
  <c r="Z68" i="97"/>
  <c r="N81" i="97"/>
  <c r="AA81" i="97" s="1"/>
  <c r="X81" i="97"/>
  <c r="N86" i="97"/>
  <c r="AA86" i="97" s="1"/>
  <c r="X86" i="97"/>
  <c r="Z86" i="97"/>
  <c r="N91" i="97"/>
  <c r="AA91" i="97" s="1"/>
  <c r="X91" i="97"/>
  <c r="Z91" i="97"/>
  <c r="Y92" i="97"/>
  <c r="AA92" i="97"/>
  <c r="AA96" i="97"/>
  <c r="Z100" i="97"/>
  <c r="AE48" i="98"/>
  <c r="Y20" i="98"/>
  <c r="N33" i="98"/>
  <c r="AA33" i="98" s="1"/>
  <c r="Z33" i="98" s="1"/>
  <c r="Y33" i="98"/>
  <c r="X33" i="98" s="1"/>
  <c r="Y66" i="98"/>
  <c r="AF102" i="98"/>
  <c r="Z69" i="98"/>
  <c r="Y70" i="98"/>
  <c r="Z74" i="98"/>
  <c r="Y84" i="98"/>
  <c r="X84" i="98" s="1"/>
  <c r="Y85" i="98"/>
  <c r="N95" i="98"/>
  <c r="AA95" i="98" s="1"/>
  <c r="X95" i="98"/>
  <c r="Z95" i="98"/>
  <c r="M48" i="99"/>
  <c r="N16" i="99"/>
  <c r="AA16" i="99" s="1"/>
  <c r="Z16" i="99" s="1"/>
  <c r="X16" i="99"/>
  <c r="N20" i="99"/>
  <c r="AA20" i="99" s="1"/>
  <c r="Z20" i="99" s="1"/>
  <c r="X20" i="99"/>
  <c r="N24" i="99"/>
  <c r="AA24" i="99" s="1"/>
  <c r="X24" i="99"/>
  <c r="Z31" i="99"/>
  <c r="Y31" i="99"/>
  <c r="Y32" i="99"/>
  <c r="AA32" i="99"/>
  <c r="Y45" i="99"/>
  <c r="V102" i="99"/>
  <c r="Y68" i="99"/>
  <c r="N78" i="99"/>
  <c r="AA78" i="99" s="1"/>
  <c r="X78" i="99"/>
  <c r="Z78" i="99"/>
  <c r="Y79" i="99"/>
  <c r="Y84" i="99"/>
  <c r="N94" i="99"/>
  <c r="AA94" i="99" s="1"/>
  <c r="X94" i="99"/>
  <c r="Z94" i="99"/>
  <c r="Y95" i="99"/>
  <c r="Z100" i="99"/>
  <c r="Y28" i="100"/>
  <c r="Z34" i="100"/>
  <c r="AA38" i="100"/>
  <c r="Z38" i="100" s="1"/>
  <c r="AA44" i="100"/>
  <c r="AA46" i="100"/>
  <c r="W102" i="100"/>
  <c r="AD102" i="100"/>
  <c r="AA14" i="101"/>
  <c r="Z25" i="101"/>
  <c r="Z30" i="101"/>
  <c r="Y31" i="101"/>
  <c r="Z35" i="101"/>
  <c r="Z42" i="101"/>
  <c r="N44" i="101"/>
  <c r="AA44" i="101" s="1"/>
  <c r="X44" i="101"/>
  <c r="Z44" i="101"/>
  <c r="Y46" i="101"/>
  <c r="V102" i="101"/>
  <c r="AA74" i="101"/>
  <c r="Y78" i="101"/>
  <c r="Z82" i="101"/>
  <c r="Y83" i="101"/>
  <c r="AA83" i="101"/>
  <c r="AA90" i="101"/>
  <c r="Y94" i="101"/>
  <c r="Z98" i="101"/>
  <c r="Y99" i="101"/>
  <c r="AA99" i="101"/>
  <c r="F48" i="102"/>
  <c r="U48" i="102"/>
  <c r="M102" i="102"/>
  <c r="AE102" i="102"/>
  <c r="Y67" i="102"/>
  <c r="AF102" i="102"/>
  <c r="V102" i="102"/>
  <c r="Y74" i="102"/>
  <c r="Y78" i="102"/>
  <c r="AA78" i="102"/>
  <c r="Z89" i="102"/>
  <c r="Y90" i="102"/>
  <c r="Y91" i="102"/>
  <c r="AA97" i="102"/>
  <c r="AA100" i="102"/>
  <c r="N28" i="103"/>
  <c r="AA28" i="103" s="1"/>
  <c r="Z28" i="103" s="1"/>
  <c r="X28" i="103"/>
  <c r="Z37" i="103"/>
  <c r="Y41" i="103"/>
  <c r="Y75" i="103"/>
  <c r="X75" i="103" s="1"/>
  <c r="N78" i="103"/>
  <c r="AA78" i="103" s="1"/>
  <c r="X78" i="103"/>
  <c r="Z78" i="103"/>
  <c r="Y91" i="103"/>
  <c r="X91" i="103" s="1"/>
  <c r="N13" i="104"/>
  <c r="U48" i="104"/>
  <c r="X13" i="104"/>
  <c r="AF48" i="104"/>
  <c r="Z20" i="104"/>
  <c r="Z27" i="104"/>
  <c r="Y29" i="104"/>
  <c r="X29" i="104" s="1"/>
  <c r="N31" i="104"/>
  <c r="AA31" i="104" s="1"/>
  <c r="Z31" i="104" s="1"/>
  <c r="Y31" i="104"/>
  <c r="X31" i="104" s="1"/>
  <c r="Z35" i="104"/>
  <c r="N40" i="104"/>
  <c r="AA40" i="104" s="1"/>
  <c r="Z40" i="104" s="1"/>
  <c r="X40" i="104"/>
  <c r="F102" i="104"/>
  <c r="AA68" i="104"/>
  <c r="AA84" i="104"/>
  <c r="Z87" i="104"/>
  <c r="Z95" i="104"/>
  <c r="Y13" i="105"/>
  <c r="AF48" i="105"/>
  <c r="N26" i="105"/>
  <c r="AA26" i="105" s="1"/>
  <c r="Z26" i="105" s="1"/>
  <c r="Y26" i="105"/>
  <c r="X26" i="105" s="1"/>
  <c r="Y31" i="105"/>
  <c r="X31" i="105" s="1"/>
  <c r="Y36" i="105"/>
  <c r="Y43" i="105"/>
  <c r="X43" i="105" s="1"/>
  <c r="Y45" i="105"/>
  <c r="X45" i="105" s="1"/>
  <c r="M48" i="105"/>
  <c r="U48" i="105"/>
  <c r="AA66" i="105"/>
  <c r="Z71" i="105"/>
  <c r="AA81" i="105"/>
  <c r="N83" i="105"/>
  <c r="AA83" i="105" s="1"/>
  <c r="X83" i="105"/>
  <c r="Y94" i="105"/>
  <c r="AA94" i="105"/>
  <c r="AD48" i="106"/>
  <c r="Y71" i="106"/>
  <c r="N81" i="106"/>
  <c r="AA81" i="106" s="1"/>
  <c r="Z81" i="106" s="1"/>
  <c r="X81" i="106"/>
  <c r="Z89" i="106"/>
  <c r="Y89" i="106"/>
  <c r="AA92" i="106"/>
  <c r="N13" i="107"/>
  <c r="U48" i="107"/>
  <c r="X13" i="107"/>
  <c r="Z13" i="107"/>
  <c r="Z30" i="107"/>
  <c r="Y33" i="107"/>
  <c r="AA66" i="107"/>
  <c r="Z66" i="107" s="1"/>
  <c r="AC102" i="107"/>
  <c r="AE102" i="107"/>
  <c r="AD102" i="107" s="1"/>
  <c r="AA68" i="107"/>
  <c r="Y72" i="107"/>
  <c r="Y79" i="107"/>
  <c r="X79" i="107" s="1"/>
  <c r="Y80" i="107"/>
  <c r="N92" i="107"/>
  <c r="AA92" i="107" s="1"/>
  <c r="X92" i="107"/>
  <c r="Z92" i="107"/>
  <c r="Z96" i="107"/>
  <c r="AC48" i="108"/>
  <c r="AA17" i="108"/>
  <c r="AA21" i="108"/>
  <c r="AA25" i="108"/>
  <c r="AA29" i="108"/>
  <c r="AA33" i="108"/>
  <c r="AA37" i="108"/>
  <c r="AA41" i="108"/>
  <c r="AA45" i="108"/>
  <c r="M48" i="108"/>
  <c r="U48" i="108"/>
  <c r="U102" i="108"/>
  <c r="X66" i="108"/>
  <c r="Z66" i="108"/>
  <c r="Y70" i="108"/>
  <c r="X70" i="108" s="1"/>
  <c r="AA80" i="108"/>
  <c r="AA88" i="108"/>
  <c r="AA90" i="108"/>
  <c r="Y100" i="108"/>
  <c r="X100" i="108" s="1"/>
  <c r="V48" i="109"/>
  <c r="AC48" i="109"/>
  <c r="Z15" i="109"/>
  <c r="X15" i="109"/>
  <c r="Y16" i="109"/>
  <c r="X16" i="109" s="1"/>
  <c r="AA17" i="109"/>
  <c r="Z21" i="109"/>
  <c r="Z25" i="109"/>
  <c r="Y28" i="109"/>
  <c r="X28" i="109" s="1"/>
  <c r="Y29" i="109"/>
  <c r="X29" i="109" s="1"/>
  <c r="N30" i="109"/>
  <c r="AA30" i="109" s="1"/>
  <c r="X30" i="109"/>
  <c r="Z30" i="109"/>
  <c r="Y34" i="109"/>
  <c r="Z40" i="109"/>
  <c r="Z66" i="109"/>
  <c r="M102" i="109"/>
  <c r="AE102" i="109"/>
  <c r="AD102" i="109" s="1"/>
  <c r="AC102" i="109" s="1"/>
  <c r="Z72" i="109"/>
  <c r="N73" i="109"/>
  <c r="AA73" i="109" s="1"/>
  <c r="Z73" i="109" s="1"/>
  <c r="Y73" i="109"/>
  <c r="X73" i="109" s="1"/>
  <c r="Z80" i="109"/>
  <c r="N81" i="109"/>
  <c r="AA81" i="109" s="1"/>
  <c r="Z81" i="109" s="1"/>
  <c r="Y81" i="109"/>
  <c r="X81" i="109" s="1"/>
  <c r="AA84" i="109"/>
  <c r="Y86" i="109"/>
  <c r="X86" i="109" s="1"/>
  <c r="Y90" i="109"/>
  <c r="X90" i="109" s="1"/>
  <c r="Y91" i="109"/>
  <c r="X91" i="109" s="1"/>
  <c r="Y95" i="109"/>
  <c r="X95" i="109" s="1"/>
  <c r="AA100" i="109"/>
  <c r="Y15" i="110"/>
  <c r="N16" i="110"/>
  <c r="AA16" i="110" s="1"/>
  <c r="X16" i="110"/>
  <c r="Z16" i="110"/>
  <c r="Y17" i="110"/>
  <c r="AA17" i="110"/>
  <c r="Z19" i="110"/>
  <c r="Z23" i="110"/>
  <c r="X23" i="110"/>
  <c r="N27" i="110"/>
  <c r="AA27" i="110" s="1"/>
  <c r="X27" i="110"/>
  <c r="Z27" i="110"/>
  <c r="N38" i="110"/>
  <c r="AA38" i="110" s="1"/>
  <c r="X38" i="110"/>
  <c r="Z38" i="110"/>
  <c r="Z41" i="110"/>
  <c r="Y41" i="110" s="1"/>
  <c r="X41" i="110" s="1"/>
  <c r="Z67" i="110"/>
  <c r="X67" i="110"/>
  <c r="Y68" i="110"/>
  <c r="X68" i="110" s="1"/>
  <c r="Y69" i="110"/>
  <c r="X69" i="110" s="1"/>
  <c r="Y70" i="110"/>
  <c r="AA70" i="110"/>
  <c r="N73" i="110"/>
  <c r="AA73" i="110" s="1"/>
  <c r="X73" i="110"/>
  <c r="AA78" i="110"/>
  <c r="Y80" i="110"/>
  <c r="X80" i="110" s="1"/>
  <c r="X90" i="110"/>
  <c r="Y95" i="110"/>
  <c r="X95" i="110" s="1"/>
  <c r="Y96" i="110"/>
  <c r="X96" i="110" s="1"/>
  <c r="Y100" i="110"/>
  <c r="X100" i="110" s="1"/>
  <c r="AC48" i="116"/>
  <c r="N14" i="116"/>
  <c r="AA14" i="116" s="1"/>
  <c r="Z14" i="116" s="1"/>
  <c r="Y15" i="109"/>
  <c r="U48" i="109"/>
  <c r="Y48" i="109" s="1"/>
  <c r="AA13" i="110"/>
  <c r="AC48" i="110"/>
  <c r="Z15" i="110"/>
  <c r="Y23" i="110"/>
  <c r="N44" i="110"/>
  <c r="AA44" i="110" s="1"/>
  <c r="Z44" i="110" s="1"/>
  <c r="Y44" i="110"/>
  <c r="X44" i="110" s="1"/>
  <c r="Y67" i="110"/>
  <c r="N72" i="110"/>
  <c r="AA72" i="110" s="1"/>
  <c r="Y72" i="110"/>
  <c r="X72" i="110" s="1"/>
  <c r="Y79" i="110"/>
  <c r="X79" i="110" s="1"/>
  <c r="Y87" i="110"/>
  <c r="X87" i="110" s="1"/>
  <c r="N89" i="110"/>
  <c r="AA89" i="110" s="1"/>
  <c r="X89" i="110"/>
  <c r="Z89" i="110"/>
  <c r="Z95" i="110"/>
  <c r="N236" i="116"/>
  <c r="D57" i="76"/>
  <c r="AC48" i="95"/>
  <c r="AA28" i="95"/>
  <c r="Z45" i="95"/>
  <c r="F102" i="95"/>
  <c r="N77" i="95"/>
  <c r="AA77" i="95" s="1"/>
  <c r="Y77" i="95"/>
  <c r="X77" i="95" s="1"/>
  <c r="AA78" i="95"/>
  <c r="Z78" i="95" s="1"/>
  <c r="Y78" i="95" s="1"/>
  <c r="Y84" i="95"/>
  <c r="V48" i="96"/>
  <c r="N37" i="96"/>
  <c r="AA37" i="96" s="1"/>
  <c r="X37" i="96"/>
  <c r="Y40" i="96"/>
  <c r="X40" i="96" s="1"/>
  <c r="AA82" i="96"/>
  <c r="M48" i="97"/>
  <c r="Y18" i="97"/>
  <c r="N25" i="97"/>
  <c r="AA25" i="97" s="1"/>
  <c r="Z25" i="97" s="1"/>
  <c r="Y25" i="97"/>
  <c r="X25" i="97" s="1"/>
  <c r="Y28" i="97"/>
  <c r="N34" i="97"/>
  <c r="AA34" i="97" s="1"/>
  <c r="Z34" i="97" s="1"/>
  <c r="X34" i="97"/>
  <c r="W102" i="97"/>
  <c r="AD102" i="97"/>
  <c r="N70" i="97"/>
  <c r="AA70" i="97" s="1"/>
  <c r="X70" i="97"/>
  <c r="Z70" i="97"/>
  <c r="Z84" i="97"/>
  <c r="V48" i="98"/>
  <c r="W48" i="98"/>
  <c r="N17" i="98"/>
  <c r="Y17" i="98"/>
  <c r="X17" i="98" s="1"/>
  <c r="Y36" i="98"/>
  <c r="W102" i="98"/>
  <c r="N68" i="98"/>
  <c r="AA68" i="98" s="1"/>
  <c r="Y68" i="98"/>
  <c r="X68" i="98" s="1"/>
  <c r="AA69" i="98"/>
  <c r="Z87" i="98"/>
  <c r="Y87" i="98"/>
  <c r="AA91" i="98"/>
  <c r="U48" i="99"/>
  <c r="Y13" i="99"/>
  <c r="AF48" i="99"/>
  <c r="AA33" i="99"/>
  <c r="Y43" i="99"/>
  <c r="M102" i="99"/>
  <c r="N70" i="99"/>
  <c r="AA70" i="99" s="1"/>
  <c r="X70" i="99"/>
  <c r="Z70" i="99"/>
  <c r="Y76" i="99"/>
  <c r="N86" i="99"/>
  <c r="AA86" i="99" s="1"/>
  <c r="X86" i="99"/>
  <c r="Z86" i="99"/>
  <c r="Y92" i="99"/>
  <c r="Z97" i="99"/>
  <c r="AA100" i="99"/>
  <c r="Z18" i="100"/>
  <c r="Z30" i="100"/>
  <c r="N41" i="100"/>
  <c r="AA41" i="100" s="1"/>
  <c r="X41" i="100"/>
  <c r="Z41" i="100"/>
  <c r="AA42" i="100"/>
  <c r="Z42" i="100" s="1"/>
  <c r="Z44" i="100"/>
  <c r="AA45" i="100"/>
  <c r="N70" i="100"/>
  <c r="AA70" i="100" s="1"/>
  <c r="Z70" i="100" s="1"/>
  <c r="Y70" i="100" s="1"/>
  <c r="X70" i="100"/>
  <c r="AA71" i="100"/>
  <c r="N74" i="100"/>
  <c r="AA74" i="100" s="1"/>
  <c r="Z74" i="100" s="1"/>
  <c r="Y74" i="100" s="1"/>
  <c r="X74" i="100"/>
  <c r="AA75" i="100"/>
  <c r="N78" i="100"/>
  <c r="AA78" i="100" s="1"/>
  <c r="Z78" i="100" s="1"/>
  <c r="Y78" i="100" s="1"/>
  <c r="X78" i="100"/>
  <c r="AA79" i="100"/>
  <c r="N82" i="100"/>
  <c r="AA82" i="100" s="1"/>
  <c r="Z82" i="100" s="1"/>
  <c r="Y82" i="100" s="1"/>
  <c r="X82" i="100"/>
  <c r="AA83" i="100"/>
  <c r="N86" i="100"/>
  <c r="AA86" i="100" s="1"/>
  <c r="Z86" i="100" s="1"/>
  <c r="Y86" i="100" s="1"/>
  <c r="X86" i="100"/>
  <c r="AA87" i="100"/>
  <c r="N90" i="100"/>
  <c r="AA90" i="100" s="1"/>
  <c r="Z90" i="100" s="1"/>
  <c r="Y90" i="100" s="1"/>
  <c r="X90" i="100"/>
  <c r="AA91" i="100"/>
  <c r="N94" i="100"/>
  <c r="AA94" i="100" s="1"/>
  <c r="Z94" i="100" s="1"/>
  <c r="Y94" i="100" s="1"/>
  <c r="X94" i="100"/>
  <c r="AA95" i="100"/>
  <c r="N98" i="100"/>
  <c r="AA98" i="100" s="1"/>
  <c r="Z98" i="100" s="1"/>
  <c r="Y98" i="100" s="1"/>
  <c r="X98" i="100"/>
  <c r="AA99" i="100"/>
  <c r="AE48" i="101"/>
  <c r="Z14" i="101"/>
  <c r="AA29" i="101"/>
  <c r="AA30" i="101"/>
  <c r="AE102" i="101"/>
  <c r="Z74" i="101"/>
  <c r="AA75" i="101"/>
  <c r="AA82" i="101"/>
  <c r="Z90" i="101"/>
  <c r="AA91" i="101"/>
  <c r="AA98" i="101"/>
  <c r="AA14" i="102"/>
  <c r="Y70" i="102"/>
  <c r="Z81" i="102"/>
  <c r="N95" i="102"/>
  <c r="AA95" i="102" s="1"/>
  <c r="Z95" i="102" s="1"/>
  <c r="Y95" i="102" s="1"/>
  <c r="X95" i="102"/>
  <c r="AA96" i="102"/>
  <c r="Z100" i="102"/>
  <c r="V48" i="103"/>
  <c r="AC48" i="103"/>
  <c r="N23" i="103"/>
  <c r="AA23" i="103" s="1"/>
  <c r="X23" i="103"/>
  <c r="Y33" i="103"/>
  <c r="Z36" i="103"/>
  <c r="Y36" i="103"/>
  <c r="M102" i="103"/>
  <c r="AF102" i="103"/>
  <c r="Z70" i="103"/>
  <c r="Y83" i="103"/>
  <c r="X83" i="103" s="1"/>
  <c r="N86" i="103"/>
  <c r="AA86" i="103" s="1"/>
  <c r="X86" i="103"/>
  <c r="Z86" i="103"/>
  <c r="AA100" i="103"/>
  <c r="N16" i="104"/>
  <c r="AA16" i="104" s="1"/>
  <c r="Z16" i="104" s="1"/>
  <c r="X16" i="104"/>
  <c r="N26" i="104"/>
  <c r="AA26" i="104" s="1"/>
  <c r="Z26" i="104" s="1"/>
  <c r="X26" i="104"/>
  <c r="AA28" i="104"/>
  <c r="Y34" i="104"/>
  <c r="N38" i="104"/>
  <c r="AA38" i="104" s="1"/>
  <c r="X38" i="104"/>
  <c r="Z38" i="104"/>
  <c r="AE102" i="104"/>
  <c r="AD102" i="104" s="1"/>
  <c r="AA76" i="104"/>
  <c r="AA92" i="104"/>
  <c r="Y94" i="104"/>
  <c r="AA100" i="104"/>
  <c r="AC102" i="104"/>
  <c r="F48" i="105"/>
  <c r="W48" i="105"/>
  <c r="Y19" i="105"/>
  <c r="X19" i="105" s="1"/>
  <c r="Y23" i="105"/>
  <c r="X23" i="105" s="1"/>
  <c r="Y24" i="105"/>
  <c r="Z37" i="105"/>
  <c r="X37" i="105"/>
  <c r="AA44" i="105"/>
  <c r="AA46" i="105"/>
  <c r="V102" i="105"/>
  <c r="AC102" i="105"/>
  <c r="Y68" i="105"/>
  <c r="X68" i="105" s="1"/>
  <c r="N74" i="105"/>
  <c r="AA74" i="105" s="1"/>
  <c r="Z74" i="105" s="1"/>
  <c r="Y74" i="105" s="1"/>
  <c r="X74" i="105"/>
  <c r="Y77" i="105"/>
  <c r="Z81" i="105"/>
  <c r="Y86" i="105"/>
  <c r="X86" i="105" s="1"/>
  <c r="Y22" i="106"/>
  <c r="X22" i="106" s="1"/>
  <c r="Y24" i="106"/>
  <c r="Y31" i="106"/>
  <c r="X31" i="106" s="1"/>
  <c r="Y32" i="106"/>
  <c r="X32" i="106" s="1"/>
  <c r="AA39" i="106"/>
  <c r="Z39" i="106" s="1"/>
  <c r="Y45" i="106"/>
  <c r="Z66" i="106"/>
  <c r="M102" i="106"/>
  <c r="AE102" i="106"/>
  <c r="Y72" i="106"/>
  <c r="F48" i="107"/>
  <c r="Z14" i="107"/>
  <c r="X14" i="107"/>
  <c r="Y17" i="107"/>
  <c r="Z24" i="107"/>
  <c r="Y28" i="107"/>
  <c r="Z46" i="107"/>
  <c r="X46" i="107"/>
  <c r="V102" i="107"/>
  <c r="Y67" i="107"/>
  <c r="X67" i="107" s="1"/>
  <c r="AA69" i="107"/>
  <c r="Z75" i="107"/>
  <c r="N76" i="107"/>
  <c r="AA76" i="107" s="1"/>
  <c r="Y76" i="107"/>
  <c r="X76" i="107" s="1"/>
  <c r="Y87" i="107"/>
  <c r="Y88" i="107"/>
  <c r="X93" i="107"/>
  <c r="AA99" i="107"/>
  <c r="Z99" i="107" s="1"/>
  <c r="Y16" i="108"/>
  <c r="X16" i="108" s="1"/>
  <c r="AA20" i="108"/>
  <c r="AA24" i="108"/>
  <c r="AA28" i="108"/>
  <c r="AA32" i="108"/>
  <c r="AA36" i="108"/>
  <c r="AA40" i="108"/>
  <c r="AA44" i="108"/>
  <c r="AA66" i="108"/>
  <c r="Y67" i="108"/>
  <c r="X67" i="108" s="1"/>
  <c r="AA69" i="108"/>
  <c r="AA71" i="108"/>
  <c r="Z71" i="108" s="1"/>
  <c r="Y75" i="108"/>
  <c r="Z79" i="108"/>
  <c r="Z85" i="108"/>
  <c r="X85" i="108"/>
  <c r="Y86" i="108"/>
  <c r="X86" i="108" s="1"/>
  <c r="AA89" i="108"/>
  <c r="Z89" i="108" s="1"/>
  <c r="Y13" i="109"/>
  <c r="AE48" i="109"/>
  <c r="AD48" i="109" s="1"/>
  <c r="Y14" i="109"/>
  <c r="Z20" i="109"/>
  <c r="Z24" i="109"/>
  <c r="Y31" i="109"/>
  <c r="Y32" i="109"/>
  <c r="X32" i="109" s="1"/>
  <c r="Z35" i="109"/>
  <c r="X35" i="109"/>
  <c r="Y36" i="109"/>
  <c r="X36" i="109" s="1"/>
  <c r="AA37" i="109"/>
  <c r="Z41" i="109"/>
  <c r="N46" i="109"/>
  <c r="AA46" i="109" s="1"/>
  <c r="X46" i="109"/>
  <c r="Z46" i="109"/>
  <c r="U102" i="109"/>
  <c r="Y68" i="109"/>
  <c r="Y69" i="109"/>
  <c r="X69" i="109" s="1"/>
  <c r="AA74" i="109"/>
  <c r="AA76" i="109"/>
  <c r="AA82" i="109"/>
  <c r="Y87" i="109"/>
  <c r="X87" i="109" s="1"/>
  <c r="AA92" i="109"/>
  <c r="Y94" i="109"/>
  <c r="X94" i="109" s="1"/>
  <c r="Y98" i="109"/>
  <c r="X98" i="109" s="1"/>
  <c r="Y99" i="109"/>
  <c r="X99" i="109" s="1"/>
  <c r="F48" i="110"/>
  <c r="Y18" i="110"/>
  <c r="X18" i="110" s="1"/>
  <c r="N22" i="110"/>
  <c r="AA22" i="110" s="1"/>
  <c r="X22" i="110"/>
  <c r="Z22" i="110"/>
  <c r="Z25" i="110"/>
  <c r="Y25" i="110" s="1"/>
  <c r="X25" i="110" s="1"/>
  <c r="Y34" i="110"/>
  <c r="Z39" i="110"/>
  <c r="X39" i="110"/>
  <c r="N43" i="110"/>
  <c r="AA43" i="110" s="1"/>
  <c r="X43" i="110"/>
  <c r="Z43" i="110"/>
  <c r="Z97" i="110"/>
  <c r="X97" i="110"/>
  <c r="Y98" i="110"/>
  <c r="X98" i="110" s="1"/>
  <c r="AA99" i="110"/>
  <c r="Z99" i="110" s="1"/>
  <c r="U102" i="110"/>
  <c r="N13" i="116"/>
  <c r="X13" i="116"/>
  <c r="N17" i="116"/>
  <c r="AA17" i="116" s="1"/>
  <c r="AA72" i="116"/>
  <c r="Z72" i="116" s="1"/>
  <c r="Z236" i="116" s="1"/>
  <c r="N13" i="96"/>
  <c r="Z13" i="96"/>
  <c r="N14" i="96"/>
  <c r="AA14" i="96" s="1"/>
  <c r="Z14" i="96"/>
  <c r="AA16" i="96"/>
  <c r="N21" i="96"/>
  <c r="AA21" i="96" s="1"/>
  <c r="Z21" i="96"/>
  <c r="N26" i="96"/>
  <c r="AA26" i="96" s="1"/>
  <c r="Z26" i="96"/>
  <c r="AA30" i="96"/>
  <c r="N33" i="96"/>
  <c r="AA33" i="96" s="1"/>
  <c r="Z33" i="96"/>
  <c r="Y33" i="96" s="1"/>
  <c r="N39" i="96"/>
  <c r="AA39" i="96" s="1"/>
  <c r="Z39" i="96"/>
  <c r="N44" i="96"/>
  <c r="AA44" i="96" s="1"/>
  <c r="Z44" i="96"/>
  <c r="AA46" i="96"/>
  <c r="AA68" i="96"/>
  <c r="N74" i="96"/>
  <c r="AA74" i="96" s="1"/>
  <c r="Z74" i="96"/>
  <c r="Y74" i="96" s="1"/>
  <c r="N81" i="96"/>
  <c r="AA81" i="96" s="1"/>
  <c r="Z81" i="96"/>
  <c r="Y81" i="96" s="1"/>
  <c r="Y83" i="96"/>
  <c r="N84" i="96"/>
  <c r="AA84" i="96" s="1"/>
  <c r="Z84" i="96" s="1"/>
  <c r="AA85" i="96"/>
  <c r="AA93" i="96"/>
  <c r="AA99" i="96"/>
  <c r="Y14" i="97"/>
  <c r="N16" i="97"/>
  <c r="AA16" i="97" s="1"/>
  <c r="Z16" i="97"/>
  <c r="N20" i="97"/>
  <c r="AA20" i="97" s="1"/>
  <c r="Z20" i="97" s="1"/>
  <c r="Y20" i="97"/>
  <c r="AA22" i="97"/>
  <c r="AA27" i="97"/>
  <c r="Z27" i="97" s="1"/>
  <c r="AA31" i="97"/>
  <c r="AA39" i="97"/>
  <c r="AA40" i="97"/>
  <c r="Z40" i="97" s="1"/>
  <c r="N44" i="97"/>
  <c r="AA44" i="97" s="1"/>
  <c r="Z44" i="97" s="1"/>
  <c r="Y44" i="97"/>
  <c r="Y45" i="97"/>
  <c r="AA46" i="97"/>
  <c r="N66" i="97"/>
  <c r="AA66" i="97" s="1"/>
  <c r="Y66" i="97"/>
  <c r="N67" i="97"/>
  <c r="AA67" i="97" s="1"/>
  <c r="Y67" i="97"/>
  <c r="Y76" i="97"/>
  <c r="N77" i="97"/>
  <c r="AA77" i="97" s="1"/>
  <c r="Z77" i="97" s="1"/>
  <c r="Y77" i="97"/>
  <c r="N82" i="97"/>
  <c r="AA82" i="97" s="1"/>
  <c r="Y82" i="97"/>
  <c r="N83" i="97"/>
  <c r="AA83" i="97" s="1"/>
  <c r="Y83" i="97"/>
  <c r="AA88" i="97"/>
  <c r="Y96" i="97"/>
  <c r="N97" i="97"/>
  <c r="AA97" i="97" s="1"/>
  <c r="Z97" i="97"/>
  <c r="Y97" i="97" s="1"/>
  <c r="AA19" i="98"/>
  <c r="AA20" i="98"/>
  <c r="N22" i="98"/>
  <c r="AA22" i="98" s="1"/>
  <c r="Z22" i="98"/>
  <c r="Y22" i="98" s="1"/>
  <c r="N28" i="98"/>
  <c r="AA28" i="98" s="1"/>
  <c r="Y28" i="98"/>
  <c r="N29" i="98"/>
  <c r="AA29" i="98" s="1"/>
  <c r="Z29" i="98" s="1"/>
  <c r="AA35" i="98"/>
  <c r="N38" i="98"/>
  <c r="AA38" i="98" s="1"/>
  <c r="Z38" i="98"/>
  <c r="Y38" i="98" s="1"/>
  <c r="N44" i="98"/>
  <c r="AA44" i="98" s="1"/>
  <c r="Y44" i="98"/>
  <c r="N45" i="98"/>
  <c r="AA45" i="98" s="1"/>
  <c r="Z45" i="98" s="1"/>
  <c r="N67" i="98"/>
  <c r="AA67" i="98" s="1"/>
  <c r="Y67" i="98"/>
  <c r="N71" i="98"/>
  <c r="AA71" i="98" s="1"/>
  <c r="Z71" i="98" s="1"/>
  <c r="Y71" i="98"/>
  <c r="N72" i="98"/>
  <c r="AA72" i="98" s="1"/>
  <c r="Z72" i="98"/>
  <c r="Y73" i="98"/>
  <c r="N76" i="98"/>
  <c r="AA76" i="98" s="1"/>
  <c r="Z76" i="98"/>
  <c r="Y77" i="98"/>
  <c r="N80" i="98"/>
  <c r="AA80" i="98" s="1"/>
  <c r="Z80" i="98"/>
  <c r="Y81" i="98"/>
  <c r="Y90" i="98"/>
  <c r="N92" i="98"/>
  <c r="AA92" i="98" s="1"/>
  <c r="Y92" i="98"/>
  <c r="N98" i="98"/>
  <c r="AA98" i="98" s="1"/>
  <c r="Z98" i="98" s="1"/>
  <c r="Y98" i="98"/>
  <c r="N99" i="98"/>
  <c r="AA99" i="98" s="1"/>
  <c r="Y99" i="98"/>
  <c r="N17" i="99"/>
  <c r="AA17" i="99" s="1"/>
  <c r="Y17" i="99"/>
  <c r="N21" i="99"/>
  <c r="AA21" i="99" s="1"/>
  <c r="Y21" i="99"/>
  <c r="N25" i="99"/>
  <c r="AA25" i="99" s="1"/>
  <c r="Y25" i="99"/>
  <c r="N28" i="99"/>
  <c r="AA28" i="99" s="1"/>
  <c r="Y28" i="99"/>
  <c r="N29" i="99"/>
  <c r="AA29" i="99" s="1"/>
  <c r="Y29" i="99"/>
  <c r="N30" i="99"/>
  <c r="AA30" i="99" s="1"/>
  <c r="Z30" i="99" s="1"/>
  <c r="Y33" i="99"/>
  <c r="N39" i="99"/>
  <c r="AA39" i="99" s="1"/>
  <c r="Y39" i="99"/>
  <c r="AA42" i="99"/>
  <c r="Z42" i="99" s="1"/>
  <c r="N66" i="99"/>
  <c r="AA66" i="99" s="1"/>
  <c r="Y66" i="99"/>
  <c r="Y69" i="99"/>
  <c r="N72" i="99"/>
  <c r="AA72" i="99" s="1"/>
  <c r="Y72" i="99"/>
  <c r="Y77" i="99"/>
  <c r="N80" i="99"/>
  <c r="AA80" i="99" s="1"/>
  <c r="Y80" i="99"/>
  <c r="Y85" i="99"/>
  <c r="N88" i="99"/>
  <c r="AA88" i="99" s="1"/>
  <c r="Y88" i="99"/>
  <c r="Y93" i="99"/>
  <c r="N96" i="99"/>
  <c r="AA96" i="99" s="1"/>
  <c r="Y96" i="99"/>
  <c r="N99" i="99"/>
  <c r="AA99" i="99" s="1"/>
  <c r="Y99" i="99"/>
  <c r="N13" i="100"/>
  <c r="Z13" i="100"/>
  <c r="Y16" i="100"/>
  <c r="Y19" i="100"/>
  <c r="Y22" i="100"/>
  <c r="AA27" i="100"/>
  <c r="Y32" i="100"/>
  <c r="Y35" i="100"/>
  <c r="N37" i="100"/>
  <c r="AA37" i="100" s="1"/>
  <c r="Y37" i="100"/>
  <c r="N43" i="100"/>
  <c r="AA43" i="100" s="1"/>
  <c r="Y43" i="100"/>
  <c r="Y46" i="100"/>
  <c r="N16" i="101"/>
  <c r="AA16" i="101" s="1"/>
  <c r="Y16" i="101"/>
  <c r="Y18" i="101"/>
  <c r="Y21" i="101"/>
  <c r="N24" i="101"/>
  <c r="AA24" i="101" s="1"/>
  <c r="Y24" i="101"/>
  <c r="Y26" i="101"/>
  <c r="Y29" i="101"/>
  <c r="N32" i="101"/>
  <c r="AA32" i="101" s="1"/>
  <c r="Y32" i="101"/>
  <c r="Y34" i="101"/>
  <c r="Y37" i="101"/>
  <c r="Y41" i="101"/>
  <c r="Y43" i="101"/>
  <c r="AA45" i="101"/>
  <c r="AF48" i="101"/>
  <c r="Y68" i="101"/>
  <c r="Y73" i="101"/>
  <c r="Y76" i="101"/>
  <c r="Y81" i="101"/>
  <c r="Y84" i="101"/>
  <c r="Y89" i="101"/>
  <c r="Y92" i="101"/>
  <c r="Y97" i="101"/>
  <c r="Y100" i="101"/>
  <c r="Y68" i="102"/>
  <c r="N83" i="102"/>
  <c r="AA83" i="102" s="1"/>
  <c r="Y83" i="102"/>
  <c r="AA90" i="102"/>
  <c r="N92" i="102"/>
  <c r="AA92" i="102" s="1"/>
  <c r="Z92" i="102"/>
  <c r="Y92" i="102" s="1"/>
  <c r="Y97" i="102"/>
  <c r="N98" i="102"/>
  <c r="AA98" i="102" s="1"/>
  <c r="Y98" i="102"/>
  <c r="N99" i="102"/>
  <c r="AA99" i="102" s="1"/>
  <c r="Y99" i="102"/>
  <c r="N17" i="103"/>
  <c r="AA17" i="103" s="1"/>
  <c r="Y17" i="103"/>
  <c r="N20" i="103"/>
  <c r="AA20" i="103" s="1"/>
  <c r="Z20" i="103" s="1"/>
  <c r="Y20" i="103"/>
  <c r="N21" i="103"/>
  <c r="AA21" i="103" s="1"/>
  <c r="Y21" i="103"/>
  <c r="N24" i="103"/>
  <c r="AA24" i="103" s="1"/>
  <c r="Z24" i="103" s="1"/>
  <c r="Y24" i="103"/>
  <c r="N25" i="103"/>
  <c r="AA25" i="103" s="1"/>
  <c r="Y25" i="103"/>
  <c r="N43" i="103"/>
  <c r="AA43" i="103" s="1"/>
  <c r="Z43" i="103" s="1"/>
  <c r="Y43" i="103"/>
  <c r="Y67" i="103"/>
  <c r="AA72" i="103"/>
  <c r="Y76" i="103"/>
  <c r="AA80" i="103"/>
  <c r="Y84" i="103"/>
  <c r="AA88" i="103"/>
  <c r="Y92" i="103"/>
  <c r="N94" i="103"/>
  <c r="AA94" i="103" s="1"/>
  <c r="Y94" i="103"/>
  <c r="AA98" i="103"/>
  <c r="AA99" i="103"/>
  <c r="U102" i="103"/>
  <c r="N17" i="104"/>
  <c r="AA17" i="104" s="1"/>
  <c r="Z17" i="104" s="1"/>
  <c r="N23" i="104"/>
  <c r="AA23" i="104" s="1"/>
  <c r="Y23" i="104"/>
  <c r="N24" i="104"/>
  <c r="AA24" i="104" s="1"/>
  <c r="Z24" i="104" s="1"/>
  <c r="Y24" i="104"/>
  <c r="AA27" i="104"/>
  <c r="AA29" i="104"/>
  <c r="Z29" i="104" s="1"/>
  <c r="Y36" i="104"/>
  <c r="AA45" i="104"/>
  <c r="AA46" i="104"/>
  <c r="Z46" i="104" s="1"/>
  <c r="Y68" i="104"/>
  <c r="N69" i="104"/>
  <c r="AA69" i="104" s="1"/>
  <c r="Z69" i="104"/>
  <c r="Y69" i="104" s="1"/>
  <c r="Y72" i="104"/>
  <c r="N73" i="104"/>
  <c r="AA73" i="104" s="1"/>
  <c r="Y73" i="104"/>
  <c r="N74" i="104"/>
  <c r="AA74" i="104" s="1"/>
  <c r="Y74" i="104"/>
  <c r="N75" i="104"/>
  <c r="AA75" i="104" s="1"/>
  <c r="Z75" i="104" s="1"/>
  <c r="Y75" i="104"/>
  <c r="Y76" i="104"/>
  <c r="N77" i="104"/>
  <c r="AA77" i="104" s="1"/>
  <c r="Z77" i="104"/>
  <c r="Y77" i="104" s="1"/>
  <c r="Y80" i="104"/>
  <c r="N81" i="104"/>
  <c r="AA81" i="104" s="1"/>
  <c r="Y81" i="104"/>
  <c r="N82" i="104"/>
  <c r="AA82" i="104" s="1"/>
  <c r="Y82" i="104"/>
  <c r="N83" i="104"/>
  <c r="AA83" i="104" s="1"/>
  <c r="Z83" i="104" s="1"/>
  <c r="Y83" i="104"/>
  <c r="Y84" i="104"/>
  <c r="N85" i="104"/>
  <c r="AA85" i="104" s="1"/>
  <c r="Z85" i="104"/>
  <c r="Y85" i="104" s="1"/>
  <c r="M102" i="104"/>
  <c r="N17" i="105"/>
  <c r="AA17" i="105" s="1"/>
  <c r="Y17" i="105"/>
  <c r="N18" i="105"/>
  <c r="AA18" i="105" s="1"/>
  <c r="Z18" i="105" s="1"/>
  <c r="N27" i="105"/>
  <c r="AA27" i="105" s="1"/>
  <c r="Z27" i="105"/>
  <c r="N28" i="105"/>
  <c r="AA28" i="105" s="1"/>
  <c r="Y28" i="105"/>
  <c r="N29" i="105"/>
  <c r="AA29" i="105" s="1"/>
  <c r="Y29" i="105"/>
  <c r="N30" i="105"/>
  <c r="AA30" i="105" s="1"/>
  <c r="Z30" i="105" s="1"/>
  <c r="AA42" i="105"/>
  <c r="N69" i="105"/>
  <c r="AA69" i="105" s="1"/>
  <c r="Y69" i="105"/>
  <c r="Y73" i="105"/>
  <c r="N75" i="105"/>
  <c r="AA75" i="105" s="1"/>
  <c r="Z75" i="105"/>
  <c r="Y75" i="105" s="1"/>
  <c r="AA78" i="105"/>
  <c r="Y87" i="105"/>
  <c r="AA96" i="105"/>
  <c r="N13" i="106"/>
  <c r="Y13" i="106"/>
  <c r="Y19" i="106"/>
  <c r="AA23" i="106"/>
  <c r="Z23" i="106" s="1"/>
  <c r="Y37" i="106"/>
  <c r="N42" i="106"/>
  <c r="AA42" i="106" s="1"/>
  <c r="Z42" i="106"/>
  <c r="AA66" i="106"/>
  <c r="AA67" i="106"/>
  <c r="Z67" i="106" s="1"/>
  <c r="N70" i="106"/>
  <c r="AA70" i="106" s="1"/>
  <c r="AA75" i="106"/>
  <c r="Z75" i="106" s="1"/>
  <c r="AA76" i="106"/>
  <c r="N78" i="106"/>
  <c r="AA78" i="106" s="1"/>
  <c r="Z78" i="106"/>
  <c r="N79" i="106"/>
  <c r="AA79" i="106" s="1"/>
  <c r="Z79" i="106" s="1"/>
  <c r="Y79" i="106"/>
  <c r="Y80" i="106"/>
  <c r="AA88" i="106"/>
  <c r="Y91" i="106"/>
  <c r="N93" i="106"/>
  <c r="AA93" i="106" s="1"/>
  <c r="Z93" i="106"/>
  <c r="Y93" i="106" s="1"/>
  <c r="N95" i="106"/>
  <c r="AA95" i="106" s="1"/>
  <c r="Y95" i="106"/>
  <c r="N96" i="106"/>
  <c r="AA96" i="106" s="1"/>
  <c r="Y96" i="106"/>
  <c r="N97" i="106"/>
  <c r="AA97" i="106" s="1"/>
  <c r="Y97" i="106"/>
  <c r="U102" i="106"/>
  <c r="AF102" i="106"/>
  <c r="AA15" i="107"/>
  <c r="AA16" i="107"/>
  <c r="Y18" i="107"/>
  <c r="N21" i="107"/>
  <c r="AA21" i="107" s="1"/>
  <c r="Z21" i="107"/>
  <c r="N22" i="107"/>
  <c r="AA22" i="107" s="1"/>
  <c r="Y22" i="107"/>
  <c r="N25" i="107"/>
  <c r="AA25" i="107" s="1"/>
  <c r="Y25" i="107"/>
  <c r="Y27" i="107"/>
  <c r="AA31" i="107"/>
  <c r="AA32" i="107"/>
  <c r="Y34" i="107"/>
  <c r="N37" i="107"/>
  <c r="AA37" i="107" s="1"/>
  <c r="Z37" i="107"/>
  <c r="N38" i="107"/>
  <c r="AA38" i="107" s="1"/>
  <c r="Y38" i="107"/>
  <c r="N41" i="107"/>
  <c r="AA41" i="107" s="1"/>
  <c r="Y41" i="107"/>
  <c r="Y43" i="107"/>
  <c r="Y66" i="107"/>
  <c r="N70" i="107"/>
  <c r="AA70" i="107" s="1"/>
  <c r="Y70" i="107"/>
  <c r="AA71" i="107"/>
  <c r="AA72" i="107"/>
  <c r="Z72" i="107" s="1"/>
  <c r="AA79" i="107"/>
  <c r="AA80" i="107"/>
  <c r="Z80" i="107" s="1"/>
  <c r="Y82" i="107"/>
  <c r="N84" i="107"/>
  <c r="AA84" i="107" s="1"/>
  <c r="Y84" i="107"/>
  <c r="Y91" i="107"/>
  <c r="AA96" i="107"/>
  <c r="Y99" i="107"/>
  <c r="Y100" i="107"/>
  <c r="N18" i="108"/>
  <c r="AA18" i="108" s="1"/>
  <c r="Z18" i="108"/>
  <c r="N19" i="108"/>
  <c r="AA19" i="108" s="1"/>
  <c r="Z19" i="108"/>
  <c r="N22" i="108"/>
  <c r="AA22" i="108" s="1"/>
  <c r="Z22" i="108"/>
  <c r="N23" i="108"/>
  <c r="AA23" i="108" s="1"/>
  <c r="Z23" i="108"/>
  <c r="N26" i="108"/>
  <c r="AA26" i="108" s="1"/>
  <c r="Z26" i="108"/>
  <c r="N27" i="108"/>
  <c r="AA27" i="108" s="1"/>
  <c r="Z27" i="108"/>
  <c r="N30" i="108"/>
  <c r="AA30" i="108" s="1"/>
  <c r="Z30" i="108"/>
  <c r="N31" i="108"/>
  <c r="AA31" i="108" s="1"/>
  <c r="Z31" i="108"/>
  <c r="N34" i="108"/>
  <c r="AA34" i="108" s="1"/>
  <c r="Z34" i="108"/>
  <c r="N35" i="108"/>
  <c r="AA35" i="108" s="1"/>
  <c r="Z35" i="108"/>
  <c r="N38" i="108"/>
  <c r="AA38" i="108" s="1"/>
  <c r="Z38" i="108"/>
  <c r="N39" i="108"/>
  <c r="AA39" i="108" s="1"/>
  <c r="Z39" i="108"/>
  <c r="N42" i="108"/>
  <c r="AA42" i="108" s="1"/>
  <c r="Z42" i="108"/>
  <c r="N43" i="108"/>
  <c r="AA43" i="108" s="1"/>
  <c r="Z43" i="108"/>
  <c r="N46" i="108"/>
  <c r="AA46" i="108" s="1"/>
  <c r="Z46" i="108"/>
  <c r="AA68" i="108"/>
  <c r="Y76" i="108"/>
  <c r="N77" i="108"/>
  <c r="AA77" i="108" s="1"/>
  <c r="Y77" i="108"/>
  <c r="Y81" i="108"/>
  <c r="AA82" i="108"/>
  <c r="Z82" i="108" s="1"/>
  <c r="N91" i="108"/>
  <c r="AA91" i="108" s="1"/>
  <c r="Z91" i="108"/>
  <c r="N93" i="108"/>
  <c r="AA93" i="108" s="1"/>
  <c r="Y93" i="108"/>
  <c r="Y95" i="108"/>
  <c r="Y97" i="108"/>
  <c r="AA100" i="108"/>
  <c r="N22" i="109"/>
  <c r="AA22" i="109" s="1"/>
  <c r="Y22" i="109"/>
  <c r="N23" i="109"/>
  <c r="AA23" i="109" s="1"/>
  <c r="Y23" i="109"/>
  <c r="N26" i="109"/>
  <c r="AA26" i="109" s="1"/>
  <c r="Y26" i="109"/>
  <c r="N27" i="109"/>
  <c r="AA27" i="109" s="1"/>
  <c r="Y27" i="109"/>
  <c r="AA32" i="109"/>
  <c r="AA33" i="109"/>
  <c r="N42" i="109"/>
  <c r="AA42" i="109" s="1"/>
  <c r="Y42" i="109"/>
  <c r="N43" i="109"/>
  <c r="AA43" i="109" s="1"/>
  <c r="Y43" i="109"/>
  <c r="Y67" i="109"/>
  <c r="N71" i="109"/>
  <c r="AA71" i="109" s="1"/>
  <c r="Z71" i="109"/>
  <c r="N75" i="109"/>
  <c r="AA75" i="109" s="1"/>
  <c r="Z75" i="109"/>
  <c r="N77" i="109"/>
  <c r="AA77" i="109" s="1"/>
  <c r="Z77" i="109" s="1"/>
  <c r="Y77" i="109"/>
  <c r="N79" i="109"/>
  <c r="AA79" i="109" s="1"/>
  <c r="Z79" i="109"/>
  <c r="N83" i="109"/>
  <c r="AA83" i="109" s="1"/>
  <c r="Z83" i="109"/>
  <c r="N89" i="109"/>
  <c r="AA89" i="109" s="1"/>
  <c r="Z89" i="109" s="1"/>
  <c r="N97" i="109"/>
  <c r="AA97" i="109" s="1"/>
  <c r="Z97" i="109" s="1"/>
  <c r="N26" i="110"/>
  <c r="AA26" i="110" s="1"/>
  <c r="Y26" i="110"/>
  <c r="N29" i="110"/>
  <c r="AA29" i="110" s="1"/>
  <c r="N31" i="110"/>
  <c r="AA31" i="110" s="1"/>
  <c r="Y31" i="110"/>
  <c r="N32" i="110"/>
  <c r="AA32" i="110" s="1"/>
  <c r="Z32" i="110" s="1"/>
  <c r="N42" i="110"/>
  <c r="AA42" i="110" s="1"/>
  <c r="Y42" i="110"/>
  <c r="N45" i="110"/>
  <c r="AA45" i="110" s="1"/>
  <c r="Y71" i="110"/>
  <c r="N74" i="110"/>
  <c r="AA74" i="110" s="1"/>
  <c r="Z74" i="110"/>
  <c r="Y77" i="110"/>
  <c r="AA84" i="110"/>
  <c r="AA85" i="110"/>
  <c r="Z85" i="110" s="1"/>
  <c r="AA86" i="110"/>
  <c r="Y91" i="110"/>
  <c r="Y93" i="110"/>
  <c r="AA96" i="110"/>
  <c r="Y99" i="110"/>
  <c r="AC102" i="110"/>
  <c r="L13" i="116"/>
  <c r="M48" i="116"/>
  <c r="W48" i="116"/>
  <c r="AF48" i="116"/>
  <c r="L15" i="116"/>
  <c r="Y16" i="116"/>
  <c r="L17" i="116"/>
  <c r="N18" i="116"/>
  <c r="AA18" i="116" s="1"/>
  <c r="H15" i="92"/>
  <c r="N16" i="95"/>
  <c r="AA16" i="95" s="1"/>
  <c r="Y16" i="95"/>
  <c r="N17" i="95"/>
  <c r="AA17" i="95" s="1"/>
  <c r="N18" i="95"/>
  <c r="AA20" i="95"/>
  <c r="AA24" i="95"/>
  <c r="N27" i="95"/>
  <c r="AA27" i="95" s="1"/>
  <c r="N33" i="95"/>
  <c r="AA33" i="95" s="1"/>
  <c r="Y33" i="95"/>
  <c r="N34" i="95"/>
  <c r="AA34" i="95" s="1"/>
  <c r="N38" i="95"/>
  <c r="AA38" i="95" s="1"/>
  <c r="AA40" i="95"/>
  <c r="AA41" i="95"/>
  <c r="N43" i="95"/>
  <c r="AA43" i="95" s="1"/>
  <c r="N66" i="95"/>
  <c r="N79" i="95"/>
  <c r="AA79" i="95" s="1"/>
  <c r="Y79" i="95"/>
  <c r="N80" i="95"/>
  <c r="AA80" i="95" s="1"/>
  <c r="Y80" i="95"/>
  <c r="AA85" i="95"/>
  <c r="AA91" i="95"/>
  <c r="AA94" i="95"/>
  <c r="Z94" i="95" s="1"/>
  <c r="Y94" i="95" s="1"/>
  <c r="N100" i="95"/>
  <c r="AA100" i="95" s="1"/>
  <c r="Y100" i="95"/>
  <c r="AF102" i="95"/>
  <c r="Y13" i="96"/>
  <c r="X13" i="96" s="1"/>
  <c r="Y14" i="96"/>
  <c r="X14" i="96" s="1"/>
  <c r="N15" i="96"/>
  <c r="AA15" i="96" s="1"/>
  <c r="Y21" i="96"/>
  <c r="X21" i="96" s="1"/>
  <c r="N22" i="96"/>
  <c r="AA22" i="96" s="1"/>
  <c r="AA24" i="96"/>
  <c r="Y26" i="96"/>
  <c r="X26" i="96" s="1"/>
  <c r="N27" i="96"/>
  <c r="AA27" i="96" s="1"/>
  <c r="N29" i="96"/>
  <c r="AA29" i="96" s="1"/>
  <c r="AA31" i="96"/>
  <c r="X33" i="96"/>
  <c r="N35" i="96"/>
  <c r="AA35" i="96" s="1"/>
  <c r="AA36" i="96"/>
  <c r="Y39" i="96"/>
  <c r="X39" i="96" s="1"/>
  <c r="N40" i="96"/>
  <c r="AA40" i="96" s="1"/>
  <c r="AA42" i="96"/>
  <c r="Y44" i="96"/>
  <c r="X44" i="96" s="1"/>
  <c r="N45" i="96"/>
  <c r="AA45" i="96" s="1"/>
  <c r="U48" i="96"/>
  <c r="AA67" i="96"/>
  <c r="AA71" i="96"/>
  <c r="AA72" i="96"/>
  <c r="X74" i="96"/>
  <c r="AA79" i="96"/>
  <c r="X81" i="96"/>
  <c r="Y84" i="96"/>
  <c r="X84" i="96" s="1"/>
  <c r="N88" i="96"/>
  <c r="AA88" i="96" s="1"/>
  <c r="N92" i="96"/>
  <c r="AA92" i="96" s="1"/>
  <c r="N96" i="96"/>
  <c r="AA96" i="96" s="1"/>
  <c r="AA98" i="96"/>
  <c r="Z13" i="97"/>
  <c r="Y16" i="97"/>
  <c r="X16" i="97" s="1"/>
  <c r="N17" i="97"/>
  <c r="AA17" i="97" s="1"/>
  <c r="X20" i="97"/>
  <c r="AA21" i="97"/>
  <c r="AA23" i="97"/>
  <c r="Z23" i="97" s="1"/>
  <c r="N26" i="97"/>
  <c r="AA26" i="97" s="1"/>
  <c r="Y26" i="97"/>
  <c r="AA30" i="97"/>
  <c r="N36" i="97"/>
  <c r="AA36" i="97" s="1"/>
  <c r="Z36" i="97" s="1"/>
  <c r="Y36" i="97"/>
  <c r="AA38" i="97"/>
  <c r="X44" i="97"/>
  <c r="X66" i="97"/>
  <c r="X67" i="97"/>
  <c r="AA68" i="97"/>
  <c r="N73" i="97"/>
  <c r="AA73" i="97" s="1"/>
  <c r="Y73" i="97"/>
  <c r="N74" i="97"/>
  <c r="AA74" i="97" s="1"/>
  <c r="Y74" i="97"/>
  <c r="N75" i="97"/>
  <c r="AA75" i="97" s="1"/>
  <c r="Y75" i="97"/>
  <c r="X77" i="97"/>
  <c r="N78" i="97"/>
  <c r="AA78" i="97" s="1"/>
  <c r="Y78" i="97"/>
  <c r="N79" i="97"/>
  <c r="AA79" i="97" s="1"/>
  <c r="Y79" i="97"/>
  <c r="AA80" i="97"/>
  <c r="X82" i="97"/>
  <c r="X83" i="97"/>
  <c r="AA84" i="97"/>
  <c r="N93" i="97"/>
  <c r="AA93" i="97" s="1"/>
  <c r="Y93" i="97"/>
  <c r="N94" i="97"/>
  <c r="AA94" i="97" s="1"/>
  <c r="Y94" i="97"/>
  <c r="N95" i="97"/>
  <c r="AA95" i="97" s="1"/>
  <c r="Y95" i="97"/>
  <c r="X97" i="97"/>
  <c r="N98" i="97"/>
  <c r="AA98" i="97" s="1"/>
  <c r="Y98" i="97"/>
  <c r="N99" i="97"/>
  <c r="AA99" i="97" s="1"/>
  <c r="Y99" i="97"/>
  <c r="AA100" i="97"/>
  <c r="AA15" i="98"/>
  <c r="N18" i="98"/>
  <c r="AA18" i="98" s="1"/>
  <c r="X22" i="98"/>
  <c r="N24" i="98"/>
  <c r="AA24" i="98" s="1"/>
  <c r="Y24" i="98"/>
  <c r="N25" i="98"/>
  <c r="AA25" i="98" s="1"/>
  <c r="Z25" i="98" s="1"/>
  <c r="X28" i="98"/>
  <c r="Y29" i="98"/>
  <c r="X29" i="98" s="1"/>
  <c r="AA31" i="98"/>
  <c r="AA32" i="98"/>
  <c r="N34" i="98"/>
  <c r="AA34" i="98" s="1"/>
  <c r="X38" i="98"/>
  <c r="N40" i="98"/>
  <c r="AA40" i="98" s="1"/>
  <c r="Y40" i="98"/>
  <c r="N41" i="98"/>
  <c r="AA41" i="98" s="1"/>
  <c r="Z41" i="98" s="1"/>
  <c r="X44" i="98"/>
  <c r="Y45" i="98"/>
  <c r="X45" i="98" s="1"/>
  <c r="X67" i="98"/>
  <c r="X71" i="98"/>
  <c r="Y72" i="98"/>
  <c r="X72" i="98" s="1"/>
  <c r="N75" i="98"/>
  <c r="AA75" i="98" s="1"/>
  <c r="Y75" i="98"/>
  <c r="Y76" i="98"/>
  <c r="X76" i="98" s="1"/>
  <c r="N79" i="98"/>
  <c r="AA79" i="98" s="1"/>
  <c r="Y79" i="98"/>
  <c r="Y80" i="98"/>
  <c r="X80" i="98" s="1"/>
  <c r="N83" i="98"/>
  <c r="AA83" i="98" s="1"/>
  <c r="Z83" i="98" s="1"/>
  <c r="Y83" i="98"/>
  <c r="N84" i="98"/>
  <c r="AA84" i="98" s="1"/>
  <c r="X92" i="98"/>
  <c r="X98" i="98"/>
  <c r="X99" i="98"/>
  <c r="AA13" i="99"/>
  <c r="Z13" i="99" s="1"/>
  <c r="X17" i="99"/>
  <c r="AA18" i="99"/>
  <c r="X21" i="99"/>
  <c r="AA22" i="99"/>
  <c r="X25" i="99"/>
  <c r="AA26" i="99"/>
  <c r="X28" i="99"/>
  <c r="X29" i="99"/>
  <c r="Y30" i="99"/>
  <c r="X30" i="99" s="1"/>
  <c r="N35" i="99"/>
  <c r="AA35" i="99" s="1"/>
  <c r="Y35" i="99"/>
  <c r="N36" i="99"/>
  <c r="AA36" i="99" s="1"/>
  <c r="Z36" i="99" s="1"/>
  <c r="X39" i="99"/>
  <c r="X66" i="99"/>
  <c r="X72" i="99"/>
  <c r="N74" i="99"/>
  <c r="AA74" i="99" s="1"/>
  <c r="Y74" i="99"/>
  <c r="X80" i="99"/>
  <c r="N82" i="99"/>
  <c r="AA82" i="99" s="1"/>
  <c r="Y82" i="99"/>
  <c r="X88" i="99"/>
  <c r="N90" i="99"/>
  <c r="AA90" i="99" s="1"/>
  <c r="Y90" i="99"/>
  <c r="X96" i="99"/>
  <c r="X99" i="99"/>
  <c r="U102" i="99"/>
  <c r="Y13" i="100"/>
  <c r="X13" i="100" s="1"/>
  <c r="AA23" i="100"/>
  <c r="X37" i="100"/>
  <c r="N39" i="100"/>
  <c r="AA39" i="100" s="1"/>
  <c r="Y39" i="100"/>
  <c r="N40" i="100"/>
  <c r="AA40" i="100" s="1"/>
  <c r="Z40" i="100" s="1"/>
  <c r="X43" i="100"/>
  <c r="AA69" i="100"/>
  <c r="N72" i="100"/>
  <c r="AA72" i="100" s="1"/>
  <c r="Z72" i="100" s="1"/>
  <c r="Y72" i="100" s="1"/>
  <c r="AA73" i="100"/>
  <c r="N76" i="100"/>
  <c r="AA76" i="100" s="1"/>
  <c r="Z76" i="100" s="1"/>
  <c r="Y76" i="100" s="1"/>
  <c r="AA77" i="100"/>
  <c r="N80" i="100"/>
  <c r="AA80" i="100" s="1"/>
  <c r="Z80" i="100" s="1"/>
  <c r="Y80" i="100" s="1"/>
  <c r="AA81" i="100"/>
  <c r="N84" i="100"/>
  <c r="AA84" i="100" s="1"/>
  <c r="Z84" i="100" s="1"/>
  <c r="Y84" i="100" s="1"/>
  <c r="AA85" i="100"/>
  <c r="N88" i="100"/>
  <c r="AA88" i="100" s="1"/>
  <c r="Z88" i="100" s="1"/>
  <c r="Y88" i="100" s="1"/>
  <c r="AA89" i="100"/>
  <c r="N92" i="100"/>
  <c r="AA92" i="100" s="1"/>
  <c r="Z92" i="100" s="1"/>
  <c r="Y92" i="100" s="1"/>
  <c r="AA93" i="100"/>
  <c r="N96" i="100"/>
  <c r="AA96" i="100" s="1"/>
  <c r="Z96" i="100" s="1"/>
  <c r="Y96" i="100" s="1"/>
  <c r="AA97" i="100"/>
  <c r="N100" i="100"/>
  <c r="AA100" i="100" s="1"/>
  <c r="Z100" i="100" s="1"/>
  <c r="Y100" i="100" s="1"/>
  <c r="N13" i="101"/>
  <c r="Y13" i="101"/>
  <c r="X16" i="101"/>
  <c r="N20" i="101"/>
  <c r="AA20" i="101" s="1"/>
  <c r="Y20" i="101"/>
  <c r="X24" i="101"/>
  <c r="N28" i="101"/>
  <c r="AA28" i="101" s="1"/>
  <c r="Y28" i="101"/>
  <c r="X32" i="101"/>
  <c r="N36" i="101"/>
  <c r="AA36" i="101" s="1"/>
  <c r="Y36" i="101"/>
  <c r="AA38" i="101"/>
  <c r="N40" i="101"/>
  <c r="AA40" i="101" s="1"/>
  <c r="Y40" i="101"/>
  <c r="AA71" i="101"/>
  <c r="AA79" i="101"/>
  <c r="AA87" i="101"/>
  <c r="AA95" i="101"/>
  <c r="N13" i="102"/>
  <c r="AA13" i="102" s="1"/>
  <c r="Y13" i="102"/>
  <c r="N15" i="102"/>
  <c r="AA15" i="102" s="1"/>
  <c r="Y15" i="102"/>
  <c r="N16" i="102"/>
  <c r="AA16" i="102" s="1"/>
  <c r="N19" i="102"/>
  <c r="AA19" i="102" s="1"/>
  <c r="Y19" i="102"/>
  <c r="N20" i="102"/>
  <c r="AA20" i="102" s="1"/>
  <c r="N23" i="102"/>
  <c r="AA23" i="102" s="1"/>
  <c r="Y23" i="102"/>
  <c r="N24" i="102"/>
  <c r="AA24" i="102" s="1"/>
  <c r="N27" i="102"/>
  <c r="AA27" i="102" s="1"/>
  <c r="Y27" i="102"/>
  <c r="N28" i="102"/>
  <c r="AA28" i="102" s="1"/>
  <c r="N31" i="102"/>
  <c r="AA31" i="102" s="1"/>
  <c r="Y31" i="102"/>
  <c r="N32" i="102"/>
  <c r="AA32" i="102" s="1"/>
  <c r="N35" i="102"/>
  <c r="AA35" i="102" s="1"/>
  <c r="Y35" i="102"/>
  <c r="N36" i="102"/>
  <c r="AA36" i="102" s="1"/>
  <c r="N39" i="102"/>
  <c r="AA39" i="102" s="1"/>
  <c r="Y39" i="102"/>
  <c r="N40" i="102"/>
  <c r="AA40" i="102" s="1"/>
  <c r="N43" i="102"/>
  <c r="AA43" i="102" s="1"/>
  <c r="Y43" i="102"/>
  <c r="N44" i="102"/>
  <c r="AA44" i="102" s="1"/>
  <c r="N72" i="102"/>
  <c r="AA72" i="102" s="1"/>
  <c r="Y72" i="102"/>
  <c r="N73" i="102"/>
  <c r="AA73" i="102" s="1"/>
  <c r="Z73" i="102" s="1"/>
  <c r="Y73" i="102"/>
  <c r="N76" i="102"/>
  <c r="AA76" i="102" s="1"/>
  <c r="N77" i="102"/>
  <c r="AA77" i="102" s="1"/>
  <c r="N79" i="102"/>
  <c r="AA79" i="102" s="1"/>
  <c r="Y79" i="102"/>
  <c r="AA81" i="102"/>
  <c r="X83" i="102"/>
  <c r="N85" i="102"/>
  <c r="AA85" i="102" s="1"/>
  <c r="Y85" i="102"/>
  <c r="N86" i="102"/>
  <c r="AA86" i="102" s="1"/>
  <c r="Y86" i="102"/>
  <c r="N88" i="102"/>
  <c r="AA88" i="102" s="1"/>
  <c r="X92" i="102"/>
  <c r="N93" i="102"/>
  <c r="AA93" i="102" s="1"/>
  <c r="Y93" i="102"/>
  <c r="AA94" i="102"/>
  <c r="X98" i="102"/>
  <c r="X99" i="102"/>
  <c r="N15" i="103"/>
  <c r="AA15" i="103" s="1"/>
  <c r="Z15" i="103" s="1"/>
  <c r="Y15" i="103"/>
  <c r="N16" i="103"/>
  <c r="AA16" i="103" s="1"/>
  <c r="Y16" i="103"/>
  <c r="X17" i="103"/>
  <c r="X20" i="103"/>
  <c r="X21" i="103"/>
  <c r="X24" i="103"/>
  <c r="X25" i="103"/>
  <c r="N31" i="103"/>
  <c r="AA31" i="103" s="1"/>
  <c r="Z31" i="103" s="1"/>
  <c r="Y31" i="103"/>
  <c r="N35" i="103"/>
  <c r="AA35" i="103" s="1"/>
  <c r="Z35" i="103" s="1"/>
  <c r="Y35" i="103"/>
  <c r="N39" i="103"/>
  <c r="AA39" i="103" s="1"/>
  <c r="Z39" i="103" s="1"/>
  <c r="Y39" i="103"/>
  <c r="X43" i="103"/>
  <c r="N44" i="103"/>
  <c r="AA44" i="103" s="1"/>
  <c r="Z44" i="103" s="1"/>
  <c r="Y44" i="103"/>
  <c r="N45" i="103"/>
  <c r="AA45" i="103" s="1"/>
  <c r="Y45" i="103"/>
  <c r="N66" i="103"/>
  <c r="Y66" i="103"/>
  <c r="AA70" i="103"/>
  <c r="N74" i="103"/>
  <c r="AA74" i="103" s="1"/>
  <c r="Y74" i="103"/>
  <c r="N75" i="103"/>
  <c r="AA75" i="103" s="1"/>
  <c r="N82" i="103"/>
  <c r="AA82" i="103" s="1"/>
  <c r="Y82" i="103"/>
  <c r="N83" i="103"/>
  <c r="AA83" i="103" s="1"/>
  <c r="N90" i="103"/>
  <c r="AA90" i="103" s="1"/>
  <c r="Y90" i="103"/>
  <c r="N91" i="103"/>
  <c r="AA91" i="103" s="1"/>
  <c r="X94" i="103"/>
  <c r="AA96" i="103"/>
  <c r="AA97" i="103"/>
  <c r="AA14" i="104"/>
  <c r="Z14" i="104" s="1"/>
  <c r="Y17" i="104"/>
  <c r="X17" i="104" s="1"/>
  <c r="AA20" i="104"/>
  <c r="AA21" i="104"/>
  <c r="X23" i="104"/>
  <c r="X24" i="104"/>
  <c r="N25" i="104"/>
  <c r="AA25" i="104" s="1"/>
  <c r="Z25" i="104" s="1"/>
  <c r="N32" i="104"/>
  <c r="AA32" i="104" s="1"/>
  <c r="AA37" i="104"/>
  <c r="N42" i="104"/>
  <c r="AA42" i="104" s="1"/>
  <c r="Z42" i="104" s="1"/>
  <c r="Y42" i="104"/>
  <c r="AA44" i="104"/>
  <c r="N67" i="104"/>
  <c r="AA67" i="104" s="1"/>
  <c r="Y67" i="104"/>
  <c r="X69" i="104"/>
  <c r="N70" i="104"/>
  <c r="Y70" i="104"/>
  <c r="N71" i="104"/>
  <c r="AA71" i="104" s="1"/>
  <c r="Y71" i="104"/>
  <c r="X73" i="104"/>
  <c r="X74" i="104"/>
  <c r="X75" i="104"/>
  <c r="X77" i="104"/>
  <c r="N78" i="104"/>
  <c r="AA78" i="104" s="1"/>
  <c r="Y78" i="104"/>
  <c r="N79" i="104"/>
  <c r="AA79" i="104" s="1"/>
  <c r="Y79" i="104"/>
  <c r="X81" i="104"/>
  <c r="X82" i="104"/>
  <c r="X83" i="104"/>
  <c r="X85" i="104"/>
  <c r="N86" i="104"/>
  <c r="AA86" i="104" s="1"/>
  <c r="Z86" i="104" s="1"/>
  <c r="Y86" i="104"/>
  <c r="N89" i="104"/>
  <c r="AA89" i="104" s="1"/>
  <c r="Y89" i="104"/>
  <c r="N90" i="104"/>
  <c r="AA90" i="104" s="1"/>
  <c r="Y90" i="104"/>
  <c r="N91" i="104"/>
  <c r="AA91" i="104" s="1"/>
  <c r="Z91" i="104" s="1"/>
  <c r="Y91" i="104"/>
  <c r="N93" i="104"/>
  <c r="AA93" i="104" s="1"/>
  <c r="N97" i="104"/>
  <c r="AA97" i="104" s="1"/>
  <c r="Y97" i="104"/>
  <c r="N98" i="104"/>
  <c r="AA98" i="104" s="1"/>
  <c r="Y98" i="104"/>
  <c r="N99" i="104"/>
  <c r="AA99" i="104" s="1"/>
  <c r="Z99" i="104" s="1"/>
  <c r="Y99" i="104"/>
  <c r="N14" i="105"/>
  <c r="X17" i="105"/>
  <c r="Y18" i="105"/>
  <c r="X18" i="105" s="1"/>
  <c r="N19" i="105"/>
  <c r="AA19" i="105" s="1"/>
  <c r="N20" i="105"/>
  <c r="AA20" i="105" s="1"/>
  <c r="Y20" i="105"/>
  <c r="N21" i="105"/>
  <c r="AA21" i="105" s="1"/>
  <c r="Y21" i="105"/>
  <c r="N22" i="105"/>
  <c r="AA22" i="105" s="1"/>
  <c r="Z22" i="105" s="1"/>
  <c r="Y27" i="105"/>
  <c r="X27" i="105" s="1"/>
  <c r="X28" i="105"/>
  <c r="X29" i="105"/>
  <c r="Y30" i="105"/>
  <c r="X30" i="105" s="1"/>
  <c r="N31" i="105"/>
  <c r="AA31" i="105" s="1"/>
  <c r="N32" i="105"/>
  <c r="AA32" i="105" s="1"/>
  <c r="Y32" i="105"/>
  <c r="N33" i="105"/>
  <c r="AA33" i="105" s="1"/>
  <c r="Y33" i="105"/>
  <c r="N34" i="105"/>
  <c r="AA34" i="105" s="1"/>
  <c r="Z34" i="105" s="1"/>
  <c r="AA39" i="105"/>
  <c r="AA40" i="105"/>
  <c r="X69" i="105"/>
  <c r="AA70" i="105"/>
  <c r="X75" i="105"/>
  <c r="N76" i="105"/>
  <c r="AA76" i="105" s="1"/>
  <c r="Z76" i="105" s="1"/>
  <c r="N85" i="105"/>
  <c r="AA85" i="105" s="1"/>
  <c r="Z85" i="105" s="1"/>
  <c r="Y85" i="105"/>
  <c r="N90" i="105"/>
  <c r="AA90" i="105" s="1"/>
  <c r="Z90" i="105" s="1"/>
  <c r="Y90" i="105"/>
  <c r="N91" i="105"/>
  <c r="AA91" i="105" s="1"/>
  <c r="N95" i="105"/>
  <c r="AA95" i="105" s="1"/>
  <c r="N99" i="105"/>
  <c r="AA99" i="105" s="1"/>
  <c r="X13" i="106"/>
  <c r="N16" i="106"/>
  <c r="AA16" i="106" s="1"/>
  <c r="N17" i="106"/>
  <c r="AA17" i="106" s="1"/>
  <c r="Y17" i="106"/>
  <c r="N18" i="106"/>
  <c r="AA18" i="106" s="1"/>
  <c r="N22" i="106"/>
  <c r="AA22" i="106" s="1"/>
  <c r="N26" i="106"/>
  <c r="AA26" i="106" s="1"/>
  <c r="Z26" i="106" s="1"/>
  <c r="N30" i="106"/>
  <c r="AA30" i="106" s="1"/>
  <c r="N32" i="106"/>
  <c r="AA32" i="106" s="1"/>
  <c r="AA35" i="106"/>
  <c r="N40" i="106"/>
  <c r="AA40" i="106" s="1"/>
  <c r="N41" i="106"/>
  <c r="AA41" i="106" s="1"/>
  <c r="Y41" i="106"/>
  <c r="Y42" i="106"/>
  <c r="X42" i="106" s="1"/>
  <c r="N43" i="106"/>
  <c r="AA43" i="106" s="1"/>
  <c r="Y43" i="106"/>
  <c r="N44" i="106"/>
  <c r="AA44" i="106" s="1"/>
  <c r="Z44" i="106" s="1"/>
  <c r="N46" i="106"/>
  <c r="AA46" i="106" s="1"/>
  <c r="U48" i="106"/>
  <c r="N69" i="106"/>
  <c r="AA69" i="106" s="1"/>
  <c r="Y69" i="106"/>
  <c r="Y70" i="106"/>
  <c r="X70" i="106" s="1"/>
  <c r="AA73" i="106"/>
  <c r="Y78" i="106"/>
  <c r="X78" i="106" s="1"/>
  <c r="X79" i="106"/>
  <c r="N86" i="106"/>
  <c r="AA86" i="106" s="1"/>
  <c r="X93" i="106"/>
  <c r="N94" i="106"/>
  <c r="AA94" i="106" s="1"/>
  <c r="Y94" i="106"/>
  <c r="X95" i="106"/>
  <c r="X96" i="106"/>
  <c r="X97" i="106"/>
  <c r="AA98" i="106"/>
  <c r="N20" i="107"/>
  <c r="AA20" i="107" s="1"/>
  <c r="Y20" i="107"/>
  <c r="Y21" i="107"/>
  <c r="X21" i="107" s="1"/>
  <c r="X22" i="107"/>
  <c r="X25" i="107"/>
  <c r="N36" i="107"/>
  <c r="AA36" i="107" s="1"/>
  <c r="Y36" i="107"/>
  <c r="Y37" i="107"/>
  <c r="X37" i="107" s="1"/>
  <c r="X38" i="107"/>
  <c r="X41" i="107"/>
  <c r="AF48" i="107"/>
  <c r="X70" i="107"/>
  <c r="AA77" i="107"/>
  <c r="X84" i="107"/>
  <c r="N86" i="107"/>
  <c r="AA86" i="107" s="1"/>
  <c r="Y86" i="107"/>
  <c r="N89" i="107"/>
  <c r="AA89" i="107" s="1"/>
  <c r="Y89" i="107"/>
  <c r="N90" i="107"/>
  <c r="AA90" i="107" s="1"/>
  <c r="Y90" i="107"/>
  <c r="N13" i="108"/>
  <c r="N14" i="108"/>
  <c r="AA14" i="108" s="1"/>
  <c r="N15" i="108"/>
  <c r="AA15" i="108" s="1"/>
  <c r="Y18" i="108"/>
  <c r="X18" i="108" s="1"/>
  <c r="Y19" i="108"/>
  <c r="X19" i="108" s="1"/>
  <c r="Y22" i="108"/>
  <c r="X22" i="108" s="1"/>
  <c r="Y23" i="108"/>
  <c r="X23" i="108" s="1"/>
  <c r="Y26" i="108"/>
  <c r="X26" i="108" s="1"/>
  <c r="Y27" i="108"/>
  <c r="X27" i="108" s="1"/>
  <c r="Y30" i="108"/>
  <c r="X30" i="108" s="1"/>
  <c r="Y31" i="108"/>
  <c r="X31" i="108" s="1"/>
  <c r="Y34" i="108"/>
  <c r="X34" i="108" s="1"/>
  <c r="Y35" i="108"/>
  <c r="X35" i="108" s="1"/>
  <c r="Y38" i="108"/>
  <c r="X38" i="108" s="1"/>
  <c r="Y39" i="108"/>
  <c r="X39" i="108" s="1"/>
  <c r="Y42" i="108"/>
  <c r="X42" i="108" s="1"/>
  <c r="Y43" i="108"/>
  <c r="X43" i="108" s="1"/>
  <c r="Y46" i="108"/>
  <c r="X46" i="108" s="1"/>
  <c r="X77" i="108"/>
  <c r="Y91" i="108"/>
  <c r="X91" i="108" s="1"/>
  <c r="X93" i="108"/>
  <c r="N18" i="109"/>
  <c r="AA18" i="109" s="1"/>
  <c r="Y18" i="109"/>
  <c r="N19" i="109"/>
  <c r="AA19" i="109" s="1"/>
  <c r="Y19" i="109"/>
  <c r="X22" i="109"/>
  <c r="X23" i="109"/>
  <c r="X26" i="109"/>
  <c r="X27" i="109"/>
  <c r="AA28" i="109"/>
  <c r="AA29" i="109"/>
  <c r="N38" i="109"/>
  <c r="AA38" i="109" s="1"/>
  <c r="Y38" i="109"/>
  <c r="N39" i="109"/>
  <c r="AA39" i="109" s="1"/>
  <c r="Y39" i="109"/>
  <c r="X42" i="109"/>
  <c r="X43" i="109"/>
  <c r="AA44" i="109"/>
  <c r="AA45" i="109"/>
  <c r="Y71" i="109"/>
  <c r="X71" i="109" s="1"/>
  <c r="Y75" i="109"/>
  <c r="X75" i="109" s="1"/>
  <c r="X77" i="109"/>
  <c r="Y79" i="109"/>
  <c r="X79" i="109" s="1"/>
  <c r="Y83" i="109"/>
  <c r="X83" i="109" s="1"/>
  <c r="N85" i="109"/>
  <c r="AA85" i="109" s="1"/>
  <c r="Z85" i="109" s="1"/>
  <c r="Y85" i="109"/>
  <c r="N87" i="109"/>
  <c r="AA87" i="109" s="1"/>
  <c r="Y89" i="109"/>
  <c r="X89" i="109" s="1"/>
  <c r="N91" i="109"/>
  <c r="AA91" i="109" s="1"/>
  <c r="N93" i="109"/>
  <c r="AA93" i="109" s="1"/>
  <c r="Z93" i="109" s="1"/>
  <c r="Y93" i="109"/>
  <c r="N95" i="109"/>
  <c r="AA95" i="109" s="1"/>
  <c r="Y97" i="109"/>
  <c r="X97" i="109" s="1"/>
  <c r="N99" i="109"/>
  <c r="AA99" i="109" s="1"/>
  <c r="AA15" i="110"/>
  <c r="AA19" i="110"/>
  <c r="X26" i="110"/>
  <c r="N30" i="110"/>
  <c r="AA30" i="110" s="1"/>
  <c r="Y30" i="110"/>
  <c r="X31" i="110"/>
  <c r="Y32" i="110"/>
  <c r="X32" i="110" s="1"/>
  <c r="N33" i="110"/>
  <c r="AA33" i="110" s="1"/>
  <c r="N35" i="110"/>
  <c r="AA35" i="110" s="1"/>
  <c r="Y35" i="110"/>
  <c r="N36" i="110"/>
  <c r="AA36" i="110" s="1"/>
  <c r="Z36" i="110" s="1"/>
  <c r="X42" i="110"/>
  <c r="N46" i="110"/>
  <c r="AA46" i="110" s="1"/>
  <c r="Y46" i="110"/>
  <c r="N66" i="110"/>
  <c r="AA66" i="110" s="1"/>
  <c r="Y66" i="110"/>
  <c r="N69" i="110"/>
  <c r="AA69" i="110" s="1"/>
  <c r="Y74" i="110"/>
  <c r="X74" i="110" s="1"/>
  <c r="N75" i="110"/>
  <c r="AA75" i="110" s="1"/>
  <c r="Z75" i="110" s="1"/>
  <c r="N79" i="110"/>
  <c r="AA79" i="110" s="1"/>
  <c r="N81" i="110"/>
  <c r="AA81" i="110" s="1"/>
  <c r="Y81" i="110"/>
  <c r="AA87" i="110"/>
  <c r="AA88" i="110"/>
  <c r="AF102" i="110"/>
  <c r="V48" i="116"/>
  <c r="Z13" i="116"/>
  <c r="AE48" i="116"/>
  <c r="AA15" i="116"/>
  <c r="A16" i="116"/>
  <c r="A17" i="116" s="1"/>
  <c r="A18" i="116" s="1"/>
  <c r="A19" i="116" s="1"/>
  <c r="A20" i="116" s="1"/>
  <c r="A21" i="116" s="1"/>
  <c r="A22" i="116" s="1"/>
  <c r="A23" i="116" s="1"/>
  <c r="A24" i="116" s="1"/>
  <c r="A25" i="116" s="1"/>
  <c r="A26" i="116" s="1"/>
  <c r="A27" i="116" s="1"/>
  <c r="A28" i="116" s="1"/>
  <c r="A29" i="116" s="1"/>
  <c r="A30" i="116" s="1"/>
  <c r="A31" i="116" s="1"/>
  <c r="N16" i="116"/>
  <c r="AA16" i="116" s="1"/>
  <c r="D55" i="76"/>
  <c r="A55" i="96"/>
  <c r="A55" i="97"/>
  <c r="H41" i="73"/>
  <c r="H40" i="73"/>
  <c r="H39" i="73"/>
  <c r="H38" i="73"/>
  <c r="H37" i="73"/>
  <c r="H36" i="73"/>
  <c r="H35" i="73"/>
  <c r="H34" i="73"/>
  <c r="H33" i="73"/>
  <c r="H32" i="73"/>
  <c r="H31" i="73"/>
  <c r="H30" i="73"/>
  <c r="H29" i="73"/>
  <c r="H28" i="73"/>
  <c r="H27" i="73"/>
  <c r="H26" i="73"/>
  <c r="G15" i="73"/>
  <c r="G58" i="73" s="1"/>
  <c r="F15" i="73"/>
  <c r="E15" i="73"/>
  <c r="D15" i="73"/>
  <c r="H14" i="73"/>
  <c r="H13" i="73"/>
  <c r="H12" i="73"/>
  <c r="H8" i="73"/>
  <c r="A3" i="73"/>
  <c r="A2" i="73"/>
  <c r="G49" i="72"/>
  <c r="F49" i="72"/>
  <c r="E49" i="72"/>
  <c r="D49" i="72"/>
  <c r="H48" i="72"/>
  <c r="H47" i="72"/>
  <c r="H46" i="72"/>
  <c r="H45" i="72"/>
  <c r="H44" i="72"/>
  <c r="H43" i="72"/>
  <c r="H42" i="72"/>
  <c r="H41" i="72"/>
  <c r="H40" i="72"/>
  <c r="H39" i="72"/>
  <c r="H38" i="72"/>
  <c r="H37" i="72"/>
  <c r="H36" i="72"/>
  <c r="H35" i="72"/>
  <c r="H34" i="72"/>
  <c r="H33" i="72"/>
  <c r="H32" i="72"/>
  <c r="H31" i="72"/>
  <c r="H30" i="72"/>
  <c r="H29" i="72"/>
  <c r="H28" i="72"/>
  <c r="H27" i="72"/>
  <c r="H26" i="72"/>
  <c r="G15" i="72"/>
  <c r="F15" i="72"/>
  <c r="E15" i="72"/>
  <c r="D15" i="72"/>
  <c r="H14" i="72"/>
  <c r="H13" i="72"/>
  <c r="H12" i="72"/>
  <c r="H8" i="72"/>
  <c r="A3" i="72"/>
  <c r="A2" i="72"/>
  <c r="AN27" i="135"/>
  <c r="AM27" i="135"/>
  <c r="AL27" i="135"/>
  <c r="AK27" i="135"/>
  <c r="AJ27" i="135"/>
  <c r="AT27" i="135" s="1"/>
  <c r="AI27" i="135"/>
  <c r="AB27" i="135"/>
  <c r="AA27" i="135"/>
  <c r="Z27" i="135"/>
  <c r="Y27" i="135"/>
  <c r="X27" i="135"/>
  <c r="W27" i="135"/>
  <c r="S27" i="135"/>
  <c r="AF27" i="135" s="1"/>
  <c r="M27" i="135"/>
  <c r="L27" i="135"/>
  <c r="K27" i="135"/>
  <c r="J27" i="135"/>
  <c r="I27" i="135"/>
  <c r="H27" i="135"/>
  <c r="G27" i="135"/>
  <c r="F27" i="135"/>
  <c r="E27" i="135"/>
  <c r="AN26" i="135"/>
  <c r="AM26" i="135"/>
  <c r="AL26" i="135"/>
  <c r="AK26" i="135"/>
  <c r="AJ26" i="135"/>
  <c r="AT26" i="135" s="1"/>
  <c r="AI26" i="135"/>
  <c r="AB26" i="135"/>
  <c r="AA26" i="135"/>
  <c r="Z26" i="135"/>
  <c r="Y26" i="135"/>
  <c r="X26" i="135"/>
  <c r="W26" i="135"/>
  <c r="S26" i="135"/>
  <c r="AF26" i="135" s="1"/>
  <c r="M26" i="135"/>
  <c r="L26" i="135"/>
  <c r="K26" i="135"/>
  <c r="J26" i="135"/>
  <c r="I26" i="135"/>
  <c r="H26" i="135"/>
  <c r="G26" i="135"/>
  <c r="F26" i="135"/>
  <c r="E26" i="135"/>
  <c r="AN25" i="135"/>
  <c r="AM25" i="135"/>
  <c r="AL25" i="135"/>
  <c r="AK25" i="135"/>
  <c r="AJ25" i="135"/>
  <c r="AT25" i="135" s="1"/>
  <c r="AI25" i="135"/>
  <c r="AB25" i="135"/>
  <c r="AA25" i="135"/>
  <c r="Z25" i="135"/>
  <c r="Y25" i="135"/>
  <c r="X25" i="135"/>
  <c r="W25" i="135"/>
  <c r="S25" i="135"/>
  <c r="AF25" i="135" s="1"/>
  <c r="M25" i="135"/>
  <c r="L25" i="135"/>
  <c r="K25" i="135"/>
  <c r="J25" i="135"/>
  <c r="I25" i="135"/>
  <c r="H25" i="135"/>
  <c r="G25" i="135"/>
  <c r="F25" i="135"/>
  <c r="E25" i="135"/>
  <c r="AN24" i="135"/>
  <c r="AM24" i="135"/>
  <c r="AL24" i="135"/>
  <c r="AK24" i="135"/>
  <c r="AJ24" i="135"/>
  <c r="AI24" i="135"/>
  <c r="AB24" i="135"/>
  <c r="AA24" i="135"/>
  <c r="Z24" i="135"/>
  <c r="Y24" i="135"/>
  <c r="X24" i="135"/>
  <c r="W24" i="135"/>
  <c r="S24" i="135"/>
  <c r="M24" i="135"/>
  <c r="L24" i="135"/>
  <c r="K24" i="135"/>
  <c r="J24" i="135"/>
  <c r="I24" i="135"/>
  <c r="H24" i="135"/>
  <c r="G24" i="135"/>
  <c r="F24" i="135"/>
  <c r="E24" i="135"/>
  <c r="AN23" i="135"/>
  <c r="AM23" i="135"/>
  <c r="AL23" i="135"/>
  <c r="AK23" i="135"/>
  <c r="AJ23" i="135"/>
  <c r="AT23" i="135" s="1"/>
  <c r="AI23" i="135"/>
  <c r="AS23" i="135" s="1"/>
  <c r="AB23" i="135"/>
  <c r="AA23" i="135"/>
  <c r="Z23" i="135"/>
  <c r="Y23" i="135"/>
  <c r="X23" i="135"/>
  <c r="W23" i="135"/>
  <c r="S23" i="135"/>
  <c r="M23" i="135"/>
  <c r="L23" i="135"/>
  <c r="K23" i="135"/>
  <c r="J23" i="135"/>
  <c r="I23" i="135"/>
  <c r="H23" i="135"/>
  <c r="G23" i="135"/>
  <c r="F23" i="135"/>
  <c r="E23" i="135"/>
  <c r="AN22" i="135"/>
  <c r="AM22" i="135"/>
  <c r="AL22" i="135"/>
  <c r="AK22" i="135"/>
  <c r="AJ22" i="135"/>
  <c r="AT22" i="135" s="1"/>
  <c r="AI22" i="135"/>
  <c r="AB22" i="135"/>
  <c r="AA22" i="135"/>
  <c r="Z22" i="135"/>
  <c r="Y22" i="135"/>
  <c r="X22" i="135"/>
  <c r="W22" i="135"/>
  <c r="S22" i="135"/>
  <c r="AF22" i="135" s="1"/>
  <c r="M22" i="135"/>
  <c r="L22" i="135"/>
  <c r="K22" i="135"/>
  <c r="J22" i="135"/>
  <c r="I22" i="135"/>
  <c r="H22" i="135"/>
  <c r="G22" i="135"/>
  <c r="F22" i="135"/>
  <c r="E22" i="135"/>
  <c r="AN21" i="135"/>
  <c r="AM21" i="135"/>
  <c r="AL21" i="135"/>
  <c r="AK21" i="135"/>
  <c r="AJ21" i="135"/>
  <c r="AT21" i="135" s="1"/>
  <c r="AI21" i="135"/>
  <c r="AS21" i="135" s="1"/>
  <c r="AB21" i="135"/>
  <c r="AA21" i="135"/>
  <c r="Z21" i="135"/>
  <c r="Y21" i="135"/>
  <c r="X21" i="135"/>
  <c r="W21" i="135"/>
  <c r="S21" i="135"/>
  <c r="AF21" i="135" s="1"/>
  <c r="M21" i="135"/>
  <c r="L21" i="135"/>
  <c r="K21" i="135"/>
  <c r="I21" i="135"/>
  <c r="H21" i="135"/>
  <c r="G21" i="135"/>
  <c r="F21" i="135"/>
  <c r="E21" i="135"/>
  <c r="AN20" i="135"/>
  <c r="AM20" i="135"/>
  <c r="AL20" i="135"/>
  <c r="AK20" i="135"/>
  <c r="AJ20" i="135"/>
  <c r="AI20" i="135"/>
  <c r="AB20" i="135"/>
  <c r="AA20" i="135"/>
  <c r="Z20" i="135"/>
  <c r="Y20" i="135"/>
  <c r="X20" i="135"/>
  <c r="W20" i="135"/>
  <c r="S20" i="135"/>
  <c r="AF20" i="135" s="1"/>
  <c r="M20" i="135"/>
  <c r="L20" i="135"/>
  <c r="K20" i="135"/>
  <c r="J20" i="135"/>
  <c r="I20" i="135"/>
  <c r="H20" i="135"/>
  <c r="G20" i="135"/>
  <c r="F20" i="135"/>
  <c r="E20" i="135"/>
  <c r="AN19" i="135"/>
  <c r="AM19" i="135"/>
  <c r="AL19" i="135"/>
  <c r="AK19" i="135"/>
  <c r="AJ19" i="135"/>
  <c r="AT19" i="135" s="1"/>
  <c r="AI19" i="135"/>
  <c r="AS19" i="135" s="1"/>
  <c r="AB19" i="135"/>
  <c r="AA19" i="135"/>
  <c r="Z19" i="135"/>
  <c r="Y19" i="135"/>
  <c r="X19" i="135"/>
  <c r="W19" i="135"/>
  <c r="S19" i="135"/>
  <c r="AF19" i="135" s="1"/>
  <c r="M19" i="135"/>
  <c r="L19" i="135"/>
  <c r="K19" i="135"/>
  <c r="I19" i="135"/>
  <c r="H19" i="135"/>
  <c r="G19" i="135"/>
  <c r="F19" i="135"/>
  <c r="E19" i="135"/>
  <c r="AN18" i="135"/>
  <c r="AM18" i="135"/>
  <c r="AL18" i="135"/>
  <c r="AK18" i="135"/>
  <c r="AJ18" i="135"/>
  <c r="AI18" i="135"/>
  <c r="AB18" i="135"/>
  <c r="AA18" i="135"/>
  <c r="Z18" i="135"/>
  <c r="Y18" i="135"/>
  <c r="X18" i="135"/>
  <c r="W18" i="135"/>
  <c r="S18" i="135"/>
  <c r="AF18" i="135" s="1"/>
  <c r="M18" i="135"/>
  <c r="L18" i="135"/>
  <c r="K18" i="135"/>
  <c r="I18" i="135"/>
  <c r="H18" i="135"/>
  <c r="G18" i="135"/>
  <c r="F18" i="135"/>
  <c r="E18" i="135"/>
  <c r="AN17" i="135"/>
  <c r="AM17" i="135"/>
  <c r="AL17" i="135"/>
  <c r="AK17" i="135"/>
  <c r="AJ17" i="135"/>
  <c r="AT17" i="135" s="1"/>
  <c r="AI17" i="135"/>
  <c r="AB17" i="135"/>
  <c r="AA17" i="135"/>
  <c r="Z17" i="135"/>
  <c r="Y17" i="135"/>
  <c r="X17" i="135"/>
  <c r="W17" i="135"/>
  <c r="S17" i="135"/>
  <c r="AF17" i="135" s="1"/>
  <c r="M17" i="135"/>
  <c r="L17" i="135"/>
  <c r="K17" i="135"/>
  <c r="I17" i="135"/>
  <c r="H17" i="135"/>
  <c r="G17" i="135"/>
  <c r="F17" i="135"/>
  <c r="E17" i="135"/>
  <c r="AN16" i="135"/>
  <c r="AM16" i="135"/>
  <c r="AL16" i="135"/>
  <c r="AJ16" i="135"/>
  <c r="AS16" i="135"/>
  <c r="AB16" i="135"/>
  <c r="AA16" i="135"/>
  <c r="Z16" i="135"/>
  <c r="Y16" i="135"/>
  <c r="X16" i="135"/>
  <c r="W16" i="135"/>
  <c r="S16" i="135"/>
  <c r="M16" i="135"/>
  <c r="L16" i="135"/>
  <c r="K16" i="135"/>
  <c r="I16" i="135"/>
  <c r="H16" i="135"/>
  <c r="G16" i="135"/>
  <c r="F16" i="135"/>
  <c r="E16" i="135"/>
  <c r="AN15" i="135"/>
  <c r="AM15" i="135"/>
  <c r="AL15" i="135"/>
  <c r="AK15" i="135"/>
  <c r="AJ15" i="135"/>
  <c r="AT15" i="135" s="1"/>
  <c r="AI15" i="135"/>
  <c r="AS15" i="135" s="1"/>
  <c r="AB15" i="135"/>
  <c r="AA15" i="135"/>
  <c r="Z15" i="135"/>
  <c r="Y15" i="135"/>
  <c r="X15" i="135"/>
  <c r="W15" i="135"/>
  <c r="S15" i="135"/>
  <c r="AF15" i="135" s="1"/>
  <c r="M15" i="135"/>
  <c r="L15" i="135"/>
  <c r="K15" i="135"/>
  <c r="I15" i="135"/>
  <c r="H15" i="135"/>
  <c r="G15" i="135"/>
  <c r="F15" i="135"/>
  <c r="E15" i="135"/>
  <c r="AN14" i="135"/>
  <c r="AM14" i="135"/>
  <c r="AL14" i="135"/>
  <c r="AJ14" i="135"/>
  <c r="AT14" i="135" s="1"/>
  <c r="AS14" i="135" s="1"/>
  <c r="AB14" i="135"/>
  <c r="AA14" i="135"/>
  <c r="Z14" i="135"/>
  <c r="Y14" i="135"/>
  <c r="X14" i="135"/>
  <c r="W14" i="135"/>
  <c r="S14" i="135"/>
  <c r="M14" i="135"/>
  <c r="L14" i="135"/>
  <c r="K14" i="135"/>
  <c r="J14" i="135"/>
  <c r="I14" i="135"/>
  <c r="H14" i="135"/>
  <c r="G14" i="135"/>
  <c r="F14" i="135"/>
  <c r="E14" i="135"/>
  <c r="AN13" i="135"/>
  <c r="AM13" i="135"/>
  <c r="AL13" i="135"/>
  <c r="AK13" i="135"/>
  <c r="AJ13" i="135"/>
  <c r="AT13" i="135" s="1"/>
  <c r="AI13" i="135"/>
  <c r="AS13" i="135" s="1"/>
  <c r="AB13" i="135"/>
  <c r="AA13" i="135"/>
  <c r="Z13" i="135"/>
  <c r="Y13" i="135"/>
  <c r="X13" i="135"/>
  <c r="W13" i="135"/>
  <c r="S13" i="135"/>
  <c r="M13" i="135"/>
  <c r="L13" i="135"/>
  <c r="K13" i="135"/>
  <c r="I13" i="135"/>
  <c r="H13" i="135"/>
  <c r="G13" i="135"/>
  <c r="F13" i="135"/>
  <c r="E13" i="135"/>
  <c r="Y102" i="101" l="1"/>
  <c r="Y102" i="106"/>
  <c r="Y102" i="108"/>
  <c r="Y48" i="99"/>
  <c r="Y48" i="104"/>
  <c r="Y102" i="107"/>
  <c r="Y48" i="116"/>
  <c r="Y102" i="97"/>
  <c r="X48" i="116"/>
  <c r="Y48" i="98"/>
  <c r="Y48" i="96"/>
  <c r="F58" i="72"/>
  <c r="H15" i="73"/>
  <c r="Y102" i="109"/>
  <c r="AD21" i="135"/>
  <c r="D58" i="72"/>
  <c r="Z48" i="116"/>
  <c r="Y102" i="110"/>
  <c r="Y48" i="100"/>
  <c r="X102" i="101"/>
  <c r="H15" i="72"/>
  <c r="Y48" i="106"/>
  <c r="Z102" i="105"/>
  <c r="Y48" i="105"/>
  <c r="N102" i="104"/>
  <c r="X102" i="98"/>
  <c r="N48" i="95"/>
  <c r="N102" i="108"/>
  <c r="X102" i="103"/>
  <c r="X48" i="99"/>
  <c r="Z48" i="106"/>
  <c r="X48" i="102"/>
  <c r="Y102" i="96"/>
  <c r="H60" i="74"/>
  <c r="H58" i="74" s="1"/>
  <c r="G58" i="74" s="1"/>
  <c r="F58" i="74" s="1"/>
  <c r="E58" i="74" s="1"/>
  <c r="AR27" i="135"/>
  <c r="X48" i="109"/>
  <c r="AA102" i="96"/>
  <c r="Z102" i="98"/>
  <c r="N48" i="98"/>
  <c r="X102" i="110"/>
  <c r="N48" i="99"/>
  <c r="Z48" i="103"/>
  <c r="Z70" i="106"/>
  <c r="Z102" i="106" s="1"/>
  <c r="AA102" i="106"/>
  <c r="AA102" i="99"/>
  <c r="X48" i="107"/>
  <c r="W48" i="107" s="1"/>
  <c r="AA18" i="95"/>
  <c r="AA48" i="95" s="1"/>
  <c r="AR18" i="135"/>
  <c r="AR20" i="135"/>
  <c r="H49" i="73"/>
  <c r="Y102" i="99"/>
  <c r="X102" i="99" s="1"/>
  <c r="W102" i="99" s="1"/>
  <c r="X102" i="97"/>
  <c r="X102" i="109"/>
  <c r="W102" i="109" s="1"/>
  <c r="V102" i="109" s="1"/>
  <c r="AA236" i="116"/>
  <c r="AA13" i="107"/>
  <c r="AA48" i="107" s="1"/>
  <c r="Z48" i="107" s="1"/>
  <c r="N48" i="107"/>
  <c r="X102" i="107"/>
  <c r="N102" i="107"/>
  <c r="N48" i="101"/>
  <c r="AA13" i="101"/>
  <c r="AA48" i="101" s="1"/>
  <c r="Z48" i="101" s="1"/>
  <c r="H58" i="92"/>
  <c r="G58" i="92" s="1"/>
  <c r="F58" i="92" s="1"/>
  <c r="H60" i="92"/>
  <c r="N48" i="96"/>
  <c r="AA13" i="96"/>
  <c r="AA48" i="96" s="1"/>
  <c r="Z48" i="96" s="1"/>
  <c r="Z102" i="107"/>
  <c r="N102" i="100"/>
  <c r="N48" i="110"/>
  <c r="AS26" i="135"/>
  <c r="AA13" i="108"/>
  <c r="N48" i="108"/>
  <c r="Y102" i="103"/>
  <c r="F58" i="73"/>
  <c r="E58" i="73" s="1"/>
  <c r="D58" i="73" s="1"/>
  <c r="X102" i="105"/>
  <c r="Z102" i="99"/>
  <c r="N48" i="103"/>
  <c r="AA13" i="103"/>
  <c r="AA48" i="103" s="1"/>
  <c r="N48" i="97"/>
  <c r="N48" i="109"/>
  <c r="AA13" i="109"/>
  <c r="AA48" i="109" s="1"/>
  <c r="Z48" i="109" s="1"/>
  <c r="N102" i="106"/>
  <c r="Y102" i="104"/>
  <c r="Y102" i="102"/>
  <c r="X102" i="102" s="1"/>
  <c r="X102" i="96"/>
  <c r="Z102" i="104"/>
  <c r="AD17" i="135"/>
  <c r="AR17" i="135"/>
  <c r="AR22" i="135"/>
  <c r="AA66" i="95"/>
  <c r="AA102" i="95" s="1"/>
  <c r="Z102" i="95" s="1"/>
  <c r="N102" i="95"/>
  <c r="N102" i="97"/>
  <c r="N102" i="109"/>
  <c r="Y48" i="108"/>
  <c r="AA102" i="107"/>
  <c r="N102" i="105"/>
  <c r="N48" i="104"/>
  <c r="AA13" i="104"/>
  <c r="Y48" i="102"/>
  <c r="Y48" i="97"/>
  <c r="X48" i="97" s="1"/>
  <c r="Y102" i="105"/>
  <c r="Z48" i="102"/>
  <c r="AA17" i="98"/>
  <c r="Z17" i="98" s="1"/>
  <c r="Z102" i="96"/>
  <c r="X102" i="100"/>
  <c r="Z48" i="95"/>
  <c r="AA102" i="108"/>
  <c r="Y48" i="101"/>
  <c r="X48" i="101" s="1"/>
  <c r="AA70" i="104"/>
  <c r="AA102" i="104" s="1"/>
  <c r="AA66" i="102"/>
  <c r="N102" i="102"/>
  <c r="AA102" i="100"/>
  <c r="Z102" i="100" s="1"/>
  <c r="Y102" i="95"/>
  <c r="AA66" i="103"/>
  <c r="N102" i="103"/>
  <c r="Z66" i="110"/>
  <c r="Z102" i="110" s="1"/>
  <c r="AA102" i="110"/>
  <c r="N48" i="106"/>
  <c r="AA13" i="106"/>
  <c r="AA48" i="106" s="1"/>
  <c r="AA13" i="100"/>
  <c r="AA48" i="100" s="1"/>
  <c r="Z48" i="100" s="1"/>
  <c r="N48" i="100"/>
  <c r="N102" i="99"/>
  <c r="N48" i="116"/>
  <c r="AA13" i="116"/>
  <c r="AA48" i="116" s="1"/>
  <c r="Z102" i="108"/>
  <c r="X48" i="105"/>
  <c r="X48" i="100"/>
  <c r="AA102" i="109"/>
  <c r="Z102" i="109" s="1"/>
  <c r="N102" i="98"/>
  <c r="M102" i="98" s="1"/>
  <c r="Y102" i="98" s="1"/>
  <c r="AD18" i="135"/>
  <c r="E58" i="72"/>
  <c r="N102" i="110"/>
  <c r="X48" i="106"/>
  <c r="AA14" i="105"/>
  <c r="Z14" i="105" s="1"/>
  <c r="Z48" i="105" s="1"/>
  <c r="N48" i="105"/>
  <c r="N48" i="102"/>
  <c r="X48" i="96"/>
  <c r="X102" i="106"/>
  <c r="AA102" i="105"/>
  <c r="AA48" i="110"/>
  <c r="Z48" i="110" s="1"/>
  <c r="X102" i="108"/>
  <c r="AA48" i="108"/>
  <c r="Z48" i="108" s="1"/>
  <c r="Y48" i="107"/>
  <c r="X48" i="104"/>
  <c r="AA102" i="97"/>
  <c r="Z102" i="97" s="1"/>
  <c r="Y48" i="110"/>
  <c r="X48" i="110" s="1"/>
  <c r="W48" i="110" s="1"/>
  <c r="V48" i="110" s="1"/>
  <c r="X48" i="108"/>
  <c r="W48" i="108" s="1"/>
  <c r="V48" i="108" s="1"/>
  <c r="AA48" i="102"/>
  <c r="X102" i="95"/>
  <c r="Y48" i="103"/>
  <c r="X48" i="103" s="1"/>
  <c r="X48" i="98"/>
  <c r="AA48" i="97"/>
  <c r="Z48" i="97" s="1"/>
  <c r="X102" i="104"/>
  <c r="AA102" i="98"/>
  <c r="AA102" i="101"/>
  <c r="Z102" i="101" s="1"/>
  <c r="Y48" i="95"/>
  <c r="X48" i="95" s="1"/>
  <c r="N102" i="96"/>
  <c r="AA48" i="99"/>
  <c r="Z48" i="99" s="1"/>
  <c r="AD23" i="135"/>
  <c r="AD14" i="135"/>
  <c r="AR14" i="135"/>
  <c r="AR24" i="135"/>
  <c r="AR26" i="135"/>
  <c r="AR25" i="135"/>
  <c r="AD13" i="135"/>
  <c r="AD15" i="135"/>
  <c r="AD22" i="135"/>
  <c r="AD27" i="135"/>
  <c r="AS22" i="135"/>
  <c r="AD25" i="135"/>
  <c r="AR13" i="135"/>
  <c r="AR15" i="135"/>
  <c r="AR16" i="135"/>
  <c r="AS17" i="135"/>
  <c r="AR19" i="135"/>
  <c r="AR21" i="135"/>
  <c r="AR23" i="135"/>
  <c r="AS24" i="135"/>
  <c r="AS25" i="135"/>
  <c r="AS27" i="135"/>
  <c r="AD19" i="135"/>
  <c r="AD26" i="135"/>
  <c r="AD20" i="135"/>
  <c r="AD24" i="135"/>
  <c r="AN12" i="135"/>
  <c r="AN28" i="135" s="1"/>
  <c r="AM12" i="135"/>
  <c r="AM28" i="135" s="1"/>
  <c r="AL12" i="135"/>
  <c r="AL28" i="135" s="1"/>
  <c r="AK12" i="135"/>
  <c r="AK28" i="135" s="1"/>
  <c r="AJ12" i="135"/>
  <c r="AJ28" i="135" s="1"/>
  <c r="AI12" i="135"/>
  <c r="AI28" i="135" s="1"/>
  <c r="AB12" i="135"/>
  <c r="AA12" i="135"/>
  <c r="AA28" i="135" s="1"/>
  <c r="Z12" i="135"/>
  <c r="Z28" i="135" s="1"/>
  <c r="Y12" i="135"/>
  <c r="Y28" i="135" s="1"/>
  <c r="X12" i="135"/>
  <c r="X28" i="135" s="1"/>
  <c r="W12" i="135"/>
  <c r="W28" i="135" s="1"/>
  <c r="S12" i="135"/>
  <c r="AF12" i="135" s="1"/>
  <c r="M12" i="135"/>
  <c r="M28" i="135" s="1"/>
  <c r="L12" i="135"/>
  <c r="L28" i="135" s="1"/>
  <c r="K12" i="135"/>
  <c r="J12" i="135"/>
  <c r="I12" i="135"/>
  <c r="I28" i="135" s="1"/>
  <c r="H12" i="135"/>
  <c r="H28" i="135" s="1"/>
  <c r="G12" i="135"/>
  <c r="G28" i="135" s="1"/>
  <c r="F12" i="135"/>
  <c r="F28" i="135" s="1"/>
  <c r="E12" i="135"/>
  <c r="E28" i="135" s="1"/>
  <c r="N38" i="158"/>
  <c r="AA38" i="158" s="1"/>
  <c r="H38" i="158"/>
  <c r="U38" i="158" s="1"/>
  <c r="AN28" i="158"/>
  <c r="AM28" i="158"/>
  <c r="AL28" i="158"/>
  <c r="AK28" i="158"/>
  <c r="AJ28" i="158"/>
  <c r="AI28" i="158"/>
  <c r="AB28" i="158"/>
  <c r="AA28" i="158"/>
  <c r="Z28" i="158"/>
  <c r="Y28" i="158"/>
  <c r="X28" i="158"/>
  <c r="W28" i="158"/>
  <c r="M28" i="158"/>
  <c r="L28" i="158"/>
  <c r="K28" i="158"/>
  <c r="J28" i="158"/>
  <c r="I28" i="158"/>
  <c r="H28" i="158"/>
  <c r="G28" i="158"/>
  <c r="F28" i="158"/>
  <c r="E28" i="158"/>
  <c r="AT27" i="158"/>
  <c r="AS27" i="158"/>
  <c r="AR27" i="158"/>
  <c r="AD27" i="158"/>
  <c r="V27" i="158"/>
  <c r="AE27" i="158" s="1"/>
  <c r="S27" i="158"/>
  <c r="AT26" i="158"/>
  <c r="AS26" i="158"/>
  <c r="AR26" i="158"/>
  <c r="AD26" i="158"/>
  <c r="V26" i="158"/>
  <c r="AE26" i="158" s="1"/>
  <c r="S26" i="158"/>
  <c r="AT25" i="158"/>
  <c r="AS25" i="158"/>
  <c r="AR25" i="158"/>
  <c r="AD25" i="158"/>
  <c r="V25" i="158"/>
  <c r="AE25" i="158" s="1"/>
  <c r="S25" i="158"/>
  <c r="AT24" i="158"/>
  <c r="AS24" i="158"/>
  <c r="AR24" i="158"/>
  <c r="AD24" i="158"/>
  <c r="V24" i="158"/>
  <c r="S24" i="158"/>
  <c r="AT23" i="158"/>
  <c r="AS23" i="158"/>
  <c r="AR23" i="158"/>
  <c r="AD23" i="158"/>
  <c r="V23" i="158"/>
  <c r="AE23" i="158" s="1"/>
  <c r="S23" i="158"/>
  <c r="AT22" i="158"/>
  <c r="AS22" i="158"/>
  <c r="AR22" i="158"/>
  <c r="AD22" i="158"/>
  <c r="V22" i="158"/>
  <c r="S22" i="158"/>
  <c r="AT21" i="158"/>
  <c r="AS21" i="158"/>
  <c r="AR21" i="158"/>
  <c r="AD21" i="158"/>
  <c r="V21" i="158"/>
  <c r="AE21" i="158" s="1"/>
  <c r="S21" i="158"/>
  <c r="AT20" i="158"/>
  <c r="AS20" i="158"/>
  <c r="AR20" i="158"/>
  <c r="AD20" i="158"/>
  <c r="V20" i="158"/>
  <c r="S20" i="158"/>
  <c r="AT19" i="158"/>
  <c r="AS19" i="158"/>
  <c r="AR19" i="158"/>
  <c r="AD19" i="158"/>
  <c r="V19" i="158"/>
  <c r="S19" i="158"/>
  <c r="AT18" i="158"/>
  <c r="AS18" i="158"/>
  <c r="AR18" i="158"/>
  <c r="AD18" i="158"/>
  <c r="V18" i="158"/>
  <c r="AE18" i="158" s="1"/>
  <c r="S18" i="158"/>
  <c r="AT17" i="158"/>
  <c r="AS17" i="158"/>
  <c r="AR17" i="158"/>
  <c r="AD17" i="158"/>
  <c r="V17" i="158"/>
  <c r="AE17" i="158" s="1"/>
  <c r="S17" i="158"/>
  <c r="AT16" i="158"/>
  <c r="AS16" i="158"/>
  <c r="AR16" i="158"/>
  <c r="AD16" i="158"/>
  <c r="V16" i="158"/>
  <c r="S16" i="158"/>
  <c r="AT15" i="158"/>
  <c r="AS15" i="158"/>
  <c r="AR15" i="158"/>
  <c r="AD15" i="158"/>
  <c r="V15" i="158"/>
  <c r="S15" i="158"/>
  <c r="AT14" i="158"/>
  <c r="AS14" i="158"/>
  <c r="AR14" i="158"/>
  <c r="AD14" i="158"/>
  <c r="V14" i="158"/>
  <c r="S14" i="158"/>
  <c r="AT13" i="158"/>
  <c r="AS13" i="158"/>
  <c r="AR13" i="158"/>
  <c r="AD13" i="158"/>
  <c r="V13" i="158"/>
  <c r="AE13" i="158" s="1"/>
  <c r="S13" i="158"/>
  <c r="AT12" i="158"/>
  <c r="AS12" i="158"/>
  <c r="AR12" i="158"/>
  <c r="AD12" i="158"/>
  <c r="V12" i="158"/>
  <c r="AE12" i="158" s="1"/>
  <c r="S12" i="158"/>
  <c r="O5" i="158"/>
  <c r="N36" i="134"/>
  <c r="N38" i="135" s="1"/>
  <c r="H38" i="135"/>
  <c r="AN28" i="134"/>
  <c r="AM28" i="134"/>
  <c r="AL28" i="134"/>
  <c r="AK28" i="134"/>
  <c r="AJ28" i="134"/>
  <c r="AI28" i="134"/>
  <c r="AB28" i="134"/>
  <c r="AA28" i="134"/>
  <c r="Z28" i="134"/>
  <c r="Y28" i="134"/>
  <c r="X28" i="134"/>
  <c r="W28" i="134"/>
  <c r="M28" i="134"/>
  <c r="L28" i="134"/>
  <c r="K28" i="134"/>
  <c r="I28" i="134"/>
  <c r="H28" i="134"/>
  <c r="G28" i="134"/>
  <c r="F28" i="134"/>
  <c r="E28" i="134"/>
  <c r="AT27" i="134"/>
  <c r="AS27" i="134"/>
  <c r="AR27" i="134"/>
  <c r="AD27" i="134"/>
  <c r="V27" i="134"/>
  <c r="S27" i="134"/>
  <c r="AT26" i="134"/>
  <c r="AS26" i="134"/>
  <c r="AR26" i="134"/>
  <c r="AD26" i="134"/>
  <c r="V26" i="134"/>
  <c r="S26" i="134"/>
  <c r="AT25" i="134"/>
  <c r="AS25" i="134"/>
  <c r="AR25" i="134"/>
  <c r="AD25" i="134"/>
  <c r="V25" i="134"/>
  <c r="S25" i="134"/>
  <c r="AF25" i="134" s="1"/>
  <c r="AT24" i="134"/>
  <c r="AS24" i="134"/>
  <c r="AR24" i="134"/>
  <c r="AD24" i="134"/>
  <c r="V24" i="134"/>
  <c r="S24" i="134"/>
  <c r="AF24" i="134" s="1"/>
  <c r="AT23" i="134"/>
  <c r="AS23" i="134"/>
  <c r="AR23" i="134"/>
  <c r="AD23" i="134"/>
  <c r="V23" i="134"/>
  <c r="S23" i="134"/>
  <c r="AF23" i="134" s="1"/>
  <c r="AT22" i="134"/>
  <c r="AS22" i="134"/>
  <c r="AR22" i="134"/>
  <c r="AD22" i="134"/>
  <c r="V22" i="134"/>
  <c r="S22" i="134"/>
  <c r="AT21" i="134"/>
  <c r="AS21" i="134"/>
  <c r="AR21" i="134"/>
  <c r="V28" i="158" l="1"/>
  <c r="AA48" i="105"/>
  <c r="AA48" i="98"/>
  <c r="Z48" i="98" s="1"/>
  <c r="Z66" i="103"/>
  <c r="AA102" i="103"/>
  <c r="Z66" i="102"/>
  <c r="Z102" i="102" s="1"/>
  <c r="AA102" i="102"/>
  <c r="Z13" i="104"/>
  <c r="AA48" i="104"/>
  <c r="AO38" i="135"/>
  <c r="AA38" i="135"/>
  <c r="AA36" i="134"/>
  <c r="AI38" i="135"/>
  <c r="U38" i="135"/>
  <c r="AQ5" i="158"/>
  <c r="AB5" i="158" s="1"/>
  <c r="AR12" i="135"/>
  <c r="AT12" i="135"/>
  <c r="AE24" i="134"/>
  <c r="AE27" i="134"/>
  <c r="AE23" i="134"/>
  <c r="AE22" i="134"/>
  <c r="AE25" i="134"/>
  <c r="AE26" i="134"/>
  <c r="K28" i="135"/>
  <c r="AD12" i="135"/>
  <c r="AD21" i="134"/>
  <c r="V21" i="134"/>
  <c r="S21" i="134"/>
  <c r="AF21" i="134" s="1"/>
  <c r="AT20" i="134"/>
  <c r="AS20" i="134"/>
  <c r="AR20" i="134"/>
  <c r="AD20" i="134"/>
  <c r="V20" i="134"/>
  <c r="S20" i="134"/>
  <c r="AF20" i="134" s="1"/>
  <c r="AT19" i="134"/>
  <c r="AS19" i="134"/>
  <c r="AR19" i="134"/>
  <c r="AD19" i="134"/>
  <c r="V19" i="134"/>
  <c r="S19" i="134"/>
  <c r="AF19" i="134" s="1"/>
  <c r="AT18" i="134"/>
  <c r="AS18" i="134"/>
  <c r="AR18" i="134"/>
  <c r="AD18" i="134"/>
  <c r="V18" i="134"/>
  <c r="S18" i="134"/>
  <c r="J18" i="135"/>
  <c r="AT17" i="134"/>
  <c r="AS17" i="134"/>
  <c r="AR17" i="134"/>
  <c r="AD17" i="134"/>
  <c r="V17" i="134"/>
  <c r="S17" i="134"/>
  <c r="J17" i="135"/>
  <c r="AT16" i="134"/>
  <c r="AS16" i="134"/>
  <c r="AR16" i="134"/>
  <c r="AD16" i="134"/>
  <c r="V16" i="134"/>
  <c r="S16" i="134"/>
  <c r="AF16" i="134" s="1"/>
  <c r="J16" i="135"/>
  <c r="AT15" i="134"/>
  <c r="AS15" i="134"/>
  <c r="AR15" i="134"/>
  <c r="AD15" i="134"/>
  <c r="V15" i="134"/>
  <c r="S15" i="134"/>
  <c r="AF15" i="134" s="1"/>
  <c r="AT14" i="134"/>
  <c r="AS14" i="134"/>
  <c r="AR14" i="134"/>
  <c r="AD14" i="134"/>
  <c r="V14" i="134"/>
  <c r="S14" i="134"/>
  <c r="AF14" i="134" s="1"/>
  <c r="AT13" i="134"/>
  <c r="AS13" i="134"/>
  <c r="AR13" i="134"/>
  <c r="AD13" i="134"/>
  <c r="V13" i="134"/>
  <c r="S13" i="134"/>
  <c r="AF13" i="134" s="1"/>
  <c r="J13" i="134"/>
  <c r="AT12" i="134"/>
  <c r="AS12" i="134"/>
  <c r="AR12" i="134"/>
  <c r="AD12" i="134"/>
  <c r="V12" i="134"/>
  <c r="S12" i="134"/>
  <c r="AF12" i="134" s="1"/>
  <c r="O5" i="134"/>
  <c r="N38" i="113"/>
  <c r="AO38" i="113" s="1"/>
  <c r="H38" i="113"/>
  <c r="AN28" i="113"/>
  <c r="AM28" i="113"/>
  <c r="AL28" i="113"/>
  <c r="AK28" i="113"/>
  <c r="AJ28" i="113"/>
  <c r="AI28" i="113"/>
  <c r="AB28" i="113"/>
  <c r="AA28" i="113"/>
  <c r="Z28" i="113"/>
  <c r="Y28" i="113"/>
  <c r="X28" i="113"/>
  <c r="W28" i="113"/>
  <c r="M28" i="113"/>
  <c r="L28" i="113"/>
  <c r="K28" i="113"/>
  <c r="J28" i="113"/>
  <c r="I28" i="113"/>
  <c r="H28" i="113"/>
  <c r="G28" i="113"/>
  <c r="F28" i="113"/>
  <c r="E28" i="113"/>
  <c r="AT27" i="113"/>
  <c r="AS27" i="113"/>
  <c r="AR27" i="113"/>
  <c r="AD27" i="113"/>
  <c r="V27" i="113"/>
  <c r="V27" i="135" s="1"/>
  <c r="AE27" i="135" s="1"/>
  <c r="S27" i="113"/>
  <c r="AF27" i="113" s="1"/>
  <c r="AT26" i="113"/>
  <c r="AS26" i="113"/>
  <c r="AR26" i="113"/>
  <c r="AD26" i="113"/>
  <c r="V26" i="113"/>
  <c r="AE26" i="113" s="1"/>
  <c r="S26" i="113"/>
  <c r="AT25" i="113"/>
  <c r="AS25" i="113"/>
  <c r="AR25" i="113"/>
  <c r="AD25" i="113"/>
  <c r="V25" i="113"/>
  <c r="AE25" i="113" s="1"/>
  <c r="S25" i="113"/>
  <c r="AF25" i="113" s="1"/>
  <c r="AT24" i="113"/>
  <c r="AS24" i="113"/>
  <c r="AR24" i="113"/>
  <c r="AD24" i="113"/>
  <c r="V24" i="113"/>
  <c r="V24" i="135" s="1"/>
  <c r="AE24" i="135" s="1"/>
  <c r="S24" i="113"/>
  <c r="AT23" i="113"/>
  <c r="AS23" i="113"/>
  <c r="AR23" i="113"/>
  <c r="AD23" i="113"/>
  <c r="V23" i="113"/>
  <c r="V23" i="135" s="1"/>
  <c r="S23" i="113"/>
  <c r="AF23" i="113" s="1"/>
  <c r="AT22" i="113"/>
  <c r="AS22" i="113"/>
  <c r="AR22" i="113"/>
  <c r="AD22" i="113"/>
  <c r="V22" i="113"/>
  <c r="V22" i="135" s="1"/>
  <c r="AE22" i="135" s="1"/>
  <c r="S22" i="113"/>
  <c r="AT21" i="113"/>
  <c r="AS21" i="113"/>
  <c r="AR21" i="113"/>
  <c r="AD21" i="113"/>
  <c r="V21" i="113"/>
  <c r="S21" i="113"/>
  <c r="AT20" i="113"/>
  <c r="AS20" i="113"/>
  <c r="AR20" i="113"/>
  <c r="AD20" i="113"/>
  <c r="V20" i="113"/>
  <c r="AE20" i="113" s="1"/>
  <c r="S20" i="113"/>
  <c r="AT19" i="113"/>
  <c r="AS19" i="113"/>
  <c r="AR19" i="113"/>
  <c r="AD19" i="113"/>
  <c r="V19" i="113"/>
  <c r="AE19" i="113" s="1"/>
  <c r="S19" i="113"/>
  <c r="AF19" i="113" s="1"/>
  <c r="AT18" i="113"/>
  <c r="AS18" i="113"/>
  <c r="AR18" i="113"/>
  <c r="AD18" i="113"/>
  <c r="V18" i="113"/>
  <c r="AE18" i="113" s="1"/>
  <c r="S18" i="113"/>
  <c r="AT17" i="113"/>
  <c r="AS17" i="113"/>
  <c r="AR17" i="113"/>
  <c r="AD17" i="113"/>
  <c r="V17" i="113"/>
  <c r="AE17" i="113" s="1"/>
  <c r="S17" i="113"/>
  <c r="AF17" i="113" s="1"/>
  <c r="AT16" i="113"/>
  <c r="AS16" i="113"/>
  <c r="AR16" i="113"/>
  <c r="AD16" i="113"/>
  <c r="V16" i="113"/>
  <c r="AE16" i="113" s="1"/>
  <c r="S16" i="113"/>
  <c r="AF16" i="113" s="1"/>
  <c r="AT15" i="113"/>
  <c r="AS15" i="113"/>
  <c r="AR15" i="113"/>
  <c r="AD15" i="113"/>
  <c r="V15" i="113"/>
  <c r="AE15" i="113" s="1"/>
  <c r="S15" i="113"/>
  <c r="AF15" i="113" s="1"/>
  <c r="AT14" i="113"/>
  <c r="AS14" i="113"/>
  <c r="AR14" i="113"/>
  <c r="AD14" i="113"/>
  <c r="V14" i="113"/>
  <c r="AE14" i="113" s="1"/>
  <c r="S14" i="113"/>
  <c r="AF14" i="113" s="1"/>
  <c r="AT13" i="113"/>
  <c r="AS13" i="113"/>
  <c r="AR13" i="113"/>
  <c r="AD13" i="113"/>
  <c r="V13" i="113"/>
  <c r="AE13" i="113" s="1"/>
  <c r="S13" i="113"/>
  <c r="AF13" i="113" s="1"/>
  <c r="AT12" i="113"/>
  <c r="AS12" i="113"/>
  <c r="AR12" i="113"/>
  <c r="AD12" i="113"/>
  <c r="V12" i="113"/>
  <c r="AE12" i="113" s="1"/>
  <c r="S12" i="113"/>
  <c r="AF12" i="113" s="1"/>
  <c r="O5" i="113"/>
  <c r="A13" i="137"/>
  <c r="A14" i="137" s="1"/>
  <c r="A15" i="137" s="1"/>
  <c r="A16" i="137" s="1"/>
  <c r="A13" i="157"/>
  <c r="A13" i="133"/>
  <c r="A13" i="112"/>
  <c r="A14" i="112" s="1"/>
  <c r="A15" i="112" s="1"/>
  <c r="Z48" i="104" l="1"/>
  <c r="Z102" i="103"/>
  <c r="V61" i="111" s="1"/>
  <c r="AE23" i="113"/>
  <c r="V28" i="113"/>
  <c r="AE22" i="113"/>
  <c r="AE24" i="113"/>
  <c r="V13" i="135"/>
  <c r="AE13" i="135" s="1"/>
  <c r="V15" i="135"/>
  <c r="AE15" i="135" s="1"/>
  <c r="V18" i="135"/>
  <c r="AE18" i="135" s="1"/>
  <c r="V25" i="135"/>
  <c r="AE25" i="135" s="1"/>
  <c r="AE21" i="113"/>
  <c r="AE27" i="113"/>
  <c r="V14" i="135"/>
  <c r="AE14" i="135" s="1"/>
  <c r="V17" i="135"/>
  <c r="AE17" i="135" s="1"/>
  <c r="V20" i="135"/>
  <c r="AE20" i="135" s="1"/>
  <c r="V26" i="135"/>
  <c r="AE26" i="135" s="1"/>
  <c r="V16" i="135"/>
  <c r="V19" i="135"/>
  <c r="AE19" i="135" s="1"/>
  <c r="V21" i="135"/>
  <c r="AE21" i="135" s="1"/>
  <c r="AE16" i="134"/>
  <c r="AE14" i="134"/>
  <c r="AE13" i="134"/>
  <c r="O5" i="135"/>
  <c r="AI38" i="113"/>
  <c r="AA38" i="113" s="1"/>
  <c r="U38" i="113" s="1"/>
  <c r="AB5" i="113"/>
  <c r="AA5" i="134"/>
  <c r="AS12" i="135"/>
  <c r="V28" i="134"/>
  <c r="J21" i="135"/>
  <c r="AE12" i="134"/>
  <c r="AE20" i="134"/>
  <c r="J13" i="135"/>
  <c r="J28" i="134"/>
  <c r="J15" i="135"/>
  <c r="J19" i="135"/>
  <c r="AE15" i="134"/>
  <c r="AE17" i="134"/>
  <c r="AE18" i="134"/>
  <c r="AE19" i="134"/>
  <c r="AE21" i="134"/>
  <c r="V12" i="135"/>
  <c r="H30" i="136"/>
  <c r="X28" i="136"/>
  <c r="X27" i="136"/>
  <c r="X26" i="136"/>
  <c r="X25" i="136"/>
  <c r="X24" i="136"/>
  <c r="X23" i="136"/>
  <c r="X22" i="136"/>
  <c r="X21" i="136"/>
  <c r="X20" i="136"/>
  <c r="X19" i="136"/>
  <c r="X18" i="136"/>
  <c r="X17" i="136"/>
  <c r="X16" i="136"/>
  <c r="X15" i="136"/>
  <c r="X14" i="136"/>
  <c r="A14" i="136"/>
  <c r="A15" i="136" s="1"/>
  <c r="X13" i="136"/>
  <c r="X30" i="136" s="1"/>
  <c r="H110" i="156"/>
  <c r="A94" i="156"/>
  <c r="A82" i="156"/>
  <c r="H70" i="156"/>
  <c r="X68" i="156"/>
  <c r="W68" i="156" s="1"/>
  <c r="V68" i="156" s="1"/>
  <c r="O68" i="156"/>
  <c r="N68" i="156" s="1"/>
  <c r="M68" i="156"/>
  <c r="L68" i="156" s="1"/>
  <c r="K68" i="156"/>
  <c r="J68" i="156" s="1"/>
  <c r="I68" i="156"/>
  <c r="G68" i="156" s="1"/>
  <c r="F68" i="156" s="1"/>
  <c r="E68" i="156"/>
  <c r="C68" i="156"/>
  <c r="X67" i="156"/>
  <c r="W67" i="156" s="1"/>
  <c r="V67" i="156" s="1"/>
  <c r="S67" i="156"/>
  <c r="R67" i="156" s="1"/>
  <c r="Q67" i="156" s="1"/>
  <c r="P67" i="156"/>
  <c r="O67" i="156" s="1"/>
  <c r="N67" i="156"/>
  <c r="M67" i="156" s="1"/>
  <c r="L67" i="156"/>
  <c r="K67" i="156" s="1"/>
  <c r="J67" i="156"/>
  <c r="I67" i="156" s="1"/>
  <c r="G67" i="156" s="1"/>
  <c r="F67" i="156"/>
  <c r="E67" i="156" s="1"/>
  <c r="C67" i="156" s="1"/>
  <c r="AB66" i="156"/>
  <c r="AA66" i="156" s="1"/>
  <c r="Z66" i="156" s="1"/>
  <c r="Y66" i="156" s="1"/>
  <c r="X66" i="156"/>
  <c r="W66" i="156" s="1"/>
  <c r="V66" i="156"/>
  <c r="Q66" i="156"/>
  <c r="P66" i="156"/>
  <c r="O66" i="156"/>
  <c r="N66" i="156"/>
  <c r="M66" i="156"/>
  <c r="L66" i="156"/>
  <c r="K66" i="156"/>
  <c r="J66" i="156" s="1"/>
  <c r="I66" i="156" s="1"/>
  <c r="G66" i="156" s="1"/>
  <c r="F66" i="156"/>
  <c r="E66" i="156"/>
  <c r="C66" i="156"/>
  <c r="X65" i="156"/>
  <c r="W65" i="156" s="1"/>
  <c r="V65" i="156"/>
  <c r="Q65" i="156"/>
  <c r="P65" i="156" s="1"/>
  <c r="O65" i="156"/>
  <c r="N65" i="156" s="1"/>
  <c r="M65" i="156"/>
  <c r="L65" i="156" s="1"/>
  <c r="K65" i="156"/>
  <c r="J65" i="156" s="1"/>
  <c r="I65" i="156" s="1"/>
  <c r="G65" i="156" s="1"/>
  <c r="F65" i="156" s="1"/>
  <c r="E65" i="156"/>
  <c r="C65" i="156"/>
  <c r="X64" i="156"/>
  <c r="W64" i="156" s="1"/>
  <c r="V64" i="156"/>
  <c r="Q64" i="156"/>
  <c r="P64" i="156" s="1"/>
  <c r="O64" i="156" s="1"/>
  <c r="N64" i="156" s="1"/>
  <c r="M64" i="156"/>
  <c r="L64" i="156" s="1"/>
  <c r="K64" i="156"/>
  <c r="J64" i="156"/>
  <c r="I64" i="156"/>
  <c r="G64" i="156" s="1"/>
  <c r="F64" i="156" s="1"/>
  <c r="E64" i="156" s="1"/>
  <c r="C64" i="156" s="1"/>
  <c r="Z63" i="156"/>
  <c r="Y63" i="156" s="1"/>
  <c r="X63" i="156"/>
  <c r="W63" i="156" s="1"/>
  <c r="V63" i="156"/>
  <c r="T63" i="156"/>
  <c r="S63" i="156" s="1"/>
  <c r="R63" i="156" s="1"/>
  <c r="Q63" i="156"/>
  <c r="P63" i="156" s="1"/>
  <c r="O63" i="156"/>
  <c r="N63" i="156" s="1"/>
  <c r="M63" i="156" s="1"/>
  <c r="L63" i="156" s="1"/>
  <c r="K63" i="156"/>
  <c r="J63" i="156" s="1"/>
  <c r="I63" i="156"/>
  <c r="G63" i="156" s="1"/>
  <c r="F63" i="156" s="1"/>
  <c r="E63" i="156"/>
  <c r="C63" i="156"/>
  <c r="X62" i="156"/>
  <c r="W62" i="156" s="1"/>
  <c r="V62" i="156"/>
  <c r="Q62" i="156"/>
  <c r="P62" i="156"/>
  <c r="O62" i="156" s="1"/>
  <c r="N62" i="156"/>
  <c r="M62" i="156" s="1"/>
  <c r="L62" i="156"/>
  <c r="K62" i="156" s="1"/>
  <c r="J62" i="156" s="1"/>
  <c r="I62" i="156" s="1"/>
  <c r="G62" i="156" s="1"/>
  <c r="F62" i="156"/>
  <c r="E62" i="156" s="1"/>
  <c r="C62" i="156" s="1"/>
  <c r="X61" i="156"/>
  <c r="W61" i="156" s="1"/>
  <c r="V61" i="156"/>
  <c r="O61" i="156"/>
  <c r="N61" i="156" s="1"/>
  <c r="M61" i="156"/>
  <c r="L61" i="156" s="1"/>
  <c r="K61" i="156"/>
  <c r="J61" i="156" s="1"/>
  <c r="I61" i="156" s="1"/>
  <c r="G61" i="156" s="1"/>
  <c r="F61" i="156" s="1"/>
  <c r="E61" i="156"/>
  <c r="C61" i="156"/>
  <c r="Y60" i="156"/>
  <c r="X60" i="156"/>
  <c r="W60" i="156" s="1"/>
  <c r="V60" i="156"/>
  <c r="Q60" i="156"/>
  <c r="P60" i="156"/>
  <c r="O60" i="156"/>
  <c r="N60" i="156"/>
  <c r="M60" i="156"/>
  <c r="L60" i="156"/>
  <c r="K60" i="156"/>
  <c r="J60" i="156" s="1"/>
  <c r="I60" i="156"/>
  <c r="G60" i="156" s="1"/>
  <c r="F60" i="156"/>
  <c r="E60" i="156"/>
  <c r="C60" i="156"/>
  <c r="Y59" i="156"/>
  <c r="X59" i="156"/>
  <c r="W59" i="156" s="1"/>
  <c r="V59" i="156"/>
  <c r="Q59" i="156"/>
  <c r="P59" i="156"/>
  <c r="O59" i="156"/>
  <c r="N59" i="156"/>
  <c r="M59" i="156"/>
  <c r="L59" i="156"/>
  <c r="K59" i="156"/>
  <c r="J59" i="156" s="1"/>
  <c r="I59" i="156" s="1"/>
  <c r="G59" i="156" s="1"/>
  <c r="F59" i="156"/>
  <c r="E59" i="156"/>
  <c r="C59" i="156"/>
  <c r="X58" i="156"/>
  <c r="W58" i="156" s="1"/>
  <c r="V58" i="156"/>
  <c r="Q58" i="156"/>
  <c r="P58" i="156" s="1"/>
  <c r="O58" i="156"/>
  <c r="N58" i="156" s="1"/>
  <c r="M58" i="156"/>
  <c r="L58" i="156" s="1"/>
  <c r="K58" i="156"/>
  <c r="J58" i="156" s="1"/>
  <c r="I58" i="156" s="1"/>
  <c r="G58" i="156" s="1"/>
  <c r="F58" i="156" s="1"/>
  <c r="E58" i="156"/>
  <c r="C58" i="156"/>
  <c r="Y57" i="156"/>
  <c r="X57" i="156"/>
  <c r="W57" i="156" s="1"/>
  <c r="V57" i="156"/>
  <c r="Q57" i="156"/>
  <c r="P57" i="156"/>
  <c r="O57" i="156"/>
  <c r="N57" i="156"/>
  <c r="M57" i="156"/>
  <c r="L57" i="156"/>
  <c r="K57" i="156"/>
  <c r="J57" i="156" s="1"/>
  <c r="I57" i="156"/>
  <c r="G57" i="156" s="1"/>
  <c r="F57" i="156"/>
  <c r="E57" i="156"/>
  <c r="C57" i="156"/>
  <c r="X56" i="156"/>
  <c r="W56" i="156" s="1"/>
  <c r="V56" i="156"/>
  <c r="Q56" i="156"/>
  <c r="P56" i="156"/>
  <c r="O56" i="156" s="1"/>
  <c r="N56" i="156"/>
  <c r="M56" i="156" s="1"/>
  <c r="L56" i="156"/>
  <c r="K56" i="156" s="1"/>
  <c r="J56" i="156" s="1"/>
  <c r="I56" i="156"/>
  <c r="G56" i="156" s="1"/>
  <c r="F56" i="156"/>
  <c r="E56" i="156" s="1"/>
  <c r="C56" i="156" s="1"/>
  <c r="AB55" i="156"/>
  <c r="AA55" i="156" s="1"/>
  <c r="Z55" i="156" s="1"/>
  <c r="Y55" i="156" s="1"/>
  <c r="X55" i="156"/>
  <c r="W55" i="156" s="1"/>
  <c r="V55" i="156"/>
  <c r="S55" i="156"/>
  <c r="R55" i="156" s="1"/>
  <c r="Q55" i="156"/>
  <c r="P55" i="156" s="1"/>
  <c r="O55" i="156"/>
  <c r="N55" i="156" s="1"/>
  <c r="M55" i="156"/>
  <c r="L55" i="156" s="1"/>
  <c r="K55" i="156"/>
  <c r="J55" i="156" s="1"/>
  <c r="I55" i="156" s="1"/>
  <c r="G55" i="156" s="1"/>
  <c r="F55" i="156" s="1"/>
  <c r="E55" i="156"/>
  <c r="C55" i="156"/>
  <c r="AA54" i="156"/>
  <c r="Z54" i="156" s="1"/>
  <c r="Y54" i="156" s="1"/>
  <c r="X54" i="156"/>
  <c r="W54" i="156" s="1"/>
  <c r="V54" i="156"/>
  <c r="Q54" i="156"/>
  <c r="P54" i="156" s="1"/>
  <c r="O54" i="156"/>
  <c r="N54" i="156" s="1"/>
  <c r="M54" i="156"/>
  <c r="L54" i="156" s="1"/>
  <c r="K54" i="156"/>
  <c r="J54" i="156" s="1"/>
  <c r="I54" i="156" s="1"/>
  <c r="G54" i="156" s="1"/>
  <c r="F54" i="156" s="1"/>
  <c r="E54" i="156"/>
  <c r="C54" i="156"/>
  <c r="A54" i="156"/>
  <c r="AB53" i="156" s="1"/>
  <c r="AA53" i="156" s="1"/>
  <c r="Z53" i="156" s="1"/>
  <c r="Y53" i="156" s="1"/>
  <c r="X53" i="156"/>
  <c r="W53" i="156" s="1"/>
  <c r="V53" i="156" s="1"/>
  <c r="Q53" i="156"/>
  <c r="P53" i="156"/>
  <c r="O53" i="156"/>
  <c r="N53" i="156"/>
  <c r="M53" i="156" s="1"/>
  <c r="L53" i="156"/>
  <c r="K53" i="156" s="1"/>
  <c r="J53" i="156" s="1"/>
  <c r="I53" i="156" s="1"/>
  <c r="G53" i="156" s="1"/>
  <c r="F53" i="156"/>
  <c r="E53" i="156"/>
  <c r="C53" i="156"/>
  <c r="A42" i="156"/>
  <c r="T39" i="156"/>
  <c r="T119" i="156" s="1"/>
  <c r="G39" i="156"/>
  <c r="H30" i="156"/>
  <c r="X28" i="156"/>
  <c r="W28" i="156" s="1"/>
  <c r="V28" i="156" s="1"/>
  <c r="R28" i="156"/>
  <c r="Q28" i="156"/>
  <c r="P28" i="156" s="1"/>
  <c r="O28" i="156"/>
  <c r="N28" i="156" s="1"/>
  <c r="M28" i="156"/>
  <c r="L28" i="156" s="1"/>
  <c r="K28" i="156" s="1"/>
  <c r="J28" i="156" s="1"/>
  <c r="I28" i="156"/>
  <c r="G28" i="156" s="1"/>
  <c r="F28" i="156" s="1"/>
  <c r="E28" i="156" s="1"/>
  <c r="D28" i="156" s="1"/>
  <c r="C28" i="156" s="1"/>
  <c r="B28" i="156"/>
  <c r="B108" i="156" s="1"/>
  <c r="X27" i="156"/>
  <c r="W27" i="156" s="1"/>
  <c r="V27" i="156" s="1"/>
  <c r="Q27" i="156"/>
  <c r="P27" i="156"/>
  <c r="P107" i="156" s="1"/>
  <c r="O27" i="156"/>
  <c r="N27" i="156" s="1"/>
  <c r="M27" i="156" s="1"/>
  <c r="L27" i="156" s="1"/>
  <c r="K27" i="156"/>
  <c r="J27" i="156" s="1"/>
  <c r="I27" i="156"/>
  <c r="G27" i="156" s="1"/>
  <c r="F27" i="156" s="1"/>
  <c r="E27" i="156"/>
  <c r="D27" i="156"/>
  <c r="C27" i="156" s="1"/>
  <c r="B27" i="156"/>
  <c r="B107" i="156" s="1"/>
  <c r="AB26" i="156"/>
  <c r="AA26" i="156" s="1"/>
  <c r="Z26" i="156" s="1"/>
  <c r="Y26" i="156" s="1"/>
  <c r="X26" i="156"/>
  <c r="W26" i="156" s="1"/>
  <c r="V26" i="156" s="1"/>
  <c r="Q26" i="156"/>
  <c r="P26" i="156"/>
  <c r="O26" i="156" s="1"/>
  <c r="N26" i="156"/>
  <c r="M26" i="156" s="1"/>
  <c r="L26" i="156"/>
  <c r="K26" i="156" s="1"/>
  <c r="J26" i="156" s="1"/>
  <c r="I26" i="156" s="1"/>
  <c r="G26" i="156" s="1"/>
  <c r="F26" i="156"/>
  <c r="E26" i="156" s="1"/>
  <c r="D26" i="156" s="1"/>
  <c r="C26" i="156" s="1"/>
  <c r="C106" i="156" s="1"/>
  <c r="B26" i="156"/>
  <c r="X25" i="156"/>
  <c r="W25" i="156" s="1"/>
  <c r="V25" i="156" s="1"/>
  <c r="N25" i="156"/>
  <c r="M25" i="156"/>
  <c r="L25" i="156" s="1"/>
  <c r="K25" i="156" s="1"/>
  <c r="J25" i="156" s="1"/>
  <c r="I25" i="156" s="1"/>
  <c r="G25" i="156" s="1"/>
  <c r="F25" i="156"/>
  <c r="E25" i="156"/>
  <c r="D25" i="156" s="1"/>
  <c r="C24" i="158" s="1"/>
  <c r="C25" i="156"/>
  <c r="B25" i="156"/>
  <c r="X24" i="156"/>
  <c r="W24" i="156" s="1"/>
  <c r="V24" i="156" s="1"/>
  <c r="P24" i="156"/>
  <c r="O24" i="156" s="1"/>
  <c r="N24" i="156" s="1"/>
  <c r="M24" i="156" s="1"/>
  <c r="L24" i="156" s="1"/>
  <c r="K24" i="156"/>
  <c r="J24" i="156" s="1"/>
  <c r="I24" i="156"/>
  <c r="G24" i="156" s="1"/>
  <c r="F24" i="156" s="1"/>
  <c r="E24" i="156" s="1"/>
  <c r="D24" i="156"/>
  <c r="C24" i="156" s="1"/>
  <c r="B24" i="156"/>
  <c r="B64" i="156" s="1"/>
  <c r="X23" i="156"/>
  <c r="W23" i="156" s="1"/>
  <c r="V23" i="156" s="1"/>
  <c r="Q23" i="156"/>
  <c r="P23" i="156" s="1"/>
  <c r="O23" i="156" s="1"/>
  <c r="N23" i="156" s="1"/>
  <c r="M23" i="156"/>
  <c r="L23" i="156" s="1"/>
  <c r="K23" i="156"/>
  <c r="J23" i="156" s="1"/>
  <c r="I23" i="156"/>
  <c r="G23" i="156" s="1"/>
  <c r="G103" i="156" s="1"/>
  <c r="F23" i="156"/>
  <c r="E23" i="156" s="1"/>
  <c r="D23" i="156" s="1"/>
  <c r="C23" i="156"/>
  <c r="B23" i="156"/>
  <c r="X22" i="156"/>
  <c r="W22" i="156" s="1"/>
  <c r="V22" i="156" s="1"/>
  <c r="K22" i="156"/>
  <c r="J22" i="156" s="1"/>
  <c r="I22" i="156"/>
  <c r="G22" i="156" s="1"/>
  <c r="F22" i="156"/>
  <c r="E22" i="156" s="1"/>
  <c r="D22" i="156"/>
  <c r="C22" i="156"/>
  <c r="C102" i="156" s="1"/>
  <c r="D21" i="158" s="1"/>
  <c r="B22" i="156"/>
  <c r="Y21" i="156"/>
  <c r="X21" i="156"/>
  <c r="W21" i="156" s="1"/>
  <c r="V21" i="156" s="1"/>
  <c r="Q21" i="156"/>
  <c r="P21" i="156" s="1"/>
  <c r="O21" i="156"/>
  <c r="N21" i="156" s="1"/>
  <c r="M21" i="156" s="1"/>
  <c r="L21" i="156"/>
  <c r="K21" i="156" s="1"/>
  <c r="J21" i="156" s="1"/>
  <c r="I21" i="156" s="1"/>
  <c r="G21" i="156" s="1"/>
  <c r="F21" i="156"/>
  <c r="E21" i="156"/>
  <c r="D21" i="156"/>
  <c r="C21" i="156"/>
  <c r="B21" i="156"/>
  <c r="Z20" i="156"/>
  <c r="Y20" i="156" s="1"/>
  <c r="X20" i="156"/>
  <c r="W20" i="156" s="1"/>
  <c r="V20" i="156" s="1"/>
  <c r="Q20" i="156"/>
  <c r="P20" i="156" s="1"/>
  <c r="O20" i="156"/>
  <c r="N20" i="156" s="1"/>
  <c r="M20" i="156"/>
  <c r="L20" i="156" s="1"/>
  <c r="K20" i="156"/>
  <c r="J20" i="156" s="1"/>
  <c r="I20" i="156" s="1"/>
  <c r="G20" i="156" s="1"/>
  <c r="F20" i="156"/>
  <c r="E20" i="156"/>
  <c r="D20" i="156"/>
  <c r="C20" i="156" s="1"/>
  <c r="B20" i="156"/>
  <c r="B60" i="156" s="1"/>
  <c r="X19" i="156"/>
  <c r="W19" i="156" s="1"/>
  <c r="V19" i="156" s="1"/>
  <c r="Q19" i="156"/>
  <c r="P19" i="156"/>
  <c r="O19" i="156" s="1"/>
  <c r="N19" i="156"/>
  <c r="M19" i="156"/>
  <c r="L19" i="156"/>
  <c r="K19" i="156"/>
  <c r="J19" i="156" s="1"/>
  <c r="I19" i="156"/>
  <c r="G19" i="156" s="1"/>
  <c r="F19" i="156"/>
  <c r="E19" i="156"/>
  <c r="D19" i="156" s="1"/>
  <c r="C19" i="156" s="1"/>
  <c r="B19" i="156"/>
  <c r="X18" i="156"/>
  <c r="W18" i="156" s="1"/>
  <c r="V18" i="156" s="1"/>
  <c r="Q18" i="156"/>
  <c r="P18" i="156"/>
  <c r="O18" i="156"/>
  <c r="N18" i="156" s="1"/>
  <c r="M18" i="156"/>
  <c r="L18" i="156" s="1"/>
  <c r="K18" i="156"/>
  <c r="J18" i="156" s="1"/>
  <c r="I18" i="156" s="1"/>
  <c r="G18" i="156" s="1"/>
  <c r="F18" i="156"/>
  <c r="E18" i="156" s="1"/>
  <c r="D18" i="156"/>
  <c r="C18" i="156" s="1"/>
  <c r="B18" i="156"/>
  <c r="X17" i="156"/>
  <c r="W17" i="156" s="1"/>
  <c r="V17" i="156" s="1"/>
  <c r="Q17" i="156"/>
  <c r="P17" i="156" s="1"/>
  <c r="P97" i="156" s="1"/>
  <c r="O17" i="156"/>
  <c r="N17" i="156"/>
  <c r="M17" i="156"/>
  <c r="M97" i="156" s="1"/>
  <c r="L17" i="156"/>
  <c r="K17" i="156" s="1"/>
  <c r="J17" i="156" s="1"/>
  <c r="I17" i="156"/>
  <c r="G17" i="156" s="1"/>
  <c r="F17" i="156"/>
  <c r="E17" i="156"/>
  <c r="D17" i="156" s="1"/>
  <c r="C17" i="156"/>
  <c r="B17" i="156"/>
  <c r="X16" i="156"/>
  <c r="W16" i="156" s="1"/>
  <c r="V16" i="156" s="1"/>
  <c r="Q16" i="156"/>
  <c r="P16" i="156" s="1"/>
  <c r="O16" i="156"/>
  <c r="N16" i="156"/>
  <c r="M16" i="156"/>
  <c r="L16" i="156"/>
  <c r="K16" i="156" s="1"/>
  <c r="J16" i="156" s="1"/>
  <c r="I16" i="156" s="1"/>
  <c r="G16" i="156" s="1"/>
  <c r="F16" i="156"/>
  <c r="E16" i="156"/>
  <c r="D16" i="156"/>
  <c r="C16" i="156"/>
  <c r="B16" i="156"/>
  <c r="X15" i="156"/>
  <c r="W15" i="156" s="1"/>
  <c r="V15" i="156" s="1"/>
  <c r="Q15" i="156"/>
  <c r="Q95" i="156" s="1"/>
  <c r="P15" i="156"/>
  <c r="O15" i="156" s="1"/>
  <c r="N15" i="156"/>
  <c r="M15" i="156" s="1"/>
  <c r="M95" i="156" s="1"/>
  <c r="L15" i="156"/>
  <c r="K15" i="156"/>
  <c r="J15" i="156" s="1"/>
  <c r="I15" i="156"/>
  <c r="G15" i="156" s="1"/>
  <c r="F15" i="156" s="1"/>
  <c r="E15" i="156"/>
  <c r="D15" i="156" s="1"/>
  <c r="C15" i="156" s="1"/>
  <c r="B15" i="156"/>
  <c r="B55" i="156" s="1"/>
  <c r="Y14" i="156"/>
  <c r="X14" i="156"/>
  <c r="W14" i="156" s="1"/>
  <c r="V14" i="156" s="1"/>
  <c r="Q14" i="156"/>
  <c r="P14" i="156"/>
  <c r="O14" i="156" s="1"/>
  <c r="N14" i="156" s="1"/>
  <c r="M14" i="156"/>
  <c r="L14" i="156" s="1"/>
  <c r="K14" i="156"/>
  <c r="J14" i="156" s="1"/>
  <c r="I14" i="156" s="1"/>
  <c r="G14" i="156" s="1"/>
  <c r="F14" i="156" s="1"/>
  <c r="E14" i="156"/>
  <c r="D14" i="156"/>
  <c r="C14" i="156" s="1"/>
  <c r="B14" i="156"/>
  <c r="B13" i="157" s="1"/>
  <c r="A14" i="156"/>
  <c r="AB13" i="156" s="1"/>
  <c r="AA13" i="156" s="1"/>
  <c r="Z13" i="156" s="1"/>
  <c r="Y13" i="156" s="1"/>
  <c r="X13" i="156"/>
  <c r="W13" i="156" s="1"/>
  <c r="V13" i="156" s="1"/>
  <c r="Q13" i="156"/>
  <c r="P13" i="156"/>
  <c r="O13" i="156"/>
  <c r="N13" i="156"/>
  <c r="M13" i="156"/>
  <c r="L13" i="156"/>
  <c r="K13" i="156"/>
  <c r="K93" i="156" s="1"/>
  <c r="J13" i="156"/>
  <c r="I13" i="156" s="1"/>
  <c r="G13" i="156" s="1"/>
  <c r="F13" i="156"/>
  <c r="E13" i="156"/>
  <c r="D13" i="156" s="1"/>
  <c r="C13" i="156"/>
  <c r="B13" i="156"/>
  <c r="B12" i="157" s="1"/>
  <c r="F8" i="156"/>
  <c r="F88" i="156" s="1"/>
  <c r="F7" i="156"/>
  <c r="F6" i="156"/>
  <c r="F86" i="156" s="1"/>
  <c r="A4" i="156"/>
  <c r="H110" i="132"/>
  <c r="A94" i="132"/>
  <c r="A95" i="132" s="1"/>
  <c r="A82" i="132"/>
  <c r="H70" i="132"/>
  <c r="X68" i="132"/>
  <c r="W68" i="132" s="1"/>
  <c r="V68" i="132" s="1"/>
  <c r="P68" i="132"/>
  <c r="O68" i="132"/>
  <c r="N68" i="132" s="1"/>
  <c r="M68" i="132"/>
  <c r="L68" i="132" s="1"/>
  <c r="K68" i="132"/>
  <c r="J68" i="132" s="1"/>
  <c r="I68" i="132"/>
  <c r="G68" i="132" s="1"/>
  <c r="F68" i="132" s="1"/>
  <c r="E68" i="132"/>
  <c r="C68" i="132"/>
  <c r="X67" i="132"/>
  <c r="W67" i="132" s="1"/>
  <c r="V67" i="132" s="1"/>
  <c r="R67" i="132"/>
  <c r="Q67" i="132"/>
  <c r="P67" i="132"/>
  <c r="O67" i="132"/>
  <c r="N67" i="132"/>
  <c r="M67" i="132"/>
  <c r="L67" i="132"/>
  <c r="K67" i="132"/>
  <c r="J67" i="132" s="1"/>
  <c r="I67" i="132"/>
  <c r="G67" i="132" s="1"/>
  <c r="F67" i="132"/>
  <c r="E67" i="132"/>
  <c r="C67" i="132" s="1"/>
  <c r="X66" i="132"/>
  <c r="W66" i="132" s="1"/>
  <c r="V66" i="132"/>
  <c r="Q66" i="132"/>
  <c r="P66" i="132"/>
  <c r="O66" i="132" s="1"/>
  <c r="N66" i="132"/>
  <c r="M66" i="132" s="1"/>
  <c r="L66" i="132"/>
  <c r="K66" i="132" s="1"/>
  <c r="J66" i="132" s="1"/>
  <c r="I66" i="132" s="1"/>
  <c r="G66" i="132" s="1"/>
  <c r="F66" i="132"/>
  <c r="E66" i="132" s="1"/>
  <c r="C66" i="132" s="1"/>
  <c r="X65" i="132"/>
  <c r="W65" i="132" s="1"/>
  <c r="V65" i="132"/>
  <c r="Q65" i="132"/>
  <c r="P65" i="132"/>
  <c r="O65" i="132"/>
  <c r="N65" i="132"/>
  <c r="M65" i="132"/>
  <c r="L65" i="132"/>
  <c r="K65" i="132"/>
  <c r="J65" i="132" s="1"/>
  <c r="I65" i="132" s="1"/>
  <c r="G65" i="132" s="1"/>
  <c r="F65" i="132"/>
  <c r="E65" i="132"/>
  <c r="C65" i="132"/>
  <c r="X64" i="132"/>
  <c r="W64" i="132" s="1"/>
  <c r="V64" i="132"/>
  <c r="Q64" i="132"/>
  <c r="P64" i="132"/>
  <c r="O64" i="132"/>
  <c r="N64" i="132"/>
  <c r="M64" i="132"/>
  <c r="L64" i="132"/>
  <c r="K64" i="132"/>
  <c r="J64" i="132" s="1"/>
  <c r="I64" i="132" s="1"/>
  <c r="G64" i="132" s="1"/>
  <c r="F64" i="132"/>
  <c r="E64" i="132"/>
  <c r="C64" i="132"/>
  <c r="AA63" i="132"/>
  <c r="Z63" i="132"/>
  <c r="Y63" i="132" s="1"/>
  <c r="X63" i="132"/>
  <c r="W63" i="132" s="1"/>
  <c r="V63" i="132"/>
  <c r="Q63" i="132"/>
  <c r="P63" i="132"/>
  <c r="O63" i="132" s="1"/>
  <c r="N63" i="132"/>
  <c r="M63" i="132" s="1"/>
  <c r="L63" i="132"/>
  <c r="K63" i="132" s="1"/>
  <c r="J63" i="132" s="1"/>
  <c r="I63" i="132"/>
  <c r="G63" i="132" s="1"/>
  <c r="F63" i="132"/>
  <c r="E63" i="132" s="1"/>
  <c r="C63" i="132" s="1"/>
  <c r="X62" i="132"/>
  <c r="W62" i="132" s="1"/>
  <c r="V62" i="132" s="1"/>
  <c r="Q62" i="132"/>
  <c r="P62" i="132"/>
  <c r="O62" i="132" s="1"/>
  <c r="N62" i="132" s="1"/>
  <c r="M62" i="132"/>
  <c r="L62" i="132" s="1"/>
  <c r="K62" i="132" s="1"/>
  <c r="J62" i="132" s="1"/>
  <c r="I62" i="132" s="1"/>
  <c r="G62" i="132" s="1"/>
  <c r="F62" i="132" s="1"/>
  <c r="E62" i="132" s="1"/>
  <c r="C62" i="132" s="1"/>
  <c r="X61" i="132"/>
  <c r="W61" i="132" s="1"/>
  <c r="V61" i="132" s="1"/>
  <c r="M61" i="132"/>
  <c r="L61" i="132" s="1"/>
  <c r="K61" i="132" s="1"/>
  <c r="J61" i="132" s="1"/>
  <c r="I61" i="132" s="1"/>
  <c r="G61" i="132" s="1"/>
  <c r="F61" i="132" s="1"/>
  <c r="E61" i="132" s="1"/>
  <c r="C61" i="132" s="1"/>
  <c r="V60" i="132"/>
  <c r="S60" i="132"/>
  <c r="R60" i="132" s="1"/>
  <c r="Q60" i="132" s="1"/>
  <c r="P60" i="132"/>
  <c r="O60" i="132" s="1"/>
  <c r="N60" i="132" s="1"/>
  <c r="M60" i="132"/>
  <c r="L60" i="132" s="1"/>
  <c r="K60" i="132" s="1"/>
  <c r="J60" i="132" s="1"/>
  <c r="I60" i="132" s="1"/>
  <c r="G60" i="132" s="1"/>
  <c r="F60" i="132" s="1"/>
  <c r="E60" i="132" s="1"/>
  <c r="C60" i="132" s="1"/>
  <c r="V59" i="132"/>
  <c r="Q59" i="132"/>
  <c r="P59" i="132"/>
  <c r="O59" i="132" s="1"/>
  <c r="N59" i="132" s="1"/>
  <c r="M59" i="132"/>
  <c r="L59" i="132" s="1"/>
  <c r="K59" i="132" s="1"/>
  <c r="J59" i="132" s="1"/>
  <c r="I59" i="132" s="1"/>
  <c r="G59" i="132" s="1"/>
  <c r="F59" i="132" s="1"/>
  <c r="E59" i="132" s="1"/>
  <c r="C59" i="132" s="1"/>
  <c r="X58" i="132"/>
  <c r="W58" i="132" s="1"/>
  <c r="V58" i="132" s="1"/>
  <c r="V57" i="132"/>
  <c r="Q57" i="132"/>
  <c r="P57" i="132" s="1"/>
  <c r="O57" i="132" s="1"/>
  <c r="N57" i="132" s="1"/>
  <c r="M57" i="132" s="1"/>
  <c r="L57" i="132" s="1"/>
  <c r="K57" i="132" s="1"/>
  <c r="J57" i="132" s="1"/>
  <c r="I57" i="132" s="1"/>
  <c r="G57" i="132" s="1"/>
  <c r="F57" i="132" s="1"/>
  <c r="E57" i="132" s="1"/>
  <c r="C57" i="132" s="1"/>
  <c r="V56" i="132"/>
  <c r="Q56" i="132"/>
  <c r="P56" i="132" s="1"/>
  <c r="O56" i="132" s="1"/>
  <c r="M56" i="132"/>
  <c r="L56" i="132" s="1"/>
  <c r="K56" i="132" s="1"/>
  <c r="J56" i="132" s="1"/>
  <c r="I56" i="132" s="1"/>
  <c r="G56" i="132" s="1"/>
  <c r="F56" i="132" s="1"/>
  <c r="E56" i="132" s="1"/>
  <c r="C56" i="132" s="1"/>
  <c r="X55" i="132"/>
  <c r="W55" i="132" s="1"/>
  <c r="V55" i="132"/>
  <c r="Q55" i="132"/>
  <c r="P55" i="132" s="1"/>
  <c r="O55" i="132" s="1"/>
  <c r="N55" i="132" s="1"/>
  <c r="M55" i="132" s="1"/>
  <c r="L55" i="132" s="1"/>
  <c r="K55" i="132" s="1"/>
  <c r="J55" i="132" s="1"/>
  <c r="I55" i="132" s="1"/>
  <c r="G55" i="132" s="1"/>
  <c r="F55" i="132" s="1"/>
  <c r="E55" i="132" s="1"/>
  <c r="C55" i="132" s="1"/>
  <c r="X54" i="132"/>
  <c r="W54" i="132" s="1"/>
  <c r="V54" i="132"/>
  <c r="Q54" i="132"/>
  <c r="P54" i="132" s="1"/>
  <c r="O54" i="132" s="1"/>
  <c r="N54" i="132" s="1"/>
  <c r="M54" i="132" s="1"/>
  <c r="L54" i="132" s="1"/>
  <c r="K54" i="132" s="1"/>
  <c r="J54" i="132" s="1"/>
  <c r="I54" i="132" s="1"/>
  <c r="G54" i="132" s="1"/>
  <c r="F54" i="132" s="1"/>
  <c r="E54" i="132" s="1"/>
  <c r="C54" i="132" s="1"/>
  <c r="A54" i="132"/>
  <c r="AB53" i="132" s="1"/>
  <c r="AA53" i="132" s="1"/>
  <c r="Z53" i="132" s="1"/>
  <c r="Y53" i="132" s="1"/>
  <c r="X53" i="132"/>
  <c r="W53" i="132" s="1"/>
  <c r="V53" i="132" s="1"/>
  <c r="A42" i="132"/>
  <c r="T39" i="132"/>
  <c r="G39" i="132"/>
  <c r="G79" i="132" s="1"/>
  <c r="H30" i="132"/>
  <c r="X28" i="132"/>
  <c r="Q28" i="132"/>
  <c r="P28" i="132"/>
  <c r="N28" i="132"/>
  <c r="L28" i="132"/>
  <c r="F28" i="132"/>
  <c r="E28" i="132"/>
  <c r="D28" i="132"/>
  <c r="C28" i="132"/>
  <c r="B28" i="132"/>
  <c r="X27" i="132"/>
  <c r="Q27" i="132"/>
  <c r="P27" i="132"/>
  <c r="O27" i="132" s="1"/>
  <c r="N27" i="132"/>
  <c r="L27" i="132"/>
  <c r="E27" i="132"/>
  <c r="C27" i="132"/>
  <c r="B27" i="132"/>
  <c r="X26" i="132"/>
  <c r="W26" i="132" s="1"/>
  <c r="V26" i="132" s="1"/>
  <c r="Q26" i="132"/>
  <c r="P26" i="132"/>
  <c r="O26" i="132" s="1"/>
  <c r="N26" i="132"/>
  <c r="L26" i="132"/>
  <c r="F26" i="132"/>
  <c r="D26" i="132"/>
  <c r="C26" i="132" s="1"/>
  <c r="B26" i="132"/>
  <c r="X25" i="132"/>
  <c r="W25" i="132" s="1"/>
  <c r="V25" i="132" s="1"/>
  <c r="Q25" i="132"/>
  <c r="P25" i="132"/>
  <c r="N25" i="132"/>
  <c r="L25" i="132"/>
  <c r="K25" i="132" s="1"/>
  <c r="E25" i="132"/>
  <c r="D25" i="132"/>
  <c r="C25" i="132"/>
  <c r="B25" i="132"/>
  <c r="X24" i="132"/>
  <c r="W24" i="132" s="1"/>
  <c r="Q24" i="132"/>
  <c r="P24" i="132"/>
  <c r="N24" i="132"/>
  <c r="M24" i="132" s="1"/>
  <c r="L24" i="132"/>
  <c r="F24" i="132"/>
  <c r="E24" i="132"/>
  <c r="D24" i="132"/>
  <c r="C24" i="132" s="1"/>
  <c r="B24" i="132"/>
  <c r="B64" i="132" s="1"/>
  <c r="X23" i="132"/>
  <c r="W23" i="132" s="1"/>
  <c r="O23" i="132"/>
  <c r="M23" i="132"/>
  <c r="K23" i="132"/>
  <c r="E23" i="132"/>
  <c r="D23" i="132"/>
  <c r="C23" i="132"/>
  <c r="B23" i="132"/>
  <c r="X22" i="132"/>
  <c r="W22" i="132" s="1"/>
  <c r="P22" i="132"/>
  <c r="I22" i="132"/>
  <c r="F22" i="132"/>
  <c r="D22" i="132"/>
  <c r="C22" i="132" s="1"/>
  <c r="B22" i="132"/>
  <c r="B62" i="132" s="1"/>
  <c r="X21" i="132"/>
  <c r="W21" i="132" s="1"/>
  <c r="Q21" i="132"/>
  <c r="P21" i="132"/>
  <c r="O21" i="132" s="1"/>
  <c r="C21" i="132"/>
  <c r="B21" i="132"/>
  <c r="X20" i="132"/>
  <c r="W20" i="132" s="1"/>
  <c r="Q20" i="132"/>
  <c r="P20" i="132"/>
  <c r="D20" i="132"/>
  <c r="C20" i="132" s="1"/>
  <c r="B20" i="132"/>
  <c r="X19" i="132"/>
  <c r="W19" i="132" s="1"/>
  <c r="Q19" i="132"/>
  <c r="P19" i="132"/>
  <c r="O19" i="132" s="1"/>
  <c r="N19" i="132" s="1"/>
  <c r="M19" i="132"/>
  <c r="D19" i="132"/>
  <c r="C19" i="132" s="1"/>
  <c r="B19" i="132"/>
  <c r="X18" i="132"/>
  <c r="W18" i="132" s="1"/>
  <c r="Q18" i="132"/>
  <c r="P18" i="132"/>
  <c r="O18" i="132" s="1"/>
  <c r="N18" i="132" s="1"/>
  <c r="D18" i="132"/>
  <c r="C18" i="132" s="1"/>
  <c r="B18" i="132"/>
  <c r="X17" i="132"/>
  <c r="W17" i="132" s="1"/>
  <c r="Q17" i="132"/>
  <c r="P17" i="132" s="1"/>
  <c r="O17" i="132" s="1"/>
  <c r="B17" i="132"/>
  <c r="X16" i="132"/>
  <c r="W16" i="132" s="1"/>
  <c r="M16" i="132"/>
  <c r="L16" i="132" s="1"/>
  <c r="B16" i="132"/>
  <c r="X15" i="132"/>
  <c r="W15" i="132" s="1"/>
  <c r="Q15" i="132"/>
  <c r="P15" i="132"/>
  <c r="O15" i="132" s="1"/>
  <c r="B15" i="132"/>
  <c r="X14" i="132"/>
  <c r="W14" i="132" s="1"/>
  <c r="Q14" i="132"/>
  <c r="P14" i="132" s="1"/>
  <c r="B14" i="132"/>
  <c r="A14" i="132"/>
  <c r="AB13" i="132" s="1"/>
  <c r="AA13" i="132" s="1"/>
  <c r="Z13" i="132" s="1"/>
  <c r="Y13" i="132" s="1"/>
  <c r="X13" i="132"/>
  <c r="W13" i="132" s="1"/>
  <c r="V13" i="132" s="1"/>
  <c r="B13" i="132"/>
  <c r="B53" i="132" s="1"/>
  <c r="F8" i="132"/>
  <c r="F7" i="132"/>
  <c r="F47" i="132" s="1"/>
  <c r="F6" i="132"/>
  <c r="A4" i="132"/>
  <c r="A44" i="132" s="1"/>
  <c r="H110" i="111"/>
  <c r="A94" i="111"/>
  <c r="A82" i="111"/>
  <c r="H70" i="111"/>
  <c r="X68" i="111"/>
  <c r="W68" i="111" s="1"/>
  <c r="V68" i="111" s="1"/>
  <c r="Q68" i="111"/>
  <c r="P68" i="111" s="1"/>
  <c r="O68" i="111" s="1"/>
  <c r="N68" i="111" s="1"/>
  <c r="M68" i="111" s="1"/>
  <c r="L68" i="111" s="1"/>
  <c r="K68" i="111" s="1"/>
  <c r="J68" i="111" s="1"/>
  <c r="I68" i="111" s="1"/>
  <c r="G68" i="111" s="1"/>
  <c r="F68" i="111"/>
  <c r="E68" i="111" s="1"/>
  <c r="C68" i="111"/>
  <c r="X67" i="111"/>
  <c r="W67" i="111" s="1"/>
  <c r="V67" i="111" s="1"/>
  <c r="Q67" i="111"/>
  <c r="P67" i="111"/>
  <c r="O67" i="111" s="1"/>
  <c r="N67" i="111" s="1"/>
  <c r="M67" i="111" s="1"/>
  <c r="L67" i="111" s="1"/>
  <c r="K67" i="111"/>
  <c r="J67" i="111" s="1"/>
  <c r="I67" i="111" s="1"/>
  <c r="G67" i="111" s="1"/>
  <c r="F67" i="111" s="1"/>
  <c r="E67" i="111" s="1"/>
  <c r="C67" i="111"/>
  <c r="X66" i="111"/>
  <c r="W66" i="111" s="1"/>
  <c r="V66" i="111"/>
  <c r="Q66" i="111"/>
  <c r="P66" i="111" s="1"/>
  <c r="O66" i="111" s="1"/>
  <c r="N66" i="111" s="1"/>
  <c r="M66" i="111"/>
  <c r="L66" i="111" s="1"/>
  <c r="K66" i="111" s="1"/>
  <c r="J66" i="111" s="1"/>
  <c r="I66" i="111" s="1"/>
  <c r="G66" i="111" s="1"/>
  <c r="F66" i="111" s="1"/>
  <c r="E66" i="111" s="1"/>
  <c r="C66" i="111"/>
  <c r="X65" i="111"/>
  <c r="W65" i="111" s="1"/>
  <c r="V65" i="111"/>
  <c r="Q65" i="111"/>
  <c r="P65" i="111"/>
  <c r="O65" i="111" s="1"/>
  <c r="N65" i="111" s="1"/>
  <c r="M65" i="111" s="1"/>
  <c r="L65" i="111" s="1"/>
  <c r="K65" i="111" s="1"/>
  <c r="J65" i="111" s="1"/>
  <c r="I65" i="111" s="1"/>
  <c r="G65" i="111" s="1"/>
  <c r="F65" i="111" s="1"/>
  <c r="E65" i="111" s="1"/>
  <c r="C65" i="111" s="1"/>
  <c r="X64" i="111"/>
  <c r="W64" i="111" s="1"/>
  <c r="V64" i="111"/>
  <c r="Q64" i="111"/>
  <c r="P64" i="111" s="1"/>
  <c r="O64" i="111"/>
  <c r="N64" i="111" s="1"/>
  <c r="M64" i="111"/>
  <c r="L64" i="111" s="1"/>
  <c r="K64" i="111" s="1"/>
  <c r="J64" i="111" s="1"/>
  <c r="I64" i="111" s="1"/>
  <c r="G64" i="111" s="1"/>
  <c r="F64" i="111" s="1"/>
  <c r="E64" i="111" s="1"/>
  <c r="C64" i="111" s="1"/>
  <c r="X63" i="111"/>
  <c r="W63" i="111" s="1"/>
  <c r="V63" i="111"/>
  <c r="Q63" i="111"/>
  <c r="P63" i="111" s="1"/>
  <c r="O63" i="111" s="1"/>
  <c r="N63" i="111" s="1"/>
  <c r="M63" i="111"/>
  <c r="L63" i="111" s="1"/>
  <c r="K63" i="111" s="1"/>
  <c r="J63" i="111" s="1"/>
  <c r="I63" i="111" s="1"/>
  <c r="G63" i="111" s="1"/>
  <c r="F63" i="111" s="1"/>
  <c r="E63" i="111" s="1"/>
  <c r="C63" i="111" s="1"/>
  <c r="X62" i="111"/>
  <c r="W62" i="111" s="1"/>
  <c r="V62" i="111"/>
  <c r="Q62" i="111"/>
  <c r="P62" i="111" s="1"/>
  <c r="O62" i="111" s="1"/>
  <c r="N62" i="111"/>
  <c r="M62" i="111" s="1"/>
  <c r="L62" i="111" s="1"/>
  <c r="K62" i="111" s="1"/>
  <c r="J62" i="111" s="1"/>
  <c r="I62" i="111" s="1"/>
  <c r="G62" i="111" s="1"/>
  <c r="F62" i="111" s="1"/>
  <c r="E62" i="111" s="1"/>
  <c r="C62" i="111" s="1"/>
  <c r="Z61" i="111"/>
  <c r="Y61" i="111" s="1"/>
  <c r="Q61" i="111"/>
  <c r="P61" i="111" s="1"/>
  <c r="O61" i="111" s="1"/>
  <c r="N61" i="111" s="1"/>
  <c r="M61" i="111" s="1"/>
  <c r="L61" i="111" s="1"/>
  <c r="K61" i="111" s="1"/>
  <c r="J61" i="111" s="1"/>
  <c r="I61" i="111" s="1"/>
  <c r="G61" i="111" s="1"/>
  <c r="F61" i="111"/>
  <c r="E61" i="111" s="1"/>
  <c r="C61" i="111" s="1"/>
  <c r="X60" i="111"/>
  <c r="W60" i="111" s="1"/>
  <c r="V60" i="111"/>
  <c r="Q60" i="111"/>
  <c r="P60" i="111"/>
  <c r="O60" i="111" s="1"/>
  <c r="N60" i="111" s="1"/>
  <c r="M60" i="111" s="1"/>
  <c r="L60" i="111" s="1"/>
  <c r="K60" i="111" s="1"/>
  <c r="J60" i="111" s="1"/>
  <c r="I60" i="111" s="1"/>
  <c r="G60" i="111" s="1"/>
  <c r="F60" i="111" s="1"/>
  <c r="E60" i="111"/>
  <c r="C60" i="111"/>
  <c r="X59" i="111"/>
  <c r="W59" i="111" s="1"/>
  <c r="V59" i="111"/>
  <c r="Q59" i="111"/>
  <c r="P59" i="111" s="1"/>
  <c r="O59" i="111" s="1"/>
  <c r="N59" i="111"/>
  <c r="M59" i="111" s="1"/>
  <c r="L59" i="111"/>
  <c r="K59" i="111" s="1"/>
  <c r="J59" i="111" s="1"/>
  <c r="I59" i="111" s="1"/>
  <c r="G59" i="111" s="1"/>
  <c r="F59" i="111" s="1"/>
  <c r="E59" i="111"/>
  <c r="C59" i="111"/>
  <c r="X58" i="111"/>
  <c r="W58" i="111" s="1"/>
  <c r="V58" i="111"/>
  <c r="Q58" i="111"/>
  <c r="P58" i="111" s="1"/>
  <c r="O58" i="111" s="1"/>
  <c r="N58" i="111" s="1"/>
  <c r="M58" i="111" s="1"/>
  <c r="L58" i="111" s="1"/>
  <c r="K58" i="111" s="1"/>
  <c r="J58" i="111" s="1"/>
  <c r="I58" i="111" s="1"/>
  <c r="G58" i="111" s="1"/>
  <c r="F58" i="111" s="1"/>
  <c r="E58" i="111" s="1"/>
  <c r="C58" i="111" s="1"/>
  <c r="X57" i="111"/>
  <c r="W57" i="111" s="1"/>
  <c r="V57" i="111"/>
  <c r="Q57" i="111"/>
  <c r="P57" i="111" s="1"/>
  <c r="O57" i="111"/>
  <c r="N57" i="111" s="1"/>
  <c r="M57" i="111"/>
  <c r="L57" i="111" s="1"/>
  <c r="K57" i="111"/>
  <c r="J57" i="111" s="1"/>
  <c r="I57" i="111" s="1"/>
  <c r="G57" i="111" s="1"/>
  <c r="F57" i="111"/>
  <c r="E57" i="111" s="1"/>
  <c r="C57" i="111" s="1"/>
  <c r="X56" i="111"/>
  <c r="W56" i="111" s="1"/>
  <c r="V56" i="111"/>
  <c r="Q56" i="111"/>
  <c r="P56" i="111"/>
  <c r="O56" i="111" s="1"/>
  <c r="N56" i="111"/>
  <c r="M56" i="111" s="1"/>
  <c r="L56" i="111"/>
  <c r="K56" i="111" s="1"/>
  <c r="J56" i="111" s="1"/>
  <c r="I56" i="111" s="1"/>
  <c r="G56" i="111" s="1"/>
  <c r="F56" i="111" s="1"/>
  <c r="E56" i="111"/>
  <c r="C56" i="111" s="1"/>
  <c r="X55" i="111"/>
  <c r="W55" i="111" s="1"/>
  <c r="V55" i="111"/>
  <c r="Q55" i="111"/>
  <c r="P55" i="111" s="1"/>
  <c r="O55" i="111" s="1"/>
  <c r="N55" i="111" s="1"/>
  <c r="M55" i="111" s="1"/>
  <c r="L55" i="111" s="1"/>
  <c r="K55" i="111" s="1"/>
  <c r="J55" i="111" s="1"/>
  <c r="I55" i="111" s="1"/>
  <c r="G55" i="111" s="1"/>
  <c r="F55" i="111" s="1"/>
  <c r="E55" i="111" s="1"/>
  <c r="C55" i="111" s="1"/>
  <c r="X54" i="111"/>
  <c r="W54" i="111" s="1"/>
  <c r="V54" i="111"/>
  <c r="Q54" i="111"/>
  <c r="P54" i="111"/>
  <c r="O54" i="111" s="1"/>
  <c r="N54" i="111"/>
  <c r="M54" i="111" s="1"/>
  <c r="L54" i="111"/>
  <c r="K54" i="111" s="1"/>
  <c r="J54" i="111" s="1"/>
  <c r="I54" i="111" s="1"/>
  <c r="G54" i="111" s="1"/>
  <c r="F54" i="111"/>
  <c r="E54" i="111" s="1"/>
  <c r="C54" i="111"/>
  <c r="A54" i="111"/>
  <c r="AB53" i="111" s="1"/>
  <c r="AA53" i="111" s="1"/>
  <c r="Z53" i="111" s="1"/>
  <c r="Y53" i="111" s="1"/>
  <c r="X53" i="111"/>
  <c r="W53" i="111" s="1"/>
  <c r="V53" i="111" s="1"/>
  <c r="Q53" i="111"/>
  <c r="P53" i="111" s="1"/>
  <c r="O53" i="111" s="1"/>
  <c r="N53" i="111" s="1"/>
  <c r="M53" i="111" s="1"/>
  <c r="L53" i="111" s="1"/>
  <c r="K53" i="111"/>
  <c r="J53" i="111" s="1"/>
  <c r="I53" i="111" s="1"/>
  <c r="G53" i="111" s="1"/>
  <c r="F53" i="111" s="1"/>
  <c r="E53" i="111" s="1"/>
  <c r="C53" i="111"/>
  <c r="A42" i="111"/>
  <c r="T39" i="111"/>
  <c r="G39" i="111"/>
  <c r="H30" i="111"/>
  <c r="X28" i="111"/>
  <c r="W28" i="111" s="1"/>
  <c r="V28" i="111" s="1"/>
  <c r="S28" i="111"/>
  <c r="R28" i="111" s="1"/>
  <c r="Q28" i="111"/>
  <c r="P28" i="111" s="1"/>
  <c r="O28" i="111" s="1"/>
  <c r="N28" i="111" s="1"/>
  <c r="M28" i="111" s="1"/>
  <c r="L28" i="111" s="1"/>
  <c r="K28" i="111" s="1"/>
  <c r="J28" i="111" s="1"/>
  <c r="I28" i="111" s="1"/>
  <c r="G28" i="111" s="1"/>
  <c r="F28" i="111" s="1"/>
  <c r="E28" i="111" s="1"/>
  <c r="D28" i="111"/>
  <c r="C28" i="111" s="1"/>
  <c r="B28" i="111"/>
  <c r="AB27" i="111"/>
  <c r="AA27" i="111" s="1"/>
  <c r="Z27" i="111" s="1"/>
  <c r="Y27" i="111" s="1"/>
  <c r="X27" i="111"/>
  <c r="W27" i="111" s="1"/>
  <c r="V27" i="111" s="1"/>
  <c r="Q27" i="111"/>
  <c r="P27" i="111"/>
  <c r="O27" i="111"/>
  <c r="N27" i="111"/>
  <c r="M27" i="111"/>
  <c r="L27" i="111" s="1"/>
  <c r="K27" i="111" s="1"/>
  <c r="J27" i="111" s="1"/>
  <c r="I27" i="111" s="1"/>
  <c r="G27" i="111" s="1"/>
  <c r="F27" i="111" s="1"/>
  <c r="E27" i="111" s="1"/>
  <c r="D27" i="111"/>
  <c r="C27" i="111"/>
  <c r="B27" i="111"/>
  <c r="AB26" i="111"/>
  <c r="AA26" i="111" s="1"/>
  <c r="Z26" i="111" s="1"/>
  <c r="Y26" i="111" s="1"/>
  <c r="X26" i="111"/>
  <c r="W26" i="111" s="1"/>
  <c r="V26" i="111" s="1"/>
  <c r="T26" i="111"/>
  <c r="S26" i="111" s="1"/>
  <c r="R26" i="111" s="1"/>
  <c r="Q26" i="111"/>
  <c r="P26" i="111" s="1"/>
  <c r="O26" i="111" s="1"/>
  <c r="N26" i="111"/>
  <c r="M26" i="111" s="1"/>
  <c r="L26" i="111" s="1"/>
  <c r="K26" i="111" s="1"/>
  <c r="J26" i="111" s="1"/>
  <c r="I26" i="111" s="1"/>
  <c r="G26" i="111" s="1"/>
  <c r="F26" i="111" s="1"/>
  <c r="E26" i="111" s="1"/>
  <c r="D26" i="111"/>
  <c r="C26" i="111" s="1"/>
  <c r="B26" i="111"/>
  <c r="X25" i="111"/>
  <c r="W25" i="111" s="1"/>
  <c r="V25" i="111" s="1"/>
  <c r="Q25" i="111"/>
  <c r="P25" i="111" s="1"/>
  <c r="O25" i="111" s="1"/>
  <c r="N25" i="111"/>
  <c r="M25" i="111" s="1"/>
  <c r="L25" i="111"/>
  <c r="K25" i="111" s="1"/>
  <c r="J25" i="111" s="1"/>
  <c r="I25" i="111" s="1"/>
  <c r="G25" i="111" s="1"/>
  <c r="F25" i="111" s="1"/>
  <c r="E25" i="111"/>
  <c r="D25" i="111" s="1"/>
  <c r="C25" i="111" s="1"/>
  <c r="B25" i="111"/>
  <c r="X24" i="111"/>
  <c r="W24" i="111" s="1"/>
  <c r="V24" i="111" s="1"/>
  <c r="Q24" i="111"/>
  <c r="P24" i="111" s="1"/>
  <c r="O24" i="111"/>
  <c r="N24" i="111" s="1"/>
  <c r="M24" i="111"/>
  <c r="L24" i="111" s="1"/>
  <c r="K24" i="111"/>
  <c r="J24" i="111" s="1"/>
  <c r="I24" i="111" s="1"/>
  <c r="G24" i="111" s="1"/>
  <c r="F24" i="111"/>
  <c r="E24" i="111" s="1"/>
  <c r="D24" i="111"/>
  <c r="C24" i="111"/>
  <c r="B24" i="111"/>
  <c r="X23" i="111"/>
  <c r="W23" i="111" s="1"/>
  <c r="V23" i="111" s="1"/>
  <c r="Q23" i="111"/>
  <c r="P23" i="111" s="1"/>
  <c r="O23" i="111" s="1"/>
  <c r="N23" i="111" s="1"/>
  <c r="M23" i="111"/>
  <c r="L23" i="111" s="1"/>
  <c r="K23" i="111" s="1"/>
  <c r="J23" i="111" s="1"/>
  <c r="I23" i="111" s="1"/>
  <c r="G23" i="111" s="1"/>
  <c r="F23" i="111" s="1"/>
  <c r="E23" i="111" s="1"/>
  <c r="D23" i="111"/>
  <c r="C23" i="111" s="1"/>
  <c r="B23" i="111"/>
  <c r="B63" i="111" s="1"/>
  <c r="X22" i="111"/>
  <c r="W22" i="111" s="1"/>
  <c r="Q22" i="111"/>
  <c r="P22" i="111"/>
  <c r="O22" i="111" s="1"/>
  <c r="N22" i="111"/>
  <c r="M22" i="111" s="1"/>
  <c r="L22" i="111" s="1"/>
  <c r="K22" i="111" s="1"/>
  <c r="J22" i="111" s="1"/>
  <c r="I22" i="111" s="1"/>
  <c r="G22" i="111" s="1"/>
  <c r="F22" i="111" s="1"/>
  <c r="E22" i="111" s="1"/>
  <c r="D22" i="111"/>
  <c r="C22" i="111"/>
  <c r="B22" i="111"/>
  <c r="X21" i="111"/>
  <c r="W21" i="111" s="1"/>
  <c r="V21" i="111" s="1"/>
  <c r="K21" i="111"/>
  <c r="J21" i="111" s="1"/>
  <c r="I21" i="111"/>
  <c r="G21" i="111" s="1"/>
  <c r="F21" i="111" s="1"/>
  <c r="E21" i="111" s="1"/>
  <c r="D21" i="111" s="1"/>
  <c r="C21" i="111" s="1"/>
  <c r="B21" i="111"/>
  <c r="AB20" i="111"/>
  <c r="AA20" i="111" s="1"/>
  <c r="Z20" i="111" s="1"/>
  <c r="Y20" i="111" s="1"/>
  <c r="X20" i="111"/>
  <c r="W20" i="111" s="1"/>
  <c r="V20" i="111" s="1"/>
  <c r="Q20" i="111"/>
  <c r="P20" i="111" s="1"/>
  <c r="O20" i="111" s="1"/>
  <c r="N20" i="111"/>
  <c r="M20" i="111" s="1"/>
  <c r="L20" i="111" s="1"/>
  <c r="K20" i="111" s="1"/>
  <c r="J20" i="111" s="1"/>
  <c r="I20" i="111" s="1"/>
  <c r="G20" i="111" s="1"/>
  <c r="F20" i="111" s="1"/>
  <c r="E20" i="111" s="1"/>
  <c r="D20" i="111"/>
  <c r="C20" i="111" s="1"/>
  <c r="B20" i="111"/>
  <c r="X19" i="111"/>
  <c r="W19" i="111" s="1"/>
  <c r="V19" i="111" s="1"/>
  <c r="Q19" i="111"/>
  <c r="P19" i="111"/>
  <c r="O19" i="111" s="1"/>
  <c r="N19" i="111"/>
  <c r="M19" i="111" s="1"/>
  <c r="L19" i="111"/>
  <c r="K19" i="111" s="1"/>
  <c r="J19" i="111" s="1"/>
  <c r="I19" i="111" s="1"/>
  <c r="G19" i="111" s="1"/>
  <c r="F19" i="111" s="1"/>
  <c r="E19" i="111"/>
  <c r="D19" i="111" s="1"/>
  <c r="C19" i="111"/>
  <c r="B19" i="111"/>
  <c r="X18" i="111"/>
  <c r="W18" i="111" s="1"/>
  <c r="V18" i="111" s="1"/>
  <c r="Q18" i="111"/>
  <c r="P18" i="111" s="1"/>
  <c r="O18" i="111"/>
  <c r="N18" i="111" s="1"/>
  <c r="M18" i="111"/>
  <c r="L18" i="111" s="1"/>
  <c r="K18" i="111" s="1"/>
  <c r="J18" i="111" s="1"/>
  <c r="I18" i="111" s="1"/>
  <c r="G18" i="111" s="1"/>
  <c r="F18" i="111" s="1"/>
  <c r="E18" i="111" s="1"/>
  <c r="D18" i="111" s="1"/>
  <c r="C18" i="111"/>
  <c r="B18" i="111"/>
  <c r="B98" i="111" s="1"/>
  <c r="X17" i="111"/>
  <c r="W17" i="111" s="1"/>
  <c r="V17" i="111" s="1"/>
  <c r="Q17" i="111"/>
  <c r="P17" i="111"/>
  <c r="O17" i="111" s="1"/>
  <c r="N17" i="111"/>
  <c r="M17" i="111" s="1"/>
  <c r="L17" i="111" s="1"/>
  <c r="K17" i="111" s="1"/>
  <c r="J17" i="111" s="1"/>
  <c r="I17" i="111" s="1"/>
  <c r="G17" i="111" s="1"/>
  <c r="F17" i="111" s="1"/>
  <c r="E17" i="111" s="1"/>
  <c r="E97" i="111" s="1"/>
  <c r="D17" i="111"/>
  <c r="C17" i="111" s="1"/>
  <c r="B17" i="111"/>
  <c r="X16" i="111"/>
  <c r="W16" i="111" s="1"/>
  <c r="V16" i="111" s="1"/>
  <c r="Q16" i="111"/>
  <c r="P16" i="111" s="1"/>
  <c r="P96" i="111" s="1"/>
  <c r="O16" i="111"/>
  <c r="N16" i="111" s="1"/>
  <c r="N96" i="111" s="1"/>
  <c r="J15" i="114" s="1"/>
  <c r="M16" i="111"/>
  <c r="L16" i="111" s="1"/>
  <c r="K16" i="111"/>
  <c r="J16" i="111" s="1"/>
  <c r="I16" i="111" s="1"/>
  <c r="G16" i="111" s="1"/>
  <c r="F16" i="111" s="1"/>
  <c r="E16" i="111"/>
  <c r="D16" i="111" s="1"/>
  <c r="C16" i="111" s="1"/>
  <c r="B16" i="111"/>
  <c r="X15" i="111"/>
  <c r="W15" i="111" s="1"/>
  <c r="V15" i="111" s="1"/>
  <c r="Q15" i="111"/>
  <c r="P15" i="111" s="1"/>
  <c r="O15" i="111" s="1"/>
  <c r="N15" i="111" s="1"/>
  <c r="M15" i="111"/>
  <c r="L15" i="111" s="1"/>
  <c r="K15" i="111"/>
  <c r="J15" i="111" s="1"/>
  <c r="I15" i="111" s="1"/>
  <c r="G15" i="111" s="1"/>
  <c r="F15" i="111" s="1"/>
  <c r="E15" i="111"/>
  <c r="E95" i="111" s="1"/>
  <c r="D15" i="111"/>
  <c r="C15" i="111" s="1"/>
  <c r="B15" i="111"/>
  <c r="X14" i="111"/>
  <c r="W14" i="111" s="1"/>
  <c r="V14" i="111" s="1"/>
  <c r="Q14" i="111"/>
  <c r="P14" i="111"/>
  <c r="O14" i="111"/>
  <c r="N14" i="111" s="1"/>
  <c r="M14" i="111" s="1"/>
  <c r="L14" i="111" s="1"/>
  <c r="K14" i="111" s="1"/>
  <c r="J14" i="111" s="1"/>
  <c r="I14" i="111" s="1"/>
  <c r="G14" i="111"/>
  <c r="F14" i="111" s="1"/>
  <c r="E14" i="111" s="1"/>
  <c r="D14" i="111" s="1"/>
  <c r="C14" i="111" s="1"/>
  <c r="B14" i="111"/>
  <c r="B13" i="112" s="1"/>
  <c r="A14" i="111"/>
  <c r="AB13" i="111" s="1"/>
  <c r="AA13" i="111" s="1"/>
  <c r="Z13" i="111" s="1"/>
  <c r="Y13" i="111" s="1"/>
  <c r="Y93" i="111" s="1"/>
  <c r="X13" i="111"/>
  <c r="W13" i="111" s="1"/>
  <c r="V13" i="111" s="1"/>
  <c r="Q13" i="111"/>
  <c r="P13" i="111" s="1"/>
  <c r="O13" i="111" s="1"/>
  <c r="N13" i="111" s="1"/>
  <c r="M13" i="111" s="1"/>
  <c r="L13" i="111" s="1"/>
  <c r="K13" i="111" s="1"/>
  <c r="J13" i="111" s="1"/>
  <c r="I13" i="111" s="1"/>
  <c r="G13" i="111" s="1"/>
  <c r="F13" i="111" s="1"/>
  <c r="E13" i="111" s="1"/>
  <c r="D13" i="111"/>
  <c r="C13" i="111" s="1"/>
  <c r="B13" i="111"/>
  <c r="B12" i="112" s="1"/>
  <c r="F8" i="111"/>
  <c r="F7" i="111"/>
  <c r="F87" i="111" s="1"/>
  <c r="C5" i="113" s="1"/>
  <c r="F6" i="111"/>
  <c r="A4" i="111"/>
  <c r="A84" i="111" s="1"/>
  <c r="L38" i="166"/>
  <c r="J38" i="166"/>
  <c r="H38" i="166"/>
  <c r="C38" i="166"/>
  <c r="K24" i="166"/>
  <c r="J24" i="166"/>
  <c r="E24" i="166"/>
  <c r="D24" i="166"/>
  <c r="L23" i="166"/>
  <c r="L22" i="166"/>
  <c r="L21" i="166"/>
  <c r="L20" i="166"/>
  <c r="L19" i="166"/>
  <c r="L18" i="166"/>
  <c r="L17" i="166"/>
  <c r="L16" i="166"/>
  <c r="L15" i="166"/>
  <c r="L14" i="166"/>
  <c r="L13" i="166"/>
  <c r="L12" i="166"/>
  <c r="L11" i="166"/>
  <c r="L10" i="166"/>
  <c r="L9" i="166"/>
  <c r="C6" i="166"/>
  <c r="C5" i="166"/>
  <c r="C4" i="166"/>
  <c r="C665" i="43"/>
  <c r="C608" i="43"/>
  <c r="B592" i="43"/>
  <c r="C551" i="43"/>
  <c r="B480" i="43"/>
  <c r="C384" i="43"/>
  <c r="B368" i="43"/>
  <c r="C323" i="43"/>
  <c r="C268" i="43"/>
  <c r="B250" i="43"/>
  <c r="B70" i="43"/>
  <c r="E60" i="43"/>
  <c r="E565" i="43" s="1"/>
  <c r="D60" i="43"/>
  <c r="D679" i="43" s="1"/>
  <c r="C60" i="43"/>
  <c r="C565" i="43" s="1"/>
  <c r="B60" i="43"/>
  <c r="B679" i="43" s="1"/>
  <c r="C44" i="43"/>
  <c r="C43" i="43"/>
  <c r="C42" i="43"/>
  <c r="A3" i="43"/>
  <c r="A587" i="43" s="1"/>
  <c r="A2" i="43"/>
  <c r="B27" i="71"/>
  <c r="B26" i="71"/>
  <c r="B25" i="71"/>
  <c r="B24" i="71"/>
  <c r="B23" i="71"/>
  <c r="B22" i="71"/>
  <c r="B21" i="71"/>
  <c r="B20" i="71"/>
  <c r="B19" i="71"/>
  <c r="B18" i="71"/>
  <c r="B17" i="71"/>
  <c r="B16" i="71"/>
  <c r="B15" i="71"/>
  <c r="B14" i="71"/>
  <c r="B13" i="71"/>
  <c r="B12" i="71"/>
  <c r="B7" i="71"/>
  <c r="B6" i="71"/>
  <c r="B5" i="71"/>
  <c r="A3" i="71"/>
  <c r="E30" i="67"/>
  <c r="D8" i="67"/>
  <c r="D7" i="67"/>
  <c r="D6" i="67"/>
  <c r="B4" i="67"/>
  <c r="G31" i="66"/>
  <c r="H31" i="66" s="1"/>
  <c r="G30" i="66"/>
  <c r="H30" i="66" s="1"/>
  <c r="F29" i="66"/>
  <c r="E29" i="66"/>
  <c r="D29" i="66"/>
  <c r="E24" i="66"/>
  <c r="D24" i="66"/>
  <c r="E17" i="66"/>
  <c r="D17" i="66"/>
  <c r="D8" i="66"/>
  <c r="D7" i="66"/>
  <c r="D6" i="66"/>
  <c r="G55" i="69"/>
  <c r="E51" i="66" s="1"/>
  <c r="F55" i="69"/>
  <c r="D51" i="66" s="1"/>
  <c r="G54" i="69"/>
  <c r="E50" i="66" s="1"/>
  <c r="F54" i="69"/>
  <c r="G53" i="69"/>
  <c r="F53" i="69"/>
  <c r="G52" i="69"/>
  <c r="F52" i="69"/>
  <c r="G51" i="69"/>
  <c r="F51" i="69"/>
  <c r="G50" i="69"/>
  <c r="F50" i="69"/>
  <c r="G49" i="69"/>
  <c r="F49" i="69"/>
  <c r="G48" i="69"/>
  <c r="F48" i="69"/>
  <c r="D46" i="66" s="1"/>
  <c r="G47" i="69"/>
  <c r="E45" i="66" s="1"/>
  <c r="F47" i="69"/>
  <c r="G46" i="69"/>
  <c r="F46" i="69"/>
  <c r="G45" i="69"/>
  <c r="F45" i="69"/>
  <c r="G44" i="69"/>
  <c r="F44" i="69"/>
  <c r="H41" i="69"/>
  <c r="F41" i="66" s="1"/>
  <c r="G41" i="69"/>
  <c r="F41" i="69"/>
  <c r="F38" i="69"/>
  <c r="G35" i="69"/>
  <c r="E36" i="66" s="1"/>
  <c r="F35" i="69"/>
  <c r="G34" i="69"/>
  <c r="F34" i="69"/>
  <c r="G33" i="69"/>
  <c r="F33" i="69"/>
  <c r="G27" i="69"/>
  <c r="F27" i="69"/>
  <c r="G24" i="69"/>
  <c r="F24" i="69"/>
  <c r="G23" i="69"/>
  <c r="F23" i="69"/>
  <c r="G22" i="69"/>
  <c r="F22" i="69"/>
  <c r="G21" i="69"/>
  <c r="E20" i="66" s="1"/>
  <c r="F21" i="69"/>
  <c r="G20" i="69"/>
  <c r="F20" i="69"/>
  <c r="G19" i="69"/>
  <c r="F19" i="69"/>
  <c r="G15" i="69"/>
  <c r="E16" i="66" s="1"/>
  <c r="F15" i="69"/>
  <c r="G14" i="69"/>
  <c r="F14" i="69"/>
  <c r="G13" i="69"/>
  <c r="F13" i="69"/>
  <c r="E7" i="69"/>
  <c r="E6" i="69"/>
  <c r="E5" i="69"/>
  <c r="V96" i="156" l="1"/>
  <c r="V100" i="156"/>
  <c r="C103" i="111"/>
  <c r="G104" i="111"/>
  <c r="V107" i="111"/>
  <c r="V95" i="111"/>
  <c r="V22" i="111"/>
  <c r="N107" i="111"/>
  <c r="Q94" i="111"/>
  <c r="Q97" i="111"/>
  <c r="J101" i="111"/>
  <c r="E108" i="111"/>
  <c r="M104" i="132"/>
  <c r="G93" i="156"/>
  <c r="N93" i="156"/>
  <c r="V93" i="156"/>
  <c r="E94" i="156"/>
  <c r="Q94" i="156"/>
  <c r="C95" i="156"/>
  <c r="P98" i="156"/>
  <c r="C99" i="156"/>
  <c r="Q99" i="156"/>
  <c r="N100" i="156"/>
  <c r="V101" i="156"/>
  <c r="J104" i="156"/>
  <c r="F99" i="111"/>
  <c r="C102" i="111"/>
  <c r="B102" i="111" s="1"/>
  <c r="Q102" i="111"/>
  <c r="P102" i="111" s="1"/>
  <c r="C104" i="111"/>
  <c r="L104" i="111"/>
  <c r="K104" i="111" s="1"/>
  <c r="J104" i="111" s="1"/>
  <c r="O105" i="111"/>
  <c r="Q107" i="111"/>
  <c r="X61" i="111"/>
  <c r="W61" i="111" s="1"/>
  <c r="W70" i="111" s="1"/>
  <c r="Q106" i="132"/>
  <c r="Q107" i="132"/>
  <c r="N98" i="156"/>
  <c r="E101" i="156"/>
  <c r="C103" i="132"/>
  <c r="D22" i="134" s="1"/>
  <c r="F96" i="156"/>
  <c r="M100" i="156"/>
  <c r="N105" i="156"/>
  <c r="G98" i="156"/>
  <c r="E102" i="156"/>
  <c r="Y106" i="156"/>
  <c r="C97" i="156"/>
  <c r="P99" i="156"/>
  <c r="O99" i="156" s="1"/>
  <c r="E100" i="156"/>
  <c r="C105" i="156"/>
  <c r="P94" i="111"/>
  <c r="C95" i="111"/>
  <c r="F96" i="111"/>
  <c r="O97" i="111"/>
  <c r="K16" i="114" s="1"/>
  <c r="O100" i="111"/>
  <c r="K19" i="114" s="1"/>
  <c r="C101" i="111"/>
  <c r="E107" i="111"/>
  <c r="C108" i="111"/>
  <c r="C70" i="111"/>
  <c r="AB68" i="111" s="1"/>
  <c r="AA68" i="111" s="1"/>
  <c r="Z68" i="111" s="1"/>
  <c r="Y68" i="111" s="1"/>
  <c r="C102" i="132"/>
  <c r="C22" i="136" s="1"/>
  <c r="E103" i="132"/>
  <c r="F104" i="132"/>
  <c r="O106" i="132"/>
  <c r="C107" i="132"/>
  <c r="O107" i="132"/>
  <c r="C108" i="132"/>
  <c r="L98" i="156"/>
  <c r="G99" i="156"/>
  <c r="G102" i="156"/>
  <c r="C104" i="156"/>
  <c r="E41" i="66"/>
  <c r="L24" i="166"/>
  <c r="P98" i="111"/>
  <c r="O106" i="111"/>
  <c r="K25" i="114" s="1"/>
  <c r="E105" i="132"/>
  <c r="Q105" i="132"/>
  <c r="C93" i="156"/>
  <c r="F94" i="156"/>
  <c r="V94" i="156"/>
  <c r="N96" i="156"/>
  <c r="F100" i="156"/>
  <c r="C101" i="156"/>
  <c r="J102" i="156"/>
  <c r="M106" i="156"/>
  <c r="Q106" i="156"/>
  <c r="C107" i="156"/>
  <c r="D26" i="158" s="1"/>
  <c r="AH26" i="158" s="1"/>
  <c r="F107" i="156"/>
  <c r="E70" i="156"/>
  <c r="O70" i="156"/>
  <c r="E96" i="156"/>
  <c r="Q99" i="132"/>
  <c r="B97" i="156"/>
  <c r="F104" i="111"/>
  <c r="F16" i="69"/>
  <c r="D50" i="66"/>
  <c r="G29" i="66"/>
  <c r="E70" i="111"/>
  <c r="C104" i="132"/>
  <c r="D23" i="134" s="1"/>
  <c r="F95" i="156"/>
  <c r="C96" i="156"/>
  <c r="P96" i="156"/>
  <c r="X106" i="156"/>
  <c r="V30" i="111"/>
  <c r="A15" i="111"/>
  <c r="AB14" i="111" s="1"/>
  <c r="AA14" i="111" s="1"/>
  <c r="Z14" i="111" s="1"/>
  <c r="Y14" i="111" s="1"/>
  <c r="L95" i="111"/>
  <c r="Q99" i="111"/>
  <c r="O102" i="111"/>
  <c r="K21" i="114" s="1"/>
  <c r="M105" i="111"/>
  <c r="C106" i="111"/>
  <c r="V108" i="111"/>
  <c r="V70" i="111"/>
  <c r="Q104" i="132"/>
  <c r="F30" i="156"/>
  <c r="C94" i="156"/>
  <c r="D13" i="158" s="1"/>
  <c r="N94" i="156"/>
  <c r="A55" i="156"/>
  <c r="AB54" i="156" s="1"/>
  <c r="L95" i="156"/>
  <c r="G97" i="156"/>
  <c r="O97" i="156"/>
  <c r="C100" i="156"/>
  <c r="L100" i="156"/>
  <c r="N103" i="156"/>
  <c r="G105" i="156"/>
  <c r="F105" i="156" s="1"/>
  <c r="C70" i="156"/>
  <c r="AB68" i="156" s="1"/>
  <c r="AA68" i="156" s="1"/>
  <c r="Z68" i="156" s="1"/>
  <c r="Y68" i="156" s="1"/>
  <c r="M70" i="156"/>
  <c r="F25" i="69"/>
  <c r="C30" i="111"/>
  <c r="AB28" i="111" s="1"/>
  <c r="AA28" i="111" s="1"/>
  <c r="Z28" i="111" s="1"/>
  <c r="Y28" i="111" s="1"/>
  <c r="Y108" i="111" s="1"/>
  <c r="M99" i="111"/>
  <c r="N103" i="111"/>
  <c r="N104" i="111"/>
  <c r="U65" i="111"/>
  <c r="T65" i="111" s="1"/>
  <c r="S65" i="111" s="1"/>
  <c r="R65" i="111" s="1"/>
  <c r="U67" i="111"/>
  <c r="T67" i="111" s="1"/>
  <c r="S67" i="111" s="1"/>
  <c r="R67" i="111" s="1"/>
  <c r="E108" i="132"/>
  <c r="Q98" i="156"/>
  <c r="G101" i="156"/>
  <c r="J103" i="156"/>
  <c r="V105" i="156"/>
  <c r="L106" i="156"/>
  <c r="E107" i="156"/>
  <c r="Q107" i="156"/>
  <c r="F70" i="156"/>
  <c r="I41" i="69"/>
  <c r="Q11" i="88" s="1"/>
  <c r="H29" i="66"/>
  <c r="K11" i="90"/>
  <c r="E93" i="111"/>
  <c r="C94" i="111"/>
  <c r="B94" i="111" s="1"/>
  <c r="V94" i="111"/>
  <c r="F95" i="111"/>
  <c r="C97" i="111"/>
  <c r="C99" i="111"/>
  <c r="O99" i="111"/>
  <c r="C100" i="111"/>
  <c r="B100" i="111" s="1"/>
  <c r="V101" i="111"/>
  <c r="E102" i="111"/>
  <c r="E104" i="111"/>
  <c r="P104" i="111"/>
  <c r="C107" i="111"/>
  <c r="O107" i="111"/>
  <c r="K26" i="114" s="1"/>
  <c r="J26" i="114" s="1"/>
  <c r="L70" i="111"/>
  <c r="C99" i="132"/>
  <c r="E104" i="132"/>
  <c r="C105" i="132"/>
  <c r="C25" i="136" s="1"/>
  <c r="F108" i="132"/>
  <c r="P93" i="156"/>
  <c r="L94" i="156"/>
  <c r="Y94" i="156"/>
  <c r="J95" i="156"/>
  <c r="N97" i="156"/>
  <c r="F99" i="156"/>
  <c r="N99" i="156"/>
  <c r="M99" i="156" s="1"/>
  <c r="M101" i="156"/>
  <c r="L101" i="156" s="1"/>
  <c r="L103" i="156"/>
  <c r="V104" i="156"/>
  <c r="V107" i="156"/>
  <c r="J108" i="156"/>
  <c r="V108" i="156"/>
  <c r="G70" i="156"/>
  <c r="G25" i="69"/>
  <c r="Q100" i="132"/>
  <c r="Q95" i="132"/>
  <c r="Q15" i="136" s="1"/>
  <c r="C101" i="132"/>
  <c r="D23" i="66"/>
  <c r="U17" i="111"/>
  <c r="T17" i="111" s="1"/>
  <c r="S17" i="111" s="1"/>
  <c r="R17" i="111" s="1"/>
  <c r="M104" i="111"/>
  <c r="B106" i="111"/>
  <c r="L99" i="156"/>
  <c r="K99" i="156" s="1"/>
  <c r="J99" i="156" s="1"/>
  <c r="I99" i="156" s="1"/>
  <c r="F102" i="156"/>
  <c r="B104" i="156"/>
  <c r="M105" i="156"/>
  <c r="L105" i="156" s="1"/>
  <c r="AB106" i="156"/>
  <c r="U27" i="156"/>
  <c r="T27" i="156" s="1"/>
  <c r="S27" i="156" s="1"/>
  <c r="R27" i="156" s="1"/>
  <c r="R107" i="156" s="1"/>
  <c r="U66" i="156"/>
  <c r="T66" i="156" s="1"/>
  <c r="S66" i="156" s="1"/>
  <c r="R66" i="156" s="1"/>
  <c r="E21" i="66"/>
  <c r="D41" i="66"/>
  <c r="D47" i="66"/>
  <c r="P107" i="111"/>
  <c r="U59" i="111"/>
  <c r="T59" i="111" s="1"/>
  <c r="S59" i="111" s="1"/>
  <c r="R59" i="111" s="1"/>
  <c r="U65" i="132"/>
  <c r="T65" i="132" s="1"/>
  <c r="S65" i="132" s="1"/>
  <c r="R65" i="132" s="1"/>
  <c r="B93" i="156"/>
  <c r="B96" i="156"/>
  <c r="M96" i="156"/>
  <c r="O96" i="156"/>
  <c r="F97" i="156"/>
  <c r="B100" i="156"/>
  <c r="F101" i="156"/>
  <c r="U59" i="156"/>
  <c r="T59" i="156" s="1"/>
  <c r="S59" i="156" s="1"/>
  <c r="R59" i="156" s="1"/>
  <c r="U60" i="156"/>
  <c r="T60" i="156" s="1"/>
  <c r="S60" i="156" s="1"/>
  <c r="R60" i="156" s="1"/>
  <c r="U67" i="156"/>
  <c r="T67" i="156" s="1"/>
  <c r="V70" i="132"/>
  <c r="U62" i="132"/>
  <c r="T62" i="132" s="1"/>
  <c r="S62" i="132" s="1"/>
  <c r="R62" i="132" s="1"/>
  <c r="U60" i="132"/>
  <c r="T60" i="132" s="1"/>
  <c r="Y93" i="132"/>
  <c r="E48" i="66"/>
  <c r="E39" i="66"/>
  <c r="D16" i="66"/>
  <c r="D34" i="66"/>
  <c r="G16" i="69"/>
  <c r="D49" i="66"/>
  <c r="C93" i="111"/>
  <c r="D20" i="66"/>
  <c r="D21" i="66"/>
  <c r="D36" i="66"/>
  <c r="D45" i="66"/>
  <c r="D48" i="66"/>
  <c r="P97" i="111"/>
  <c r="N99" i="111"/>
  <c r="K18" i="114"/>
  <c r="N105" i="111"/>
  <c r="K24" i="114"/>
  <c r="C5" i="115"/>
  <c r="E6" i="110"/>
  <c r="E6" i="106"/>
  <c r="E6" i="103"/>
  <c r="E6" i="100"/>
  <c r="E6" i="98"/>
  <c r="E6" i="97"/>
  <c r="E6" i="96"/>
  <c r="E6" i="109"/>
  <c r="E6" i="108"/>
  <c r="E6" i="107"/>
  <c r="E6" i="105"/>
  <c r="E6" i="104"/>
  <c r="E6" i="102"/>
  <c r="E6" i="101"/>
  <c r="E6" i="99"/>
  <c r="E6" i="95"/>
  <c r="C5" i="112"/>
  <c r="C7" i="114"/>
  <c r="C7" i="115"/>
  <c r="E8" i="110"/>
  <c r="E61" i="110" s="1"/>
  <c r="E8" i="106"/>
  <c r="E61" i="106" s="1"/>
  <c r="E8" i="103"/>
  <c r="E61" i="103" s="1"/>
  <c r="E8" i="100"/>
  <c r="E61" i="100" s="1"/>
  <c r="E8" i="98"/>
  <c r="E61" i="98" s="1"/>
  <c r="E8" i="97"/>
  <c r="E61" i="97" s="1"/>
  <c r="E8" i="96"/>
  <c r="E61" i="96" s="1"/>
  <c r="E8" i="109"/>
  <c r="E61" i="109" s="1"/>
  <c r="E8" i="108"/>
  <c r="E61" i="108" s="1"/>
  <c r="E8" i="107"/>
  <c r="E61" i="107" s="1"/>
  <c r="E8" i="105"/>
  <c r="E61" i="105" s="1"/>
  <c r="E8" i="104"/>
  <c r="E61" i="104" s="1"/>
  <c r="E8" i="102"/>
  <c r="E61" i="102" s="1"/>
  <c r="E8" i="101"/>
  <c r="E61" i="101" s="1"/>
  <c r="E8" i="99"/>
  <c r="E61" i="99" s="1"/>
  <c r="E8" i="95"/>
  <c r="E61" i="95" s="1"/>
  <c r="C7" i="112"/>
  <c r="C6" i="112" s="1"/>
  <c r="B15" i="112"/>
  <c r="B16" i="112"/>
  <c r="A16" i="112" s="1"/>
  <c r="B18" i="112"/>
  <c r="B20" i="112"/>
  <c r="B25" i="112"/>
  <c r="B26" i="112"/>
  <c r="V52" i="108"/>
  <c r="V106" i="108" s="1"/>
  <c r="V52" i="106"/>
  <c r="V106" i="106" s="1"/>
  <c r="V52" i="105"/>
  <c r="V106" i="105" s="1"/>
  <c r="V52" i="102"/>
  <c r="V106" i="102" s="1"/>
  <c r="V52" i="101"/>
  <c r="V106" i="101" s="1"/>
  <c r="V52" i="100"/>
  <c r="V106" i="100" s="1"/>
  <c r="V52" i="99"/>
  <c r="V106" i="99" s="1"/>
  <c r="V52" i="98"/>
  <c r="V106" i="98" s="1"/>
  <c r="V52" i="96"/>
  <c r="V106" i="96" s="1"/>
  <c r="V52" i="110"/>
  <c r="V106" i="110" s="1"/>
  <c r="V52" i="109"/>
  <c r="V106" i="109" s="1"/>
  <c r="V52" i="107"/>
  <c r="V106" i="107" s="1"/>
  <c r="V52" i="104"/>
  <c r="V106" i="104" s="1"/>
  <c r="V52" i="103"/>
  <c r="V106" i="103" s="1"/>
  <c r="V52" i="97"/>
  <c r="V106" i="97" s="1"/>
  <c r="V52" i="95"/>
  <c r="V106" i="95" s="1"/>
  <c r="C5" i="138"/>
  <c r="A4" i="138" s="1"/>
  <c r="E6" i="131"/>
  <c r="E6" i="130"/>
  <c r="E6" i="129"/>
  <c r="E6" i="127"/>
  <c r="E6" i="128"/>
  <c r="E6" i="126"/>
  <c r="E6" i="125"/>
  <c r="E6" i="124"/>
  <c r="E6" i="123"/>
  <c r="E6" i="122"/>
  <c r="E6" i="121"/>
  <c r="E6" i="120"/>
  <c r="E6" i="119"/>
  <c r="E6" i="118"/>
  <c r="E6" i="117"/>
  <c r="E6" i="116"/>
  <c r="C4" i="135"/>
  <c r="C5" i="137"/>
  <c r="C5" i="133"/>
  <c r="F6" i="136"/>
  <c r="C7" i="138"/>
  <c r="C7" i="139" s="1"/>
  <c r="E8" i="131"/>
  <c r="E61" i="131" s="1"/>
  <c r="E8" i="130"/>
  <c r="E61" i="130" s="1"/>
  <c r="E8" i="129"/>
  <c r="E61" i="129" s="1"/>
  <c r="E8" i="127"/>
  <c r="E61" i="127" s="1"/>
  <c r="E8" i="126"/>
  <c r="E61" i="126" s="1"/>
  <c r="E8" i="125"/>
  <c r="E61" i="125" s="1"/>
  <c r="E8" i="128"/>
  <c r="E61" i="128" s="1"/>
  <c r="E8" i="124"/>
  <c r="E63" i="124" s="1"/>
  <c r="E8" i="123"/>
  <c r="E61" i="123" s="1"/>
  <c r="E8" i="122"/>
  <c r="E61" i="122" s="1"/>
  <c r="E8" i="121"/>
  <c r="E61" i="121" s="1"/>
  <c r="E8" i="120"/>
  <c r="E61" i="120" s="1"/>
  <c r="E8" i="119"/>
  <c r="E61" i="119" s="1"/>
  <c r="E8" i="118"/>
  <c r="E61" i="118" s="1"/>
  <c r="E8" i="117"/>
  <c r="E83" i="117" s="1"/>
  <c r="E8" i="116"/>
  <c r="E61" i="116" s="1"/>
  <c r="C6" i="135"/>
  <c r="C7" i="137"/>
  <c r="C7" i="133"/>
  <c r="F8" i="136"/>
  <c r="B13" i="135"/>
  <c r="B13" i="137"/>
  <c r="B13" i="133"/>
  <c r="B14" i="136"/>
  <c r="A15" i="132"/>
  <c r="B14" i="135"/>
  <c r="B14" i="137"/>
  <c r="B14" i="133"/>
  <c r="A14" i="133" s="1"/>
  <c r="B15" i="136"/>
  <c r="V15" i="132"/>
  <c r="W95" i="132"/>
  <c r="B15" i="135"/>
  <c r="B15" i="133"/>
  <c r="B16" i="136"/>
  <c r="A16" i="136" s="1"/>
  <c r="A17" i="136" s="1"/>
  <c r="B96" i="132"/>
  <c r="A96" i="132" s="1"/>
  <c r="B16" i="135"/>
  <c r="B16" i="137"/>
  <c r="B17" i="136"/>
  <c r="B17" i="135"/>
  <c r="B17" i="137"/>
  <c r="A17" i="137" s="1"/>
  <c r="B17" i="133"/>
  <c r="M18" i="132"/>
  <c r="L18" i="132" s="1"/>
  <c r="B18" i="137"/>
  <c r="B18" i="133"/>
  <c r="B19" i="136"/>
  <c r="B99" i="132"/>
  <c r="L19" i="132"/>
  <c r="M99" i="132"/>
  <c r="P99" i="132"/>
  <c r="B19" i="135"/>
  <c r="B19" i="137"/>
  <c r="B19" i="133"/>
  <c r="B20" i="136"/>
  <c r="B100" i="132"/>
  <c r="O20" i="132"/>
  <c r="P100" i="132"/>
  <c r="AA20" i="132"/>
  <c r="V21" i="132"/>
  <c r="V101" i="132" s="1"/>
  <c r="W101" i="132"/>
  <c r="G22" i="132"/>
  <c r="I102" i="132"/>
  <c r="B22" i="135"/>
  <c r="B22" i="133"/>
  <c r="B23" i="136"/>
  <c r="B103" i="132"/>
  <c r="J23" i="132"/>
  <c r="I23" i="132" s="1"/>
  <c r="K103" i="132"/>
  <c r="N23" i="132"/>
  <c r="N103" i="132" s="1"/>
  <c r="O103" i="132"/>
  <c r="V23" i="132"/>
  <c r="W103" i="132"/>
  <c r="C24" i="136"/>
  <c r="V24" i="132"/>
  <c r="W104" i="132"/>
  <c r="B105" i="132"/>
  <c r="D24" i="134"/>
  <c r="M25" i="132"/>
  <c r="M105" i="132" s="1"/>
  <c r="L105" i="132" s="1"/>
  <c r="N105" i="132"/>
  <c r="K26" i="132"/>
  <c r="J26" i="132" s="1"/>
  <c r="I26" i="132" s="1"/>
  <c r="G26" i="132" s="1"/>
  <c r="G106" i="132" s="1"/>
  <c r="L106" i="132"/>
  <c r="B26" i="135"/>
  <c r="B26" i="137"/>
  <c r="B26" i="133"/>
  <c r="B107" i="132"/>
  <c r="B27" i="136"/>
  <c r="D27" i="132"/>
  <c r="E107" i="132"/>
  <c r="M27" i="132"/>
  <c r="M107" i="132" s="1"/>
  <c r="N107" i="132"/>
  <c r="P107" i="132"/>
  <c r="W27" i="132"/>
  <c r="V27" i="132" s="1"/>
  <c r="X107" i="132"/>
  <c r="K28" i="132"/>
  <c r="L108" i="132"/>
  <c r="O28" i="132"/>
  <c r="O108" i="132" s="1"/>
  <c r="P108" i="132"/>
  <c r="V52" i="131"/>
  <c r="V106" i="131" s="1"/>
  <c r="V52" i="128"/>
  <c r="V106" i="128" s="1"/>
  <c r="V52" i="127"/>
  <c r="V106" i="127" s="1"/>
  <c r="V52" i="130"/>
  <c r="V106" i="130" s="1"/>
  <c r="V52" i="129"/>
  <c r="V106" i="129" s="1"/>
  <c r="V52" i="125"/>
  <c r="V196" i="125" s="1"/>
  <c r="V52" i="124"/>
  <c r="V257" i="124" s="1"/>
  <c r="V52" i="123"/>
  <c r="V171" i="123" s="1"/>
  <c r="V52" i="122"/>
  <c r="V165" i="122" s="1"/>
  <c r="V52" i="121"/>
  <c r="V224" i="121" s="1"/>
  <c r="V52" i="120"/>
  <c r="V185" i="120" s="1"/>
  <c r="V52" i="119"/>
  <c r="V161" i="119" s="1"/>
  <c r="V52" i="118"/>
  <c r="V219" i="118" s="1"/>
  <c r="V74" i="117"/>
  <c r="V52" i="116"/>
  <c r="V240" i="116" s="1"/>
  <c r="H38" i="137"/>
  <c r="H38" i="133"/>
  <c r="T39" i="136"/>
  <c r="T119" i="132"/>
  <c r="F93" i="156"/>
  <c r="D44" i="66"/>
  <c r="C108" i="43"/>
  <c r="E108" i="43"/>
  <c r="A187" i="43"/>
  <c r="A246" i="43"/>
  <c r="B282" i="43"/>
  <c r="A301" i="43"/>
  <c r="E282" i="43" s="1"/>
  <c r="A362" i="43"/>
  <c r="A417" i="43"/>
  <c r="B453" i="43"/>
  <c r="D453" i="43"/>
  <c r="A474" i="43"/>
  <c r="B510" i="43"/>
  <c r="E510" i="43"/>
  <c r="D510" i="43" s="1"/>
  <c r="A530" i="43"/>
  <c r="B565" i="43"/>
  <c r="D565" i="43"/>
  <c r="A586" i="43"/>
  <c r="C622" i="43"/>
  <c r="E622" i="43"/>
  <c r="A644" i="43"/>
  <c r="C679" i="43"/>
  <c r="E679" i="43"/>
  <c r="U13" i="111"/>
  <c r="T13" i="111" s="1"/>
  <c r="U14" i="111"/>
  <c r="T14" i="111" s="1"/>
  <c r="S14" i="111" s="1"/>
  <c r="R14" i="111" s="1"/>
  <c r="U15" i="111"/>
  <c r="T15" i="111" s="1"/>
  <c r="S15" i="111" s="1"/>
  <c r="U16" i="111"/>
  <c r="T16" i="111" s="1"/>
  <c r="S16" i="111" s="1"/>
  <c r="R16" i="111" s="1"/>
  <c r="U18" i="111"/>
  <c r="T18" i="111" s="1"/>
  <c r="S18" i="111" s="1"/>
  <c r="U25" i="111"/>
  <c r="T25" i="111" s="1"/>
  <c r="U27" i="111"/>
  <c r="T27" i="111" s="1"/>
  <c r="S27" i="111" s="1"/>
  <c r="E30" i="111"/>
  <c r="G30" i="111"/>
  <c r="I30" i="111"/>
  <c r="K30" i="111"/>
  <c r="W30" i="111"/>
  <c r="F46" i="111"/>
  <c r="A44" i="111" s="1"/>
  <c r="F48" i="111"/>
  <c r="B54" i="111"/>
  <c r="B55" i="111"/>
  <c r="A55" i="111" s="1"/>
  <c r="AB54" i="111" s="1"/>
  <c r="AA54" i="111" s="1"/>
  <c r="Z54" i="111" s="1"/>
  <c r="Y54" i="111" s="1"/>
  <c r="U55" i="111"/>
  <c r="T55" i="111" s="1"/>
  <c r="S55" i="111" s="1"/>
  <c r="R55" i="111" s="1"/>
  <c r="B56" i="111"/>
  <c r="U56" i="111"/>
  <c r="T56" i="111" s="1"/>
  <c r="S56" i="111" s="1"/>
  <c r="R56" i="111" s="1"/>
  <c r="B57" i="111"/>
  <c r="U58" i="111"/>
  <c r="T58" i="111" s="1"/>
  <c r="S58" i="111" s="1"/>
  <c r="R58" i="111" s="1"/>
  <c r="B59" i="111"/>
  <c r="U60" i="111"/>
  <c r="T60" i="111" s="1"/>
  <c r="S60" i="111" s="1"/>
  <c r="R60" i="111" s="1"/>
  <c r="U62" i="111"/>
  <c r="T62" i="111" s="1"/>
  <c r="S62" i="111" s="1"/>
  <c r="R62" i="111" s="1"/>
  <c r="F70" i="111"/>
  <c r="J70" i="111"/>
  <c r="N70" i="111"/>
  <c r="P70" i="111"/>
  <c r="T79" i="111"/>
  <c r="B93" i="111"/>
  <c r="F93" i="111"/>
  <c r="I93" i="111"/>
  <c r="K93" i="111"/>
  <c r="M93" i="111"/>
  <c r="O93" i="111"/>
  <c r="Q93" i="111"/>
  <c r="V93" i="111"/>
  <c r="X93" i="111"/>
  <c r="Z93" i="111"/>
  <c r="AB93" i="111"/>
  <c r="F94" i="111"/>
  <c r="K94" i="111"/>
  <c r="M94" i="111"/>
  <c r="O94" i="111"/>
  <c r="K13" i="114" s="1"/>
  <c r="X94" i="111"/>
  <c r="B95" i="111"/>
  <c r="A95" i="111" s="1"/>
  <c r="G95" i="111"/>
  <c r="J95" i="111"/>
  <c r="O95" i="111"/>
  <c r="E96" i="111"/>
  <c r="C96" i="111" s="1"/>
  <c r="B96" i="111" s="1"/>
  <c r="A96" i="111" s="1"/>
  <c r="G96" i="111"/>
  <c r="K96" i="111"/>
  <c r="B97" i="111"/>
  <c r="G97" i="111"/>
  <c r="K97" i="111"/>
  <c r="J97" i="111" s="1"/>
  <c r="M97" i="111"/>
  <c r="K98" i="111"/>
  <c r="J98" i="111" s="1"/>
  <c r="I98" i="111" s="1"/>
  <c r="O98" i="111"/>
  <c r="Q98" i="111"/>
  <c r="B99" i="111"/>
  <c r="E99" i="111"/>
  <c r="J99" i="111"/>
  <c r="I99" i="111" s="1"/>
  <c r="G99" i="111" s="1"/>
  <c r="L99" i="111"/>
  <c r="G100" i="111"/>
  <c r="K100" i="111"/>
  <c r="J100" i="111" s="1"/>
  <c r="N100" i="111"/>
  <c r="M100" i="111" s="1"/>
  <c r="P100" i="111"/>
  <c r="W100" i="111"/>
  <c r="V100" i="111" s="1"/>
  <c r="B101" i="111"/>
  <c r="E101" i="111"/>
  <c r="G101" i="111"/>
  <c r="F102" i="111"/>
  <c r="K102" i="111"/>
  <c r="J102" i="111" s="1"/>
  <c r="I102" i="111" s="1"/>
  <c r="M102" i="111"/>
  <c r="W102" i="111"/>
  <c r="G103" i="111"/>
  <c r="J103" i="111"/>
  <c r="L103" i="111"/>
  <c r="P103" i="111"/>
  <c r="W103" i="111"/>
  <c r="V103" i="111" s="1"/>
  <c r="O104" i="111"/>
  <c r="K23" i="114" s="1"/>
  <c r="Q104" i="111"/>
  <c r="E105" i="111"/>
  <c r="C105" i="111" s="1"/>
  <c r="B105" i="111" s="1"/>
  <c r="J105" i="111"/>
  <c r="I105" i="111" s="1"/>
  <c r="L105" i="111"/>
  <c r="W105" i="111"/>
  <c r="V105" i="111" s="1"/>
  <c r="F106" i="111"/>
  <c r="E106" i="111" s="1"/>
  <c r="I106" i="111"/>
  <c r="L106" i="111"/>
  <c r="N106" i="111"/>
  <c r="J25" i="114" s="1"/>
  <c r="Q106" i="111"/>
  <c r="P106" i="111" s="1"/>
  <c r="K107" i="111"/>
  <c r="J107" i="111" s="1"/>
  <c r="I107" i="111" s="1"/>
  <c r="G107" i="111" s="1"/>
  <c r="F107" i="111" s="1"/>
  <c r="M107" i="111"/>
  <c r="B108" i="111"/>
  <c r="K108" i="111"/>
  <c r="J108" i="111" s="1"/>
  <c r="M108" i="111"/>
  <c r="O108" i="111"/>
  <c r="Q108" i="111"/>
  <c r="T119" i="111"/>
  <c r="B54" i="132"/>
  <c r="U54" i="132"/>
  <c r="T54" i="132" s="1"/>
  <c r="S54" i="132" s="1"/>
  <c r="R54" i="132" s="1"/>
  <c r="U56" i="132"/>
  <c r="T56" i="132" s="1"/>
  <c r="S56" i="132" s="1"/>
  <c r="R56" i="132" s="1"/>
  <c r="B57" i="132"/>
  <c r="U57" i="132"/>
  <c r="T57" i="132" s="1"/>
  <c r="S57" i="132" s="1"/>
  <c r="R57" i="132" s="1"/>
  <c r="B59" i="132"/>
  <c r="U59" i="132"/>
  <c r="T59" i="132" s="1"/>
  <c r="S59" i="132" s="1"/>
  <c r="R59" i="132" s="1"/>
  <c r="B61" i="132"/>
  <c r="B63" i="132"/>
  <c r="B68" i="132"/>
  <c r="F86" i="132"/>
  <c r="F88" i="132"/>
  <c r="V93" i="132"/>
  <c r="X93" i="132"/>
  <c r="Z93" i="132"/>
  <c r="AB93" i="132"/>
  <c r="B94" i="132"/>
  <c r="B95" i="132"/>
  <c r="P95" i="132"/>
  <c r="Q97" i="132"/>
  <c r="O99" i="132"/>
  <c r="N99" i="132" s="1"/>
  <c r="A4" i="110"/>
  <c r="A57" i="110" s="1"/>
  <c r="A55" i="110" s="1"/>
  <c r="A4" i="106"/>
  <c r="A4" i="103"/>
  <c r="A4" i="100"/>
  <c r="A4" i="98"/>
  <c r="A4" i="97"/>
  <c r="A4" i="96"/>
  <c r="A4" i="109"/>
  <c r="A57" i="109" s="1"/>
  <c r="A55" i="109" s="1"/>
  <c r="A4" i="108"/>
  <c r="A4" i="107"/>
  <c r="A4" i="105"/>
  <c r="A4" i="104"/>
  <c r="A57" i="104" s="1"/>
  <c r="A55" i="104" s="1"/>
  <c r="A4" i="102"/>
  <c r="A4" i="101"/>
  <c r="A4" i="99"/>
  <c r="A4" i="95"/>
  <c r="A3" i="112"/>
  <c r="C6" i="115"/>
  <c r="C6" i="114"/>
  <c r="C5" i="114" s="1"/>
  <c r="E7" i="109"/>
  <c r="E7" i="108"/>
  <c r="E7" i="107"/>
  <c r="E7" i="105"/>
  <c r="E7" i="104"/>
  <c r="E7" i="102"/>
  <c r="E7" i="101"/>
  <c r="E7" i="99"/>
  <c r="E7" i="95"/>
  <c r="E7" i="110"/>
  <c r="E7" i="106"/>
  <c r="E7" i="103"/>
  <c r="E7" i="100"/>
  <c r="E7" i="98"/>
  <c r="E7" i="97"/>
  <c r="E7" i="96"/>
  <c r="B17" i="112"/>
  <c r="B19" i="112"/>
  <c r="B21" i="112"/>
  <c r="B22" i="112"/>
  <c r="B24" i="112"/>
  <c r="E52" i="110"/>
  <c r="E52" i="109"/>
  <c r="E52" i="107"/>
  <c r="E52" i="104"/>
  <c r="E52" i="103"/>
  <c r="E52" i="97"/>
  <c r="E52" i="95"/>
  <c r="E52" i="108"/>
  <c r="E52" i="106"/>
  <c r="E52" i="105"/>
  <c r="E52" i="102"/>
  <c r="E52" i="101"/>
  <c r="E52" i="100"/>
  <c r="E52" i="99"/>
  <c r="E52" i="98"/>
  <c r="E52" i="96"/>
  <c r="F38" i="112"/>
  <c r="A4" i="131"/>
  <c r="A4" i="130"/>
  <c r="A4" i="129"/>
  <c r="A57" i="129" s="1"/>
  <c r="A4" i="127"/>
  <c r="A4" i="128"/>
  <c r="A57" i="128" s="1"/>
  <c r="A4" i="126"/>
  <c r="A4" i="125"/>
  <c r="A4" i="124"/>
  <c r="A59" i="124" s="1"/>
  <c r="A57" i="124" s="1"/>
  <c r="A4" i="123"/>
  <c r="A4" i="122"/>
  <c r="A4" i="121"/>
  <c r="A4" i="120"/>
  <c r="A4" i="119"/>
  <c r="A57" i="119" s="1"/>
  <c r="A55" i="119" s="1"/>
  <c r="A4" i="118"/>
  <c r="A4" i="117"/>
  <c r="A4" i="116"/>
  <c r="A3" i="137"/>
  <c r="A3" i="133"/>
  <c r="A4" i="136"/>
  <c r="C6" i="138"/>
  <c r="E7" i="128"/>
  <c r="E7" i="126"/>
  <c r="E7" i="125"/>
  <c r="E7" i="131"/>
  <c r="E7" i="130"/>
  <c r="E7" i="129"/>
  <c r="E7" i="127"/>
  <c r="E7" i="124"/>
  <c r="E7" i="123"/>
  <c r="E7" i="122"/>
  <c r="E7" i="121"/>
  <c r="E7" i="120"/>
  <c r="E7" i="119"/>
  <c r="E7" i="118"/>
  <c r="E7" i="117"/>
  <c r="E7" i="116"/>
  <c r="C5" i="135"/>
  <c r="C6" i="137"/>
  <c r="C6" i="133"/>
  <c r="F7" i="136"/>
  <c r="B12" i="135"/>
  <c r="B12" i="137"/>
  <c r="B12" i="133"/>
  <c r="B13" i="136"/>
  <c r="O14" i="132"/>
  <c r="N14" i="132" s="1"/>
  <c r="M14" i="132" s="1"/>
  <c r="L14" i="132" s="1"/>
  <c r="P94" i="132"/>
  <c r="V14" i="132"/>
  <c r="W94" i="132"/>
  <c r="N15" i="132"/>
  <c r="M15" i="132" s="1"/>
  <c r="O95" i="132"/>
  <c r="Z15" i="132"/>
  <c r="K16" i="132"/>
  <c r="L96" i="132"/>
  <c r="V16" i="132"/>
  <c r="N17" i="132"/>
  <c r="O97" i="132"/>
  <c r="V17" i="132"/>
  <c r="V18" i="132"/>
  <c r="V98" i="132" s="1"/>
  <c r="W98" i="132"/>
  <c r="V19" i="132"/>
  <c r="V20" i="132"/>
  <c r="B20" i="135"/>
  <c r="B20" i="137"/>
  <c r="B20" i="133"/>
  <c r="B21" i="136"/>
  <c r="B101" i="132"/>
  <c r="N21" i="132"/>
  <c r="M21" i="132" s="1"/>
  <c r="B21" i="135"/>
  <c r="B21" i="137"/>
  <c r="B21" i="133"/>
  <c r="B102" i="132"/>
  <c r="B22" i="136"/>
  <c r="E22" i="132"/>
  <c r="F102" i="132"/>
  <c r="O22" i="132"/>
  <c r="P102" i="132"/>
  <c r="V22" i="132"/>
  <c r="V102" i="132" s="1"/>
  <c r="W102" i="132"/>
  <c r="L23" i="132"/>
  <c r="L103" i="132" s="1"/>
  <c r="M103" i="132"/>
  <c r="B23" i="135"/>
  <c r="B23" i="137"/>
  <c r="B24" i="136"/>
  <c r="B104" i="132"/>
  <c r="K24" i="132"/>
  <c r="L104" i="132"/>
  <c r="O24" i="132"/>
  <c r="O104" i="132" s="1"/>
  <c r="P104" i="132"/>
  <c r="B24" i="135"/>
  <c r="B24" i="137"/>
  <c r="B24" i="133"/>
  <c r="B25" i="136"/>
  <c r="J25" i="132"/>
  <c r="K105" i="132"/>
  <c r="O25" i="132"/>
  <c r="O105" i="132" s="1"/>
  <c r="P105" i="132"/>
  <c r="B25" i="137"/>
  <c r="B25" i="133"/>
  <c r="B26" i="136"/>
  <c r="B106" i="132"/>
  <c r="E26" i="132"/>
  <c r="E106" i="132" s="1"/>
  <c r="C106" i="132" s="1"/>
  <c r="F106" i="132"/>
  <c r="M26" i="132"/>
  <c r="M106" i="132" s="1"/>
  <c r="N106" i="132"/>
  <c r="P106" i="132"/>
  <c r="K27" i="132"/>
  <c r="L107" i="132"/>
  <c r="B27" i="135"/>
  <c r="B27" i="137"/>
  <c r="B27" i="133"/>
  <c r="B108" i="132"/>
  <c r="B28" i="136"/>
  <c r="M28" i="132"/>
  <c r="M108" i="132" s="1"/>
  <c r="N108" i="132"/>
  <c r="W28" i="132"/>
  <c r="V28" i="132" s="1"/>
  <c r="V108" i="132" s="1"/>
  <c r="X108" i="132"/>
  <c r="E52" i="130"/>
  <c r="E52" i="129"/>
  <c r="E52" i="126"/>
  <c r="E52" i="125"/>
  <c r="E52" i="131"/>
  <c r="E52" i="128"/>
  <c r="E52" i="127"/>
  <c r="E52" i="124"/>
  <c r="E52" i="123"/>
  <c r="E52" i="122"/>
  <c r="E52" i="121"/>
  <c r="E52" i="120"/>
  <c r="E52" i="119"/>
  <c r="E52" i="118"/>
  <c r="E52" i="116"/>
  <c r="F38" i="133"/>
  <c r="F38" i="137"/>
  <c r="G39" i="136"/>
  <c r="G119" i="132"/>
  <c r="J93" i="156"/>
  <c r="B94" i="156"/>
  <c r="C21" i="158"/>
  <c r="N21" i="158" s="1"/>
  <c r="AH21" i="158"/>
  <c r="Q21" i="158"/>
  <c r="U21" i="158"/>
  <c r="R21" i="158"/>
  <c r="P21" i="158"/>
  <c r="C26" i="158"/>
  <c r="B26" i="158" s="1"/>
  <c r="A65" i="43"/>
  <c r="B108" i="43"/>
  <c r="D108" i="43"/>
  <c r="A127" i="43"/>
  <c r="A126" i="43" s="1"/>
  <c r="A188" i="43"/>
  <c r="A245" i="43"/>
  <c r="D282" i="43"/>
  <c r="C282" i="43" s="1"/>
  <c r="A302" i="43"/>
  <c r="A363" i="43"/>
  <c r="A418" i="43"/>
  <c r="C453" i="43"/>
  <c r="E453" i="43"/>
  <c r="A475" i="43"/>
  <c r="C510" i="43"/>
  <c r="A529" i="43"/>
  <c r="B622" i="43"/>
  <c r="D622" i="43"/>
  <c r="A643" i="43"/>
  <c r="U19" i="111"/>
  <c r="T19" i="111" s="1"/>
  <c r="S19" i="111" s="1"/>
  <c r="U20" i="111"/>
  <c r="T20" i="111" s="1"/>
  <c r="S20" i="111" s="1"/>
  <c r="R20" i="111" s="1"/>
  <c r="U22" i="111"/>
  <c r="T22" i="111" s="1"/>
  <c r="S22" i="111" s="1"/>
  <c r="U23" i="111"/>
  <c r="T23" i="111" s="1"/>
  <c r="S23" i="111" s="1"/>
  <c r="U24" i="111"/>
  <c r="T24" i="111" s="1"/>
  <c r="S24" i="111" s="1"/>
  <c r="U26" i="111"/>
  <c r="U28" i="111"/>
  <c r="T28" i="111" s="1"/>
  <c r="F30" i="111"/>
  <c r="J30" i="111"/>
  <c r="X30" i="111"/>
  <c r="F47" i="111"/>
  <c r="B53" i="111"/>
  <c r="U53" i="111"/>
  <c r="T53" i="111" s="1"/>
  <c r="U54" i="111"/>
  <c r="T54" i="111" s="1"/>
  <c r="S54" i="111" s="1"/>
  <c r="R54" i="111" s="1"/>
  <c r="U57" i="111"/>
  <c r="T57" i="111" s="1"/>
  <c r="S57" i="111" s="1"/>
  <c r="R57" i="111" s="1"/>
  <c r="B58" i="111"/>
  <c r="B60" i="111"/>
  <c r="B61" i="111"/>
  <c r="U61" i="111"/>
  <c r="T61" i="111" s="1"/>
  <c r="S61" i="111" s="1"/>
  <c r="R61" i="111" s="1"/>
  <c r="B62" i="111"/>
  <c r="U63" i="111"/>
  <c r="T63" i="111" s="1"/>
  <c r="S63" i="111" s="1"/>
  <c r="R63" i="111" s="1"/>
  <c r="B64" i="111"/>
  <c r="U64" i="111"/>
  <c r="T64" i="111" s="1"/>
  <c r="S64" i="111" s="1"/>
  <c r="R64" i="111" s="1"/>
  <c r="B65" i="111"/>
  <c r="B66" i="111"/>
  <c r="U66" i="111"/>
  <c r="T66" i="111" s="1"/>
  <c r="S66" i="111" s="1"/>
  <c r="R66" i="111" s="1"/>
  <c r="B67" i="111"/>
  <c r="B68" i="111"/>
  <c r="U68" i="111"/>
  <c r="T68" i="111" s="1"/>
  <c r="S68" i="111" s="1"/>
  <c r="R68" i="111" s="1"/>
  <c r="R108" i="111" s="1"/>
  <c r="G70" i="111"/>
  <c r="I70" i="111"/>
  <c r="K70" i="111"/>
  <c r="M70" i="111"/>
  <c r="O70" i="111"/>
  <c r="Q70" i="111"/>
  <c r="G79" i="111"/>
  <c r="F86" i="111"/>
  <c r="F88" i="111"/>
  <c r="G93" i="111"/>
  <c r="J93" i="111"/>
  <c r="L93" i="111"/>
  <c r="N93" i="111"/>
  <c r="P93" i="111"/>
  <c r="W93" i="111"/>
  <c r="AA93" i="111"/>
  <c r="E94" i="111"/>
  <c r="J94" i="111"/>
  <c r="I94" i="111" s="1"/>
  <c r="G94" i="111" s="1"/>
  <c r="L94" i="111"/>
  <c r="N94" i="111"/>
  <c r="W94" i="111"/>
  <c r="I95" i="111"/>
  <c r="K95" i="111"/>
  <c r="M95" i="111"/>
  <c r="Q95" i="111"/>
  <c r="P95" i="111" s="1"/>
  <c r="J96" i="111"/>
  <c r="I96" i="111" s="1"/>
  <c r="M96" i="111"/>
  <c r="L96" i="111" s="1"/>
  <c r="I15" i="114" s="1"/>
  <c r="O96" i="111"/>
  <c r="K15" i="114" s="1"/>
  <c r="Q96" i="111"/>
  <c r="W96" i="111"/>
  <c r="V96" i="111" s="1"/>
  <c r="F97" i="111"/>
  <c r="I97" i="111"/>
  <c r="L97" i="111"/>
  <c r="N97" i="111"/>
  <c r="J16" i="114" s="1"/>
  <c r="W97" i="111"/>
  <c r="V97" i="111" s="1"/>
  <c r="G98" i="111"/>
  <c r="F98" i="111" s="1"/>
  <c r="E98" i="111" s="1"/>
  <c r="C98" i="111" s="1"/>
  <c r="M98" i="111"/>
  <c r="L98" i="111" s="1"/>
  <c r="K99" i="111"/>
  <c r="P99" i="111"/>
  <c r="F100" i="111"/>
  <c r="E100" i="111" s="1"/>
  <c r="I100" i="111"/>
  <c r="F19" i="114" s="1"/>
  <c r="L100" i="111"/>
  <c r="Q100" i="111"/>
  <c r="F101" i="111"/>
  <c r="I101" i="111"/>
  <c r="K101" i="111"/>
  <c r="G102" i="111"/>
  <c r="L102" i="111"/>
  <c r="N102" i="111"/>
  <c r="J21" i="114" s="1"/>
  <c r="B103" i="111"/>
  <c r="F103" i="111"/>
  <c r="E103" i="111" s="1"/>
  <c r="I103" i="111"/>
  <c r="K103" i="111"/>
  <c r="M103" i="111"/>
  <c r="O103" i="111"/>
  <c r="K22" i="114" s="1"/>
  <c r="J22" i="114" s="1"/>
  <c r="Q103" i="111"/>
  <c r="B104" i="111"/>
  <c r="I104" i="111"/>
  <c r="G105" i="111"/>
  <c r="F105" i="111" s="1"/>
  <c r="K105" i="111"/>
  <c r="Q105" i="111"/>
  <c r="P105" i="111" s="1"/>
  <c r="G106" i="111"/>
  <c r="K106" i="111"/>
  <c r="J106" i="111" s="1"/>
  <c r="M106" i="111"/>
  <c r="B107" i="111"/>
  <c r="L107" i="111"/>
  <c r="I26" i="114" s="1"/>
  <c r="I108" i="111"/>
  <c r="L108" i="111"/>
  <c r="N108" i="111"/>
  <c r="P108" i="111"/>
  <c r="X108" i="111"/>
  <c r="W108" i="111" s="1"/>
  <c r="G119" i="111"/>
  <c r="X30" i="132"/>
  <c r="F46" i="132"/>
  <c r="F48" i="132"/>
  <c r="B55" i="132"/>
  <c r="A55" i="132" s="1"/>
  <c r="AB54" i="132" s="1"/>
  <c r="AA54" i="132" s="1"/>
  <c r="Z54" i="132" s="1"/>
  <c r="Y54" i="132" s="1"/>
  <c r="U55" i="132"/>
  <c r="T55" i="132" s="1"/>
  <c r="S55" i="132" s="1"/>
  <c r="R55" i="132" s="1"/>
  <c r="B56" i="132"/>
  <c r="B58" i="132"/>
  <c r="B60" i="132"/>
  <c r="U63" i="132"/>
  <c r="T63" i="132" s="1"/>
  <c r="S63" i="132" s="1"/>
  <c r="R63" i="132" s="1"/>
  <c r="U64" i="132"/>
  <c r="T64" i="132" s="1"/>
  <c r="S64" i="132" s="1"/>
  <c r="R64" i="132" s="1"/>
  <c r="B65" i="132"/>
  <c r="B66" i="132"/>
  <c r="U66" i="132"/>
  <c r="T66" i="132" s="1"/>
  <c r="S66" i="132" s="1"/>
  <c r="R66" i="132" s="1"/>
  <c r="B67" i="132"/>
  <c r="U67" i="132"/>
  <c r="T67" i="132" s="1"/>
  <c r="S67" i="132" s="1"/>
  <c r="T79" i="132"/>
  <c r="A84" i="132"/>
  <c r="F87" i="132"/>
  <c r="C5" i="134" s="1"/>
  <c r="B93" i="132"/>
  <c r="W93" i="132"/>
  <c r="AA93" i="132"/>
  <c r="X94" i="132"/>
  <c r="B97" i="132"/>
  <c r="B98" i="132"/>
  <c r="A4" i="154"/>
  <c r="A4" i="153"/>
  <c r="A4" i="151"/>
  <c r="A57" i="151" s="1"/>
  <c r="A55" i="151" s="1"/>
  <c r="A4" i="146"/>
  <c r="A4" i="144"/>
  <c r="A57" i="144" s="1"/>
  <c r="A55" i="144" s="1"/>
  <c r="A4" i="143"/>
  <c r="A4" i="141"/>
  <c r="A4" i="155"/>
  <c r="A4" i="150"/>
  <c r="A4" i="149"/>
  <c r="A4" i="148"/>
  <c r="A4" i="147"/>
  <c r="A57" i="147" s="1"/>
  <c r="A55" i="147" s="1"/>
  <c r="A4" i="145"/>
  <c r="A4" i="142"/>
  <c r="A4" i="140"/>
  <c r="A4" i="152"/>
  <c r="A3" i="157"/>
  <c r="E7" i="150"/>
  <c r="E7" i="149"/>
  <c r="E7" i="148"/>
  <c r="E7" i="147"/>
  <c r="E7" i="145"/>
  <c r="E7" i="142"/>
  <c r="E7" i="140"/>
  <c r="E7" i="155"/>
  <c r="E6" i="155" s="1"/>
  <c r="E7" i="154"/>
  <c r="E7" i="153"/>
  <c r="E7" i="152"/>
  <c r="E7" i="146"/>
  <c r="E7" i="144"/>
  <c r="E7" i="143"/>
  <c r="E7" i="141"/>
  <c r="C6" i="157"/>
  <c r="B22" i="157"/>
  <c r="E52" i="152"/>
  <c r="E52" i="149"/>
  <c r="E52" i="148"/>
  <c r="E52" i="143"/>
  <c r="E52" i="140"/>
  <c r="E52" i="155"/>
  <c r="E52" i="154"/>
  <c r="E52" i="153"/>
  <c r="E106" i="153" s="1"/>
  <c r="E52" i="151"/>
  <c r="E52" i="150"/>
  <c r="E52" i="146"/>
  <c r="E52" i="145"/>
  <c r="E52" i="144"/>
  <c r="E52" i="142"/>
  <c r="E106" i="142" s="1"/>
  <c r="E52" i="141"/>
  <c r="F38" i="157"/>
  <c r="U13" i="156"/>
  <c r="T13" i="156" s="1"/>
  <c r="U14" i="156"/>
  <c r="T14" i="156" s="1"/>
  <c r="U18" i="156"/>
  <c r="T18" i="156" s="1"/>
  <c r="S18" i="156" s="1"/>
  <c r="R18" i="156" s="1"/>
  <c r="U21" i="156"/>
  <c r="T21" i="156" s="1"/>
  <c r="S21" i="156" s="1"/>
  <c r="R21" i="156" s="1"/>
  <c r="U26" i="156"/>
  <c r="T26" i="156" s="1"/>
  <c r="S26" i="156" s="1"/>
  <c r="R26" i="156" s="1"/>
  <c r="U28" i="156"/>
  <c r="T28" i="156" s="1"/>
  <c r="S28" i="156" s="1"/>
  <c r="C30" i="156"/>
  <c r="AB28" i="156" s="1"/>
  <c r="J30" i="156"/>
  <c r="V30" i="156"/>
  <c r="X30" i="156"/>
  <c r="F46" i="156"/>
  <c r="F48" i="156"/>
  <c r="U53" i="156"/>
  <c r="T53" i="156" s="1"/>
  <c r="B54" i="156"/>
  <c r="U55" i="156"/>
  <c r="T55" i="156" s="1"/>
  <c r="U56" i="156"/>
  <c r="T56" i="156" s="1"/>
  <c r="S56" i="156" s="1"/>
  <c r="R56" i="156" s="1"/>
  <c r="U58" i="156"/>
  <c r="T58" i="156" s="1"/>
  <c r="S58" i="156" s="1"/>
  <c r="R58" i="156" s="1"/>
  <c r="B61" i="156"/>
  <c r="B63" i="156"/>
  <c r="U63" i="156"/>
  <c r="U64" i="156"/>
  <c r="T64" i="156" s="1"/>
  <c r="S64" i="156" s="1"/>
  <c r="R64" i="156" s="1"/>
  <c r="B65" i="156"/>
  <c r="B67" i="156"/>
  <c r="B68" i="156"/>
  <c r="I70" i="156"/>
  <c r="K70" i="156"/>
  <c r="V70" i="156"/>
  <c r="X70" i="156"/>
  <c r="G79" i="156"/>
  <c r="E93" i="156"/>
  <c r="I93" i="156"/>
  <c r="M93" i="156"/>
  <c r="O93" i="156"/>
  <c r="Q93" i="156"/>
  <c r="Y93" i="156"/>
  <c r="AB93" i="156"/>
  <c r="I94" i="156"/>
  <c r="P94" i="156"/>
  <c r="W94" i="156"/>
  <c r="I95" i="156"/>
  <c r="K95" i="156"/>
  <c r="P95" i="156"/>
  <c r="O95" i="156" s="1"/>
  <c r="K96" i="156"/>
  <c r="Q96" i="156"/>
  <c r="W96" i="156"/>
  <c r="E97" i="156"/>
  <c r="I97" i="156"/>
  <c r="L97" i="156"/>
  <c r="F98" i="156"/>
  <c r="E98" i="156" s="1"/>
  <c r="C98" i="156" s="1"/>
  <c r="I98" i="156"/>
  <c r="W98" i="156"/>
  <c r="B99" i="156"/>
  <c r="E99" i="156"/>
  <c r="K100" i="156"/>
  <c r="J100" i="156" s="1"/>
  <c r="Q100" i="156"/>
  <c r="W100" i="156"/>
  <c r="E103" i="156"/>
  <c r="C103" i="156" s="1"/>
  <c r="B103" i="156" s="1"/>
  <c r="I104" i="156"/>
  <c r="K104" i="156"/>
  <c r="O104" i="156"/>
  <c r="B105" i="156"/>
  <c r="E105" i="156"/>
  <c r="I105" i="156"/>
  <c r="B106" i="156"/>
  <c r="I106" i="156"/>
  <c r="G106" i="156" s="1"/>
  <c r="F106" i="156" s="1"/>
  <c r="E106" i="156" s="1"/>
  <c r="K106" i="156"/>
  <c r="N106" i="156"/>
  <c r="O107" i="156"/>
  <c r="N107" i="156" s="1"/>
  <c r="M107" i="156" s="1"/>
  <c r="L107" i="156" s="1"/>
  <c r="K107" i="156" s="1"/>
  <c r="J107" i="156" s="1"/>
  <c r="F108" i="156"/>
  <c r="I108" i="156"/>
  <c r="L108" i="156"/>
  <c r="K108" i="156" s="1"/>
  <c r="W108" i="156"/>
  <c r="E6" i="154"/>
  <c r="E6" i="153"/>
  <c r="E6" i="152"/>
  <c r="E6" i="151"/>
  <c r="E6" i="146"/>
  <c r="E6" i="144"/>
  <c r="E6" i="143"/>
  <c r="E6" i="141"/>
  <c r="E6" i="150"/>
  <c r="E6" i="149"/>
  <c r="E6" i="148"/>
  <c r="E6" i="147"/>
  <c r="E6" i="145"/>
  <c r="E6" i="142"/>
  <c r="E6" i="140"/>
  <c r="C5" i="157"/>
  <c r="E8" i="155"/>
  <c r="E61" i="155" s="1"/>
  <c r="E8" i="154"/>
  <c r="E61" i="154" s="1"/>
  <c r="E8" i="153"/>
  <c r="E61" i="153" s="1"/>
  <c r="E8" i="152"/>
  <c r="E61" i="152" s="1"/>
  <c r="E8" i="146"/>
  <c r="E61" i="146" s="1"/>
  <c r="E8" i="144"/>
  <c r="E61" i="144" s="1"/>
  <c r="E8" i="143"/>
  <c r="E61" i="143" s="1"/>
  <c r="E8" i="141"/>
  <c r="E61" i="141" s="1"/>
  <c r="E8" i="151"/>
  <c r="E8" i="150"/>
  <c r="E61" i="150" s="1"/>
  <c r="E8" i="149"/>
  <c r="E61" i="149" s="1"/>
  <c r="E8" i="148"/>
  <c r="E61" i="148" s="1"/>
  <c r="E8" i="147"/>
  <c r="E61" i="147" s="1"/>
  <c r="E8" i="145"/>
  <c r="E61" i="145" s="1"/>
  <c r="E8" i="142"/>
  <c r="E61" i="142" s="1"/>
  <c r="E8" i="140"/>
  <c r="E61" i="140" s="1"/>
  <c r="C7" i="157"/>
  <c r="A15" i="156"/>
  <c r="AB14" i="156" s="1"/>
  <c r="B14" i="157"/>
  <c r="A14" i="157" s="1"/>
  <c r="A15" i="157" s="1"/>
  <c r="B15" i="157"/>
  <c r="B16" i="157"/>
  <c r="B19" i="157"/>
  <c r="B23" i="157"/>
  <c r="B26" i="157"/>
  <c r="V52" i="155"/>
  <c r="V106" i="155" s="1"/>
  <c r="V52" i="154"/>
  <c r="V106" i="154" s="1"/>
  <c r="V52" i="153"/>
  <c r="V106" i="153" s="1"/>
  <c r="V52" i="151"/>
  <c r="V106" i="151" s="1"/>
  <c r="V52" i="150"/>
  <c r="V106" i="150" s="1"/>
  <c r="V52" i="146"/>
  <c r="V106" i="146" s="1"/>
  <c r="V52" i="145"/>
  <c r="V106" i="145" s="1"/>
  <c r="V52" i="144"/>
  <c r="V106" i="144" s="1"/>
  <c r="V52" i="142"/>
  <c r="V106" i="142" s="1"/>
  <c r="V52" i="141"/>
  <c r="V106" i="141" s="1"/>
  <c r="V52" i="152"/>
  <c r="V106" i="152" s="1"/>
  <c r="V52" i="148"/>
  <c r="V106" i="148" s="1"/>
  <c r="V52" i="147"/>
  <c r="V52" i="143"/>
  <c r="V106" i="143" s="1"/>
  <c r="V52" i="140"/>
  <c r="V106" i="140" s="1"/>
  <c r="H38" i="157"/>
  <c r="AB5" i="135"/>
  <c r="AQ5" i="135"/>
  <c r="U15" i="156"/>
  <c r="T15" i="156" s="1"/>
  <c r="U16" i="156"/>
  <c r="T16" i="156" s="1"/>
  <c r="U17" i="156"/>
  <c r="T17" i="156" s="1"/>
  <c r="S17" i="156" s="1"/>
  <c r="R17" i="156" s="1"/>
  <c r="U19" i="156"/>
  <c r="T19" i="156" s="1"/>
  <c r="U20" i="156"/>
  <c r="T20" i="156" s="1"/>
  <c r="S20" i="156" s="1"/>
  <c r="U23" i="156"/>
  <c r="T23" i="156" s="1"/>
  <c r="S23" i="156" s="1"/>
  <c r="R23" i="156" s="1"/>
  <c r="E30" i="156"/>
  <c r="G30" i="156"/>
  <c r="I30" i="156"/>
  <c r="K30" i="156"/>
  <c r="W30" i="156"/>
  <c r="A44" i="156"/>
  <c r="F47" i="156"/>
  <c r="B53" i="156"/>
  <c r="U54" i="156"/>
  <c r="T54" i="156" s="1"/>
  <c r="S54" i="156" s="1"/>
  <c r="R54" i="156" s="1"/>
  <c r="B56" i="156"/>
  <c r="B57" i="156"/>
  <c r="U57" i="156"/>
  <c r="T57" i="156" s="1"/>
  <c r="S57" i="156" s="1"/>
  <c r="R57" i="156" s="1"/>
  <c r="B58" i="156"/>
  <c r="B59" i="156"/>
  <c r="B62" i="156"/>
  <c r="U62" i="156"/>
  <c r="T62" i="156" s="1"/>
  <c r="S62" i="156" s="1"/>
  <c r="R62" i="156" s="1"/>
  <c r="U65" i="156"/>
  <c r="T65" i="156" s="1"/>
  <c r="S65" i="156" s="1"/>
  <c r="R65" i="156" s="1"/>
  <c r="B66" i="156"/>
  <c r="J70" i="156"/>
  <c r="L70" i="156"/>
  <c r="N70" i="156"/>
  <c r="W70" i="156"/>
  <c r="T79" i="156"/>
  <c r="A84" i="156"/>
  <c r="F87" i="156"/>
  <c r="C5" i="158" s="1"/>
  <c r="W93" i="156"/>
  <c r="AA93" i="156"/>
  <c r="G94" i="156"/>
  <c r="K94" i="156"/>
  <c r="J94" i="156" s="1"/>
  <c r="M94" i="156"/>
  <c r="O94" i="156"/>
  <c r="X94" i="156"/>
  <c r="B95" i="156"/>
  <c r="A95" i="156" s="1"/>
  <c r="A96" i="156" s="1"/>
  <c r="A97" i="156" s="1"/>
  <c r="E95" i="156"/>
  <c r="G95" i="156"/>
  <c r="N95" i="156"/>
  <c r="J96" i="156"/>
  <c r="I96" i="156" s="1"/>
  <c r="G96" i="156" s="1"/>
  <c r="L96" i="156"/>
  <c r="K97" i="156"/>
  <c r="J97" i="156" s="1"/>
  <c r="Q97" i="156"/>
  <c r="V97" i="156"/>
  <c r="B98" i="156"/>
  <c r="K98" i="156"/>
  <c r="J98" i="156" s="1"/>
  <c r="M98" i="156"/>
  <c r="O98" i="156"/>
  <c r="V98" i="156"/>
  <c r="I100" i="156"/>
  <c r="G100" i="156" s="1"/>
  <c r="O100" i="156"/>
  <c r="B101" i="156"/>
  <c r="K101" i="156"/>
  <c r="J101" i="156" s="1"/>
  <c r="I101" i="156" s="1"/>
  <c r="B102" i="156"/>
  <c r="I102" i="156"/>
  <c r="V102" i="156"/>
  <c r="F103" i="156"/>
  <c r="I103" i="156"/>
  <c r="K103" i="156"/>
  <c r="M103" i="156"/>
  <c r="O103" i="156"/>
  <c r="G104" i="156"/>
  <c r="F104" i="156" s="1"/>
  <c r="E104" i="156" s="1"/>
  <c r="N104" i="156"/>
  <c r="M104" i="156" s="1"/>
  <c r="L104" i="156" s="1"/>
  <c r="P104" i="156"/>
  <c r="K105" i="156"/>
  <c r="J105" i="156" s="1"/>
  <c r="J106" i="156"/>
  <c r="P106" i="156"/>
  <c r="O106" i="156" s="1"/>
  <c r="W106" i="156"/>
  <c r="V106" i="156" s="1"/>
  <c r="AA106" i="156"/>
  <c r="Z106" i="156" s="1"/>
  <c r="I107" i="156"/>
  <c r="G107" i="156" s="1"/>
  <c r="E108" i="156"/>
  <c r="C108" i="156" s="1"/>
  <c r="G108" i="156"/>
  <c r="M108" i="156"/>
  <c r="X108" i="156"/>
  <c r="G119" i="156"/>
  <c r="V28" i="135"/>
  <c r="AE12" i="135"/>
  <c r="J28" i="135"/>
  <c r="D66" i="70"/>
  <c r="D65" i="70"/>
  <c r="D63" i="70"/>
  <c r="D62" i="70"/>
  <c r="D60" i="70"/>
  <c r="D59" i="70"/>
  <c r="D58" i="70"/>
  <c r="D57" i="70"/>
  <c r="D56" i="70"/>
  <c r="G28" i="70"/>
  <c r="G27" i="70"/>
  <c r="AR11" i="87" s="1"/>
  <c r="G26" i="70"/>
  <c r="G24" i="70"/>
  <c r="G22" i="70"/>
  <c r="G21" i="70"/>
  <c r="G20" i="70"/>
  <c r="G19" i="70"/>
  <c r="D7" i="70"/>
  <c r="D6" i="70"/>
  <c r="D5" i="70"/>
  <c r="G64" i="162"/>
  <c r="F64" i="162"/>
  <c r="G63" i="162"/>
  <c r="F63" i="162"/>
  <c r="G62" i="162"/>
  <c r="F62" i="162"/>
  <c r="G61" i="162"/>
  <c r="F61" i="162"/>
  <c r="G60" i="162"/>
  <c r="F60" i="162"/>
  <c r="G59" i="162"/>
  <c r="F59" i="162"/>
  <c r="G58" i="162"/>
  <c r="F58" i="162"/>
  <c r="G57" i="162"/>
  <c r="F57" i="162"/>
  <c r="G56" i="162"/>
  <c r="F56" i="162"/>
  <c r="G55" i="162"/>
  <c r="F55" i="162"/>
  <c r="G54" i="162"/>
  <c r="F54" i="162"/>
  <c r="G53" i="162"/>
  <c r="F53" i="162"/>
  <c r="G52" i="162"/>
  <c r="F52" i="162"/>
  <c r="G51" i="162"/>
  <c r="F51" i="162"/>
  <c r="G50" i="162"/>
  <c r="F50" i="162"/>
  <c r="G49" i="162"/>
  <c r="F49" i="162"/>
  <c r="G48" i="162"/>
  <c r="F48" i="162"/>
  <c r="G47" i="162"/>
  <c r="F47" i="162"/>
  <c r="I44" i="162"/>
  <c r="J44" i="162" s="1"/>
  <c r="G41" i="162"/>
  <c r="F41" i="162"/>
  <c r="G38" i="162"/>
  <c r="F38" i="162"/>
  <c r="G37" i="162"/>
  <c r="F37" i="162"/>
  <c r="G36" i="162"/>
  <c r="F36" i="162"/>
  <c r="G30" i="162"/>
  <c r="F30" i="162"/>
  <c r="G27" i="162"/>
  <c r="F27" i="162"/>
  <c r="G26" i="162"/>
  <c r="F26" i="162"/>
  <c r="G25" i="162"/>
  <c r="F25" i="162"/>
  <c r="G24" i="162"/>
  <c r="F24" i="162"/>
  <c r="G23" i="162"/>
  <c r="F23" i="162"/>
  <c r="G22" i="162"/>
  <c r="F22" i="162"/>
  <c r="G21" i="162"/>
  <c r="F21" i="162"/>
  <c r="G20" i="162"/>
  <c r="F20" i="162"/>
  <c r="G19" i="162"/>
  <c r="F19" i="162"/>
  <c r="G15" i="162"/>
  <c r="F15" i="162"/>
  <c r="G14" i="162"/>
  <c r="F14" i="162"/>
  <c r="G13" i="162"/>
  <c r="F13" i="162"/>
  <c r="E7" i="162"/>
  <c r="E6" i="162"/>
  <c r="E5" i="162"/>
  <c r="D108" i="161"/>
  <c r="D107" i="161"/>
  <c r="D106" i="161"/>
  <c r="D105" i="161"/>
  <c r="D104" i="161"/>
  <c r="D102" i="161"/>
  <c r="D101" i="161"/>
  <c r="D100" i="161"/>
  <c r="D99" i="161"/>
  <c r="D98" i="161"/>
  <c r="D96" i="161"/>
  <c r="D95" i="161"/>
  <c r="D94" i="161"/>
  <c r="D93" i="161"/>
  <c r="D92" i="161"/>
  <c r="D90" i="161" s="1"/>
  <c r="D89" i="161"/>
  <c r="D87" i="161"/>
  <c r="D86" i="161"/>
  <c r="D84" i="161"/>
  <c r="D83" i="161"/>
  <c r="D82" i="161"/>
  <c r="D81" i="161"/>
  <c r="D80" i="161"/>
  <c r="D63" i="161"/>
  <c r="G35" i="161"/>
  <c r="G34" i="161"/>
  <c r="G33" i="161"/>
  <c r="G32" i="161"/>
  <c r="G30" i="161"/>
  <c r="G29" i="161"/>
  <c r="G28" i="161"/>
  <c r="G27" i="161"/>
  <c r="G25" i="161"/>
  <c r="G24" i="161"/>
  <c r="G23" i="161"/>
  <c r="G22" i="161"/>
  <c r="D7" i="161"/>
  <c r="D6" i="161"/>
  <c r="D5" i="161"/>
  <c r="E137" i="68"/>
  <c r="H133" i="68"/>
  <c r="F133" i="68"/>
  <c r="C132" i="68"/>
  <c r="C131" i="68"/>
  <c r="C130" i="68"/>
  <c r="BG12" i="91" s="1"/>
  <c r="C129" i="68"/>
  <c r="C128" i="68"/>
  <c r="C127" i="68"/>
  <c r="C126" i="68"/>
  <c r="BC12" i="91" s="1"/>
  <c r="H125" i="68"/>
  <c r="F125" i="68"/>
  <c r="C124" i="68"/>
  <c r="C123" i="68"/>
  <c r="C122" i="68"/>
  <c r="C121" i="68"/>
  <c r="C120" i="68"/>
  <c r="C116" i="68"/>
  <c r="C115" i="68"/>
  <c r="C114" i="68"/>
  <c r="C113" i="68"/>
  <c r="C112" i="68"/>
  <c r="C111" i="68"/>
  <c r="F107" i="68"/>
  <c r="F106" i="68"/>
  <c r="F105" i="68"/>
  <c r="F104" i="68"/>
  <c r="F103" i="68"/>
  <c r="F102" i="68"/>
  <c r="F101" i="68"/>
  <c r="F100" i="68"/>
  <c r="D99" i="68"/>
  <c r="C99" i="68"/>
  <c r="C97" i="68"/>
  <c r="C96" i="68"/>
  <c r="C95" i="68"/>
  <c r="C94" i="68"/>
  <c r="C93" i="68"/>
  <c r="C92" i="68"/>
  <c r="C91" i="68"/>
  <c r="C90" i="68"/>
  <c r="C87" i="68"/>
  <c r="C86" i="68"/>
  <c r="C85" i="68"/>
  <c r="C84" i="68"/>
  <c r="C83" i="68"/>
  <c r="C82" i="68"/>
  <c r="C81" i="68"/>
  <c r="C80" i="68"/>
  <c r="C77" i="68"/>
  <c r="C76" i="68"/>
  <c r="C75" i="68"/>
  <c r="C74" i="68"/>
  <c r="C73" i="68"/>
  <c r="C70" i="68"/>
  <c r="C69" i="68"/>
  <c r="C68" i="68"/>
  <c r="C67" i="68"/>
  <c r="F66" i="68"/>
  <c r="C65" i="68"/>
  <c r="C64" i="68"/>
  <c r="C63" i="68"/>
  <c r="C60" i="68"/>
  <c r="C59" i="68"/>
  <c r="C58" i="68"/>
  <c r="C57" i="68"/>
  <c r="C56" i="68"/>
  <c r="C55" i="68"/>
  <c r="C54" i="68"/>
  <c r="C53" i="68"/>
  <c r="H48" i="68"/>
  <c r="E48" i="68"/>
  <c r="F46" i="68"/>
  <c r="C45" i="68"/>
  <c r="C44" i="68"/>
  <c r="C43" i="68"/>
  <c r="Y12" i="91" s="1"/>
  <c r="C42" i="68"/>
  <c r="C41" i="68"/>
  <c r="C40" i="68"/>
  <c r="C39" i="68"/>
  <c r="F38" i="68"/>
  <c r="C37" i="68"/>
  <c r="C36" i="68"/>
  <c r="C35" i="68"/>
  <c r="C34" i="68"/>
  <c r="C33" i="68"/>
  <c r="F30" i="68"/>
  <c r="G28" i="71" s="1"/>
  <c r="C29" i="68"/>
  <c r="C28" i="68"/>
  <c r="C27" i="68"/>
  <c r="C26" i="68"/>
  <c r="C24" i="68"/>
  <c r="F22" i="68"/>
  <c r="C21" i="68"/>
  <c r="C20" i="68"/>
  <c r="C19" i="68"/>
  <c r="C18" i="68"/>
  <c r="C17" i="68"/>
  <c r="C15" i="68"/>
  <c r="C14" i="68"/>
  <c r="A6" i="68"/>
  <c r="A5" i="68"/>
  <c r="AQ143" i="18"/>
  <c r="AJ143" i="18"/>
  <c r="AH143" i="18"/>
  <c r="AF143" i="18"/>
  <c r="AC143" i="18"/>
  <c r="AA143" i="18"/>
  <c r="R143" i="18"/>
  <c r="K143" i="18"/>
  <c r="G143" i="18"/>
  <c r="D143" i="18"/>
  <c r="B143" i="18"/>
  <c r="AQ135" i="18"/>
  <c r="AP135" i="18"/>
  <c r="AO135" i="18"/>
  <c r="AN135" i="18"/>
  <c r="AM135" i="18"/>
  <c r="AL135" i="18"/>
  <c r="AK135" i="18"/>
  <c r="AJ135" i="18"/>
  <c r="AI135" i="18"/>
  <c r="AH135" i="18"/>
  <c r="AG135" i="18"/>
  <c r="AF135" i="18"/>
  <c r="AE135" i="18"/>
  <c r="AD135" i="18"/>
  <c r="AC135" i="18"/>
  <c r="AB135" i="18"/>
  <c r="R135" i="18"/>
  <c r="Q135" i="18"/>
  <c r="P135" i="18"/>
  <c r="O135" i="18"/>
  <c r="N135" i="18"/>
  <c r="M135" i="18"/>
  <c r="L135" i="18"/>
  <c r="K135" i="18"/>
  <c r="J135" i="18"/>
  <c r="I135" i="18"/>
  <c r="H135" i="18"/>
  <c r="G135" i="18"/>
  <c r="F135" i="18"/>
  <c r="E135" i="18"/>
  <c r="D135" i="18"/>
  <c r="C135" i="18"/>
  <c r="AW133" i="18"/>
  <c r="AV133" i="18"/>
  <c r="AS133" i="18"/>
  <c r="AR133" i="18"/>
  <c r="X133" i="18"/>
  <c r="W133" i="18"/>
  <c r="T133" i="18"/>
  <c r="S133" i="18"/>
  <c r="AW132" i="18"/>
  <c r="AV132" i="18"/>
  <c r="AS132" i="18"/>
  <c r="AR132" i="18"/>
  <c r="AT132" i="18" s="1"/>
  <c r="X132" i="18"/>
  <c r="W132" i="18"/>
  <c r="T132" i="18"/>
  <c r="S132" i="18"/>
  <c r="U132" i="18" s="1"/>
  <c r="AW131" i="18"/>
  <c r="AV131" i="18"/>
  <c r="AS131" i="18"/>
  <c r="AR131" i="18"/>
  <c r="X131" i="18"/>
  <c r="W131" i="18"/>
  <c r="T131" i="18"/>
  <c r="S131" i="18"/>
  <c r="U131" i="18" s="1"/>
  <c r="AW130" i="18"/>
  <c r="AV130" i="18"/>
  <c r="AS130" i="18"/>
  <c r="AR130" i="18"/>
  <c r="X130" i="18"/>
  <c r="W130" i="18"/>
  <c r="T130" i="18"/>
  <c r="S130" i="18"/>
  <c r="AW129" i="18"/>
  <c r="AV129" i="18"/>
  <c r="AS129" i="18"/>
  <c r="AR129" i="18"/>
  <c r="X129" i="18"/>
  <c r="W129" i="18"/>
  <c r="T129" i="18"/>
  <c r="S129" i="18"/>
  <c r="AW128" i="18"/>
  <c r="AV128" i="18"/>
  <c r="AS128" i="18"/>
  <c r="AR128" i="18"/>
  <c r="AT128" i="18" s="1"/>
  <c r="X128" i="18"/>
  <c r="W128" i="18"/>
  <c r="T128" i="18"/>
  <c r="S128" i="18"/>
  <c r="U128" i="18" s="1"/>
  <c r="AW127" i="18"/>
  <c r="AV127" i="18"/>
  <c r="AS127" i="18"/>
  <c r="AR127" i="18"/>
  <c r="X127" i="18"/>
  <c r="W127" i="18"/>
  <c r="T127" i="18"/>
  <c r="S127" i="18"/>
  <c r="U127" i="18" s="1"/>
  <c r="AW126" i="18"/>
  <c r="AV126" i="18"/>
  <c r="AS126" i="18"/>
  <c r="AR126" i="18"/>
  <c r="X126" i="18"/>
  <c r="W126" i="18"/>
  <c r="T126" i="18"/>
  <c r="S126" i="18"/>
  <c r="U126" i="18" s="1"/>
  <c r="AW125" i="18"/>
  <c r="AV125" i="18"/>
  <c r="AS125" i="18"/>
  <c r="AR125" i="18"/>
  <c r="X125" i="18"/>
  <c r="W125" i="18"/>
  <c r="T125" i="18"/>
  <c r="S125" i="18"/>
  <c r="U125" i="18" s="1"/>
  <c r="AW124" i="18"/>
  <c r="AV124" i="18"/>
  <c r="AS124" i="18"/>
  <c r="AR124" i="18"/>
  <c r="X124" i="18"/>
  <c r="W124" i="18"/>
  <c r="T124" i="18"/>
  <c r="S124" i="18"/>
  <c r="U124" i="18" s="1"/>
  <c r="AW123" i="18"/>
  <c r="AV123" i="18"/>
  <c r="AS123" i="18"/>
  <c r="AR123" i="18"/>
  <c r="X123" i="18"/>
  <c r="W123" i="18"/>
  <c r="T123" i="18"/>
  <c r="S123" i="18"/>
  <c r="AW122" i="18"/>
  <c r="AV122" i="18"/>
  <c r="AS122" i="18"/>
  <c r="AR122" i="18"/>
  <c r="AT122" i="18" s="1"/>
  <c r="X122" i="18"/>
  <c r="W122" i="18"/>
  <c r="T122" i="18"/>
  <c r="S122" i="18"/>
  <c r="U122" i="18" s="1"/>
  <c r="AW121" i="18"/>
  <c r="AV121" i="18"/>
  <c r="AS121" i="18"/>
  <c r="AR121" i="18"/>
  <c r="AT121" i="18" s="1"/>
  <c r="X121" i="18"/>
  <c r="W121" i="18"/>
  <c r="T121" i="18"/>
  <c r="S121" i="18"/>
  <c r="AW120" i="18"/>
  <c r="AV120" i="18"/>
  <c r="AS120" i="18"/>
  <c r="AR120" i="18"/>
  <c r="AT120" i="18" s="1"/>
  <c r="X120" i="18"/>
  <c r="W120" i="18"/>
  <c r="T120" i="18"/>
  <c r="S120" i="18"/>
  <c r="U120" i="18" s="1"/>
  <c r="AW119" i="18"/>
  <c r="AV119" i="18"/>
  <c r="AS119" i="18"/>
  <c r="AR119" i="18"/>
  <c r="X119" i="18"/>
  <c r="W119" i="18"/>
  <c r="T119" i="18"/>
  <c r="S119" i="18"/>
  <c r="U119" i="18" s="1"/>
  <c r="AW118" i="18"/>
  <c r="AV118" i="18"/>
  <c r="AS118" i="18"/>
  <c r="AS135" i="18" s="1"/>
  <c r="AR118" i="18"/>
  <c r="X118" i="18"/>
  <c r="W118" i="18"/>
  <c r="T118" i="18"/>
  <c r="S118" i="18"/>
  <c r="EM107" i="18"/>
  <c r="EF107" i="18"/>
  <c r="ED107" i="18"/>
  <c r="EB107" i="18"/>
  <c r="DY107" i="18"/>
  <c r="DW107" i="18"/>
  <c r="DN107" i="18"/>
  <c r="DG107" i="18"/>
  <c r="DE107" i="18"/>
  <c r="DC107" i="18"/>
  <c r="CZ107" i="18"/>
  <c r="CX107" i="18"/>
  <c r="CO107" i="18"/>
  <c r="CH107" i="18"/>
  <c r="CF107" i="18"/>
  <c r="CD107" i="18"/>
  <c r="CA107" i="18"/>
  <c r="BY107" i="18"/>
  <c r="BP107" i="18"/>
  <c r="BI107" i="18"/>
  <c r="BG107" i="18"/>
  <c r="BE107" i="18"/>
  <c r="BB107" i="18"/>
  <c r="AZ107" i="18"/>
  <c r="AQ107" i="18"/>
  <c r="AJ107" i="18"/>
  <c r="AH107" i="18"/>
  <c r="AF107" i="18"/>
  <c r="AC107" i="18"/>
  <c r="AA107" i="18"/>
  <c r="R107" i="18"/>
  <c r="K107" i="18"/>
  <c r="G107" i="18"/>
  <c r="D107" i="18"/>
  <c r="B107" i="18"/>
  <c r="EM99" i="18"/>
  <c r="EL99" i="18"/>
  <c r="EK99" i="18"/>
  <c r="EJ99" i="18"/>
  <c r="EI99" i="18"/>
  <c r="EH99" i="18"/>
  <c r="EG99" i="18"/>
  <c r="EF99" i="18"/>
  <c r="EE99" i="18"/>
  <c r="ED99" i="18"/>
  <c r="EC99" i="18"/>
  <c r="EB99" i="18"/>
  <c r="EA99" i="18"/>
  <c r="DZ99" i="18"/>
  <c r="DY99" i="18"/>
  <c r="DX99" i="18"/>
  <c r="DN99" i="18"/>
  <c r="DM99" i="18"/>
  <c r="DL99" i="18"/>
  <c r="DK99" i="18"/>
  <c r="DJ99" i="18"/>
  <c r="DI99" i="18"/>
  <c r="DH99" i="18"/>
  <c r="DG99" i="18"/>
  <c r="DF99" i="18"/>
  <c r="DE99" i="18"/>
  <c r="DD99" i="18"/>
  <c r="DC99" i="18"/>
  <c r="DB99" i="18"/>
  <c r="DA99" i="18"/>
  <c r="CZ99" i="18"/>
  <c r="CY99" i="18"/>
  <c r="CO99" i="18"/>
  <c r="CN99" i="18"/>
  <c r="CM99" i="18"/>
  <c r="CL99" i="18"/>
  <c r="CK99" i="18"/>
  <c r="CJ99" i="18"/>
  <c r="CI99" i="18"/>
  <c r="CH99" i="18"/>
  <c r="CG99" i="18"/>
  <c r="CF99" i="18"/>
  <c r="CE99" i="18"/>
  <c r="CD99" i="18"/>
  <c r="CC99" i="18"/>
  <c r="CB99" i="18"/>
  <c r="CA99" i="18"/>
  <c r="BZ99" i="18"/>
  <c r="BP99" i="18"/>
  <c r="BO99" i="18"/>
  <c r="BN99" i="18"/>
  <c r="BM99" i="18"/>
  <c r="BL99" i="18"/>
  <c r="BK99" i="18"/>
  <c r="BJ99" i="18"/>
  <c r="BI99" i="18"/>
  <c r="BH99" i="18"/>
  <c r="BG99" i="18"/>
  <c r="BF99" i="18"/>
  <c r="BE99" i="18"/>
  <c r="BD99" i="18"/>
  <c r="BC99" i="18"/>
  <c r="BB99" i="18"/>
  <c r="BA99" i="18"/>
  <c r="AQ99" i="18"/>
  <c r="AP99" i="18"/>
  <c r="AO99" i="18"/>
  <c r="AN99" i="18"/>
  <c r="AM99" i="18"/>
  <c r="AL99" i="18"/>
  <c r="AK99" i="18"/>
  <c r="AJ99" i="18"/>
  <c r="AI99" i="18"/>
  <c r="AH99" i="18"/>
  <c r="AG99" i="18"/>
  <c r="AF99" i="18"/>
  <c r="AE99" i="18"/>
  <c r="AD99" i="18"/>
  <c r="AC99" i="18"/>
  <c r="AB99" i="18"/>
  <c r="R99" i="18"/>
  <c r="Q99" i="18"/>
  <c r="P99" i="18"/>
  <c r="O99" i="18"/>
  <c r="N99" i="18"/>
  <c r="M99" i="18"/>
  <c r="L99" i="18"/>
  <c r="K99" i="18"/>
  <c r="J99" i="18"/>
  <c r="I99" i="18"/>
  <c r="H99" i="18"/>
  <c r="G99" i="18"/>
  <c r="F99" i="18"/>
  <c r="E99" i="18"/>
  <c r="D99" i="18"/>
  <c r="C99" i="18"/>
  <c r="ES97" i="18"/>
  <c r="ER97" i="18"/>
  <c r="EO97" i="18"/>
  <c r="EN97" i="18"/>
  <c r="DT97" i="18"/>
  <c r="DS97" i="18"/>
  <c r="DP97" i="18"/>
  <c r="DO97" i="18"/>
  <c r="CU97" i="18"/>
  <c r="CT97" i="18"/>
  <c r="CQ97" i="18"/>
  <c r="CP97" i="18"/>
  <c r="BV97" i="18"/>
  <c r="BU97" i="18"/>
  <c r="BR97" i="18"/>
  <c r="BQ97" i="18"/>
  <c r="AW97" i="18"/>
  <c r="AV97" i="18"/>
  <c r="AS97" i="18"/>
  <c r="AR97" i="18"/>
  <c r="AT97" i="18" s="1"/>
  <c r="X97" i="18"/>
  <c r="W97" i="18"/>
  <c r="T97" i="18"/>
  <c r="S97" i="18"/>
  <c r="ES96" i="18"/>
  <c r="ER96" i="18"/>
  <c r="EO96" i="18"/>
  <c r="EN96" i="18"/>
  <c r="EP96" i="18" s="1"/>
  <c r="DT96" i="18"/>
  <c r="DS96" i="18"/>
  <c r="DP96" i="18"/>
  <c r="DO96" i="18"/>
  <c r="CU96" i="18"/>
  <c r="CT96" i="18"/>
  <c r="CQ96" i="18"/>
  <c r="CP96" i="18"/>
  <c r="BV96" i="18"/>
  <c r="BU96" i="18"/>
  <c r="BR96" i="18"/>
  <c r="BQ96" i="18"/>
  <c r="BS96" i="18" s="1"/>
  <c r="AW96" i="18"/>
  <c r="AV96" i="18"/>
  <c r="AS96" i="18"/>
  <c r="AR96" i="18"/>
  <c r="X96" i="18"/>
  <c r="W96" i="18"/>
  <c r="T96" i="18"/>
  <c r="S96" i="18"/>
  <c r="U96" i="18" s="1"/>
  <c r="ES95" i="18"/>
  <c r="ER95" i="18"/>
  <c r="EO95" i="18"/>
  <c r="EN95" i="18"/>
  <c r="DT95" i="18"/>
  <c r="DS95" i="18"/>
  <c r="DP95" i="18"/>
  <c r="DO95" i="18"/>
  <c r="CU95" i="18"/>
  <c r="CT95" i="18"/>
  <c r="CQ95" i="18"/>
  <c r="CP95" i="18"/>
  <c r="CR95" i="18" s="1"/>
  <c r="BV95" i="18"/>
  <c r="BU95" i="18"/>
  <c r="BR95" i="18"/>
  <c r="BQ95" i="18"/>
  <c r="AW95" i="18"/>
  <c r="AV95" i="18"/>
  <c r="AS95" i="18"/>
  <c r="AR95" i="18"/>
  <c r="AT95" i="18" s="1"/>
  <c r="X95" i="18"/>
  <c r="W95" i="18"/>
  <c r="T95" i="18"/>
  <c r="S95" i="18"/>
  <c r="ES94" i="18"/>
  <c r="ER94" i="18"/>
  <c r="EO94" i="18"/>
  <c r="EN94" i="18"/>
  <c r="EP94" i="18" s="1"/>
  <c r="DT94" i="18"/>
  <c r="DS94" i="18"/>
  <c r="DP94" i="18"/>
  <c r="DO94" i="18"/>
  <c r="CU94" i="18"/>
  <c r="CT94" i="18"/>
  <c r="CQ94" i="18"/>
  <c r="CP94" i="18"/>
  <c r="CR94" i="18" s="1"/>
  <c r="BV94" i="18"/>
  <c r="BU94" i="18"/>
  <c r="BR94" i="18"/>
  <c r="BQ94" i="18"/>
  <c r="AW94" i="18"/>
  <c r="AV94" i="18"/>
  <c r="AS94" i="18"/>
  <c r="AR94" i="18"/>
  <c r="AT94" i="18" s="1"/>
  <c r="X94" i="18"/>
  <c r="W94" i="18"/>
  <c r="T94" i="18"/>
  <c r="S94" i="18"/>
  <c r="ES93" i="18"/>
  <c r="ER93" i="18"/>
  <c r="EO93" i="18"/>
  <c r="EN93" i="18"/>
  <c r="EP93" i="18" s="1"/>
  <c r="DT93" i="18"/>
  <c r="DS93" i="18"/>
  <c r="DP93" i="18"/>
  <c r="DO93" i="18"/>
  <c r="CU93" i="18"/>
  <c r="CT93" i="18"/>
  <c r="CQ93" i="18"/>
  <c r="CP93" i="18"/>
  <c r="CR93" i="18" s="1"/>
  <c r="BV93" i="18"/>
  <c r="BU93" i="18"/>
  <c r="BR93" i="18"/>
  <c r="BQ93" i="18"/>
  <c r="AW93" i="18"/>
  <c r="AV93" i="18"/>
  <c r="AS93" i="18"/>
  <c r="AR93" i="18"/>
  <c r="X93" i="18"/>
  <c r="W93" i="18"/>
  <c r="T93" i="18"/>
  <c r="S93" i="18"/>
  <c r="ES92" i="18"/>
  <c r="ER92" i="18"/>
  <c r="EO92" i="18"/>
  <c r="EN92" i="18"/>
  <c r="EP92" i="18" s="1"/>
  <c r="DT92" i="18"/>
  <c r="DS92" i="18"/>
  <c r="DP92" i="18"/>
  <c r="DO92" i="18"/>
  <c r="CU92" i="18"/>
  <c r="CT92" i="18"/>
  <c r="CQ92" i="18"/>
  <c r="CP92" i="18"/>
  <c r="BV92" i="18"/>
  <c r="BU92" i="18"/>
  <c r="BR92" i="18"/>
  <c r="BQ92" i="18"/>
  <c r="BS92" i="18" s="1"/>
  <c r="AW92" i="18"/>
  <c r="AV92" i="18"/>
  <c r="AS92" i="18"/>
  <c r="AR92" i="18"/>
  <c r="X92" i="18"/>
  <c r="W92" i="18"/>
  <c r="T92" i="18"/>
  <c r="S92" i="18"/>
  <c r="U92" i="18" s="1"/>
  <c r="ES91" i="18"/>
  <c r="ER91" i="18"/>
  <c r="EO91" i="18"/>
  <c r="EN91" i="18"/>
  <c r="EP91" i="18" s="1"/>
  <c r="DT91" i="18"/>
  <c r="DS91" i="18"/>
  <c r="DP91" i="18"/>
  <c r="DO91" i="18"/>
  <c r="DQ91" i="18" s="1"/>
  <c r="CU91" i="18"/>
  <c r="CT91" i="18"/>
  <c r="CQ91" i="18"/>
  <c r="CP91" i="18"/>
  <c r="BV91" i="18"/>
  <c r="BU91" i="18"/>
  <c r="BR91" i="18"/>
  <c r="BQ91" i="18"/>
  <c r="AW91" i="18"/>
  <c r="AV91" i="18"/>
  <c r="AS91" i="18"/>
  <c r="AR91" i="18"/>
  <c r="X91" i="18"/>
  <c r="W91" i="18"/>
  <c r="T91" i="18"/>
  <c r="S91" i="18"/>
  <c r="U91" i="18" s="1"/>
  <c r="ES90" i="18"/>
  <c r="ER90" i="18"/>
  <c r="EO90" i="18"/>
  <c r="EN90" i="18"/>
  <c r="DT90" i="18"/>
  <c r="DS90" i="18"/>
  <c r="DP90" i="18"/>
  <c r="DO90" i="18"/>
  <c r="CU90" i="18"/>
  <c r="CT90" i="18"/>
  <c r="CQ90" i="18"/>
  <c r="CP90" i="18"/>
  <c r="CR90" i="18" s="1"/>
  <c r="BV90" i="18"/>
  <c r="BU90" i="18"/>
  <c r="BR90" i="18"/>
  <c r="BQ90" i="18"/>
  <c r="BS90" i="18" s="1"/>
  <c r="AW90" i="18"/>
  <c r="AV90" i="18"/>
  <c r="AS90" i="18"/>
  <c r="AR90" i="18"/>
  <c r="AT90" i="18" s="1"/>
  <c r="X90" i="18"/>
  <c r="W90" i="18"/>
  <c r="T90" i="18"/>
  <c r="S90" i="18"/>
  <c r="U90" i="18" s="1"/>
  <c r="ES89" i="18"/>
  <c r="ER89" i="18"/>
  <c r="EO89" i="18"/>
  <c r="EN89" i="18"/>
  <c r="EP89" i="18" s="1"/>
  <c r="DT89" i="18"/>
  <c r="DS89" i="18"/>
  <c r="DP89" i="18"/>
  <c r="DO89" i="18"/>
  <c r="DQ89" i="18" s="1"/>
  <c r="CU89" i="18"/>
  <c r="CT89" i="18"/>
  <c r="CQ89" i="18"/>
  <c r="CP89" i="18"/>
  <c r="CR89" i="18" s="1"/>
  <c r="BV89" i="18"/>
  <c r="BU89" i="18"/>
  <c r="BR89" i="18"/>
  <c r="BQ89" i="18"/>
  <c r="AW89" i="18"/>
  <c r="AV89" i="18"/>
  <c r="AS89" i="18"/>
  <c r="AR89" i="18"/>
  <c r="AT89" i="18" s="1"/>
  <c r="X89" i="18"/>
  <c r="W89" i="18"/>
  <c r="T89" i="18"/>
  <c r="S89" i="18"/>
  <c r="ES88" i="18"/>
  <c r="ER88" i="18"/>
  <c r="EO88" i="18"/>
  <c r="EN88" i="18"/>
  <c r="EP88" i="18" s="1"/>
  <c r="DT88" i="18"/>
  <c r="DS88" i="18"/>
  <c r="DP88" i="18"/>
  <c r="DO88" i="18"/>
  <c r="DQ88" i="18" s="1"/>
  <c r="CU88" i="18"/>
  <c r="CT88" i="18"/>
  <c r="CQ88" i="18"/>
  <c r="CP88" i="18"/>
  <c r="CR88" i="18" s="1"/>
  <c r="BV88" i="18"/>
  <c r="BU88" i="18"/>
  <c r="BR88" i="18"/>
  <c r="BQ88" i="18"/>
  <c r="BS88" i="18" s="1"/>
  <c r="AW88" i="18"/>
  <c r="AV88" i="18"/>
  <c r="AS88" i="18"/>
  <c r="AR88" i="18"/>
  <c r="AT88" i="18" s="1"/>
  <c r="X88" i="18"/>
  <c r="W88" i="18"/>
  <c r="T88" i="18"/>
  <c r="S88" i="18"/>
  <c r="U88" i="18" s="1"/>
  <c r="ES87" i="18"/>
  <c r="ER87" i="18"/>
  <c r="EO87" i="18"/>
  <c r="EN87" i="18"/>
  <c r="EP87" i="18" s="1"/>
  <c r="DT87" i="18"/>
  <c r="DS87" i="18"/>
  <c r="DP87" i="18"/>
  <c r="DO87" i="18"/>
  <c r="CU87" i="18"/>
  <c r="CT87" i="18"/>
  <c r="CQ87" i="18"/>
  <c r="CP87" i="18"/>
  <c r="CR87" i="18" s="1"/>
  <c r="BV87" i="18"/>
  <c r="BU87" i="18"/>
  <c r="BR87" i="18"/>
  <c r="BQ87" i="18"/>
  <c r="BS87" i="18" s="1"/>
  <c r="AW87" i="18"/>
  <c r="AV87" i="18"/>
  <c r="AS87" i="18"/>
  <c r="AR87" i="18"/>
  <c r="X87" i="18"/>
  <c r="W87" i="18"/>
  <c r="T87" i="18"/>
  <c r="S87" i="18"/>
  <c r="U87" i="18" s="1"/>
  <c r="ES86" i="18"/>
  <c r="ER86" i="18"/>
  <c r="EO86" i="18"/>
  <c r="EN86" i="18"/>
  <c r="EP86" i="18" s="1"/>
  <c r="DT86" i="18"/>
  <c r="DS86" i="18"/>
  <c r="DP86" i="18"/>
  <c r="DO86" i="18"/>
  <c r="CU86" i="18"/>
  <c r="CT86" i="18"/>
  <c r="CQ86" i="18"/>
  <c r="CP86" i="18"/>
  <c r="BV86" i="18"/>
  <c r="BU86" i="18"/>
  <c r="BR86" i="18"/>
  <c r="BQ86" i="18"/>
  <c r="BS86" i="18" s="1"/>
  <c r="AW86" i="18"/>
  <c r="AV86" i="18"/>
  <c r="AS86" i="18"/>
  <c r="AR86" i="18"/>
  <c r="X86" i="18"/>
  <c r="W86" i="18"/>
  <c r="T86" i="18"/>
  <c r="S86" i="18"/>
  <c r="ES85" i="18"/>
  <c r="ER85" i="18"/>
  <c r="EO85" i="18"/>
  <c r="EN85" i="18"/>
  <c r="EP85" i="18" s="1"/>
  <c r="DT85" i="18"/>
  <c r="DS85" i="18"/>
  <c r="DP85" i="18"/>
  <c r="DO85" i="18"/>
  <c r="CU85" i="18"/>
  <c r="CT85" i="18"/>
  <c r="CQ85" i="18"/>
  <c r="CP85" i="18"/>
  <c r="CR85" i="18" s="1"/>
  <c r="BV85" i="18"/>
  <c r="BU85" i="18"/>
  <c r="BR85" i="18"/>
  <c r="BQ85" i="18"/>
  <c r="BS85" i="18" s="1"/>
  <c r="AW85" i="18"/>
  <c r="AV85" i="18"/>
  <c r="AS85" i="18"/>
  <c r="AR85" i="18"/>
  <c r="X85" i="18"/>
  <c r="W85" i="18"/>
  <c r="T85" i="18"/>
  <c r="S85" i="18"/>
  <c r="U85" i="18" s="1"/>
  <c r="ES84" i="18"/>
  <c r="ER84" i="18"/>
  <c r="EO84" i="18"/>
  <c r="EN84" i="18"/>
  <c r="DT84" i="18"/>
  <c r="DS84" i="18"/>
  <c r="DP84" i="18"/>
  <c r="DO84" i="18"/>
  <c r="CU84" i="18"/>
  <c r="CT84" i="18"/>
  <c r="CQ84" i="18"/>
  <c r="CP84" i="18"/>
  <c r="BV84" i="18"/>
  <c r="BU84" i="18"/>
  <c r="BR84" i="18"/>
  <c r="BQ84" i="18"/>
  <c r="AW84" i="18"/>
  <c r="AV84" i="18"/>
  <c r="AS84" i="18"/>
  <c r="AR84" i="18"/>
  <c r="AT84" i="18" s="1"/>
  <c r="X84" i="18"/>
  <c r="W84" i="18"/>
  <c r="T84" i="18"/>
  <c r="S84" i="18"/>
  <c r="U84" i="18" s="1"/>
  <c r="ES83" i="18"/>
  <c r="ER83" i="18"/>
  <c r="EO83" i="18"/>
  <c r="EN83" i="18"/>
  <c r="DT83" i="18"/>
  <c r="DS83" i="18"/>
  <c r="DP83" i="18"/>
  <c r="DO83" i="18"/>
  <c r="CU83" i="18"/>
  <c r="CT83" i="18"/>
  <c r="CQ83" i="18"/>
  <c r="CP83" i="18"/>
  <c r="BV83" i="18"/>
  <c r="BU83" i="18"/>
  <c r="BR83" i="18"/>
  <c r="BQ83" i="18"/>
  <c r="AW83" i="18"/>
  <c r="AV83" i="18"/>
  <c r="AS83" i="18"/>
  <c r="AR83" i="18"/>
  <c r="X83" i="18"/>
  <c r="W83" i="18"/>
  <c r="T83" i="18"/>
  <c r="S83" i="18"/>
  <c r="ES82" i="18"/>
  <c r="ER82" i="18"/>
  <c r="EO82" i="18"/>
  <c r="EN82" i="18"/>
  <c r="EP82" i="18" s="1"/>
  <c r="DT82" i="18"/>
  <c r="DS82" i="18"/>
  <c r="DP82" i="18"/>
  <c r="DO82" i="18"/>
  <c r="DQ82" i="18" s="1"/>
  <c r="CU82" i="18"/>
  <c r="CT82" i="18"/>
  <c r="CQ82" i="18"/>
  <c r="CP82" i="18"/>
  <c r="CR82" i="18" s="1"/>
  <c r="BV82" i="18"/>
  <c r="BU82" i="18"/>
  <c r="BR82" i="18"/>
  <c r="BQ82" i="18"/>
  <c r="BS82" i="18" s="1"/>
  <c r="AW82" i="18"/>
  <c r="AV82" i="18"/>
  <c r="AS82" i="18"/>
  <c r="AR82" i="18"/>
  <c r="X82" i="18"/>
  <c r="W82" i="18"/>
  <c r="T82" i="18"/>
  <c r="T99" i="18" s="1"/>
  <c r="S82" i="18"/>
  <c r="DN71" i="18"/>
  <c r="DG71" i="18"/>
  <c r="DE71" i="18"/>
  <c r="DC71" i="18"/>
  <c r="CZ71" i="18"/>
  <c r="CX71" i="18"/>
  <c r="CO71" i="18"/>
  <c r="CH71" i="18"/>
  <c r="CF71" i="18"/>
  <c r="CD71" i="18"/>
  <c r="CA71" i="18"/>
  <c r="BY71" i="18"/>
  <c r="BP71" i="18"/>
  <c r="BI71" i="18"/>
  <c r="BG71" i="18"/>
  <c r="BE71" i="18"/>
  <c r="BB71" i="18"/>
  <c r="AZ71" i="18"/>
  <c r="AQ71" i="18"/>
  <c r="AJ71" i="18"/>
  <c r="AH71" i="18"/>
  <c r="AF71" i="18"/>
  <c r="AC71" i="18"/>
  <c r="AA71" i="18"/>
  <c r="R71" i="18"/>
  <c r="K71" i="18"/>
  <c r="G71" i="18"/>
  <c r="D71" i="18"/>
  <c r="B71" i="18"/>
  <c r="DN63" i="18"/>
  <c r="DM63" i="18"/>
  <c r="DL63" i="18"/>
  <c r="DK63" i="18"/>
  <c r="DJ63" i="18"/>
  <c r="DI63" i="18"/>
  <c r="DH63" i="18"/>
  <c r="DG63" i="18"/>
  <c r="DF63" i="18"/>
  <c r="DE63" i="18"/>
  <c r="DD63" i="18"/>
  <c r="DC63" i="18"/>
  <c r="DB63" i="18"/>
  <c r="DA63" i="18"/>
  <c r="CZ63" i="18"/>
  <c r="CY63" i="18"/>
  <c r="CO63" i="18"/>
  <c r="CN63" i="18"/>
  <c r="CM63" i="18"/>
  <c r="CL63" i="18"/>
  <c r="CK63" i="18"/>
  <c r="CJ63" i="18"/>
  <c r="CI63" i="18"/>
  <c r="CH63" i="18"/>
  <c r="CG63" i="18"/>
  <c r="CF63" i="18"/>
  <c r="CE63" i="18"/>
  <c r="CD63" i="18"/>
  <c r="CC63" i="18"/>
  <c r="CB63" i="18"/>
  <c r="CA63" i="18"/>
  <c r="BZ63" i="18"/>
  <c r="BP63" i="18"/>
  <c r="BO63" i="18"/>
  <c r="BN63" i="18"/>
  <c r="BM63" i="18"/>
  <c r="BL63" i="18"/>
  <c r="BK63" i="18"/>
  <c r="BJ63" i="18"/>
  <c r="BI63" i="18"/>
  <c r="BH63" i="18"/>
  <c r="BG63" i="18"/>
  <c r="BF63" i="18"/>
  <c r="BE63" i="18"/>
  <c r="BD63" i="18"/>
  <c r="BC63" i="18"/>
  <c r="BB63" i="18"/>
  <c r="BA63" i="18"/>
  <c r="AQ63" i="18"/>
  <c r="AP63" i="18"/>
  <c r="AO63" i="18"/>
  <c r="AN63" i="18"/>
  <c r="AM63" i="18"/>
  <c r="AL63" i="18"/>
  <c r="AK63" i="18"/>
  <c r="AJ63" i="18"/>
  <c r="AI63" i="18"/>
  <c r="AH63" i="18"/>
  <c r="AG63" i="18"/>
  <c r="AF63" i="18"/>
  <c r="AE63" i="18"/>
  <c r="AD63" i="18"/>
  <c r="AC63" i="18"/>
  <c r="AB63" i="18"/>
  <c r="R63" i="18"/>
  <c r="Q63" i="18"/>
  <c r="P63" i="18"/>
  <c r="O63" i="18"/>
  <c r="N63" i="18"/>
  <c r="M63" i="18"/>
  <c r="L63" i="18"/>
  <c r="K63" i="18"/>
  <c r="J63" i="18"/>
  <c r="I63" i="18"/>
  <c r="H63" i="18"/>
  <c r="G63" i="18"/>
  <c r="F63" i="18"/>
  <c r="E63" i="18"/>
  <c r="D63" i="18"/>
  <c r="C63" i="18"/>
  <c r="DT61" i="18"/>
  <c r="DS61" i="18"/>
  <c r="DP61" i="18"/>
  <c r="DO61" i="18"/>
  <c r="CU61" i="18"/>
  <c r="CT61" i="18"/>
  <c r="CQ61" i="18"/>
  <c r="CP61" i="18"/>
  <c r="BV61" i="18"/>
  <c r="BU61" i="18"/>
  <c r="BR61" i="18"/>
  <c r="BQ61" i="18"/>
  <c r="AW61" i="18"/>
  <c r="AV61" i="18"/>
  <c r="AS61" i="18"/>
  <c r="AR61" i="18"/>
  <c r="X61" i="18"/>
  <c r="W61" i="18"/>
  <c r="T61" i="18"/>
  <c r="S61" i="18"/>
  <c r="U61" i="18" s="1"/>
  <c r="DT60" i="18"/>
  <c r="DS60" i="18"/>
  <c r="DP60" i="18"/>
  <c r="DO60" i="18"/>
  <c r="DQ60" i="18" s="1"/>
  <c r="CU60" i="18"/>
  <c r="CT60" i="18"/>
  <c r="CQ60" i="18"/>
  <c r="CP60" i="18"/>
  <c r="CR60" i="18" s="1"/>
  <c r="BV60" i="18"/>
  <c r="BU60" i="18"/>
  <c r="BR60" i="18"/>
  <c r="BQ60" i="18"/>
  <c r="AW60" i="18"/>
  <c r="AV60" i="18"/>
  <c r="AS60" i="18"/>
  <c r="AR60" i="18"/>
  <c r="AT60" i="18" s="1"/>
  <c r="X60" i="18"/>
  <c r="W60" i="18"/>
  <c r="T60" i="18"/>
  <c r="S60" i="18"/>
  <c r="U60" i="18" s="1"/>
  <c r="DT59" i="18"/>
  <c r="DS59" i="18"/>
  <c r="DP59" i="18"/>
  <c r="DO59" i="18"/>
  <c r="DQ59" i="18" s="1"/>
  <c r="CU59" i="18"/>
  <c r="CT59" i="18"/>
  <c r="CQ59" i="18"/>
  <c r="CP59" i="18"/>
  <c r="CR59" i="18" s="1"/>
  <c r="BV59" i="18"/>
  <c r="BU59" i="18"/>
  <c r="BR59" i="18"/>
  <c r="BQ59" i="18"/>
  <c r="BS59" i="18" s="1"/>
  <c r="AW59" i="18"/>
  <c r="AV59" i="18"/>
  <c r="AS59" i="18"/>
  <c r="AR59" i="18"/>
  <c r="X59" i="18"/>
  <c r="W59" i="18"/>
  <c r="T59" i="18"/>
  <c r="S59" i="18"/>
  <c r="U59" i="18" s="1"/>
  <c r="DT58" i="18"/>
  <c r="DS58" i="18"/>
  <c r="DP58" i="18"/>
  <c r="DO58" i="18"/>
  <c r="CU58" i="18"/>
  <c r="CT58" i="18"/>
  <c r="CQ58" i="18"/>
  <c r="CP58" i="18"/>
  <c r="CR58" i="18" s="1"/>
  <c r="BV58" i="18"/>
  <c r="BU58" i="18"/>
  <c r="BR58" i="18"/>
  <c r="BQ58" i="18"/>
  <c r="BS58" i="18" s="1"/>
  <c r="AW58" i="18"/>
  <c r="AV58" i="18"/>
  <c r="AS58" i="18"/>
  <c r="AR58" i="18"/>
  <c r="X58" i="18"/>
  <c r="W58" i="18"/>
  <c r="T58" i="18"/>
  <c r="S58" i="18"/>
  <c r="DT57" i="18"/>
  <c r="DS57" i="18"/>
  <c r="DP57" i="18"/>
  <c r="DO57" i="18"/>
  <c r="DQ57" i="18" s="1"/>
  <c r="CU57" i="18"/>
  <c r="CT57" i="18"/>
  <c r="CQ57" i="18"/>
  <c r="CP57" i="18"/>
  <c r="BV57" i="18"/>
  <c r="BU57" i="18"/>
  <c r="BR57" i="18"/>
  <c r="BQ57" i="18"/>
  <c r="AW57" i="18"/>
  <c r="AV57" i="18"/>
  <c r="AS57" i="18"/>
  <c r="AR57" i="18"/>
  <c r="AT57" i="18" s="1"/>
  <c r="X57" i="18"/>
  <c r="W57" i="18"/>
  <c r="T57" i="18"/>
  <c r="S57" i="18"/>
  <c r="DT56" i="18"/>
  <c r="DS56" i="18"/>
  <c r="DP56" i="18"/>
  <c r="DO56" i="18"/>
  <c r="CU56" i="18"/>
  <c r="CT56" i="18"/>
  <c r="CQ56" i="18"/>
  <c r="CP56" i="18"/>
  <c r="CR56" i="18" s="1"/>
  <c r="BV56" i="18"/>
  <c r="BU56" i="18"/>
  <c r="BR56" i="18"/>
  <c r="BQ56" i="18"/>
  <c r="BS56" i="18" s="1"/>
  <c r="AW56" i="18"/>
  <c r="AV56" i="18"/>
  <c r="AS56" i="18"/>
  <c r="AR56" i="18"/>
  <c r="AT56" i="18" s="1"/>
  <c r="X56" i="18"/>
  <c r="W56" i="18"/>
  <c r="T56" i="18"/>
  <c r="S56" i="18"/>
  <c r="DT55" i="18"/>
  <c r="DS55" i="18"/>
  <c r="DP55" i="18"/>
  <c r="DO55" i="18"/>
  <c r="CU55" i="18"/>
  <c r="CT55" i="18"/>
  <c r="CQ55" i="18"/>
  <c r="CP55" i="18"/>
  <c r="BV55" i="18"/>
  <c r="BU55" i="18"/>
  <c r="BR55" i="18"/>
  <c r="BQ55" i="18"/>
  <c r="BS55" i="18" s="1"/>
  <c r="AW55" i="18"/>
  <c r="AV55" i="18"/>
  <c r="AS55" i="18"/>
  <c r="AR55" i="18"/>
  <c r="X55" i="18"/>
  <c r="W55" i="18"/>
  <c r="T55" i="18"/>
  <c r="S55" i="18"/>
  <c r="DT54" i="18"/>
  <c r="DS54" i="18"/>
  <c r="DP54" i="18"/>
  <c r="DO54" i="18"/>
  <c r="CU54" i="18"/>
  <c r="CT54" i="18"/>
  <c r="CQ54" i="18"/>
  <c r="CP54" i="18"/>
  <c r="BV54" i="18"/>
  <c r="BU54" i="18"/>
  <c r="BR54" i="18"/>
  <c r="BQ54" i="18"/>
  <c r="BS54" i="18" s="1"/>
  <c r="AW54" i="18"/>
  <c r="AV54" i="18"/>
  <c r="AS54" i="18"/>
  <c r="AR54" i="18"/>
  <c r="X54" i="18"/>
  <c r="W54" i="18"/>
  <c r="T54" i="18"/>
  <c r="S54" i="18"/>
  <c r="DT53" i="18"/>
  <c r="DS53" i="18"/>
  <c r="DP53" i="18"/>
  <c r="DO53" i="18"/>
  <c r="CU53" i="18"/>
  <c r="CT53" i="18"/>
  <c r="CQ53" i="18"/>
  <c r="CP53" i="18"/>
  <c r="BV53" i="18"/>
  <c r="BU53" i="18"/>
  <c r="BR53" i="18"/>
  <c r="BQ53" i="18"/>
  <c r="AW53" i="18"/>
  <c r="AV53" i="18"/>
  <c r="AS53" i="18"/>
  <c r="AR53" i="18"/>
  <c r="X53" i="18"/>
  <c r="W53" i="18"/>
  <c r="T53" i="18"/>
  <c r="S53" i="18"/>
  <c r="DT52" i="18"/>
  <c r="DS52" i="18"/>
  <c r="DP52" i="18"/>
  <c r="DO52" i="18"/>
  <c r="CU52" i="18"/>
  <c r="CT52" i="18"/>
  <c r="CQ52" i="18"/>
  <c r="CP52" i="18"/>
  <c r="BV52" i="18"/>
  <c r="BU52" i="18"/>
  <c r="BR52" i="18"/>
  <c r="BQ52" i="18"/>
  <c r="AW52" i="18"/>
  <c r="AV52" i="18"/>
  <c r="AS52" i="18"/>
  <c r="AR52" i="18"/>
  <c r="X52" i="18"/>
  <c r="W52" i="18"/>
  <c r="T52" i="18"/>
  <c r="S52" i="18"/>
  <c r="DT51" i="18"/>
  <c r="DS51" i="18"/>
  <c r="DP51" i="18"/>
  <c r="DO51" i="18"/>
  <c r="CU51" i="18"/>
  <c r="CT51" i="18"/>
  <c r="CQ51" i="18"/>
  <c r="CP51" i="18"/>
  <c r="BV51" i="18"/>
  <c r="BU51" i="18"/>
  <c r="BR51" i="18"/>
  <c r="BQ51" i="18"/>
  <c r="AW51" i="18"/>
  <c r="AV51" i="18"/>
  <c r="AS51" i="18"/>
  <c r="AR51" i="18"/>
  <c r="X51" i="18"/>
  <c r="W51" i="18"/>
  <c r="T51" i="18"/>
  <c r="S51" i="18"/>
  <c r="DT50" i="18"/>
  <c r="DS50" i="18"/>
  <c r="DP50" i="18"/>
  <c r="DO50" i="18"/>
  <c r="DQ50" i="18" s="1"/>
  <c r="CU50" i="18"/>
  <c r="CT50" i="18"/>
  <c r="CQ50" i="18"/>
  <c r="CP50" i="18"/>
  <c r="BV50" i="18"/>
  <c r="BU50" i="18"/>
  <c r="BR50" i="18"/>
  <c r="BQ50" i="18"/>
  <c r="BS50" i="18" s="1"/>
  <c r="AW50" i="18"/>
  <c r="AV50" i="18"/>
  <c r="AS50" i="18"/>
  <c r="AR50" i="18"/>
  <c r="X50" i="18"/>
  <c r="W50" i="18"/>
  <c r="T50" i="18"/>
  <c r="S50" i="18"/>
  <c r="DT49" i="18"/>
  <c r="DS49" i="18"/>
  <c r="DP49" i="18"/>
  <c r="DO49" i="18"/>
  <c r="CU49" i="18"/>
  <c r="CT49" i="18"/>
  <c r="CQ49" i="18"/>
  <c r="CP49" i="18"/>
  <c r="BV49" i="18"/>
  <c r="BU49" i="18"/>
  <c r="BR49" i="18"/>
  <c r="BQ49" i="18"/>
  <c r="BS49" i="18" s="1"/>
  <c r="AW49" i="18"/>
  <c r="AV49" i="18"/>
  <c r="AS49" i="18"/>
  <c r="AR49" i="18"/>
  <c r="X49" i="18"/>
  <c r="W49" i="18"/>
  <c r="T49" i="18"/>
  <c r="S49" i="18"/>
  <c r="DT48" i="18"/>
  <c r="DS48" i="18"/>
  <c r="DP48" i="18"/>
  <c r="DO48" i="18"/>
  <c r="CU48" i="18"/>
  <c r="CT48" i="18"/>
  <c r="CQ48" i="18"/>
  <c r="CP48" i="18"/>
  <c r="BV48" i="18"/>
  <c r="BU48" i="18"/>
  <c r="BR48" i="18"/>
  <c r="BQ48" i="18"/>
  <c r="AW48" i="18"/>
  <c r="AV48" i="18"/>
  <c r="AS48" i="18"/>
  <c r="AR48" i="18"/>
  <c r="X48" i="18"/>
  <c r="W48" i="18"/>
  <c r="T48" i="18"/>
  <c r="S48" i="18"/>
  <c r="DT47" i="18"/>
  <c r="DS47" i="18"/>
  <c r="DP47" i="18"/>
  <c r="DO47" i="18"/>
  <c r="CU47" i="18"/>
  <c r="CT47" i="18"/>
  <c r="CQ47" i="18"/>
  <c r="CP47" i="18"/>
  <c r="BV47" i="18"/>
  <c r="BU47" i="18"/>
  <c r="BR47" i="18"/>
  <c r="BQ47" i="18"/>
  <c r="AW47" i="18"/>
  <c r="AV47" i="18"/>
  <c r="AS47" i="18"/>
  <c r="AR47" i="18"/>
  <c r="X47" i="18"/>
  <c r="W47" i="18"/>
  <c r="T47" i="18"/>
  <c r="S47" i="18"/>
  <c r="DT46" i="18"/>
  <c r="DS46" i="18"/>
  <c r="DP46" i="18"/>
  <c r="DO46" i="18"/>
  <c r="DO63" i="18" s="1"/>
  <c r="CU46" i="18"/>
  <c r="CT46" i="18"/>
  <c r="CQ46" i="18"/>
  <c r="CQ63" i="18" s="1"/>
  <c r="CP46" i="18"/>
  <c r="CP63" i="18" s="1"/>
  <c r="BV46" i="18"/>
  <c r="BU46" i="18"/>
  <c r="BR46" i="18"/>
  <c r="BQ46" i="18"/>
  <c r="AW46" i="18"/>
  <c r="AV46" i="18"/>
  <c r="AS46" i="18"/>
  <c r="AR46" i="18"/>
  <c r="X46" i="18"/>
  <c r="W46" i="18"/>
  <c r="T46" i="18"/>
  <c r="T63" i="18" s="1"/>
  <c r="S46" i="18"/>
  <c r="DN35" i="18"/>
  <c r="DG35" i="18"/>
  <c r="DE35" i="18"/>
  <c r="DC35" i="18"/>
  <c r="CZ35" i="18"/>
  <c r="CX35" i="18"/>
  <c r="CO35" i="18"/>
  <c r="CH35" i="18"/>
  <c r="CF35" i="18"/>
  <c r="CD35" i="18"/>
  <c r="CA35" i="18"/>
  <c r="BY35" i="18"/>
  <c r="BP35" i="18"/>
  <c r="BI35" i="18"/>
  <c r="BG35" i="18"/>
  <c r="BE35" i="18"/>
  <c r="BB35" i="18"/>
  <c r="AZ35" i="18"/>
  <c r="AQ35" i="18"/>
  <c r="AJ35" i="18"/>
  <c r="AH35" i="18"/>
  <c r="AF35" i="18"/>
  <c r="AC35" i="18"/>
  <c r="AA35" i="18"/>
  <c r="R34" i="18"/>
  <c r="R142" i="18" s="1"/>
  <c r="K34" i="18"/>
  <c r="EF106" i="18" s="1"/>
  <c r="I34" i="18"/>
  <c r="AH142" i="18" s="1"/>
  <c r="G34" i="18"/>
  <c r="EB106" i="18" s="1"/>
  <c r="D34" i="18"/>
  <c r="AC142" i="18" s="1"/>
  <c r="B34" i="18"/>
  <c r="DW106" i="18" s="1"/>
  <c r="DN27" i="18"/>
  <c r="DM27" i="18"/>
  <c r="DL27" i="18"/>
  <c r="DK27" i="18"/>
  <c r="DJ27" i="18"/>
  <c r="DI27" i="18"/>
  <c r="DH27" i="18"/>
  <c r="DG27" i="18"/>
  <c r="DF27" i="18"/>
  <c r="DE27" i="18"/>
  <c r="DD27" i="18"/>
  <c r="DC27" i="18"/>
  <c r="DB27" i="18"/>
  <c r="DA27" i="18"/>
  <c r="CZ27" i="18"/>
  <c r="CY27" i="18"/>
  <c r="CO27" i="18"/>
  <c r="CN27" i="18"/>
  <c r="CM27" i="18"/>
  <c r="CL27" i="18"/>
  <c r="CK27" i="18"/>
  <c r="CJ27" i="18"/>
  <c r="CI27" i="18"/>
  <c r="CH27" i="18"/>
  <c r="CG27" i="18"/>
  <c r="CF27" i="18"/>
  <c r="CE27" i="18"/>
  <c r="CD27" i="18"/>
  <c r="CC27" i="18"/>
  <c r="CB27" i="18"/>
  <c r="CA27" i="18"/>
  <c r="BZ27" i="18"/>
  <c r="BP27" i="18"/>
  <c r="BO27" i="18"/>
  <c r="BN27" i="18"/>
  <c r="BM27" i="18"/>
  <c r="BL27" i="18"/>
  <c r="BK27" i="18"/>
  <c r="BJ27" i="18"/>
  <c r="BI27" i="18"/>
  <c r="BH27" i="18"/>
  <c r="BG27" i="18"/>
  <c r="BF27" i="18"/>
  <c r="BE27" i="18"/>
  <c r="BD27" i="18"/>
  <c r="BC27" i="18"/>
  <c r="BB27" i="18"/>
  <c r="BA27" i="18"/>
  <c r="AQ27" i="18"/>
  <c r="AP27" i="18"/>
  <c r="AO27" i="18"/>
  <c r="AN27" i="18"/>
  <c r="AM27" i="18"/>
  <c r="AL27" i="18"/>
  <c r="AK27" i="18"/>
  <c r="AJ27" i="18"/>
  <c r="AI27" i="18"/>
  <c r="AH27" i="18"/>
  <c r="AG27" i="18"/>
  <c r="AF27" i="18"/>
  <c r="AE27" i="18"/>
  <c r="AD27" i="18"/>
  <c r="AC27" i="18"/>
  <c r="AB27" i="18"/>
  <c r="R27" i="18"/>
  <c r="Q27" i="18"/>
  <c r="P27" i="18"/>
  <c r="O27" i="18"/>
  <c r="N27" i="18"/>
  <c r="M27" i="18"/>
  <c r="L27" i="18"/>
  <c r="K27" i="18"/>
  <c r="J27" i="18"/>
  <c r="I27" i="18"/>
  <c r="H27" i="18"/>
  <c r="G27" i="18"/>
  <c r="F27" i="18"/>
  <c r="E27" i="18"/>
  <c r="D27" i="18"/>
  <c r="C27" i="18"/>
  <c r="DT25" i="18"/>
  <c r="DS25" i="18"/>
  <c r="DP25" i="18"/>
  <c r="DO25" i="18"/>
  <c r="CU25" i="18"/>
  <c r="CT25" i="18"/>
  <c r="CQ25" i="18"/>
  <c r="CP25" i="18"/>
  <c r="CR25" i="18" s="1"/>
  <c r="BV25" i="18"/>
  <c r="BU25" i="18"/>
  <c r="BR25" i="18"/>
  <c r="BQ25" i="18"/>
  <c r="AW25" i="18"/>
  <c r="AV25" i="18"/>
  <c r="AS25" i="18"/>
  <c r="AR25" i="18"/>
  <c r="AT25" i="18" s="1"/>
  <c r="X25" i="18"/>
  <c r="W25" i="18"/>
  <c r="T25" i="18"/>
  <c r="S25" i="18"/>
  <c r="U25" i="18" s="1"/>
  <c r="B25" i="18"/>
  <c r="AA133" i="18" s="1"/>
  <c r="DT24" i="18"/>
  <c r="DS24" i="18"/>
  <c r="DP24" i="18"/>
  <c r="DO24" i="18"/>
  <c r="DQ24" i="18" s="1"/>
  <c r="CU24" i="18"/>
  <c r="CT24" i="18"/>
  <c r="CQ24" i="18"/>
  <c r="CP24" i="18"/>
  <c r="CR24" i="18" s="1"/>
  <c r="BV24" i="18"/>
  <c r="BU24" i="18"/>
  <c r="BR24" i="18"/>
  <c r="BQ24" i="18"/>
  <c r="AW24" i="18"/>
  <c r="AV24" i="18"/>
  <c r="AS24" i="18"/>
  <c r="AR24" i="18"/>
  <c r="AT24" i="18" s="1"/>
  <c r="X24" i="18"/>
  <c r="W24" i="18"/>
  <c r="T24" i="18"/>
  <c r="S24" i="18"/>
  <c r="U24" i="18" s="1"/>
  <c r="B24" i="18"/>
  <c r="BY96" i="18" s="1"/>
  <c r="DT23" i="18"/>
  <c r="DS23" i="18"/>
  <c r="DP23" i="18"/>
  <c r="DO23" i="18"/>
  <c r="CU23" i="18"/>
  <c r="CT23" i="18"/>
  <c r="CQ23" i="18"/>
  <c r="CP23" i="18"/>
  <c r="CR23" i="18" s="1"/>
  <c r="BV23" i="18"/>
  <c r="BU23" i="18"/>
  <c r="BR23" i="18"/>
  <c r="BQ23" i="18"/>
  <c r="AW23" i="18"/>
  <c r="AV23" i="18"/>
  <c r="AS23" i="18"/>
  <c r="AR23" i="18"/>
  <c r="X23" i="18"/>
  <c r="W23" i="18"/>
  <c r="T23" i="18"/>
  <c r="S23" i="18"/>
  <c r="U23" i="18" s="1"/>
  <c r="B23" i="18"/>
  <c r="AA131" i="18" s="1"/>
  <c r="DT22" i="18"/>
  <c r="DS22" i="18"/>
  <c r="DP22" i="18"/>
  <c r="DO22" i="18"/>
  <c r="DQ22" i="18" s="1"/>
  <c r="CU22" i="18"/>
  <c r="CT22" i="18"/>
  <c r="CQ22" i="18"/>
  <c r="CP22" i="18"/>
  <c r="BV22" i="18"/>
  <c r="BU22" i="18"/>
  <c r="BR22" i="18"/>
  <c r="BQ22" i="18"/>
  <c r="BS22" i="18" s="1"/>
  <c r="AW22" i="18"/>
  <c r="AV22" i="18"/>
  <c r="AS22" i="18"/>
  <c r="AR22" i="18"/>
  <c r="X22" i="18"/>
  <c r="W22" i="18"/>
  <c r="T22" i="18"/>
  <c r="S22" i="18"/>
  <c r="U22" i="18" s="1"/>
  <c r="B22" i="18"/>
  <c r="AA130" i="18" s="1"/>
  <c r="DT21" i="18"/>
  <c r="DS21" i="18"/>
  <c r="DP21" i="18"/>
  <c r="DO21" i="18"/>
  <c r="CU21" i="18"/>
  <c r="CT21" i="18"/>
  <c r="CQ21" i="18"/>
  <c r="CP21" i="18"/>
  <c r="CR21" i="18" s="1"/>
  <c r="BV21" i="18"/>
  <c r="BU21" i="18"/>
  <c r="BR21" i="18"/>
  <c r="BQ21" i="18"/>
  <c r="AW21" i="18"/>
  <c r="AV21" i="18"/>
  <c r="AS21" i="18"/>
  <c r="AR21" i="18"/>
  <c r="AT21" i="18" s="1"/>
  <c r="X21" i="18"/>
  <c r="W21" i="18"/>
  <c r="T21" i="18"/>
  <c r="S21" i="18"/>
  <c r="U21" i="18" s="1"/>
  <c r="B21" i="18"/>
  <c r="DW93" i="18" s="1"/>
  <c r="DT20" i="18"/>
  <c r="DS20" i="18"/>
  <c r="DP20" i="18"/>
  <c r="DO20" i="18"/>
  <c r="DQ20" i="18" s="1"/>
  <c r="CU20" i="18"/>
  <c r="CT20" i="18"/>
  <c r="CQ20" i="18"/>
  <c r="CP20" i="18"/>
  <c r="CR20" i="18" s="1"/>
  <c r="BV20" i="18"/>
  <c r="BU20" i="18"/>
  <c r="BR20" i="18"/>
  <c r="BQ20" i="18"/>
  <c r="BS20" i="18" s="1"/>
  <c r="AW20" i="18"/>
  <c r="AV20" i="18"/>
  <c r="AS20" i="18"/>
  <c r="AR20" i="18"/>
  <c r="AT20" i="18" s="1"/>
  <c r="X20" i="18"/>
  <c r="W20" i="18"/>
  <c r="T20" i="18"/>
  <c r="S20" i="18"/>
  <c r="U20" i="18" s="1"/>
  <c r="B20" i="18"/>
  <c r="B128" i="18" s="1"/>
  <c r="DT19" i="18"/>
  <c r="DS19" i="18"/>
  <c r="DP19" i="18"/>
  <c r="DO19" i="18"/>
  <c r="DQ19" i="18" s="1"/>
  <c r="CU19" i="18"/>
  <c r="CT19" i="18"/>
  <c r="CQ19" i="18"/>
  <c r="CP19" i="18"/>
  <c r="BV19" i="18"/>
  <c r="BU19" i="18"/>
  <c r="BR19" i="18"/>
  <c r="BQ19" i="18"/>
  <c r="BS19" i="18" s="1"/>
  <c r="AW19" i="18"/>
  <c r="AV19" i="18"/>
  <c r="AS19" i="18"/>
  <c r="AR19" i="18"/>
  <c r="X19" i="18"/>
  <c r="W19" i="18"/>
  <c r="T19" i="18"/>
  <c r="S19" i="18"/>
  <c r="U19" i="18" s="1"/>
  <c r="B19" i="18"/>
  <c r="CX91" i="18" s="1"/>
  <c r="DT18" i="18"/>
  <c r="DS18" i="18"/>
  <c r="DP18" i="18"/>
  <c r="DO18" i="18"/>
  <c r="DQ18" i="18" s="1"/>
  <c r="CU18" i="18"/>
  <c r="CT18" i="18"/>
  <c r="CQ18" i="18"/>
  <c r="CP18" i="18"/>
  <c r="BV18" i="18"/>
  <c r="BU18" i="18"/>
  <c r="BR18" i="18"/>
  <c r="BQ18" i="18"/>
  <c r="AW18" i="18"/>
  <c r="AV18" i="18"/>
  <c r="AS18" i="18"/>
  <c r="AR18" i="18"/>
  <c r="AT18" i="18" s="1"/>
  <c r="X18" i="18"/>
  <c r="W18" i="18"/>
  <c r="T18" i="18"/>
  <c r="S18" i="18"/>
  <c r="U18" i="18" s="1"/>
  <c r="B18" i="18"/>
  <c r="AA126" i="18" s="1"/>
  <c r="DT17" i="18"/>
  <c r="DS17" i="18"/>
  <c r="DP17" i="18"/>
  <c r="DO17" i="18"/>
  <c r="CU17" i="18"/>
  <c r="CT17" i="18"/>
  <c r="CQ17" i="18"/>
  <c r="CP17" i="18"/>
  <c r="CR17" i="18" s="1"/>
  <c r="BV17" i="18"/>
  <c r="BU17" i="18"/>
  <c r="BR17" i="18"/>
  <c r="BQ17" i="18"/>
  <c r="BS17" i="18" s="1"/>
  <c r="AW17" i="18"/>
  <c r="AV17" i="18"/>
  <c r="AS17" i="18"/>
  <c r="AR17" i="18"/>
  <c r="AT17" i="18" s="1"/>
  <c r="X17" i="18"/>
  <c r="W17" i="18"/>
  <c r="T17" i="18"/>
  <c r="S17" i="18"/>
  <c r="B17" i="18"/>
  <c r="AA125" i="18" s="1"/>
  <c r="DT16" i="18"/>
  <c r="DS16" i="18"/>
  <c r="DP16" i="18"/>
  <c r="DO16" i="18"/>
  <c r="DQ16" i="18" s="1"/>
  <c r="CU16" i="18"/>
  <c r="CT16" i="18"/>
  <c r="CQ16" i="18"/>
  <c r="CP16" i="18"/>
  <c r="CR16" i="18" s="1"/>
  <c r="BV16" i="18"/>
  <c r="BU16" i="18"/>
  <c r="BR16" i="18"/>
  <c r="BQ16" i="18"/>
  <c r="BS16" i="18" s="1"/>
  <c r="AW16" i="18"/>
  <c r="AV16" i="18"/>
  <c r="AS16" i="18"/>
  <c r="AR16" i="18"/>
  <c r="AT16" i="18" s="1"/>
  <c r="X16" i="18"/>
  <c r="W16" i="18"/>
  <c r="T16" i="18"/>
  <c r="S16" i="18"/>
  <c r="U16" i="18" s="1"/>
  <c r="B16" i="18"/>
  <c r="B124" i="18" s="1"/>
  <c r="DT15" i="18"/>
  <c r="DS15" i="18"/>
  <c r="DP15" i="18"/>
  <c r="DO15" i="18"/>
  <c r="CU15" i="18"/>
  <c r="CT15" i="18"/>
  <c r="CQ15" i="18"/>
  <c r="CP15" i="18"/>
  <c r="CR15" i="18" s="1"/>
  <c r="BV15" i="18"/>
  <c r="BU15" i="18"/>
  <c r="BR15" i="18"/>
  <c r="BQ15" i="18"/>
  <c r="BS15" i="18" s="1"/>
  <c r="AW15" i="18"/>
  <c r="AV15" i="18"/>
  <c r="AS15" i="18"/>
  <c r="AR15" i="18"/>
  <c r="AT15" i="18" s="1"/>
  <c r="X15" i="18"/>
  <c r="W15" i="18"/>
  <c r="T15" i="18"/>
  <c r="S15" i="18"/>
  <c r="U15" i="18" s="1"/>
  <c r="B15" i="18"/>
  <c r="AA123" i="18" s="1"/>
  <c r="DT14" i="18"/>
  <c r="DS14" i="18"/>
  <c r="DP14" i="18"/>
  <c r="DO14" i="18"/>
  <c r="CU14" i="18"/>
  <c r="CT14" i="18"/>
  <c r="CQ14" i="18"/>
  <c r="CP14" i="18"/>
  <c r="CR14" i="18" s="1"/>
  <c r="BV14" i="18"/>
  <c r="BU14" i="18"/>
  <c r="BR14" i="18"/>
  <c r="BQ14" i="18"/>
  <c r="BS14" i="18" s="1"/>
  <c r="AW14" i="18"/>
  <c r="AV14" i="18"/>
  <c r="AS14" i="18"/>
  <c r="AR14" i="18"/>
  <c r="X14" i="18"/>
  <c r="W14" i="18"/>
  <c r="T14" i="18"/>
  <c r="S14" i="18"/>
  <c r="U14" i="18" s="1"/>
  <c r="B14" i="18"/>
  <c r="AA122" i="18" s="1"/>
  <c r="DT13" i="18"/>
  <c r="DS13" i="18"/>
  <c r="DP13" i="18"/>
  <c r="DO13" i="18"/>
  <c r="DQ13" i="18" s="1"/>
  <c r="CU13" i="18"/>
  <c r="CT13" i="18"/>
  <c r="CQ13" i="18"/>
  <c r="CP13" i="18"/>
  <c r="CR13" i="18" s="1"/>
  <c r="BV13" i="18"/>
  <c r="BU13" i="18"/>
  <c r="BR13" i="18"/>
  <c r="BQ13" i="18"/>
  <c r="AW13" i="18"/>
  <c r="AV13" i="18"/>
  <c r="AS13" i="18"/>
  <c r="AR13" i="18"/>
  <c r="AT13" i="18" s="1"/>
  <c r="X13" i="18"/>
  <c r="W13" i="18"/>
  <c r="T13" i="18"/>
  <c r="S13" i="18"/>
  <c r="B13" i="18"/>
  <c r="DW85" i="18" s="1"/>
  <c r="DT12" i="18"/>
  <c r="DS12" i="18"/>
  <c r="DP12" i="18"/>
  <c r="DO12" i="18"/>
  <c r="DQ12" i="18" s="1"/>
  <c r="CU12" i="18"/>
  <c r="CT12" i="18"/>
  <c r="CQ12" i="18"/>
  <c r="CP12" i="18"/>
  <c r="BV12" i="18"/>
  <c r="BU12" i="18"/>
  <c r="BR12" i="18"/>
  <c r="BQ12" i="18"/>
  <c r="BS12" i="18" s="1"/>
  <c r="AW12" i="18"/>
  <c r="AV12" i="18"/>
  <c r="AS12" i="18"/>
  <c r="AR12" i="18"/>
  <c r="AT12" i="18" s="1"/>
  <c r="X12" i="18"/>
  <c r="W12" i="18"/>
  <c r="T12" i="18"/>
  <c r="S12" i="18"/>
  <c r="U12" i="18" s="1"/>
  <c r="B12" i="18"/>
  <c r="B120" i="18" s="1"/>
  <c r="DT11" i="18"/>
  <c r="DS11" i="18"/>
  <c r="DP11" i="18"/>
  <c r="DO11" i="18"/>
  <c r="CU11" i="18"/>
  <c r="CT11" i="18"/>
  <c r="CQ11" i="18"/>
  <c r="CP11" i="18"/>
  <c r="CR11" i="18" s="1"/>
  <c r="BV11" i="18"/>
  <c r="BU11" i="18"/>
  <c r="BR11" i="18"/>
  <c r="BQ11" i="18"/>
  <c r="AW11" i="18"/>
  <c r="AV11" i="18"/>
  <c r="AS11" i="18"/>
  <c r="AR11" i="18"/>
  <c r="AT11" i="18" s="1"/>
  <c r="X11" i="18"/>
  <c r="W11" i="18"/>
  <c r="T11" i="18"/>
  <c r="S11" i="18"/>
  <c r="U11" i="18" s="1"/>
  <c r="B11" i="18"/>
  <c r="BY83" i="18" s="1"/>
  <c r="DT10" i="18"/>
  <c r="DS10" i="18"/>
  <c r="DP10" i="18"/>
  <c r="DO10" i="18"/>
  <c r="CU10" i="18"/>
  <c r="CT10" i="18"/>
  <c r="CQ10" i="18"/>
  <c r="CP10" i="18"/>
  <c r="CR10" i="18" s="1"/>
  <c r="BV10" i="18"/>
  <c r="BU10" i="18"/>
  <c r="BR10" i="18"/>
  <c r="BQ10" i="18"/>
  <c r="BS10" i="18" s="1"/>
  <c r="AW10" i="18"/>
  <c r="AV10" i="18"/>
  <c r="AS10" i="18"/>
  <c r="AR10" i="18"/>
  <c r="AT10" i="18" s="1"/>
  <c r="X10" i="18"/>
  <c r="W10" i="18"/>
  <c r="T10" i="18"/>
  <c r="S10" i="18"/>
  <c r="U10" i="18" s="1"/>
  <c r="B10" i="18"/>
  <c r="AA118" i="18" s="1"/>
  <c r="C6" i="18"/>
  <c r="C114" i="18" s="1"/>
  <c r="C5" i="18"/>
  <c r="C113" i="18" s="1"/>
  <c r="C4" i="18"/>
  <c r="AB112" i="18" s="1"/>
  <c r="T81" i="13"/>
  <c r="C81" i="13"/>
  <c r="F37" i="69"/>
  <c r="D38" i="66" s="1"/>
  <c r="G65" i="162"/>
  <c r="F57" i="69"/>
  <c r="S71" i="13"/>
  <c r="R71" i="13"/>
  <c r="I71" i="13"/>
  <c r="S70" i="13"/>
  <c r="R70" i="13"/>
  <c r="I70" i="13"/>
  <c r="S69" i="13"/>
  <c r="R69" i="13"/>
  <c r="I69" i="13"/>
  <c r="S68" i="13"/>
  <c r="R68" i="13"/>
  <c r="I68" i="13"/>
  <c r="S67" i="13"/>
  <c r="R67" i="13"/>
  <c r="I67" i="13"/>
  <c r="S66" i="13"/>
  <c r="R66" i="13"/>
  <c r="I66" i="13"/>
  <c r="J66" i="13" s="1"/>
  <c r="S65" i="13"/>
  <c r="R65" i="13"/>
  <c r="I65" i="13"/>
  <c r="S64" i="13"/>
  <c r="R64" i="13"/>
  <c r="I64" i="13"/>
  <c r="J64" i="13" s="1"/>
  <c r="S63" i="13"/>
  <c r="R63" i="13"/>
  <c r="I63" i="13"/>
  <c r="S62" i="13"/>
  <c r="R62" i="13"/>
  <c r="I62" i="13"/>
  <c r="S61" i="13"/>
  <c r="R61" i="13"/>
  <c r="I61" i="13"/>
  <c r="J61" i="13" s="1"/>
  <c r="S60" i="13"/>
  <c r="R60" i="13"/>
  <c r="I60" i="13"/>
  <c r="S59" i="13"/>
  <c r="R59" i="13"/>
  <c r="I59" i="13"/>
  <c r="S58" i="13"/>
  <c r="R58" i="13"/>
  <c r="I58" i="13"/>
  <c r="J58" i="13" s="1"/>
  <c r="L58" i="13" s="1"/>
  <c r="S57" i="13"/>
  <c r="R57" i="13"/>
  <c r="I57" i="13"/>
  <c r="J57" i="13" s="1"/>
  <c r="I56" i="13"/>
  <c r="J56" i="13" s="1"/>
  <c r="I55" i="13"/>
  <c r="I54" i="13"/>
  <c r="J54" i="13" s="1"/>
  <c r="L54" i="13" s="1"/>
  <c r="S54" i="13" s="1"/>
  <c r="I53" i="13"/>
  <c r="I52" i="13"/>
  <c r="J52" i="13" s="1"/>
  <c r="I51" i="13"/>
  <c r="I50" i="13"/>
  <c r="J50" i="13" s="1"/>
  <c r="L50" i="13" s="1"/>
  <c r="S50" i="13" s="1"/>
  <c r="I49" i="13"/>
  <c r="J49" i="13" s="1"/>
  <c r="I48" i="13"/>
  <c r="I47" i="13"/>
  <c r="I46" i="13"/>
  <c r="J46" i="13" s="1"/>
  <c r="L46" i="13" s="1"/>
  <c r="R46" i="13" s="1"/>
  <c r="I45" i="13"/>
  <c r="I44" i="13"/>
  <c r="J44" i="13" s="1"/>
  <c r="L44" i="13" s="1"/>
  <c r="S44" i="13" s="1"/>
  <c r="I43" i="13"/>
  <c r="J43" i="13" s="1"/>
  <c r="I42" i="13"/>
  <c r="I41" i="13"/>
  <c r="I40" i="13"/>
  <c r="J40" i="13" s="1"/>
  <c r="I39" i="13"/>
  <c r="I38" i="13"/>
  <c r="J38" i="13" s="1"/>
  <c r="L38" i="13" s="1"/>
  <c r="I37" i="13"/>
  <c r="J37" i="13" s="1"/>
  <c r="I36" i="13"/>
  <c r="I35" i="13"/>
  <c r="I34" i="13"/>
  <c r="I33" i="13"/>
  <c r="I32" i="13"/>
  <c r="I31" i="13"/>
  <c r="I30" i="13"/>
  <c r="I29" i="13"/>
  <c r="I28" i="13"/>
  <c r="J28" i="13" s="1"/>
  <c r="I27" i="13"/>
  <c r="I26" i="13"/>
  <c r="J26" i="13" s="1"/>
  <c r="I25" i="13"/>
  <c r="J25" i="13" s="1"/>
  <c r="L25" i="13" s="1"/>
  <c r="S25" i="13" s="1"/>
  <c r="I24" i="13"/>
  <c r="J24" i="13" s="1"/>
  <c r="I23" i="13"/>
  <c r="J23" i="13" s="1"/>
  <c r="R23" i="13" s="1"/>
  <c r="L23" i="13" s="1"/>
  <c r="S23" i="13" s="1"/>
  <c r="I22" i="13"/>
  <c r="I21" i="13"/>
  <c r="J21" i="13" s="1"/>
  <c r="I20" i="13"/>
  <c r="I19" i="13"/>
  <c r="J19" i="13" s="1"/>
  <c r="R19" i="13" s="1"/>
  <c r="L19" i="13" s="1"/>
  <c r="I18" i="13"/>
  <c r="J18" i="13" s="1"/>
  <c r="S18" i="13" s="1"/>
  <c r="I17" i="13"/>
  <c r="J17" i="13" s="1"/>
  <c r="I16" i="13"/>
  <c r="J16" i="13" s="1"/>
  <c r="I15" i="13"/>
  <c r="I14" i="13"/>
  <c r="J14" i="13" s="1"/>
  <c r="R14" i="13" s="1"/>
  <c r="L14" i="13" s="1"/>
  <c r="I13" i="13"/>
  <c r="B13" i="13"/>
  <c r="B14" i="13" s="1"/>
  <c r="I12" i="13"/>
  <c r="E6" i="13"/>
  <c r="E5" i="13"/>
  <c r="E4" i="13"/>
  <c r="N38" i="40"/>
  <c r="C38" i="40"/>
  <c r="J28" i="40"/>
  <c r="F36" i="69" s="1"/>
  <c r="F28" i="40"/>
  <c r="L26" i="40"/>
  <c r="K26" i="40"/>
  <c r="I26" i="40"/>
  <c r="L25" i="40"/>
  <c r="K25" i="40"/>
  <c r="I25" i="40"/>
  <c r="L24" i="40"/>
  <c r="K24" i="40"/>
  <c r="I24" i="40"/>
  <c r="L23" i="40"/>
  <c r="K23" i="40"/>
  <c r="I23" i="40"/>
  <c r="L22" i="40"/>
  <c r="K22" i="40"/>
  <c r="I22" i="40"/>
  <c r="L21" i="40"/>
  <c r="K21" i="40"/>
  <c r="I21" i="40"/>
  <c r="L20" i="40"/>
  <c r="K20" i="40"/>
  <c r="I20" i="40"/>
  <c r="L19" i="40"/>
  <c r="K19" i="40"/>
  <c r="I19" i="40"/>
  <c r="L18" i="40"/>
  <c r="K18" i="40"/>
  <c r="I18" i="40"/>
  <c r="L17" i="40"/>
  <c r="K17" i="40"/>
  <c r="I17" i="40"/>
  <c r="L16" i="40"/>
  <c r="K16" i="40"/>
  <c r="I16" i="40"/>
  <c r="L15" i="40"/>
  <c r="K15" i="40"/>
  <c r="I15" i="40"/>
  <c r="L14" i="40"/>
  <c r="K14" i="40"/>
  <c r="I14" i="40"/>
  <c r="I13" i="40"/>
  <c r="L13" i="40" s="1"/>
  <c r="L12" i="40"/>
  <c r="K12" i="40"/>
  <c r="I12" i="40"/>
  <c r="E6" i="40"/>
  <c r="E5" i="40"/>
  <c r="E4" i="40"/>
  <c r="G40" i="167"/>
  <c r="C40" i="167"/>
  <c r="G31" i="167"/>
  <c r="D43" i="67" s="1"/>
  <c r="R11" i="89" s="1"/>
  <c r="H29" i="167"/>
  <c r="H28" i="167"/>
  <c r="H27" i="167"/>
  <c r="H26" i="167"/>
  <c r="H25" i="167"/>
  <c r="H24" i="167"/>
  <c r="H23" i="167"/>
  <c r="G21" i="167"/>
  <c r="D50" i="161" s="1"/>
  <c r="H19" i="167"/>
  <c r="H18" i="167"/>
  <c r="H17" i="167"/>
  <c r="H16" i="167"/>
  <c r="H15" i="167"/>
  <c r="H14" i="167"/>
  <c r="H13" i="167"/>
  <c r="D6" i="167"/>
  <c r="D5" i="167"/>
  <c r="D4" i="167"/>
  <c r="I39" i="64"/>
  <c r="C39" i="64"/>
  <c r="J28" i="64"/>
  <c r="J29" i="64" s="1"/>
  <c r="I28" i="64"/>
  <c r="H28" i="64"/>
  <c r="G28" i="64"/>
  <c r="G29" i="64" s="1"/>
  <c r="F28" i="64"/>
  <c r="F29" i="64" s="1"/>
  <c r="E28" i="64"/>
  <c r="K11" i="64"/>
  <c r="I6" i="64"/>
  <c r="C6" i="64"/>
  <c r="C5" i="64"/>
  <c r="I4" i="64"/>
  <c r="C4" i="64"/>
  <c r="I39" i="63"/>
  <c r="C39" i="63"/>
  <c r="J28" i="63"/>
  <c r="I28" i="63"/>
  <c r="H28" i="63"/>
  <c r="G28" i="63"/>
  <c r="D44" i="68" s="1"/>
  <c r="F28" i="63"/>
  <c r="E28" i="63"/>
  <c r="D28" i="68" s="1"/>
  <c r="K11" i="63"/>
  <c r="I6" i="63"/>
  <c r="C6" i="63"/>
  <c r="C5" i="63"/>
  <c r="I4" i="63"/>
  <c r="C4" i="63"/>
  <c r="J39" i="77"/>
  <c r="C39" i="77"/>
  <c r="K28" i="77"/>
  <c r="J28" i="77"/>
  <c r="I28" i="77"/>
  <c r="I29" i="77" s="1"/>
  <c r="H28" i="77"/>
  <c r="D42" i="68" s="1"/>
  <c r="G28" i="77"/>
  <c r="F28" i="77"/>
  <c r="F29" i="77" s="1"/>
  <c r="E28" i="77"/>
  <c r="D26" i="68" s="1"/>
  <c r="L11" i="77"/>
  <c r="L12" i="77" s="1"/>
  <c r="J6" i="77"/>
  <c r="C6" i="77"/>
  <c r="C5" i="77"/>
  <c r="J4" i="77"/>
  <c r="C4" i="77"/>
  <c r="J39" i="53"/>
  <c r="C39" i="53"/>
  <c r="K28" i="53"/>
  <c r="J28" i="53"/>
  <c r="J29" i="53" s="1"/>
  <c r="I28" i="53"/>
  <c r="I29" i="53" s="1"/>
  <c r="H28" i="53"/>
  <c r="G28" i="53"/>
  <c r="G29" i="53" s="1"/>
  <c r="F28" i="53"/>
  <c r="E28" i="53"/>
  <c r="L11" i="53"/>
  <c r="L12" i="53" s="1"/>
  <c r="J6" i="53"/>
  <c r="C6" i="53"/>
  <c r="C5" i="53"/>
  <c r="J4" i="53"/>
  <c r="C4" i="53"/>
  <c r="I39" i="78"/>
  <c r="C39" i="78"/>
  <c r="J28" i="78"/>
  <c r="I28" i="78"/>
  <c r="H28" i="78"/>
  <c r="G28" i="78"/>
  <c r="G29" i="78" s="1"/>
  <c r="F28" i="78"/>
  <c r="E28" i="78"/>
  <c r="D27" i="68" s="1"/>
  <c r="P12" i="91" s="1"/>
  <c r="K11" i="78"/>
  <c r="I6" i="78"/>
  <c r="C6" i="78"/>
  <c r="C5" i="78"/>
  <c r="I4" i="78"/>
  <c r="C4" i="78"/>
  <c r="J39" i="59"/>
  <c r="C39" i="59"/>
  <c r="K28" i="59"/>
  <c r="J28" i="59"/>
  <c r="J29" i="59" s="1"/>
  <c r="I28" i="59"/>
  <c r="H28" i="59"/>
  <c r="H29" i="59" s="1"/>
  <c r="G28" i="59"/>
  <c r="F28" i="59"/>
  <c r="E28" i="59"/>
  <c r="L11" i="59"/>
  <c r="J6" i="59"/>
  <c r="C6" i="59"/>
  <c r="C5" i="59"/>
  <c r="J4" i="59"/>
  <c r="C4" i="59"/>
  <c r="J39" i="58"/>
  <c r="I41" i="169" s="1"/>
  <c r="C39" i="58"/>
  <c r="F41" i="169" s="1"/>
  <c r="K28" i="58"/>
  <c r="J28" i="58"/>
  <c r="I28" i="58"/>
  <c r="H28" i="58"/>
  <c r="D39" i="68" s="1"/>
  <c r="G28" i="58"/>
  <c r="F28" i="58"/>
  <c r="F29" i="58" s="1"/>
  <c r="E28" i="58"/>
  <c r="E29" i="58" s="1"/>
  <c r="E30" i="58" s="1"/>
  <c r="L11" i="58"/>
  <c r="J6" i="58"/>
  <c r="C6" i="58"/>
  <c r="C5" i="58"/>
  <c r="J4" i="58"/>
  <c r="I4" i="169" s="1"/>
  <c r="C4" i="58"/>
  <c r="I39" i="86"/>
  <c r="C39" i="86"/>
  <c r="J28" i="86"/>
  <c r="H55" i="69" s="1"/>
  <c r="F51" i="66" s="1"/>
  <c r="I28" i="86"/>
  <c r="H49" i="69" s="1"/>
  <c r="F47" i="66" s="1"/>
  <c r="E47" i="66" s="1"/>
  <c r="H28" i="86"/>
  <c r="G28" i="86"/>
  <c r="H24" i="69" s="1"/>
  <c r="F23" i="66" s="1"/>
  <c r="E23" i="66" s="1"/>
  <c r="F28" i="86"/>
  <c r="F29" i="86" s="1"/>
  <c r="F30" i="86" s="1"/>
  <c r="E28" i="86"/>
  <c r="E29" i="86" s="1"/>
  <c r="K11" i="86"/>
  <c r="K12" i="86" s="1"/>
  <c r="I6" i="86"/>
  <c r="C6" i="86"/>
  <c r="C5" i="86"/>
  <c r="I4" i="86"/>
  <c r="C4" i="86"/>
  <c r="I61" i="57"/>
  <c r="C61" i="57"/>
  <c r="H54" i="69"/>
  <c r="F50" i="66" s="1"/>
  <c r="H48" i="69"/>
  <c r="I48" i="69" s="1"/>
  <c r="H23" i="69"/>
  <c r="I23" i="69" s="1"/>
  <c r="J23" i="69" s="1"/>
  <c r="K11" i="57"/>
  <c r="K12" i="57" s="1"/>
  <c r="K13" i="57" s="1"/>
  <c r="K14" i="57" s="1"/>
  <c r="K15" i="57" s="1"/>
  <c r="K16" i="57" s="1"/>
  <c r="K17" i="57" s="1"/>
  <c r="K18" i="57" s="1"/>
  <c r="K19" i="57" s="1"/>
  <c r="K20" i="57" s="1"/>
  <c r="K21" i="57" s="1"/>
  <c r="K22" i="57" s="1"/>
  <c r="K23" i="57" s="1"/>
  <c r="K24" i="57" s="1"/>
  <c r="K25" i="57" s="1"/>
  <c r="K26" i="57" s="1"/>
  <c r="K27" i="57" s="1"/>
  <c r="I6" i="57"/>
  <c r="C6" i="57"/>
  <c r="C5" i="57"/>
  <c r="I4" i="57"/>
  <c r="C4" i="57"/>
  <c r="I39" i="62"/>
  <c r="C39" i="62"/>
  <c r="J28" i="62"/>
  <c r="H53" i="69" s="1"/>
  <c r="F49" i="66" s="1"/>
  <c r="E49" i="66" s="1"/>
  <c r="G49" i="66" s="1"/>
  <c r="X11" i="90" s="1"/>
  <c r="I28" i="62"/>
  <c r="H53" i="162" s="1"/>
  <c r="H28" i="62"/>
  <c r="H29" i="62" s="1"/>
  <c r="G28" i="62"/>
  <c r="H22" i="69" s="1"/>
  <c r="F21" i="66" s="1"/>
  <c r="F28" i="62"/>
  <c r="F29" i="62" s="1"/>
  <c r="E28" i="62"/>
  <c r="K11" i="62"/>
  <c r="I6" i="62"/>
  <c r="C6" i="62"/>
  <c r="C5" i="62"/>
  <c r="I4" i="62"/>
  <c r="C4" i="62"/>
  <c r="I41" i="56"/>
  <c r="C41" i="56"/>
  <c r="J30" i="56"/>
  <c r="H52" i="69" s="1"/>
  <c r="F48" i="66" s="1"/>
  <c r="I30" i="56"/>
  <c r="H52" i="162" s="1"/>
  <c r="H30" i="56"/>
  <c r="G30" i="56"/>
  <c r="H21" i="69" s="1"/>
  <c r="I21" i="69" s="1"/>
  <c r="G11" i="88" s="1"/>
  <c r="F30" i="56"/>
  <c r="E30" i="56"/>
  <c r="K11" i="56"/>
  <c r="K12" i="56" s="1"/>
  <c r="K13" i="56" s="1"/>
  <c r="K14" i="56" s="1"/>
  <c r="K15" i="56" s="1"/>
  <c r="K16" i="56" s="1"/>
  <c r="K17" i="56" s="1"/>
  <c r="K18" i="56" s="1"/>
  <c r="K19" i="56" s="1"/>
  <c r="K20" i="56" s="1"/>
  <c r="K21" i="56" s="1"/>
  <c r="K22" i="56" s="1"/>
  <c r="K23" i="56" s="1"/>
  <c r="K24" i="56" s="1"/>
  <c r="K25" i="56" s="1"/>
  <c r="K26" i="56" s="1"/>
  <c r="K27" i="56" s="1"/>
  <c r="K28" i="56" s="1"/>
  <c r="K29" i="56" s="1"/>
  <c r="I6" i="56"/>
  <c r="C6" i="56"/>
  <c r="C5" i="56"/>
  <c r="I4" i="56"/>
  <c r="C4" i="56"/>
  <c r="I39" i="55"/>
  <c r="C39" i="55"/>
  <c r="J28" i="55"/>
  <c r="H60" i="162" s="1"/>
  <c r="I28" i="55"/>
  <c r="H51" i="162" s="1"/>
  <c r="H28" i="55"/>
  <c r="H29" i="55" s="1"/>
  <c r="G28" i="55"/>
  <c r="D37" i="68" s="1"/>
  <c r="F28" i="55"/>
  <c r="E28" i="55"/>
  <c r="D21" i="68" s="1"/>
  <c r="K11" i="55"/>
  <c r="I6" i="55"/>
  <c r="C6" i="55"/>
  <c r="C5" i="55"/>
  <c r="I4" i="55"/>
  <c r="C4" i="55"/>
  <c r="I39" i="61"/>
  <c r="C39" i="61"/>
  <c r="J28" i="61"/>
  <c r="J29" i="61" s="1"/>
  <c r="I28" i="61"/>
  <c r="H50" i="162" s="1"/>
  <c r="H28" i="61"/>
  <c r="G28" i="61"/>
  <c r="D36" i="68" s="1"/>
  <c r="F28" i="61"/>
  <c r="E28" i="61"/>
  <c r="E29" i="61" s="1"/>
  <c r="E30" i="61" s="1"/>
  <c r="K11" i="61"/>
  <c r="I6" i="61"/>
  <c r="C6" i="61"/>
  <c r="C5" i="61"/>
  <c r="I4" i="61"/>
  <c r="C4" i="61"/>
  <c r="J39" i="54"/>
  <c r="C39" i="54"/>
  <c r="K28" i="54"/>
  <c r="H58" i="162" s="1"/>
  <c r="J28" i="54"/>
  <c r="H49" i="162" s="1"/>
  <c r="I28" i="54"/>
  <c r="I29" i="54" s="1"/>
  <c r="H28" i="54"/>
  <c r="H21" i="162" s="1"/>
  <c r="G28" i="54"/>
  <c r="F28" i="54"/>
  <c r="D19" i="68" s="1"/>
  <c r="E28" i="54"/>
  <c r="L11" i="54"/>
  <c r="J6" i="54"/>
  <c r="C6" i="54"/>
  <c r="C5" i="54"/>
  <c r="J4" i="54"/>
  <c r="C4" i="54"/>
  <c r="J45" i="60"/>
  <c r="C45" i="60"/>
  <c r="K34" i="60"/>
  <c r="H57" i="162" s="1"/>
  <c r="J34" i="60"/>
  <c r="H45" i="69" s="1"/>
  <c r="I45" i="69" s="1"/>
  <c r="J45" i="69" s="1"/>
  <c r="I34" i="60"/>
  <c r="H34" i="60"/>
  <c r="H20" i="69" s="1"/>
  <c r="I20" i="69" s="1"/>
  <c r="J20" i="69" s="1"/>
  <c r="G34" i="60"/>
  <c r="F34" i="60"/>
  <c r="D17" i="68" s="1"/>
  <c r="E34" i="60"/>
  <c r="E35" i="60" s="1"/>
  <c r="E36" i="60" s="1"/>
  <c r="L11" i="60"/>
  <c r="J6" i="60"/>
  <c r="C6" i="60"/>
  <c r="C5" i="60"/>
  <c r="J4" i="60"/>
  <c r="C4" i="60"/>
  <c r="J39" i="8"/>
  <c r="C39" i="8"/>
  <c r="K28" i="8"/>
  <c r="H50" i="69" s="1"/>
  <c r="J28" i="8"/>
  <c r="H44" i="69" s="1"/>
  <c r="I28" i="8"/>
  <c r="H28" i="8"/>
  <c r="H19" i="162" s="1"/>
  <c r="G28" i="8"/>
  <c r="G29" i="8" s="1"/>
  <c r="G30" i="8" s="1"/>
  <c r="F28" i="8"/>
  <c r="D15" i="68" s="1"/>
  <c r="E28" i="8"/>
  <c r="D14" i="68" s="1"/>
  <c r="L11" i="8"/>
  <c r="J6" i="8"/>
  <c r="C6" i="8"/>
  <c r="C5" i="8"/>
  <c r="J4" i="8"/>
  <c r="C4" i="8"/>
  <c r="R53" i="51"/>
  <c r="C53" i="51"/>
  <c r="V43" i="51"/>
  <c r="U43" i="51"/>
  <c r="T43" i="51"/>
  <c r="S43" i="51"/>
  <c r="R43" i="51"/>
  <c r="R44" i="51" s="1"/>
  <c r="Q43" i="51"/>
  <c r="P43" i="51"/>
  <c r="O43" i="51"/>
  <c r="N43" i="51"/>
  <c r="M43" i="51"/>
  <c r="L43" i="51"/>
  <c r="K43" i="51"/>
  <c r="J43" i="51"/>
  <c r="J44" i="51" s="1"/>
  <c r="I43" i="51"/>
  <c r="H43" i="51"/>
  <c r="H44" i="51" s="1"/>
  <c r="G43" i="51"/>
  <c r="F43" i="51"/>
  <c r="F44" i="51" s="1"/>
  <c r="E43" i="51"/>
  <c r="W11" i="51"/>
  <c r="C6" i="51"/>
  <c r="C5" i="51"/>
  <c r="S4" i="51"/>
  <c r="C4" i="51"/>
  <c r="R53" i="52"/>
  <c r="C53" i="52"/>
  <c r="V43" i="52"/>
  <c r="U43" i="52"/>
  <c r="T43" i="52"/>
  <c r="T44" i="52" s="1"/>
  <c r="S43" i="52"/>
  <c r="S44" i="52" s="1"/>
  <c r="R43" i="52"/>
  <c r="R44" i="52" s="1"/>
  <c r="Q43" i="52"/>
  <c r="P43" i="52"/>
  <c r="P44" i="52" s="1"/>
  <c r="O43" i="52"/>
  <c r="N43" i="52"/>
  <c r="N44" i="52" s="1"/>
  <c r="M43" i="52"/>
  <c r="L43" i="52"/>
  <c r="K43" i="52"/>
  <c r="K44" i="52" s="1"/>
  <c r="J43" i="52"/>
  <c r="J44" i="52" s="1"/>
  <c r="I43" i="52"/>
  <c r="H43" i="52"/>
  <c r="G43" i="52"/>
  <c r="G44" i="52" s="1"/>
  <c r="F43" i="52"/>
  <c r="E43" i="52"/>
  <c r="E44" i="52" s="1"/>
  <c r="W11" i="52"/>
  <c r="C6" i="52"/>
  <c r="C5" i="52"/>
  <c r="S4" i="52"/>
  <c r="C4" i="52"/>
  <c r="R53" i="79"/>
  <c r="C53" i="79"/>
  <c r="V43" i="79"/>
  <c r="U43" i="79"/>
  <c r="T43" i="79"/>
  <c r="T44" i="79" s="1"/>
  <c r="S43" i="79"/>
  <c r="R43" i="79"/>
  <c r="R44" i="79" s="1"/>
  <c r="Q43" i="79"/>
  <c r="P43" i="79"/>
  <c r="O43" i="79"/>
  <c r="N43" i="79"/>
  <c r="N44" i="79" s="1"/>
  <c r="M43" i="79"/>
  <c r="L43" i="79"/>
  <c r="K43" i="79"/>
  <c r="J43" i="79"/>
  <c r="J44" i="79" s="1"/>
  <c r="I43" i="79"/>
  <c r="H43" i="79"/>
  <c r="H44" i="79" s="1"/>
  <c r="G43" i="79"/>
  <c r="F43" i="79"/>
  <c r="E43" i="79"/>
  <c r="W11" i="79"/>
  <c r="W12" i="79" s="1"/>
  <c r="W13" i="79" s="1"/>
  <c r="C6" i="79"/>
  <c r="C5" i="79"/>
  <c r="S4" i="79"/>
  <c r="C4" i="79"/>
  <c r="R53" i="50"/>
  <c r="C53" i="50"/>
  <c r="V43" i="50"/>
  <c r="U43" i="50"/>
  <c r="T43" i="50"/>
  <c r="T44" i="50" s="1"/>
  <c r="S43" i="50"/>
  <c r="S44" i="50" s="1"/>
  <c r="R43" i="50"/>
  <c r="Q43" i="50"/>
  <c r="P43" i="50"/>
  <c r="O43" i="50"/>
  <c r="O44" i="50" s="1"/>
  <c r="N43" i="50"/>
  <c r="M43" i="50"/>
  <c r="L43" i="50"/>
  <c r="K43" i="50"/>
  <c r="K44" i="50" s="1"/>
  <c r="J43" i="50"/>
  <c r="I43" i="50"/>
  <c r="H43" i="50"/>
  <c r="H44" i="50" s="1"/>
  <c r="G43" i="50"/>
  <c r="G44" i="50" s="1"/>
  <c r="G45" i="50" s="1"/>
  <c r="F43" i="50"/>
  <c r="F44" i="50" s="1"/>
  <c r="E43" i="50"/>
  <c r="W11" i="50"/>
  <c r="C6" i="50"/>
  <c r="C5" i="50"/>
  <c r="S4" i="50"/>
  <c r="C4" i="50"/>
  <c r="N53" i="80"/>
  <c r="C53" i="80"/>
  <c r="R43" i="80"/>
  <c r="Q43" i="80"/>
  <c r="P43" i="80"/>
  <c r="P44" i="80" s="1"/>
  <c r="O43" i="80"/>
  <c r="O44" i="80" s="1"/>
  <c r="N43" i="80"/>
  <c r="M43" i="80"/>
  <c r="L43" i="80"/>
  <c r="K43" i="80"/>
  <c r="K44" i="80" s="1"/>
  <c r="J43" i="80"/>
  <c r="I43" i="80"/>
  <c r="H43" i="80"/>
  <c r="G43" i="80"/>
  <c r="F43" i="80"/>
  <c r="E43" i="80"/>
  <c r="S12" i="80"/>
  <c r="S13" i="80" s="1"/>
  <c r="S14" i="80" s="1"/>
  <c r="S15" i="80" s="1"/>
  <c r="C6" i="80"/>
  <c r="C5" i="80"/>
  <c r="O4" i="80"/>
  <c r="C4" i="80"/>
  <c r="R57" i="20"/>
  <c r="C57" i="20"/>
  <c r="V45" i="20"/>
  <c r="U45" i="20"/>
  <c r="T45" i="20"/>
  <c r="S45" i="20"/>
  <c r="R45" i="20"/>
  <c r="Q45" i="20"/>
  <c r="P45" i="20"/>
  <c r="O45" i="20"/>
  <c r="N45" i="20"/>
  <c r="M45" i="20"/>
  <c r="L45" i="20"/>
  <c r="K45" i="20"/>
  <c r="J45" i="20"/>
  <c r="J46" i="20" s="1"/>
  <c r="I45" i="20"/>
  <c r="H45" i="20"/>
  <c r="G45" i="20"/>
  <c r="F45" i="20"/>
  <c r="F46" i="20" s="1"/>
  <c r="E45" i="20"/>
  <c r="W11" i="20"/>
  <c r="C6" i="20"/>
  <c r="C5" i="20"/>
  <c r="S4" i="20"/>
  <c r="C4" i="20"/>
  <c r="P53" i="6"/>
  <c r="C52" i="6"/>
  <c r="T44" i="6"/>
  <c r="S44" i="6"/>
  <c r="R44" i="6"/>
  <c r="Q44" i="6"/>
  <c r="P44" i="6"/>
  <c r="O44" i="6"/>
  <c r="N44" i="6"/>
  <c r="M44" i="6"/>
  <c r="L44" i="6"/>
  <c r="K44" i="6"/>
  <c r="J44" i="6"/>
  <c r="I44" i="6"/>
  <c r="H44" i="6"/>
  <c r="G44" i="6"/>
  <c r="F44" i="6"/>
  <c r="E44" i="6"/>
  <c r="E45" i="6" s="1"/>
  <c r="U13" i="6"/>
  <c r="C7" i="6"/>
  <c r="C6" i="6"/>
  <c r="P5" i="6"/>
  <c r="M5" i="168" s="1"/>
  <c r="C5" i="6"/>
  <c r="L49" i="85"/>
  <c r="B49" i="85"/>
  <c r="M40" i="85"/>
  <c r="L40" i="85"/>
  <c r="K40" i="85"/>
  <c r="K41" i="85" s="1"/>
  <c r="J40" i="85"/>
  <c r="I40" i="85"/>
  <c r="I41" i="85" s="1"/>
  <c r="H40" i="85"/>
  <c r="G40" i="85"/>
  <c r="F40" i="85"/>
  <c r="E40" i="85"/>
  <c r="H15" i="69" s="1"/>
  <c r="I15" i="69" s="1"/>
  <c r="J15" i="69" s="1"/>
  <c r="D40" i="85"/>
  <c r="D41" i="85" s="1"/>
  <c r="N12" i="85"/>
  <c r="B7" i="85"/>
  <c r="B6" i="85"/>
  <c r="L5" i="85"/>
  <c r="B5" i="85"/>
  <c r="H14" i="162"/>
  <c r="H26" i="114" l="1"/>
  <c r="G26" i="114" s="1"/>
  <c r="F26" i="114" s="1"/>
  <c r="E26" i="114" s="1"/>
  <c r="W101" i="111"/>
  <c r="H15" i="114"/>
  <c r="V102" i="111"/>
  <c r="Q27" i="136"/>
  <c r="R50" i="13"/>
  <c r="P26" i="158"/>
  <c r="K13" i="40"/>
  <c r="M13" i="40" s="1"/>
  <c r="D39" i="66"/>
  <c r="R54" i="13"/>
  <c r="T54" i="13" s="1"/>
  <c r="N18" i="60"/>
  <c r="M12" i="40"/>
  <c r="N12" i="40" s="1"/>
  <c r="C19" i="136"/>
  <c r="X70" i="111"/>
  <c r="S46" i="13"/>
  <c r="E139" i="68"/>
  <c r="U102" i="111"/>
  <c r="U98" i="156"/>
  <c r="R26" i="158"/>
  <c r="C27" i="136"/>
  <c r="U70" i="111"/>
  <c r="M18" i="40"/>
  <c r="M22" i="40"/>
  <c r="M26" i="40"/>
  <c r="F99" i="68"/>
  <c r="D26" i="134"/>
  <c r="Q26" i="134" s="1"/>
  <c r="Q26" i="136"/>
  <c r="U94" i="156"/>
  <c r="U97" i="111"/>
  <c r="Q19" i="136"/>
  <c r="J41" i="85"/>
  <c r="J42" i="85" s="1"/>
  <c r="E29" i="62"/>
  <c r="E30" i="62" s="1"/>
  <c r="F29" i="53"/>
  <c r="E106" i="144"/>
  <c r="E106" i="151"/>
  <c r="D129" i="68"/>
  <c r="F129" i="68" s="1"/>
  <c r="D489" i="43" s="1"/>
  <c r="M25" i="40"/>
  <c r="CS19" i="18"/>
  <c r="AU23" i="18"/>
  <c r="AT23" i="18" s="1"/>
  <c r="BT23" i="18"/>
  <c r="DR23" i="18"/>
  <c r="DQ23" i="18" s="1"/>
  <c r="AT46" i="18"/>
  <c r="U47" i="18"/>
  <c r="DR47" i="18"/>
  <c r="U48" i="18"/>
  <c r="AU48" i="18"/>
  <c r="AT48" i="18" s="1"/>
  <c r="DR48" i="18"/>
  <c r="U49" i="18"/>
  <c r="CR49" i="18"/>
  <c r="V50" i="18"/>
  <c r="U50" i="18" s="1"/>
  <c r="AU50" i="18"/>
  <c r="CS50" i="18"/>
  <c r="CR50" i="18" s="1"/>
  <c r="U51" i="18"/>
  <c r="AT51" i="18"/>
  <c r="CR51" i="18"/>
  <c r="DR51" i="18"/>
  <c r="DQ51" i="18" s="1"/>
  <c r="BT52" i="18"/>
  <c r="BS52" i="18" s="1"/>
  <c r="DQ52" i="18"/>
  <c r="V53" i="18"/>
  <c r="U53" i="18" s="1"/>
  <c r="CR53" i="18"/>
  <c r="DR54" i="18"/>
  <c r="DQ54" i="18" s="1"/>
  <c r="V55" i="18"/>
  <c r="AU55" i="18"/>
  <c r="AT55" i="18" s="1"/>
  <c r="CR55" i="18"/>
  <c r="DR55" i="18"/>
  <c r="DQ55" i="18" s="1"/>
  <c r="DR56" i="18"/>
  <c r="DQ56" i="18" s="1"/>
  <c r="BT57" i="18"/>
  <c r="BS57" i="18" s="1"/>
  <c r="V58" i="18"/>
  <c r="U58" i="18" s="1"/>
  <c r="BT60" i="18"/>
  <c r="BS60" i="18" s="1"/>
  <c r="BT61" i="18"/>
  <c r="BS61" i="18" s="1"/>
  <c r="DR61" i="18"/>
  <c r="A17" i="112"/>
  <c r="A18" i="112" s="1"/>
  <c r="A19" i="112" s="1"/>
  <c r="A20" i="112" s="1"/>
  <c r="A21" i="112" s="1"/>
  <c r="A22" i="112" s="1"/>
  <c r="R18" i="134"/>
  <c r="D114" i="68"/>
  <c r="F114" i="68" s="1"/>
  <c r="F45" i="50"/>
  <c r="D427" i="43" s="1"/>
  <c r="J44" i="50"/>
  <c r="N44" i="50"/>
  <c r="I44" i="79"/>
  <c r="M44" i="79"/>
  <c r="Q44" i="79"/>
  <c r="G21" i="66"/>
  <c r="H11" i="90" s="1"/>
  <c r="H29" i="77"/>
  <c r="H30" i="77" s="1"/>
  <c r="M15" i="40"/>
  <c r="DO27" i="18"/>
  <c r="DQ27" i="18" s="1"/>
  <c r="CS18" i="18"/>
  <c r="CR18" i="18" s="1"/>
  <c r="AU22" i="18"/>
  <c r="CS22" i="18"/>
  <c r="BT82" i="18"/>
  <c r="DR82" i="18"/>
  <c r="DR87" i="18"/>
  <c r="DQ87" i="18" s="1"/>
  <c r="AU88" i="18"/>
  <c r="CS88" i="18"/>
  <c r="DR89" i="18"/>
  <c r="AR135" i="18"/>
  <c r="E106" i="145"/>
  <c r="R44" i="13"/>
  <c r="T44" i="13" s="1"/>
  <c r="M44" i="52"/>
  <c r="T27" i="18"/>
  <c r="A16" i="157"/>
  <c r="E25" i="136"/>
  <c r="S43" i="80"/>
  <c r="G44" i="79"/>
  <c r="F44" i="79" s="1"/>
  <c r="S44" i="79"/>
  <c r="L28" i="40"/>
  <c r="H39" i="162" s="1"/>
  <c r="M16" i="40"/>
  <c r="M20" i="40"/>
  <c r="M24" i="40"/>
  <c r="CS12" i="18"/>
  <c r="AU15" i="18"/>
  <c r="CS15" i="18"/>
  <c r="AU46" i="18"/>
  <c r="V47" i="18"/>
  <c r="BS48" i="18"/>
  <c r="AT49" i="18"/>
  <c r="CS49" i="18"/>
  <c r="V52" i="18"/>
  <c r="U52" i="18" s="1"/>
  <c r="AT53" i="18"/>
  <c r="CS53" i="18"/>
  <c r="U56" i="18"/>
  <c r="AU58" i="18"/>
  <c r="AT58" i="18" s="1"/>
  <c r="CS58" i="18"/>
  <c r="E28" i="71"/>
  <c r="F28" i="71" s="1"/>
  <c r="C89" i="68"/>
  <c r="C28" i="136"/>
  <c r="E106" i="148"/>
  <c r="E60" i="147"/>
  <c r="E59" i="147" s="1"/>
  <c r="E60" i="146"/>
  <c r="E59" i="146" s="1"/>
  <c r="E58" i="146" s="1"/>
  <c r="E60" i="155"/>
  <c r="E59" i="155" s="1"/>
  <c r="E58" i="155" s="1"/>
  <c r="I22" i="114"/>
  <c r="H22" i="114" s="1"/>
  <c r="G22" i="114" s="1"/>
  <c r="N26" i="158"/>
  <c r="O26" i="158" s="1"/>
  <c r="U26" i="158"/>
  <c r="AC26" i="158" s="1"/>
  <c r="N25" i="136"/>
  <c r="H41" i="85"/>
  <c r="I44" i="52"/>
  <c r="Q44" i="52"/>
  <c r="L28" i="54"/>
  <c r="I28" i="40"/>
  <c r="D130" i="68"/>
  <c r="F130" i="68" s="1"/>
  <c r="D658" i="43" s="1"/>
  <c r="V13" i="18"/>
  <c r="BT13" i="18"/>
  <c r="V17" i="18"/>
  <c r="DR17" i="18"/>
  <c r="DQ17" i="18" s="1"/>
  <c r="DR21" i="18"/>
  <c r="V82" i="18"/>
  <c r="AU83" i="18"/>
  <c r="AT83" i="18" s="1"/>
  <c r="CS83" i="18"/>
  <c r="BT84" i="18"/>
  <c r="BS84" i="18" s="1"/>
  <c r="DR84" i="18"/>
  <c r="DQ84" i="18" s="1"/>
  <c r="EQ84" i="18"/>
  <c r="AU85" i="18"/>
  <c r="AT85" i="18" s="1"/>
  <c r="DR85" i="18"/>
  <c r="V86" i="18"/>
  <c r="U86" i="18" s="1"/>
  <c r="DR86" i="18"/>
  <c r="DQ86" i="18" s="1"/>
  <c r="V89" i="18"/>
  <c r="BT89" i="18"/>
  <c r="DR90" i="18"/>
  <c r="DQ90" i="18" s="1"/>
  <c r="EQ90" i="18"/>
  <c r="AU91" i="18"/>
  <c r="AT91" i="18" s="1"/>
  <c r="CS91" i="18"/>
  <c r="CR91" i="18" s="1"/>
  <c r="CS92" i="18"/>
  <c r="CR92" i="18" s="1"/>
  <c r="AU93" i="18"/>
  <c r="AT93" i="18" s="1"/>
  <c r="BT93" i="18"/>
  <c r="DR93" i="18"/>
  <c r="V94" i="18"/>
  <c r="BT94" i="18"/>
  <c r="DR94" i="18"/>
  <c r="V95" i="18"/>
  <c r="BT95" i="18"/>
  <c r="DR95" i="18"/>
  <c r="DQ95" i="18" s="1"/>
  <c r="AU96" i="18"/>
  <c r="CS96" i="18"/>
  <c r="DR96" i="18"/>
  <c r="DQ96" i="18" s="1"/>
  <c r="BT97" i="18"/>
  <c r="BS97" i="18" s="1"/>
  <c r="CS97" i="18"/>
  <c r="DR97" i="18"/>
  <c r="DQ97" i="18" s="1"/>
  <c r="EQ97" i="18"/>
  <c r="V118" i="18"/>
  <c r="U118" i="18" s="1"/>
  <c r="AU119" i="18"/>
  <c r="V123" i="18"/>
  <c r="AU123" i="18"/>
  <c r="AT123" i="18" s="1"/>
  <c r="AU127" i="18"/>
  <c r="AU129" i="18"/>
  <c r="AT129" i="18" s="1"/>
  <c r="V130" i="18"/>
  <c r="AU130" i="18"/>
  <c r="AT130" i="18" s="1"/>
  <c r="AU131" i="18"/>
  <c r="A16" i="156"/>
  <c r="AB15" i="156" s="1"/>
  <c r="AA15" i="156" s="1"/>
  <c r="Z15" i="156" s="1"/>
  <c r="Y15" i="156" s="1"/>
  <c r="Y95" i="156" s="1"/>
  <c r="E14" i="157" s="1"/>
  <c r="E60" i="140"/>
  <c r="E60" i="148"/>
  <c r="E60" i="141"/>
  <c r="E59" i="141" s="1"/>
  <c r="E58" i="141" s="1"/>
  <c r="E60" i="152"/>
  <c r="A56" i="132"/>
  <c r="A57" i="132" s="1"/>
  <c r="AB56" i="132" s="1"/>
  <c r="AA56" i="132" s="1"/>
  <c r="Z56" i="132" s="1"/>
  <c r="Y56" i="132" s="1"/>
  <c r="X56" i="132" s="1"/>
  <c r="W56" i="132" s="1"/>
  <c r="W96" i="132" s="1"/>
  <c r="W16" i="136" s="1"/>
  <c r="Q26" i="158"/>
  <c r="U26" i="132"/>
  <c r="T26" i="132" s="1"/>
  <c r="T106" i="132" s="1"/>
  <c r="G41" i="85"/>
  <c r="F41" i="85" s="1"/>
  <c r="I44" i="50"/>
  <c r="M44" i="50"/>
  <c r="L44" i="50" s="1"/>
  <c r="L44" i="79"/>
  <c r="K44" i="79" s="1"/>
  <c r="P44" i="79"/>
  <c r="O44" i="79" s="1"/>
  <c r="H29" i="8"/>
  <c r="F29" i="54"/>
  <c r="F30" i="54" s="1"/>
  <c r="K29" i="54"/>
  <c r="G29" i="62"/>
  <c r="G30" i="62" s="1"/>
  <c r="D254" i="43" s="1"/>
  <c r="G29" i="86"/>
  <c r="E29" i="78"/>
  <c r="E30" i="78" s="1"/>
  <c r="L28" i="53"/>
  <c r="L28" i="77"/>
  <c r="M14" i="40"/>
  <c r="M17" i="40"/>
  <c r="M19" i="40"/>
  <c r="M21" i="40"/>
  <c r="M23" i="40"/>
  <c r="BT10" i="18"/>
  <c r="AU11" i="18"/>
  <c r="BT11" i="18"/>
  <c r="BS11" i="18"/>
  <c r="DR11" i="18"/>
  <c r="DQ11" i="18"/>
  <c r="CR12" i="18"/>
  <c r="AU13" i="18"/>
  <c r="CS13" i="18"/>
  <c r="AU14" i="18"/>
  <c r="AT14" i="18"/>
  <c r="CS14" i="18"/>
  <c r="V15" i="18"/>
  <c r="DR15" i="18"/>
  <c r="DQ15" i="18" s="1"/>
  <c r="V16" i="18"/>
  <c r="U17" i="18"/>
  <c r="BT17" i="18"/>
  <c r="BT18" i="18"/>
  <c r="BS18" i="18"/>
  <c r="DR18" i="18"/>
  <c r="V19" i="18"/>
  <c r="BT19" i="18"/>
  <c r="CR19" i="18"/>
  <c r="V20" i="18"/>
  <c r="BT20" i="18"/>
  <c r="DR20" i="18"/>
  <c r="V21" i="18"/>
  <c r="DQ21" i="18"/>
  <c r="AT22" i="18"/>
  <c r="CR22" i="18"/>
  <c r="BS23" i="18"/>
  <c r="BT24" i="18"/>
  <c r="BS24" i="18"/>
  <c r="DR24" i="18"/>
  <c r="U46" i="18"/>
  <c r="BS46" i="18"/>
  <c r="CR46" i="18"/>
  <c r="AU47" i="18"/>
  <c r="AT47" i="18" s="1"/>
  <c r="CR47" i="18"/>
  <c r="CS47" i="18"/>
  <c r="DQ47" i="18"/>
  <c r="BT48" i="18"/>
  <c r="CR48" i="18"/>
  <c r="CS48" i="18"/>
  <c r="DQ48" i="18"/>
  <c r="AU49" i="18"/>
  <c r="BT49" i="18"/>
  <c r="DQ49" i="18"/>
  <c r="AT50" i="18"/>
  <c r="AU51" i="18"/>
  <c r="AT52" i="18"/>
  <c r="CS52" i="18"/>
  <c r="CR52" i="18" s="1"/>
  <c r="AU53" i="18"/>
  <c r="BT53" i="18"/>
  <c r="BS53" i="18" s="1"/>
  <c r="DR53" i="18"/>
  <c r="DQ53" i="18" s="1"/>
  <c r="U54" i="18"/>
  <c r="V54" i="18"/>
  <c r="CR54" i="18"/>
  <c r="U55" i="18"/>
  <c r="BT55" i="18"/>
  <c r="V56" i="18"/>
  <c r="AU56" i="18"/>
  <c r="V57" i="18"/>
  <c r="U57" i="18" s="1"/>
  <c r="CS57" i="18"/>
  <c r="CR57" i="18"/>
  <c r="DR58" i="18"/>
  <c r="DQ58" i="18" s="1"/>
  <c r="V59" i="18"/>
  <c r="AU59" i="18"/>
  <c r="AT59" i="18" s="1"/>
  <c r="CS59" i="18"/>
  <c r="V60" i="18"/>
  <c r="CS60" i="18"/>
  <c r="CS61" i="18"/>
  <c r="CR61" i="18" s="1"/>
  <c r="DQ61" i="18"/>
  <c r="U82" i="18"/>
  <c r="BQ99" i="18"/>
  <c r="BS99" i="18" s="1"/>
  <c r="CR83" i="18"/>
  <c r="AU84" i="18"/>
  <c r="EP84" i="18"/>
  <c r="DQ85" i="18"/>
  <c r="AS99" i="18"/>
  <c r="BT86" i="18"/>
  <c r="AR99" i="18"/>
  <c r="AT99" i="18" s="1"/>
  <c r="U89" i="18"/>
  <c r="BS89" i="18"/>
  <c r="EP90" i="18"/>
  <c r="DR91" i="18"/>
  <c r="BT92" i="18"/>
  <c r="EQ92" i="18"/>
  <c r="BS93" i="18"/>
  <c r="DQ93" i="18"/>
  <c r="U94" i="18"/>
  <c r="BS94" i="18"/>
  <c r="DQ94" i="18"/>
  <c r="U95" i="18"/>
  <c r="BS95" i="18"/>
  <c r="V96" i="18"/>
  <c r="AT96" i="18"/>
  <c r="CR96" i="18"/>
  <c r="EQ96" i="18"/>
  <c r="AU97" i="18"/>
  <c r="EP97" i="18"/>
  <c r="V119" i="18"/>
  <c r="AT119" i="18"/>
  <c r="AU121" i="18"/>
  <c r="U123" i="18"/>
  <c r="V124" i="18"/>
  <c r="V125" i="18"/>
  <c r="V126" i="18"/>
  <c r="V127" i="18"/>
  <c r="AT127" i="18"/>
  <c r="U130" i="18"/>
  <c r="V131" i="18"/>
  <c r="AT131" i="18"/>
  <c r="AU133" i="18"/>
  <c r="AT133" i="18" s="1"/>
  <c r="H19" i="68"/>
  <c r="H25" i="162"/>
  <c r="H47" i="162"/>
  <c r="A18" i="137"/>
  <c r="A19" i="137" s="1"/>
  <c r="A20" i="137" s="1"/>
  <c r="A21" i="137" s="1"/>
  <c r="E41" i="85"/>
  <c r="E42" i="85" s="1"/>
  <c r="D42" i="85" s="1"/>
  <c r="N44" i="80"/>
  <c r="M44" i="80" s="1"/>
  <c r="L44" i="80" s="1"/>
  <c r="L45" i="80" s="1"/>
  <c r="K45" i="80" s="1"/>
  <c r="H44" i="80"/>
  <c r="D111" i="68"/>
  <c r="F111" i="68" s="1"/>
  <c r="D113" i="68"/>
  <c r="F113" i="68" s="1"/>
  <c r="J29" i="8"/>
  <c r="I29" i="8" s="1"/>
  <c r="H29" i="54"/>
  <c r="G29" i="54" s="1"/>
  <c r="K28" i="62"/>
  <c r="J29" i="62"/>
  <c r="J30" i="62" s="1"/>
  <c r="J29" i="86"/>
  <c r="I29" i="78"/>
  <c r="H21" i="167"/>
  <c r="DR10" i="18"/>
  <c r="BR27" i="18"/>
  <c r="CS11" i="18"/>
  <c r="DP27" i="18"/>
  <c r="V12" i="18"/>
  <c r="U13" i="18"/>
  <c r="BS13" i="18"/>
  <c r="V14" i="18"/>
  <c r="BT14" i="18"/>
  <c r="BT16" i="18"/>
  <c r="CQ27" i="18"/>
  <c r="CP27" i="18" s="1"/>
  <c r="CR27" i="18" s="1"/>
  <c r="AU17" i="18"/>
  <c r="AU18" i="18"/>
  <c r="AU19" i="18"/>
  <c r="AT19" i="18"/>
  <c r="V22" i="18"/>
  <c r="BT22" i="18"/>
  <c r="DR22" i="18"/>
  <c r="CS23" i="18"/>
  <c r="AU24" i="18"/>
  <c r="CS24" i="18"/>
  <c r="AU25" i="18"/>
  <c r="BT25" i="18"/>
  <c r="BS25" i="18" s="1"/>
  <c r="CS46" i="18"/>
  <c r="AS63" i="18"/>
  <c r="V48" i="18"/>
  <c r="V49" i="18"/>
  <c r="BT50" i="18"/>
  <c r="DR57" i="18"/>
  <c r="V61" i="18"/>
  <c r="AU61" i="18"/>
  <c r="AT61" i="18" s="1"/>
  <c r="AU82" i="18"/>
  <c r="AT82" i="18" s="1"/>
  <c r="V83" i="18"/>
  <c r="U83" i="18" s="1"/>
  <c r="BR99" i="18"/>
  <c r="CQ99" i="18"/>
  <c r="DO99" i="18"/>
  <c r="DQ99" i="18" s="1"/>
  <c r="DR83" i="18"/>
  <c r="EQ83" i="18"/>
  <c r="EP83" i="18" s="1"/>
  <c r="CS84" i="18"/>
  <c r="CR84" i="18"/>
  <c r="AU86" i="18"/>
  <c r="AT86" i="18"/>
  <c r="CS86" i="18"/>
  <c r="CR86" i="18"/>
  <c r="EQ86" i="18"/>
  <c r="CS87" i="18"/>
  <c r="V88" i="18"/>
  <c r="EQ88" i="18"/>
  <c r="AU89" i="18"/>
  <c r="CS89" i="18"/>
  <c r="V90" i="18"/>
  <c r="CS90" i="18"/>
  <c r="V91" i="18"/>
  <c r="BT91" i="18"/>
  <c r="BS91" i="18" s="1"/>
  <c r="DR92" i="18"/>
  <c r="DQ92" i="18"/>
  <c r="V93" i="18"/>
  <c r="U93" i="18"/>
  <c r="EQ95" i="18"/>
  <c r="EP95" i="18"/>
  <c r="V97" i="18"/>
  <c r="U97" i="18"/>
  <c r="CR97" i="18"/>
  <c r="AU118" i="18"/>
  <c r="AT118" i="18"/>
  <c r="T135" i="18"/>
  <c r="AU120" i="18"/>
  <c r="V121" i="18"/>
  <c r="U121" i="18"/>
  <c r="AU124" i="18"/>
  <c r="AT124" i="18"/>
  <c r="AU125" i="18"/>
  <c r="AT125" i="18"/>
  <c r="AU126" i="18"/>
  <c r="AT126" i="18"/>
  <c r="AU128" i="18"/>
  <c r="V129" i="18"/>
  <c r="U129" i="18"/>
  <c r="AU132" i="18"/>
  <c r="D35" i="68"/>
  <c r="H55" i="162"/>
  <c r="G44" i="51"/>
  <c r="I73" i="13"/>
  <c r="D39" i="70" s="1"/>
  <c r="D36" i="67" s="1"/>
  <c r="O11" i="89" s="1"/>
  <c r="T50" i="13"/>
  <c r="U50" i="13" s="1"/>
  <c r="V50" i="13" s="1"/>
  <c r="T58" i="13"/>
  <c r="U58" i="13" s="1"/>
  <c r="T59" i="13"/>
  <c r="T66" i="13"/>
  <c r="T67" i="13"/>
  <c r="U67" i="13" s="1"/>
  <c r="V67" i="13" s="1"/>
  <c r="F39" i="69"/>
  <c r="F59" i="69" s="1"/>
  <c r="T63" i="13"/>
  <c r="S16" i="13"/>
  <c r="R16" i="13"/>
  <c r="L16" i="13" s="1"/>
  <c r="S14" i="13"/>
  <c r="T14" i="13" s="1"/>
  <c r="U14" i="13" s="1"/>
  <c r="V14" i="13" s="1"/>
  <c r="L49" i="13"/>
  <c r="L61" i="13"/>
  <c r="L40" i="13"/>
  <c r="L64" i="13"/>
  <c r="L43" i="13"/>
  <c r="T71" i="13"/>
  <c r="R38" i="13"/>
  <c r="S38" i="13"/>
  <c r="E106" i="140"/>
  <c r="E106" i="152"/>
  <c r="E59" i="140"/>
  <c r="E58" i="140" s="1"/>
  <c r="A57" i="140" s="1"/>
  <c r="A55" i="140" s="1"/>
  <c r="E59" i="148"/>
  <c r="E58" i="148" s="1"/>
  <c r="A57" i="148" s="1"/>
  <c r="A55" i="148" s="1"/>
  <c r="A57" i="141"/>
  <c r="A55" i="141" s="1"/>
  <c r="E59" i="152"/>
  <c r="E58" i="152" s="1"/>
  <c r="A57" i="146"/>
  <c r="A55" i="146" s="1"/>
  <c r="A57" i="155"/>
  <c r="A55" i="155" s="1"/>
  <c r="K28" i="55"/>
  <c r="H23" i="162"/>
  <c r="G29" i="55"/>
  <c r="C72" i="68"/>
  <c r="J103" i="132"/>
  <c r="M25" i="136"/>
  <c r="L37" i="13"/>
  <c r="F26" i="68"/>
  <c r="D482" i="43" s="1"/>
  <c r="I16" i="114"/>
  <c r="H16" i="114" s="1"/>
  <c r="G16" i="114" s="1"/>
  <c r="F16" i="114" s="1"/>
  <c r="E16" i="114" s="1"/>
  <c r="I55" i="69"/>
  <c r="J55" i="69" s="1"/>
  <c r="D37" i="66"/>
  <c r="H27" i="68"/>
  <c r="CR63" i="18"/>
  <c r="CS63" i="18"/>
  <c r="I42" i="85"/>
  <c r="K28" i="86"/>
  <c r="E30" i="86"/>
  <c r="F29" i="78"/>
  <c r="G30" i="78"/>
  <c r="R44" i="50"/>
  <c r="Q44" i="50" s="1"/>
  <c r="P44" i="50" s="1"/>
  <c r="E29" i="54"/>
  <c r="W43" i="50"/>
  <c r="L28" i="8"/>
  <c r="E29" i="53"/>
  <c r="R18" i="13"/>
  <c r="R25" i="13"/>
  <c r="T25" i="13" s="1"/>
  <c r="AU54" i="18"/>
  <c r="AT54" i="18" s="1"/>
  <c r="A98" i="156"/>
  <c r="F22" i="114"/>
  <c r="E22" i="114" s="1"/>
  <c r="AB94" i="111"/>
  <c r="G44" i="80"/>
  <c r="F44" i="80" s="1"/>
  <c r="E44" i="79"/>
  <c r="J29" i="54"/>
  <c r="F29" i="55"/>
  <c r="F30" i="55" s="1"/>
  <c r="I29" i="62"/>
  <c r="I30" i="62" s="1"/>
  <c r="F30" i="62"/>
  <c r="H29" i="78"/>
  <c r="H29" i="53"/>
  <c r="J22" i="13"/>
  <c r="AU10" i="18"/>
  <c r="CS10" i="18"/>
  <c r="DQ10" i="18"/>
  <c r="V11" i="18"/>
  <c r="BT12" i="18"/>
  <c r="DR12" i="18"/>
  <c r="BT15" i="18"/>
  <c r="AU16" i="18"/>
  <c r="DR16" i="18"/>
  <c r="CS17" i="18"/>
  <c r="V18" i="18"/>
  <c r="DR19" i="18"/>
  <c r="AU20" i="18"/>
  <c r="CS20" i="18"/>
  <c r="CS21" i="18"/>
  <c r="V23" i="18"/>
  <c r="V24" i="18"/>
  <c r="V25" i="18"/>
  <c r="CS25" i="18"/>
  <c r="DR25" i="18"/>
  <c r="DQ25" i="18" s="1"/>
  <c r="V46" i="18"/>
  <c r="BT46" i="18"/>
  <c r="DR46" i="18"/>
  <c r="BT47" i="18"/>
  <c r="BS47" i="18" s="1"/>
  <c r="DR49" i="18"/>
  <c r="V51" i="18"/>
  <c r="CS51" i="18"/>
  <c r="AU52" i="18"/>
  <c r="DR52" i="18"/>
  <c r="CS54" i="18"/>
  <c r="CS55" i="18"/>
  <c r="CS56" i="18"/>
  <c r="AU57" i="18"/>
  <c r="BT58" i="18"/>
  <c r="BT59" i="18"/>
  <c r="DR59" i="18"/>
  <c r="AU60" i="18"/>
  <c r="DR60" i="18"/>
  <c r="CS82" i="18"/>
  <c r="EQ82" i="18"/>
  <c r="DQ83" i="18"/>
  <c r="V84" i="18"/>
  <c r="V85" i="18"/>
  <c r="CS85" i="18"/>
  <c r="EQ85" i="18"/>
  <c r="BT87" i="18"/>
  <c r="EQ87" i="18"/>
  <c r="BT88" i="18"/>
  <c r="DR88" i="18"/>
  <c r="EQ89" i="18"/>
  <c r="BT90" i="18"/>
  <c r="V92" i="18"/>
  <c r="AU92" i="18"/>
  <c r="AT92" i="18" s="1"/>
  <c r="CS93" i="18"/>
  <c r="EQ93" i="18"/>
  <c r="AU94" i="18"/>
  <c r="CS94" i="18"/>
  <c r="EQ94" i="18"/>
  <c r="AU95" i="18"/>
  <c r="CS95" i="18"/>
  <c r="BT96" i="18"/>
  <c r="CP99" i="18"/>
  <c r="EN99" i="18"/>
  <c r="EP99" i="18" s="1"/>
  <c r="V120" i="18"/>
  <c r="AU122" i="18"/>
  <c r="V128" i="18"/>
  <c r="V132" i="18"/>
  <c r="C79" i="68"/>
  <c r="D120" i="68"/>
  <c r="F120" i="68" s="1"/>
  <c r="D122" i="68"/>
  <c r="F122" i="68" s="1"/>
  <c r="D124" i="68"/>
  <c r="F124" i="68" s="1"/>
  <c r="H15" i="162"/>
  <c r="I23" i="162"/>
  <c r="J23" i="162" s="1"/>
  <c r="F39" i="162"/>
  <c r="H56" i="162"/>
  <c r="H64" i="162"/>
  <c r="I64" i="162" s="1"/>
  <c r="J64" i="162" s="1"/>
  <c r="E106" i="150"/>
  <c r="E106" i="155"/>
  <c r="E60" i="145"/>
  <c r="E59" i="145" s="1"/>
  <c r="E58" i="145" s="1"/>
  <c r="E60" i="150"/>
  <c r="E59" i="150" s="1"/>
  <c r="E58" i="150" s="1"/>
  <c r="E60" i="144"/>
  <c r="E59" i="144" s="1"/>
  <c r="E60" i="154"/>
  <c r="E59" i="154" s="1"/>
  <c r="E58" i="154" s="1"/>
  <c r="A97" i="132"/>
  <c r="A98" i="132" s="1"/>
  <c r="A99" i="132" s="1"/>
  <c r="A100" i="132" s="1"/>
  <c r="A101" i="132" s="1"/>
  <c r="A102" i="132" s="1"/>
  <c r="A103" i="132" s="1"/>
  <c r="A104" i="132" s="1"/>
  <c r="G15" i="114"/>
  <c r="F15" i="114" s="1"/>
  <c r="E15" i="114" s="1"/>
  <c r="A56" i="111"/>
  <c r="AB55" i="111" s="1"/>
  <c r="AA55" i="111" s="1"/>
  <c r="Z55" i="111" s="1"/>
  <c r="Y55" i="111" s="1"/>
  <c r="P19" i="136"/>
  <c r="A15" i="133"/>
  <c r="AB14" i="132"/>
  <c r="AB94" i="132" s="1"/>
  <c r="A16" i="132"/>
  <c r="E44" i="67"/>
  <c r="J44" i="80"/>
  <c r="I44" i="80" s="1"/>
  <c r="G29" i="77"/>
  <c r="G30" i="77" s="1"/>
  <c r="F30" i="77" s="1"/>
  <c r="BQ27" i="18"/>
  <c r="S63" i="18"/>
  <c r="BR63" i="18"/>
  <c r="BQ63" i="18" s="1"/>
  <c r="BS63" i="18" s="1"/>
  <c r="S99" i="18"/>
  <c r="S135" i="18"/>
  <c r="K28" i="78"/>
  <c r="AR63" i="18"/>
  <c r="DP99" i="18"/>
  <c r="EO99" i="18"/>
  <c r="AB55" i="132"/>
  <c r="AA55" i="132" s="1"/>
  <c r="Z55" i="132" s="1"/>
  <c r="Y55" i="132" s="1"/>
  <c r="W14" i="136"/>
  <c r="H49" i="66"/>
  <c r="I44" i="51"/>
  <c r="Q44" i="51"/>
  <c r="B15" i="13"/>
  <c r="B16" i="13" s="1"/>
  <c r="B17" i="13" s="1"/>
  <c r="R17" i="13"/>
  <c r="L17" i="13" s="1"/>
  <c r="S17" i="13" s="1"/>
  <c r="T17" i="13" s="1"/>
  <c r="J42" i="13"/>
  <c r="L42" i="13" s="1"/>
  <c r="J47" i="13"/>
  <c r="L47" i="13" s="1"/>
  <c r="L56" i="13"/>
  <c r="J63" i="13"/>
  <c r="L63" i="13" s="1"/>
  <c r="J69" i="13"/>
  <c r="L69" i="13" s="1"/>
  <c r="G56" i="69"/>
  <c r="G57" i="69" s="1"/>
  <c r="AB6" i="18"/>
  <c r="S27" i="18"/>
  <c r="AR27" i="18"/>
  <c r="BT83" i="18"/>
  <c r="BS83" i="18" s="1"/>
  <c r="V133" i="18"/>
  <c r="U133" i="18" s="1"/>
  <c r="D33" i="68"/>
  <c r="H38" i="68"/>
  <c r="C52" i="68"/>
  <c r="T98" i="156"/>
  <c r="C17" i="157" s="1"/>
  <c r="B17" i="157" s="1"/>
  <c r="A97" i="111"/>
  <c r="A98" i="111" s="1"/>
  <c r="A99" i="111" s="1"/>
  <c r="L25" i="136"/>
  <c r="A16" i="111"/>
  <c r="J41" i="69"/>
  <c r="I49" i="69"/>
  <c r="J49" i="69" s="1"/>
  <c r="N40" i="85"/>
  <c r="E44" i="80"/>
  <c r="E44" i="50"/>
  <c r="W43" i="79"/>
  <c r="D115" i="68"/>
  <c r="F115" i="68" s="1"/>
  <c r="O44" i="52"/>
  <c r="F29" i="8"/>
  <c r="K29" i="8"/>
  <c r="E29" i="55"/>
  <c r="I29" i="86"/>
  <c r="H29" i="86" s="1"/>
  <c r="G29" i="59"/>
  <c r="G30" i="59" s="1"/>
  <c r="E29" i="77"/>
  <c r="J15" i="13"/>
  <c r="J30" i="13"/>
  <c r="J31" i="13"/>
  <c r="J32" i="13"/>
  <c r="J39" i="13"/>
  <c r="L39" i="13" s="1"/>
  <c r="J45" i="13"/>
  <c r="L45" i="13" s="1"/>
  <c r="J48" i="13"/>
  <c r="L48" i="13" s="1"/>
  <c r="L52" i="13"/>
  <c r="J53" i="13"/>
  <c r="L53" i="13" s="1"/>
  <c r="L57" i="13"/>
  <c r="T61" i="13"/>
  <c r="T65" i="13"/>
  <c r="L66" i="13"/>
  <c r="J67" i="13"/>
  <c r="L67" i="13" s="1"/>
  <c r="J71" i="13"/>
  <c r="L71" i="13" s="1"/>
  <c r="V10" i="18"/>
  <c r="AU12" i="18"/>
  <c r="DR13" i="18"/>
  <c r="DR14" i="18"/>
  <c r="DQ14" i="18" s="1"/>
  <c r="CS16" i="18"/>
  <c r="AU21" i="18"/>
  <c r="BT21" i="18"/>
  <c r="BS21" i="18" s="1"/>
  <c r="DQ46" i="18"/>
  <c r="DR50" i="18"/>
  <c r="BT51" i="18"/>
  <c r="BS51" i="18" s="1"/>
  <c r="BT54" i="18"/>
  <c r="BT56" i="18"/>
  <c r="BT85" i="18"/>
  <c r="V87" i="18"/>
  <c r="AU87" i="18"/>
  <c r="AT87" i="18" s="1"/>
  <c r="AU90" i="18"/>
  <c r="EQ91" i="18"/>
  <c r="V122" i="18"/>
  <c r="D18" i="68"/>
  <c r="F18" i="68" s="1"/>
  <c r="F27" i="68"/>
  <c r="D651" i="43" s="1"/>
  <c r="B649" i="43" s="1"/>
  <c r="H27" i="162"/>
  <c r="H62" i="162"/>
  <c r="I62" i="162" s="1"/>
  <c r="J62" i="162" s="1"/>
  <c r="E24" i="136"/>
  <c r="A56" i="156"/>
  <c r="A57" i="156" s="1"/>
  <c r="AB56" i="156" s="1"/>
  <c r="AA56" i="156" s="1"/>
  <c r="E106" i="143"/>
  <c r="E106" i="141"/>
  <c r="E106" i="146"/>
  <c r="E106" i="154"/>
  <c r="E60" i="142"/>
  <c r="E59" i="142" s="1"/>
  <c r="E58" i="142" s="1"/>
  <c r="E60" i="149"/>
  <c r="E59" i="149" s="1"/>
  <c r="E58" i="149" s="1"/>
  <c r="E60" i="143"/>
  <c r="E59" i="143" s="1"/>
  <c r="E58" i="143" s="1"/>
  <c r="E60" i="153"/>
  <c r="E59" i="153" s="1"/>
  <c r="E58" i="153" s="1"/>
  <c r="R106" i="156"/>
  <c r="T97" i="111"/>
  <c r="S97" i="111" s="1"/>
  <c r="R97" i="111" s="1"/>
  <c r="Z94" i="111"/>
  <c r="Y94" i="111" s="1"/>
  <c r="V28" i="136"/>
  <c r="J23" i="114"/>
  <c r="I23" i="114" s="1"/>
  <c r="H23" i="114" s="1"/>
  <c r="G23" i="114" s="1"/>
  <c r="AA94" i="111"/>
  <c r="I22" i="69"/>
  <c r="A57" i="142"/>
  <c r="A55" i="142" s="1"/>
  <c r="A57" i="149"/>
  <c r="A55" i="149" s="1"/>
  <c r="V52" i="149" s="1"/>
  <c r="V106" i="149" s="1"/>
  <c r="E106" i="149" s="1"/>
  <c r="A57" i="143"/>
  <c r="A55" i="143" s="1"/>
  <c r="A57" i="153"/>
  <c r="A55" i="153" s="1"/>
  <c r="A57" i="145"/>
  <c r="A55" i="145" s="1"/>
  <c r="A57" i="150"/>
  <c r="A55" i="150" s="1"/>
  <c r="A57" i="154"/>
  <c r="A55" i="154" s="1"/>
  <c r="J36" i="13"/>
  <c r="L36" i="13" s="1"/>
  <c r="C21" i="136"/>
  <c r="A57" i="152"/>
  <c r="A55" i="152" s="1"/>
  <c r="G29" i="69"/>
  <c r="F29" i="69" s="1"/>
  <c r="F66" i="162"/>
  <c r="Y13" i="136"/>
  <c r="E12" i="91"/>
  <c r="G12" i="91"/>
  <c r="C62" i="68"/>
  <c r="J35" i="13"/>
  <c r="L35" i="13" s="1"/>
  <c r="E29" i="64"/>
  <c r="I29" i="64"/>
  <c r="D25" i="68"/>
  <c r="N12" i="91" s="1"/>
  <c r="C32" i="68"/>
  <c r="G28" i="162"/>
  <c r="P44" i="51"/>
  <c r="O44" i="51" s="1"/>
  <c r="N44" i="51" s="1"/>
  <c r="M44" i="51" s="1"/>
  <c r="L44" i="51" s="1"/>
  <c r="K44" i="51" s="1"/>
  <c r="F44" i="52"/>
  <c r="L44" i="52"/>
  <c r="J34" i="13"/>
  <c r="L34" i="13" s="1"/>
  <c r="W43" i="51"/>
  <c r="E44" i="51"/>
  <c r="H44" i="52"/>
  <c r="W43" i="52"/>
  <c r="W45" i="20"/>
  <c r="V30" i="132"/>
  <c r="E102" i="132"/>
  <c r="E22" i="136" s="1"/>
  <c r="V21" i="136"/>
  <c r="K28" i="64"/>
  <c r="H29" i="64"/>
  <c r="G48" i="66"/>
  <c r="W11" i="90" s="1"/>
  <c r="C119" i="68"/>
  <c r="D16" i="68"/>
  <c r="F12" i="91" s="1"/>
  <c r="D110" i="68"/>
  <c r="AT12" i="91" s="1"/>
  <c r="T23" i="13"/>
  <c r="J33" i="13"/>
  <c r="L33" i="13" s="1"/>
  <c r="I46" i="20"/>
  <c r="H46" i="20" s="1"/>
  <c r="G46" i="20" s="1"/>
  <c r="E46" i="20"/>
  <c r="D112" i="68"/>
  <c r="AV12" i="91" s="1"/>
  <c r="D132" i="68"/>
  <c r="D131" i="68"/>
  <c r="G29" i="63"/>
  <c r="I29" i="59"/>
  <c r="I30" i="59" s="1"/>
  <c r="F29" i="59"/>
  <c r="L28" i="59"/>
  <c r="D126" i="68"/>
  <c r="F126" i="68" s="1"/>
  <c r="K35" i="60"/>
  <c r="E46" i="6"/>
  <c r="U44" i="6"/>
  <c r="K30" i="56"/>
  <c r="CY4" i="18"/>
  <c r="BZ6" i="18"/>
  <c r="CX15" i="18"/>
  <c r="AA17" i="18"/>
  <c r="AZ17" i="18"/>
  <c r="F16" i="162"/>
  <c r="I21" i="114"/>
  <c r="H21" i="114" s="1"/>
  <c r="G21" i="114" s="1"/>
  <c r="F21" i="114" s="1"/>
  <c r="E21" i="114" s="1"/>
  <c r="E19" i="114"/>
  <c r="E110" i="111"/>
  <c r="U108" i="111"/>
  <c r="T108" i="111" s="1"/>
  <c r="S108" i="111" s="1"/>
  <c r="I25" i="114"/>
  <c r="H25" i="114" s="1"/>
  <c r="G25" i="114" s="1"/>
  <c r="F25" i="114" s="1"/>
  <c r="E25" i="114" s="1"/>
  <c r="AZ15" i="18"/>
  <c r="CX17" i="18"/>
  <c r="G110" i="156"/>
  <c r="U96" i="156"/>
  <c r="P15" i="136"/>
  <c r="E163" i="43"/>
  <c r="E224" i="43" s="1"/>
  <c r="E337" i="43" s="1"/>
  <c r="E398" i="43" s="1"/>
  <c r="W107" i="132"/>
  <c r="V107" i="132" s="1"/>
  <c r="V27" i="136" s="1"/>
  <c r="G102" i="132"/>
  <c r="O15" i="136"/>
  <c r="K14" i="138" s="1"/>
  <c r="D29" i="68"/>
  <c r="F29" i="63"/>
  <c r="E29" i="63" s="1"/>
  <c r="K28" i="63"/>
  <c r="H30" i="59"/>
  <c r="D128" i="68"/>
  <c r="F128" i="68" s="1"/>
  <c r="D377" i="43" s="1"/>
  <c r="E29" i="59"/>
  <c r="L28" i="58"/>
  <c r="J48" i="69"/>
  <c r="H26" i="162"/>
  <c r="H54" i="162"/>
  <c r="H63" i="162"/>
  <c r="G31" i="56"/>
  <c r="F31" i="56" s="1"/>
  <c r="E31" i="56" s="1"/>
  <c r="E32" i="56" s="1"/>
  <c r="I52" i="162"/>
  <c r="J52" i="162" s="1"/>
  <c r="H61" i="162"/>
  <c r="I52" i="69"/>
  <c r="I31" i="56"/>
  <c r="H31" i="56" s="1"/>
  <c r="K28" i="61"/>
  <c r="G29" i="61"/>
  <c r="F29" i="61" s="1"/>
  <c r="D123" i="68"/>
  <c r="F123" i="68" s="1"/>
  <c r="I50" i="162"/>
  <c r="J50" i="162" s="1"/>
  <c r="I29" i="61"/>
  <c r="H29" i="61" s="1"/>
  <c r="L34" i="60"/>
  <c r="H12" i="91"/>
  <c r="D34" i="68"/>
  <c r="F34" i="68" s="1"/>
  <c r="J35" i="60"/>
  <c r="I35" i="60" s="1"/>
  <c r="F17" i="68"/>
  <c r="D121" i="68"/>
  <c r="F121" i="68" s="1"/>
  <c r="H35" i="60"/>
  <c r="G35" i="60" s="1"/>
  <c r="F35" i="60" s="1"/>
  <c r="G66" i="162"/>
  <c r="J47" i="20"/>
  <c r="N365" i="5"/>
  <c r="G16" i="162"/>
  <c r="AK12" i="91"/>
  <c r="V97" i="132"/>
  <c r="V17" i="136" s="1"/>
  <c r="X105" i="156"/>
  <c r="W105" i="156" s="1"/>
  <c r="V99" i="132"/>
  <c r="Q12" i="91"/>
  <c r="AM12" i="91"/>
  <c r="AO12" i="91"/>
  <c r="AS12" i="91"/>
  <c r="AY12" i="91"/>
  <c r="Z93" i="156"/>
  <c r="G12" i="157"/>
  <c r="S19" i="156"/>
  <c r="R19" i="156" s="1"/>
  <c r="T99" i="156"/>
  <c r="S16" i="156"/>
  <c r="R16" i="156" s="1"/>
  <c r="R96" i="156" s="1"/>
  <c r="T96" i="156"/>
  <c r="E7" i="151"/>
  <c r="E61" i="151"/>
  <c r="P100" i="156"/>
  <c r="U100" i="156"/>
  <c r="T100" i="156" s="1"/>
  <c r="U93" i="156"/>
  <c r="L93" i="156"/>
  <c r="S53" i="156"/>
  <c r="AA28" i="156"/>
  <c r="AB108" i="156"/>
  <c r="S14" i="156"/>
  <c r="R14" i="156" s="1"/>
  <c r="T94" i="156"/>
  <c r="G12" i="133"/>
  <c r="G12" i="112"/>
  <c r="I12" i="114"/>
  <c r="R24" i="111"/>
  <c r="S104" i="111"/>
  <c r="R22" i="111"/>
  <c r="R102" i="111" s="1"/>
  <c r="S102" i="111"/>
  <c r="R19" i="111"/>
  <c r="R99" i="111" s="1"/>
  <c r="S99" i="111"/>
  <c r="T26" i="158"/>
  <c r="AG26" i="158" s="1"/>
  <c r="AF26" i="158" s="1"/>
  <c r="C13" i="158"/>
  <c r="B13" i="158" s="1"/>
  <c r="AH13" i="158"/>
  <c r="Q13" i="158"/>
  <c r="U13" i="158"/>
  <c r="R13" i="158"/>
  <c r="P13" i="158"/>
  <c r="AA27" i="132"/>
  <c r="Z27" i="132" s="1"/>
  <c r="Y27" i="132" s="1"/>
  <c r="J27" i="132"/>
  <c r="I27" i="132" s="1"/>
  <c r="K107" i="132"/>
  <c r="C26" i="134"/>
  <c r="B26" i="134" s="1"/>
  <c r="T26" i="134" s="1"/>
  <c r="AG26" i="134" s="1"/>
  <c r="AF26" i="134" s="1"/>
  <c r="I25" i="132"/>
  <c r="J105" i="132"/>
  <c r="Y23" i="132"/>
  <c r="Y103" i="132" s="1"/>
  <c r="C22" i="134"/>
  <c r="B22" i="134" s="1"/>
  <c r="T22" i="134" s="1"/>
  <c r="AG22" i="134" s="1"/>
  <c r="AF22" i="134" s="1"/>
  <c r="AH22" i="134"/>
  <c r="Q22" i="134"/>
  <c r="U22" i="134"/>
  <c r="AC22" i="134" s="1"/>
  <c r="R22" i="134"/>
  <c r="P22" i="134"/>
  <c r="N22" i="132"/>
  <c r="O102" i="132"/>
  <c r="AA21" i="132"/>
  <c r="L21" i="132"/>
  <c r="M101" i="132"/>
  <c r="M21" i="136" s="1"/>
  <c r="O94" i="132"/>
  <c r="N94" i="132" s="1"/>
  <c r="P14" i="136"/>
  <c r="Y24" i="111"/>
  <c r="Z22" i="111"/>
  <c r="Y22" i="111" s="1"/>
  <c r="Z21" i="111"/>
  <c r="Z19" i="111"/>
  <c r="Z17" i="111"/>
  <c r="Y17" i="111" s="1"/>
  <c r="F12" i="133"/>
  <c r="S26" i="132"/>
  <c r="N95" i="111"/>
  <c r="K14" i="114"/>
  <c r="H12" i="112"/>
  <c r="U93" i="111"/>
  <c r="T93" i="111" s="1"/>
  <c r="S25" i="111"/>
  <c r="R25" i="111" s="1"/>
  <c r="R105" i="111" s="1"/>
  <c r="T105" i="111"/>
  <c r="J28" i="132"/>
  <c r="I28" i="132" s="1"/>
  <c r="K108" i="132"/>
  <c r="C23" i="134"/>
  <c r="B23" i="134" s="1"/>
  <c r="T23" i="134" s="1"/>
  <c r="AG23" i="134" s="1"/>
  <c r="AH23" i="134"/>
  <c r="Q23" i="134"/>
  <c r="U23" i="134"/>
  <c r="AC23" i="134" s="1"/>
  <c r="R23" i="134"/>
  <c r="P23" i="134"/>
  <c r="G23" i="132"/>
  <c r="I103" i="132"/>
  <c r="I23" i="136" s="1"/>
  <c r="Z18" i="132"/>
  <c r="K18" i="132"/>
  <c r="AA17" i="132"/>
  <c r="AA16" i="132"/>
  <c r="AO38" i="158"/>
  <c r="AI38" i="158" s="1"/>
  <c r="U4" i="135"/>
  <c r="AH4" i="135"/>
  <c r="C18" i="134"/>
  <c r="B18" i="134" s="1"/>
  <c r="U18" i="134"/>
  <c r="AC18" i="134" s="1"/>
  <c r="Q18" i="134"/>
  <c r="D14" i="66"/>
  <c r="D12" i="113"/>
  <c r="C110" i="111"/>
  <c r="AB108" i="111" s="1"/>
  <c r="AA108" i="111" s="1"/>
  <c r="Z108" i="111" s="1"/>
  <c r="BA5" i="18"/>
  <c r="CY5" i="18"/>
  <c r="AA10" i="18"/>
  <c r="AZ10" i="18"/>
  <c r="BY11" i="18"/>
  <c r="AA12" i="18"/>
  <c r="BY12" i="18"/>
  <c r="AZ13" i="18"/>
  <c r="CX13" i="18"/>
  <c r="CX14" i="18"/>
  <c r="BY16" i="18"/>
  <c r="CX16" i="18"/>
  <c r="AA18" i="18"/>
  <c r="BY18" i="18"/>
  <c r="CX18" i="18"/>
  <c r="AZ19" i="18"/>
  <c r="BY19" i="18"/>
  <c r="AA20" i="18"/>
  <c r="BY20" i="18"/>
  <c r="BY21" i="18"/>
  <c r="AZ22" i="18"/>
  <c r="CX22" i="18"/>
  <c r="AA23" i="18"/>
  <c r="AZ23" i="18"/>
  <c r="AZ24" i="18"/>
  <c r="AZ25" i="18"/>
  <c r="BY25" i="18"/>
  <c r="CX25" i="18"/>
  <c r="AC34" i="18"/>
  <c r="AH34" i="18"/>
  <c r="AQ34" i="18"/>
  <c r="BE34" i="18"/>
  <c r="BB34" i="18" s="1"/>
  <c r="BI34" i="18"/>
  <c r="BY34" i="18"/>
  <c r="CD34" i="18"/>
  <c r="CH34" i="18"/>
  <c r="CX34" i="18"/>
  <c r="DC34" i="18"/>
  <c r="DG34" i="18"/>
  <c r="C40" i="18"/>
  <c r="AB40" i="18"/>
  <c r="BA40" i="18"/>
  <c r="BZ40" i="18"/>
  <c r="CY40" i="18"/>
  <c r="C41" i="18"/>
  <c r="BA41" i="18"/>
  <c r="CY41" i="18"/>
  <c r="AB42" i="18"/>
  <c r="BZ42" i="18"/>
  <c r="AA46" i="18"/>
  <c r="BY46" i="18"/>
  <c r="AA47" i="18"/>
  <c r="AZ47" i="18"/>
  <c r="B48" i="18"/>
  <c r="AA48" i="18"/>
  <c r="AZ48" i="18"/>
  <c r="B49" i="18"/>
  <c r="AZ49" i="18"/>
  <c r="BY49" i="18"/>
  <c r="AZ50" i="18"/>
  <c r="BY50" i="18"/>
  <c r="AA51" i="18"/>
  <c r="BY51" i="18"/>
  <c r="B52" i="18"/>
  <c r="AA52" i="18"/>
  <c r="AZ53" i="18"/>
  <c r="BY53" i="18"/>
  <c r="B54" i="18"/>
  <c r="AZ54" i="18"/>
  <c r="BY54" i="18"/>
  <c r="B55" i="18"/>
  <c r="BY55" i="18"/>
  <c r="AA56" i="18"/>
  <c r="AZ56" i="18"/>
  <c r="BY56" i="18"/>
  <c r="AA57" i="18"/>
  <c r="CX57" i="18"/>
  <c r="B58" i="18"/>
  <c r="AA58" i="18"/>
  <c r="BY58" i="18"/>
  <c r="AA59" i="18"/>
  <c r="AZ59" i="18"/>
  <c r="CX59" i="18"/>
  <c r="AA60" i="18"/>
  <c r="AZ60" i="18"/>
  <c r="BY60" i="18"/>
  <c r="AA61" i="18"/>
  <c r="AZ61" i="18"/>
  <c r="BY61" i="18"/>
  <c r="CX61" i="18"/>
  <c r="G70" i="18"/>
  <c r="K70" i="18"/>
  <c r="AA70" i="18"/>
  <c r="AH70" i="18"/>
  <c r="AF70" i="18" s="1"/>
  <c r="AQ70" i="18"/>
  <c r="BB70" i="18"/>
  <c r="BG70" i="18"/>
  <c r="BP70" i="18"/>
  <c r="CA70" i="18"/>
  <c r="CF70" i="18"/>
  <c r="CO70" i="18"/>
  <c r="CZ70" i="18"/>
  <c r="DE70" i="18"/>
  <c r="DN70" i="18"/>
  <c r="C77" i="18"/>
  <c r="BA77" i="18"/>
  <c r="CY77" i="18"/>
  <c r="C78" i="18"/>
  <c r="BA78" i="18"/>
  <c r="CY78" i="18"/>
  <c r="B82" i="18"/>
  <c r="BY82" i="18"/>
  <c r="DW82" i="18"/>
  <c r="B83" i="18"/>
  <c r="AA83" i="18"/>
  <c r="AZ83" i="18"/>
  <c r="CX83" i="18"/>
  <c r="DW83" i="18"/>
  <c r="B84" i="18"/>
  <c r="AA84" i="18"/>
  <c r="AZ84" i="18"/>
  <c r="BY84" i="18"/>
  <c r="B85" i="18"/>
  <c r="CX85" i="18"/>
  <c r="B86" i="18"/>
  <c r="AA86" i="18"/>
  <c r="BY86" i="18"/>
  <c r="AZ87" i="18"/>
  <c r="BY88" i="18"/>
  <c r="B89" i="18"/>
  <c r="AZ89" i="18"/>
  <c r="DW89" i="18"/>
  <c r="B90" i="18"/>
  <c r="B91" i="18"/>
  <c r="DW91" i="18"/>
  <c r="B92" i="18"/>
  <c r="AA92" i="18"/>
  <c r="DW92" i="18"/>
  <c r="AA93" i="18"/>
  <c r="AZ93" i="18"/>
  <c r="CX93" i="18"/>
  <c r="B94" i="18"/>
  <c r="AZ94" i="18"/>
  <c r="CX94" i="18"/>
  <c r="B95" i="18"/>
  <c r="AZ95" i="18"/>
  <c r="CX95" i="18"/>
  <c r="DW95" i="18"/>
  <c r="AZ96" i="18"/>
  <c r="CX96" i="18"/>
  <c r="DW96" i="18"/>
  <c r="AA97" i="18"/>
  <c r="AZ97" i="18"/>
  <c r="BY97" i="18"/>
  <c r="G106" i="18"/>
  <c r="R106" i="18"/>
  <c r="AC106" i="18"/>
  <c r="AH106" i="18"/>
  <c r="AQ106" i="18"/>
  <c r="BB106" i="18"/>
  <c r="BG106" i="18"/>
  <c r="BP106" i="18"/>
  <c r="CA106" i="18"/>
  <c r="CF106" i="18"/>
  <c r="CO106" i="18"/>
  <c r="CZ106" i="18"/>
  <c r="DE106" i="18"/>
  <c r="DN106" i="18"/>
  <c r="DY106" i="18"/>
  <c r="ED106" i="18"/>
  <c r="EM106" i="18"/>
  <c r="AB113" i="18"/>
  <c r="AB114" i="18"/>
  <c r="B119" i="18"/>
  <c r="AA119" i="18"/>
  <c r="AA120" i="18"/>
  <c r="B121" i="18"/>
  <c r="B123" i="18"/>
  <c r="AA124" i="18"/>
  <c r="B126" i="18"/>
  <c r="B127" i="18"/>
  <c r="AA127" i="18"/>
  <c r="AA128" i="18"/>
  <c r="B129" i="18"/>
  <c r="B130" i="18"/>
  <c r="B132" i="18"/>
  <c r="B133" i="18"/>
  <c r="G142" i="18"/>
  <c r="K142" i="18"/>
  <c r="AA142" i="18"/>
  <c r="AF142" i="18"/>
  <c r="AJ142" i="18"/>
  <c r="F28" i="68"/>
  <c r="F37" i="68"/>
  <c r="F39" i="68"/>
  <c r="D310" i="43" s="1"/>
  <c r="AQ11" i="87"/>
  <c r="X11" i="87"/>
  <c r="U97" i="156"/>
  <c r="T97" i="156" s="1"/>
  <c r="S97" i="156" s="1"/>
  <c r="U107" i="156"/>
  <c r="T107" i="156" s="1"/>
  <c r="S107" i="156" s="1"/>
  <c r="U96" i="111"/>
  <c r="T96" i="111" s="1"/>
  <c r="S96" i="111" s="1"/>
  <c r="P26" i="136"/>
  <c r="O26" i="136" s="1"/>
  <c r="F26" i="136"/>
  <c r="E26" i="136" s="1"/>
  <c r="L24" i="136"/>
  <c r="V22" i="136"/>
  <c r="V100" i="132"/>
  <c r="V20" i="136" s="1"/>
  <c r="W18" i="136"/>
  <c r="V18" i="136" s="1"/>
  <c r="V96" i="132"/>
  <c r="V16" i="136" s="1"/>
  <c r="N95" i="132"/>
  <c r="N15" i="136" s="1"/>
  <c r="V94" i="132"/>
  <c r="V14" i="136" s="1"/>
  <c r="W30" i="132"/>
  <c r="M24" i="136"/>
  <c r="F23" i="114"/>
  <c r="E23" i="114" s="1"/>
  <c r="U103" i="111"/>
  <c r="T103" i="111" s="1"/>
  <c r="J13" i="114"/>
  <c r="I13" i="114" s="1"/>
  <c r="H13" i="114" s="1"/>
  <c r="G13" i="114" s="1"/>
  <c r="F13" i="114" s="1"/>
  <c r="E13" i="114" s="1"/>
  <c r="I110" i="111"/>
  <c r="R96" i="111"/>
  <c r="R94" i="111"/>
  <c r="E240" i="116"/>
  <c r="E219" i="118"/>
  <c r="E185" i="120"/>
  <c r="E165" i="122"/>
  <c r="E257" i="124"/>
  <c r="E106" i="129"/>
  <c r="E106" i="127"/>
  <c r="E106" i="131"/>
  <c r="K106" i="132"/>
  <c r="O19" i="136"/>
  <c r="E60" i="116"/>
  <c r="E59" i="116" s="1"/>
  <c r="E58" i="116" s="1"/>
  <c r="A57" i="116" s="1"/>
  <c r="A55" i="116" s="1"/>
  <c r="E60" i="118"/>
  <c r="E59" i="118" s="1"/>
  <c r="E58" i="118" s="1"/>
  <c r="A57" i="118" s="1"/>
  <c r="A55" i="118" s="1"/>
  <c r="E60" i="120"/>
  <c r="E59" i="120" s="1"/>
  <c r="E58" i="120" s="1"/>
  <c r="A57" i="120" s="1"/>
  <c r="A55" i="120" s="1"/>
  <c r="E60" i="122"/>
  <c r="E59" i="122" s="1"/>
  <c r="E58" i="122" s="1"/>
  <c r="A57" i="122" s="1"/>
  <c r="A55" i="122" s="1"/>
  <c r="E62" i="124"/>
  <c r="E61" i="124" s="1"/>
  <c r="E60" i="125"/>
  <c r="E59" i="125" s="1"/>
  <c r="E58" i="125" s="1"/>
  <c r="A57" i="125" s="1"/>
  <c r="A55" i="125" s="1"/>
  <c r="E60" i="127"/>
  <c r="E59" i="127" s="1"/>
  <c r="E58" i="127" s="1"/>
  <c r="A57" i="127" s="1"/>
  <c r="A55" i="127" s="1"/>
  <c r="E60" i="130"/>
  <c r="E59" i="130" s="1"/>
  <c r="E58" i="130" s="1"/>
  <c r="A57" i="130" s="1"/>
  <c r="A55" i="130" s="1"/>
  <c r="C6" i="139"/>
  <c r="C5" i="139" s="1"/>
  <c r="A4" i="139" s="1"/>
  <c r="E106" i="95"/>
  <c r="E106" i="103"/>
  <c r="E106" i="107"/>
  <c r="E106" i="110"/>
  <c r="E106" i="98"/>
  <c r="E106" i="100"/>
  <c r="E106" i="102"/>
  <c r="E106" i="106"/>
  <c r="E60" i="99"/>
  <c r="E59" i="99" s="1"/>
  <c r="E58" i="99" s="1"/>
  <c r="A57" i="99" s="1"/>
  <c r="A55" i="99" s="1"/>
  <c r="E60" i="102"/>
  <c r="E59" i="102" s="1"/>
  <c r="E58" i="102" s="1"/>
  <c r="A57" i="102" s="1"/>
  <c r="A55" i="102" s="1"/>
  <c r="E60" i="105"/>
  <c r="E59" i="105" s="1"/>
  <c r="E58" i="105" s="1"/>
  <c r="A57" i="105" s="1"/>
  <c r="E60" i="108"/>
  <c r="E59" i="108" s="1"/>
  <c r="E58" i="108" s="1"/>
  <c r="A57" i="108" s="1"/>
  <c r="E60" i="96"/>
  <c r="E59" i="96" s="1"/>
  <c r="E58" i="96" s="1"/>
  <c r="A57" i="96" s="1"/>
  <c r="E60" i="98"/>
  <c r="E59" i="98" s="1"/>
  <c r="E58" i="98" s="1"/>
  <c r="A57" i="98" s="1"/>
  <c r="A55" i="98" s="1"/>
  <c r="E60" i="103"/>
  <c r="E59" i="103" s="1"/>
  <c r="E58" i="103" s="1"/>
  <c r="A57" i="103" s="1"/>
  <c r="A55" i="103" s="1"/>
  <c r="E60" i="110"/>
  <c r="E59" i="110" s="1"/>
  <c r="J19" i="114"/>
  <c r="I19" i="114" s="1"/>
  <c r="H19" i="114" s="1"/>
  <c r="G19" i="114" s="1"/>
  <c r="U95" i="111"/>
  <c r="T95" i="111" s="1"/>
  <c r="C14" i="112" s="1"/>
  <c r="Q20" i="136"/>
  <c r="U107" i="111"/>
  <c r="T107" i="111" s="1"/>
  <c r="U94" i="111"/>
  <c r="T94" i="111" s="1"/>
  <c r="S94" i="111" s="1"/>
  <c r="J21" i="69"/>
  <c r="AC12" i="91"/>
  <c r="AI12" i="91"/>
  <c r="AQ12" i="91"/>
  <c r="AW12" i="91"/>
  <c r="X104" i="156"/>
  <c r="W104" i="156" s="1"/>
  <c r="W24" i="136" s="1"/>
  <c r="S98" i="156"/>
  <c r="R20" i="156"/>
  <c r="S100" i="156"/>
  <c r="S15" i="156"/>
  <c r="T95" i="156"/>
  <c r="E52" i="147"/>
  <c r="V106" i="147"/>
  <c r="AA23" i="156"/>
  <c r="Z19" i="156"/>
  <c r="Y19" i="156" s="1"/>
  <c r="X95" i="156"/>
  <c r="W95" i="156" s="1"/>
  <c r="AA14" i="156"/>
  <c r="AB94" i="156"/>
  <c r="X93" i="156"/>
  <c r="S13" i="156"/>
  <c r="T93" i="156"/>
  <c r="AA22" i="156"/>
  <c r="W13" i="136"/>
  <c r="G108" i="111"/>
  <c r="F108" i="111" s="1"/>
  <c r="F110" i="111" s="1"/>
  <c r="F27" i="114"/>
  <c r="G12" i="114"/>
  <c r="F12" i="114" s="1"/>
  <c r="J110" i="111"/>
  <c r="S53" i="111"/>
  <c r="T70" i="111"/>
  <c r="R23" i="111"/>
  <c r="R103" i="111" s="1"/>
  <c r="S103" i="111"/>
  <c r="AC21" i="158"/>
  <c r="D25" i="134"/>
  <c r="C26" i="136"/>
  <c r="N104" i="132"/>
  <c r="N24" i="136" s="1"/>
  <c r="O24" i="136"/>
  <c r="K23" i="138" s="1"/>
  <c r="J24" i="132"/>
  <c r="I24" i="132" s="1"/>
  <c r="K104" i="132"/>
  <c r="M17" i="132"/>
  <c r="N97" i="132"/>
  <c r="J16" i="132"/>
  <c r="I16" i="132" s="1"/>
  <c r="K96" i="132"/>
  <c r="Y15" i="132"/>
  <c r="L15" i="132"/>
  <c r="M95" i="132"/>
  <c r="M15" i="136" s="1"/>
  <c r="K14" i="132"/>
  <c r="L94" i="132"/>
  <c r="L14" i="136" s="1"/>
  <c r="P97" i="132"/>
  <c r="P17" i="136" s="1"/>
  <c r="O17" i="136" s="1"/>
  <c r="Q17" i="136"/>
  <c r="AB13" i="136"/>
  <c r="N98" i="111"/>
  <c r="K17" i="114"/>
  <c r="F12" i="112"/>
  <c r="K12" i="114"/>
  <c r="J12" i="114" s="1"/>
  <c r="H12" i="114"/>
  <c r="K110" i="111"/>
  <c r="K112" i="111" s="1"/>
  <c r="E12" i="114"/>
  <c r="R27" i="111"/>
  <c r="S107" i="111"/>
  <c r="R18" i="111"/>
  <c r="R98" i="111" s="1"/>
  <c r="S98" i="111"/>
  <c r="R15" i="111"/>
  <c r="R95" i="111" s="1"/>
  <c r="S95" i="111"/>
  <c r="S13" i="111"/>
  <c r="E74" i="117"/>
  <c r="V326" i="117"/>
  <c r="P27" i="136"/>
  <c r="AA26" i="132"/>
  <c r="C24" i="134"/>
  <c r="B24" i="134" s="1"/>
  <c r="T24" i="134" s="1"/>
  <c r="AG24" i="134" s="1"/>
  <c r="AH24" i="134"/>
  <c r="Q24" i="134"/>
  <c r="U24" i="134"/>
  <c r="AC24" i="134" s="1"/>
  <c r="R24" i="134"/>
  <c r="P24" i="134"/>
  <c r="V104" i="132"/>
  <c r="V103" i="132"/>
  <c r="AA22" i="132"/>
  <c r="C21" i="134"/>
  <c r="B21" i="134" s="1"/>
  <c r="T21" i="134" s="1"/>
  <c r="AG21" i="134" s="1"/>
  <c r="U21" i="134"/>
  <c r="AC21" i="134" s="1"/>
  <c r="R21" i="134"/>
  <c r="AH21" i="134"/>
  <c r="P21" i="134"/>
  <c r="Q21" i="134"/>
  <c r="U20" i="134"/>
  <c r="AC20" i="134" s="1"/>
  <c r="R20" i="134"/>
  <c r="P20" i="134"/>
  <c r="AH20" i="134"/>
  <c r="Q20" i="134"/>
  <c r="Z20" i="132"/>
  <c r="N20" i="132"/>
  <c r="O100" i="132"/>
  <c r="AA19" i="132"/>
  <c r="Z19" i="132" s="1"/>
  <c r="K19" i="132"/>
  <c r="L99" i="132"/>
  <c r="AA14" i="132"/>
  <c r="Y25" i="111"/>
  <c r="Z18" i="111"/>
  <c r="AA16" i="111"/>
  <c r="Z15" i="111"/>
  <c r="AB4" i="18"/>
  <c r="BA4" i="18"/>
  <c r="AB5" i="18"/>
  <c r="BZ5" i="18"/>
  <c r="BA6" i="18"/>
  <c r="CY6" i="18"/>
  <c r="BY10" i="18"/>
  <c r="CX10" i="18"/>
  <c r="AA11" i="18"/>
  <c r="AZ11" i="18"/>
  <c r="CX11" i="18"/>
  <c r="AZ12" i="18"/>
  <c r="CX12" i="18"/>
  <c r="AA13" i="18"/>
  <c r="BY13" i="18"/>
  <c r="AA14" i="18"/>
  <c r="AZ14" i="18"/>
  <c r="BY14" i="18"/>
  <c r="AA15" i="18"/>
  <c r="BY15" i="18"/>
  <c r="AA16" i="18"/>
  <c r="AZ16" i="18"/>
  <c r="BY17" i="18"/>
  <c r="AZ18" i="18"/>
  <c r="AA19" i="18"/>
  <c r="CX19" i="18"/>
  <c r="AZ20" i="18"/>
  <c r="CX20" i="18"/>
  <c r="AA21" i="18"/>
  <c r="AZ21" i="18"/>
  <c r="CX21" i="18"/>
  <c r="AA22" i="18"/>
  <c r="BY22" i="18"/>
  <c r="BY23" i="18"/>
  <c r="CX23" i="18"/>
  <c r="AA24" i="18"/>
  <c r="BY24" i="18"/>
  <c r="CX24" i="18"/>
  <c r="AA25" i="18"/>
  <c r="AA34" i="18"/>
  <c r="AF34" i="18"/>
  <c r="AJ34" i="18"/>
  <c r="AZ34" i="18"/>
  <c r="BG34" i="18"/>
  <c r="BP34" i="18"/>
  <c r="CA34" i="18"/>
  <c r="CF34" i="18"/>
  <c r="CO34" i="18"/>
  <c r="CZ34" i="18"/>
  <c r="DE34" i="18"/>
  <c r="DN34" i="18"/>
  <c r="AB41" i="18"/>
  <c r="BZ41" i="18"/>
  <c r="C42" i="18"/>
  <c r="BA42" i="18"/>
  <c r="B46" i="18"/>
  <c r="CY42" i="18" s="1"/>
  <c r="AZ46" i="18"/>
  <c r="B47" i="18"/>
  <c r="BY47" i="18"/>
  <c r="BY48" i="18"/>
  <c r="AA49" i="18"/>
  <c r="B50" i="18"/>
  <c r="AA50" i="18"/>
  <c r="B51" i="18"/>
  <c r="AZ51" i="18"/>
  <c r="AZ52" i="18"/>
  <c r="BY52" i="18"/>
  <c r="B53" i="18"/>
  <c r="AA53" i="18"/>
  <c r="AA54" i="18"/>
  <c r="AA55" i="18"/>
  <c r="AZ55" i="18"/>
  <c r="CX56" i="18"/>
  <c r="AZ57" i="18"/>
  <c r="BY57" i="18"/>
  <c r="AZ58" i="18"/>
  <c r="CX58" i="18"/>
  <c r="B59" i="18"/>
  <c r="BY59" i="18"/>
  <c r="B60" i="18"/>
  <c r="CX60" i="18"/>
  <c r="B61" i="18"/>
  <c r="D70" i="18"/>
  <c r="I70" i="18"/>
  <c r="R70" i="18"/>
  <c r="AC70" i="18"/>
  <c r="AJ70" i="18"/>
  <c r="AZ70" i="18"/>
  <c r="BE70" i="18"/>
  <c r="BI70" i="18"/>
  <c r="BY70" i="18"/>
  <c r="CD70" i="18"/>
  <c r="CH70" i="18"/>
  <c r="CX70" i="18"/>
  <c r="DC70" i="18"/>
  <c r="DG70" i="18"/>
  <c r="C76" i="18"/>
  <c r="AB76" i="18"/>
  <c r="BA76" i="18"/>
  <c r="BZ76" i="18"/>
  <c r="CY76" i="18"/>
  <c r="DX76" i="18"/>
  <c r="AB77" i="18"/>
  <c r="BZ77" i="18"/>
  <c r="DX77" i="18"/>
  <c r="AB78" i="18"/>
  <c r="BZ78" i="18"/>
  <c r="DX78" i="18"/>
  <c r="AA82" i="18"/>
  <c r="AZ82" i="18"/>
  <c r="CX82" i="18"/>
  <c r="CX84" i="18"/>
  <c r="DW84" i="18"/>
  <c r="AA85" i="18"/>
  <c r="AZ85" i="18"/>
  <c r="BY85" i="18"/>
  <c r="AZ86" i="18"/>
  <c r="CX86" i="18"/>
  <c r="DW86" i="18"/>
  <c r="B87" i="18"/>
  <c r="AA87" i="18"/>
  <c r="BY87" i="18"/>
  <c r="CX87" i="18"/>
  <c r="DW87" i="18"/>
  <c r="B88" i="18"/>
  <c r="AA88" i="18"/>
  <c r="AZ88" i="18"/>
  <c r="CX88" i="18"/>
  <c r="DW88" i="18"/>
  <c r="AA89" i="18"/>
  <c r="BY89" i="18"/>
  <c r="CX89" i="18"/>
  <c r="AA90" i="18"/>
  <c r="AZ90" i="18"/>
  <c r="BY90" i="18"/>
  <c r="CX90" i="18"/>
  <c r="DW90" i="18"/>
  <c r="AA91" i="18"/>
  <c r="AZ91" i="18"/>
  <c r="BY91" i="18"/>
  <c r="AZ92" i="18"/>
  <c r="BY92" i="18"/>
  <c r="CX92" i="18"/>
  <c r="B93" i="18"/>
  <c r="BY93" i="18"/>
  <c r="AA94" i="18"/>
  <c r="BY94" i="18"/>
  <c r="DW94" i="18"/>
  <c r="AA95" i="18"/>
  <c r="BY95" i="18"/>
  <c r="B96" i="18"/>
  <c r="AA96" i="18"/>
  <c r="B97" i="18"/>
  <c r="CX97" i="18"/>
  <c r="DW97" i="18"/>
  <c r="D106" i="18"/>
  <c r="K106" i="18"/>
  <c r="I106" i="18" s="1"/>
  <c r="AA106" i="18"/>
  <c r="AF106" i="18"/>
  <c r="AJ106" i="18"/>
  <c r="AZ106" i="18"/>
  <c r="BE106" i="18"/>
  <c r="BI106" i="18"/>
  <c r="BY106" i="18"/>
  <c r="CD106" i="18"/>
  <c r="CH106" i="18"/>
  <c r="CX106" i="18"/>
  <c r="DC106" i="18"/>
  <c r="DG106" i="18"/>
  <c r="C112" i="18"/>
  <c r="B118" i="18"/>
  <c r="AA121" i="18"/>
  <c r="B122" i="18"/>
  <c r="B125" i="18"/>
  <c r="AA129" i="18"/>
  <c r="B131" i="18"/>
  <c r="AA132" i="18"/>
  <c r="D142" i="18"/>
  <c r="I142" i="18"/>
  <c r="AQ142" i="18"/>
  <c r="F19" i="68"/>
  <c r="O12" i="91"/>
  <c r="F36" i="68"/>
  <c r="AU12" i="91"/>
  <c r="F28" i="162"/>
  <c r="R97" i="156"/>
  <c r="I110" i="156"/>
  <c r="B24" i="158"/>
  <c r="R98" i="156"/>
  <c r="U106" i="156"/>
  <c r="T106" i="156" s="1"/>
  <c r="S106" i="156" s="1"/>
  <c r="O27" i="136"/>
  <c r="E23" i="136"/>
  <c r="O21" i="158"/>
  <c r="B21" i="158"/>
  <c r="J110" i="156"/>
  <c r="W108" i="132"/>
  <c r="W28" i="136" s="1"/>
  <c r="C23" i="136"/>
  <c r="U105" i="111"/>
  <c r="T102" i="111"/>
  <c r="U100" i="111"/>
  <c r="T100" i="111" s="1"/>
  <c r="S100" i="111" s="1"/>
  <c r="R100" i="111" s="1"/>
  <c r="D163" i="43"/>
  <c r="C163" i="43" s="1"/>
  <c r="B163" i="43" s="1"/>
  <c r="F110" i="156"/>
  <c r="E110" i="156" s="1"/>
  <c r="C110" i="156" s="1"/>
  <c r="E161" i="119"/>
  <c r="E224" i="121"/>
  <c r="E171" i="123"/>
  <c r="E196" i="125"/>
  <c r="E106" i="130"/>
  <c r="E106" i="128"/>
  <c r="G26" i="136"/>
  <c r="K25" i="136"/>
  <c r="J25" i="136" s="1"/>
  <c r="O23" i="136"/>
  <c r="V95" i="132"/>
  <c r="E82" i="117"/>
  <c r="E81" i="117" s="1"/>
  <c r="E80" i="117" s="1"/>
  <c r="A79" i="117" s="1"/>
  <c r="A77" i="117" s="1"/>
  <c r="E60" i="119"/>
  <c r="E59" i="119" s="1"/>
  <c r="E60" i="121"/>
  <c r="E59" i="121" s="1"/>
  <c r="E58" i="121" s="1"/>
  <c r="A57" i="121" s="1"/>
  <c r="A55" i="121" s="1"/>
  <c r="E60" i="123"/>
  <c r="E59" i="123" s="1"/>
  <c r="E58" i="123" s="1"/>
  <c r="A57" i="123" s="1"/>
  <c r="A55" i="123" s="1"/>
  <c r="E60" i="128"/>
  <c r="E59" i="128" s="1"/>
  <c r="E60" i="126"/>
  <c r="E59" i="126" s="1"/>
  <c r="E58" i="126" s="1"/>
  <c r="A57" i="126" s="1"/>
  <c r="A55" i="126" s="1"/>
  <c r="V52" i="126" s="1"/>
  <c r="V106" i="126" s="1"/>
  <c r="E106" i="126" s="1"/>
  <c r="E60" i="129"/>
  <c r="E59" i="129" s="1"/>
  <c r="E60" i="131"/>
  <c r="E59" i="131" s="1"/>
  <c r="E58" i="131" s="1"/>
  <c r="A57" i="131" s="1"/>
  <c r="A55" i="131" s="1"/>
  <c r="K27" i="114"/>
  <c r="J27" i="114" s="1"/>
  <c r="I27" i="114" s="1"/>
  <c r="H27" i="114" s="1"/>
  <c r="G27" i="114" s="1"/>
  <c r="E106" i="97"/>
  <c r="E106" i="104"/>
  <c r="E106" i="109"/>
  <c r="E106" i="96"/>
  <c r="E106" i="99"/>
  <c r="E106" i="101"/>
  <c r="E106" i="105"/>
  <c r="E106" i="108"/>
  <c r="E60" i="95"/>
  <c r="E59" i="95" s="1"/>
  <c r="E58" i="95" s="1"/>
  <c r="A57" i="95" s="1"/>
  <c r="A55" i="95" s="1"/>
  <c r="E60" i="101"/>
  <c r="E59" i="101" s="1"/>
  <c r="E58" i="101" s="1"/>
  <c r="A57" i="101" s="1"/>
  <c r="A55" i="101" s="1"/>
  <c r="E60" i="104"/>
  <c r="E59" i="104" s="1"/>
  <c r="E60" i="107"/>
  <c r="E59" i="107" s="1"/>
  <c r="E58" i="107" s="1"/>
  <c r="A57" i="107" s="1"/>
  <c r="A55" i="107" s="1"/>
  <c r="E60" i="109"/>
  <c r="E59" i="109" s="1"/>
  <c r="E60" i="97"/>
  <c r="E59" i="97" s="1"/>
  <c r="E58" i="97" s="1"/>
  <c r="A57" i="97" s="1"/>
  <c r="E60" i="100"/>
  <c r="E59" i="100" s="1"/>
  <c r="E58" i="100" s="1"/>
  <c r="A57" i="100" s="1"/>
  <c r="A55" i="100" s="1"/>
  <c r="E60" i="106"/>
  <c r="E59" i="106" s="1"/>
  <c r="E58" i="106" s="1"/>
  <c r="A57" i="106" s="1"/>
  <c r="A55" i="106" s="1"/>
  <c r="J24" i="114"/>
  <c r="I24" i="114" s="1"/>
  <c r="H24" i="114" s="1"/>
  <c r="G24" i="114" s="1"/>
  <c r="F24" i="114" s="1"/>
  <c r="E24" i="114" s="1"/>
  <c r="J18" i="114"/>
  <c r="I18" i="114" s="1"/>
  <c r="H18" i="114" s="1"/>
  <c r="G18" i="114" s="1"/>
  <c r="F18" i="114" s="1"/>
  <c r="E18" i="114" s="1"/>
  <c r="T12" i="135"/>
  <c r="AG12" i="135" s="1"/>
  <c r="CS27" i="18" l="1"/>
  <c r="N13" i="158"/>
  <c r="O13" i="158" s="1"/>
  <c r="U11" i="88"/>
  <c r="K28" i="57"/>
  <c r="K29" i="57" s="1"/>
  <c r="K30" i="57" s="1"/>
  <c r="K31" i="57" s="1"/>
  <c r="K32" i="57" s="1"/>
  <c r="K33" i="57" s="1"/>
  <c r="K34" i="57" s="1"/>
  <c r="K35" i="57" s="1"/>
  <c r="K36" i="57" s="1"/>
  <c r="K37" i="57" s="1"/>
  <c r="K38" i="57" s="1"/>
  <c r="K39" i="57" s="1"/>
  <c r="K40" i="57" s="1"/>
  <c r="K41" i="57" s="1"/>
  <c r="K42" i="57" s="1"/>
  <c r="K43" i="57" s="1"/>
  <c r="K44" i="57" s="1"/>
  <c r="K45" i="57" s="1"/>
  <c r="K46" i="57" s="1"/>
  <c r="K47" i="57" s="1"/>
  <c r="K48" i="57" s="1"/>
  <c r="K49" i="57" s="1"/>
  <c r="K50" i="57" s="1"/>
  <c r="K51" i="57" s="1"/>
  <c r="R56" i="13"/>
  <c r="S56" i="13"/>
  <c r="K28" i="40"/>
  <c r="G36" i="69" s="1"/>
  <c r="S48" i="13"/>
  <c r="R48" i="13"/>
  <c r="S47" i="13"/>
  <c r="R47" i="13"/>
  <c r="S49" i="13"/>
  <c r="R49" i="13"/>
  <c r="A17" i="157"/>
  <c r="S53" i="13"/>
  <c r="R53" i="13"/>
  <c r="S52" i="13"/>
  <c r="R52" i="13"/>
  <c r="P18" i="134"/>
  <c r="AU99" i="18"/>
  <c r="H42" i="85"/>
  <c r="AH18" i="134"/>
  <c r="H21" i="66"/>
  <c r="D15" i="43" s="1"/>
  <c r="H58" i="68"/>
  <c r="R26" i="134"/>
  <c r="AU135" i="18"/>
  <c r="AT135" i="18" s="1"/>
  <c r="U26" i="134"/>
  <c r="AC26" i="134" s="1"/>
  <c r="AB95" i="156"/>
  <c r="AA95" i="156" s="1"/>
  <c r="Z95" i="156" s="1"/>
  <c r="P26" i="134"/>
  <c r="AH26" i="134"/>
  <c r="A17" i="156"/>
  <c r="A18" i="156" s="1"/>
  <c r="G42" i="85"/>
  <c r="F42" i="85" s="1"/>
  <c r="BT99" i="18"/>
  <c r="AX12" i="91"/>
  <c r="K29" i="86"/>
  <c r="R42" i="13"/>
  <c r="S42" i="13"/>
  <c r="R43" i="13"/>
  <c r="S43" i="13"/>
  <c r="F112" i="68"/>
  <c r="D376" i="43" s="1"/>
  <c r="M28" i="40"/>
  <c r="S40" i="13"/>
  <c r="R40" i="13"/>
  <c r="J30" i="8"/>
  <c r="I30" i="8" s="1"/>
  <c r="H36" i="69"/>
  <c r="DR27" i="18"/>
  <c r="R45" i="13"/>
  <c r="S45" i="13"/>
  <c r="DR99" i="18"/>
  <c r="H30" i="8"/>
  <c r="S39" i="13"/>
  <c r="R39" i="13"/>
  <c r="A58" i="132"/>
  <c r="AB57" i="132" s="1"/>
  <c r="AA57" i="132" s="1"/>
  <c r="Z57" i="132" s="1"/>
  <c r="Y57" i="132" s="1"/>
  <c r="X57" i="132" s="1"/>
  <c r="W57" i="132" s="1"/>
  <c r="W97" i="132" s="1"/>
  <c r="I47" i="20"/>
  <c r="H47" i="20" s="1"/>
  <c r="G47" i="20" s="1"/>
  <c r="C25" i="68" s="1"/>
  <c r="T16" i="13"/>
  <c r="T38" i="13"/>
  <c r="S36" i="13"/>
  <c r="R36" i="13"/>
  <c r="R37" i="13"/>
  <c r="S37" i="13"/>
  <c r="Z95" i="132"/>
  <c r="BF12" i="91"/>
  <c r="BE12" i="91" s="1"/>
  <c r="F30" i="59"/>
  <c r="H30" i="62"/>
  <c r="K30" i="62" s="1"/>
  <c r="E18" i="71"/>
  <c r="I18" i="165" s="1"/>
  <c r="A105" i="132"/>
  <c r="A106" i="132" s="1"/>
  <c r="A107" i="132" s="1"/>
  <c r="A108" i="132" s="1"/>
  <c r="B18" i="13"/>
  <c r="B19" i="13" s="1"/>
  <c r="A100" i="111"/>
  <c r="A101" i="111" s="1"/>
  <c r="A102" i="111" s="1"/>
  <c r="A103" i="111" s="1"/>
  <c r="AB15" i="132"/>
  <c r="A17" i="132"/>
  <c r="E30" i="54"/>
  <c r="L29" i="54"/>
  <c r="R107" i="111"/>
  <c r="J17" i="114"/>
  <c r="I17" i="114" s="1"/>
  <c r="H17" i="114" s="1"/>
  <c r="G17" i="114" s="1"/>
  <c r="F17" i="114" s="1"/>
  <c r="E17" i="114" s="1"/>
  <c r="E106" i="147"/>
  <c r="R100" i="156"/>
  <c r="F110" i="68"/>
  <c r="H39" i="68" s="1"/>
  <c r="S94" i="156"/>
  <c r="R94" i="156" s="1"/>
  <c r="S33" i="13"/>
  <c r="R33" i="13"/>
  <c r="E45" i="80"/>
  <c r="V27" i="18"/>
  <c r="U27" i="18"/>
  <c r="K29" i="62"/>
  <c r="AT63" i="18"/>
  <c r="AU63" i="18"/>
  <c r="U99" i="18"/>
  <c r="V99" i="18"/>
  <c r="L18" i="13"/>
  <c r="T18" i="13"/>
  <c r="F30" i="78"/>
  <c r="G20" i="71"/>
  <c r="S35" i="13"/>
  <c r="R35" i="13"/>
  <c r="AB15" i="111"/>
  <c r="A17" i="111"/>
  <c r="EQ99" i="18"/>
  <c r="E29" i="8"/>
  <c r="F30" i="8"/>
  <c r="U63" i="18"/>
  <c r="V63" i="18"/>
  <c r="A99" i="156"/>
  <c r="A100" i="156" s="1"/>
  <c r="A101" i="156" s="1"/>
  <c r="A102" i="156" s="1"/>
  <c r="A103" i="156" s="1"/>
  <c r="A104" i="156" s="1"/>
  <c r="A105" i="156" s="1"/>
  <c r="A58" i="156"/>
  <c r="CS99" i="18"/>
  <c r="CR99" i="18"/>
  <c r="E30" i="55"/>
  <c r="J45" i="80"/>
  <c r="I45" i="80" s="1"/>
  <c r="H45" i="80" s="1"/>
  <c r="G45" i="80" s="1"/>
  <c r="F45" i="80" s="1"/>
  <c r="N18" i="134"/>
  <c r="O18" i="134" s="1"/>
  <c r="E30" i="59"/>
  <c r="H11" i="88"/>
  <c r="J22" i="69"/>
  <c r="Z56" i="156"/>
  <c r="BT63" i="18"/>
  <c r="R15" i="13"/>
  <c r="E30" i="77"/>
  <c r="E45" i="50"/>
  <c r="A57" i="111"/>
  <c r="AT27" i="18"/>
  <c r="AS27" i="18" s="1"/>
  <c r="AU27" i="18" s="1"/>
  <c r="U135" i="18"/>
  <c r="V135" i="18"/>
  <c r="BS27" i="18"/>
  <c r="BT27" i="18"/>
  <c r="AB16" i="156"/>
  <c r="E45" i="79"/>
  <c r="E30" i="53"/>
  <c r="O12" i="40"/>
  <c r="G32" i="162"/>
  <c r="AZ12" i="91"/>
  <c r="K29" i="61"/>
  <c r="K29" i="64"/>
  <c r="H48" i="66"/>
  <c r="D316" i="43"/>
  <c r="BD12" i="91"/>
  <c r="F16" i="68"/>
  <c r="H15" i="68" s="1"/>
  <c r="L35" i="60"/>
  <c r="F47" i="20"/>
  <c r="N24" i="134"/>
  <c r="O24" i="134" s="1"/>
  <c r="N26" i="134"/>
  <c r="O26" i="134" s="1"/>
  <c r="S34" i="13"/>
  <c r="R34" i="13"/>
  <c r="E45" i="51"/>
  <c r="E326" i="117"/>
  <c r="J96" i="132"/>
  <c r="J16" i="136" s="1"/>
  <c r="J23" i="138"/>
  <c r="I23" i="138" s="1"/>
  <c r="R104" i="111"/>
  <c r="E60" i="151"/>
  <c r="E59" i="151" s="1"/>
  <c r="S96" i="156"/>
  <c r="S99" i="156"/>
  <c r="R99" i="156" s="1"/>
  <c r="N22" i="134"/>
  <c r="O22" i="134" s="1"/>
  <c r="D195" i="43"/>
  <c r="O14" i="136"/>
  <c r="K13" i="138" s="1"/>
  <c r="W11" i="88"/>
  <c r="J52" i="69"/>
  <c r="E47" i="20"/>
  <c r="F15" i="68"/>
  <c r="N23" i="136"/>
  <c r="M23" i="136" s="1"/>
  <c r="L23" i="136" s="1"/>
  <c r="K23" i="136" s="1"/>
  <c r="J23" i="136" s="1"/>
  <c r="K22" i="138"/>
  <c r="Y15" i="111"/>
  <c r="Z95" i="111"/>
  <c r="Z16" i="111"/>
  <c r="Y18" i="111"/>
  <c r="Z14" i="132"/>
  <c r="AA94" i="132"/>
  <c r="J19" i="132"/>
  <c r="K99" i="132"/>
  <c r="Y19" i="132"/>
  <c r="M20" i="132"/>
  <c r="N100" i="132"/>
  <c r="Y20" i="132"/>
  <c r="Z22" i="132"/>
  <c r="N17" i="136"/>
  <c r="K16" i="138"/>
  <c r="J14" i="132"/>
  <c r="K94" i="132"/>
  <c r="K14" i="136" s="1"/>
  <c r="K15" i="132"/>
  <c r="L95" i="132"/>
  <c r="L15" i="136" s="1"/>
  <c r="G16" i="132"/>
  <c r="I96" i="132"/>
  <c r="I16" i="136" s="1"/>
  <c r="L17" i="132"/>
  <c r="M97" i="132"/>
  <c r="G24" i="132"/>
  <c r="I104" i="132"/>
  <c r="U24" i="132"/>
  <c r="T24" i="132" s="1"/>
  <c r="C25" i="134"/>
  <c r="B25" i="134" s="1"/>
  <c r="T25" i="134" s="1"/>
  <c r="AG25" i="134" s="1"/>
  <c r="AH25" i="134"/>
  <c r="R25" i="134"/>
  <c r="P25" i="134"/>
  <c r="Q25" i="134"/>
  <c r="U25" i="134"/>
  <c r="AC25" i="134" s="1"/>
  <c r="R53" i="111"/>
  <c r="R70" i="111" s="1"/>
  <c r="S70" i="111"/>
  <c r="V13" i="136"/>
  <c r="Z22" i="156"/>
  <c r="C12" i="157"/>
  <c r="Y99" i="156"/>
  <c r="X99" i="156" s="1"/>
  <c r="W99" i="156" s="1"/>
  <c r="P20" i="136"/>
  <c r="O20" i="136" s="1"/>
  <c r="J106" i="132"/>
  <c r="K26" i="136"/>
  <c r="Z16" i="132"/>
  <c r="Y16" i="132" s="1"/>
  <c r="AA96" i="132"/>
  <c r="Z17" i="132"/>
  <c r="J18" i="132"/>
  <c r="Y18" i="132"/>
  <c r="F23" i="132"/>
  <c r="F103" i="132" s="1"/>
  <c r="F23" i="136" s="1"/>
  <c r="G103" i="132"/>
  <c r="G23" i="136" s="1"/>
  <c r="J108" i="132"/>
  <c r="K28" i="136"/>
  <c r="C25" i="133"/>
  <c r="T26" i="136"/>
  <c r="X103" i="132"/>
  <c r="E22" i="133"/>
  <c r="G25" i="132"/>
  <c r="I105" i="132"/>
  <c r="U105" i="132" s="1"/>
  <c r="U25" i="132"/>
  <c r="T25" i="132" s="1"/>
  <c r="J107" i="132"/>
  <c r="I107" i="132" s="1"/>
  <c r="K27" i="136"/>
  <c r="I11" i="115"/>
  <c r="G12" i="137"/>
  <c r="Z28" i="156"/>
  <c r="AA108" i="156"/>
  <c r="G27" i="157" s="1"/>
  <c r="R53" i="156"/>
  <c r="F12" i="157"/>
  <c r="T21" i="158"/>
  <c r="AG21" i="158" s="1"/>
  <c r="AF21" i="158" s="1"/>
  <c r="N23" i="134"/>
  <c r="O23" i="134" s="1"/>
  <c r="S105" i="111"/>
  <c r="J14" i="114"/>
  <c r="I14" i="114" s="1"/>
  <c r="H14" i="114" s="1"/>
  <c r="G14" i="114" s="1"/>
  <c r="F14" i="114" s="1"/>
  <c r="E14" i="114" s="1"/>
  <c r="N27" i="136"/>
  <c r="M27" i="136" s="1"/>
  <c r="L27" i="136" s="1"/>
  <c r="K26" i="138"/>
  <c r="D657" i="43"/>
  <c r="H43" i="68"/>
  <c r="H13" i="133"/>
  <c r="AB14" i="136"/>
  <c r="Z26" i="132"/>
  <c r="R13" i="111"/>
  <c r="S93" i="111"/>
  <c r="E12" i="112"/>
  <c r="H11" i="115"/>
  <c r="AO12" i="113"/>
  <c r="AA13" i="136"/>
  <c r="Y95" i="132"/>
  <c r="J104" i="132"/>
  <c r="J24" i="136" s="1"/>
  <c r="K24" i="136"/>
  <c r="H23" i="138" s="1"/>
  <c r="R13" i="156"/>
  <c r="S93" i="156"/>
  <c r="Z14" i="156"/>
  <c r="AA94" i="156"/>
  <c r="V95" i="156"/>
  <c r="W15" i="136"/>
  <c r="Z23" i="156"/>
  <c r="Y23" i="156" s="1"/>
  <c r="R15" i="156"/>
  <c r="R95" i="156" s="1"/>
  <c r="S95" i="156"/>
  <c r="D488" i="43"/>
  <c r="H42" i="68"/>
  <c r="F42" i="68" s="1"/>
  <c r="B14" i="112"/>
  <c r="E13" i="115"/>
  <c r="D13" i="115" s="1"/>
  <c r="N19" i="136"/>
  <c r="M19" i="136" s="1"/>
  <c r="L19" i="136" s="1"/>
  <c r="K18" i="138"/>
  <c r="N26" i="136"/>
  <c r="M26" i="136" s="1"/>
  <c r="L26" i="136" s="1"/>
  <c r="K25" i="138"/>
  <c r="D87" i="43"/>
  <c r="D31" i="43"/>
  <c r="D431" i="43"/>
  <c r="D537" i="43"/>
  <c r="C12" i="113"/>
  <c r="N12" i="113" s="1"/>
  <c r="AH12" i="113"/>
  <c r="U12" i="113"/>
  <c r="R12" i="113"/>
  <c r="P12" i="113"/>
  <c r="Q12" i="113"/>
  <c r="T18" i="134"/>
  <c r="AG18" i="134" s="1"/>
  <c r="AF18" i="134" s="1"/>
  <c r="G28" i="132"/>
  <c r="I108" i="132"/>
  <c r="U28" i="132"/>
  <c r="T28" i="132" s="1"/>
  <c r="S28" i="132" s="1"/>
  <c r="J11" i="115"/>
  <c r="AP12" i="113"/>
  <c r="R26" i="132"/>
  <c r="S106" i="132"/>
  <c r="E12" i="133"/>
  <c r="AO12" i="134"/>
  <c r="Y19" i="111"/>
  <c r="Y21" i="111"/>
  <c r="Z101" i="111"/>
  <c r="M94" i="132"/>
  <c r="N14" i="136"/>
  <c r="K21" i="132"/>
  <c r="L101" i="132"/>
  <c r="L21" i="136" s="1"/>
  <c r="Z21" i="132"/>
  <c r="M22" i="132"/>
  <c r="L22" i="132" s="1"/>
  <c r="N102" i="132"/>
  <c r="G27" i="132"/>
  <c r="U27" i="132"/>
  <c r="T27" i="132" s="1"/>
  <c r="S27" i="132" s="1"/>
  <c r="T13" i="158"/>
  <c r="AG13" i="158" s="1"/>
  <c r="AF13" i="158" s="1"/>
  <c r="AC13" i="158"/>
  <c r="D224" i="43"/>
  <c r="C224" i="43" s="1"/>
  <c r="B224" i="43" s="1"/>
  <c r="N21" i="134"/>
  <c r="O21" i="134" s="1"/>
  <c r="V24" i="136"/>
  <c r="E27" i="114"/>
  <c r="G110" i="111"/>
  <c r="F32" i="162"/>
  <c r="J14" i="138"/>
  <c r="G39" i="162" l="1"/>
  <c r="Z15" i="136"/>
  <c r="A59" i="132"/>
  <c r="D372" i="43"/>
  <c r="I25" i="136"/>
  <c r="H41" i="68"/>
  <c r="AA97" i="132"/>
  <c r="G23" i="71"/>
  <c r="J23" i="165" s="1"/>
  <c r="D315" i="43"/>
  <c r="F14" i="133"/>
  <c r="G11" i="115"/>
  <c r="D24" i="70"/>
  <c r="D30" i="161"/>
  <c r="AB56" i="111"/>
  <c r="A58" i="111"/>
  <c r="G23" i="138"/>
  <c r="AA16" i="156"/>
  <c r="AB96" i="156"/>
  <c r="AB58" i="132"/>
  <c r="AA58" i="132" s="1"/>
  <c r="Z58" i="132" s="1"/>
  <c r="A60" i="132"/>
  <c r="A106" i="156"/>
  <c r="A107" i="156" s="1"/>
  <c r="A108" i="156" s="1"/>
  <c r="J20" i="165"/>
  <c r="B20" i="13"/>
  <c r="B21" i="13" s="1"/>
  <c r="L15" i="13"/>
  <c r="S15" i="13" s="1"/>
  <c r="T15" i="13" s="1"/>
  <c r="Y56" i="156"/>
  <c r="D653" i="43"/>
  <c r="G21" i="71"/>
  <c r="E37" i="66"/>
  <c r="I36" i="69"/>
  <c r="E30" i="8"/>
  <c r="L29" i="8"/>
  <c r="AB16" i="111"/>
  <c r="A18" i="111"/>
  <c r="AB16" i="132"/>
  <c r="AB96" i="132" s="1"/>
  <c r="A18" i="132"/>
  <c r="A104" i="111"/>
  <c r="A105" i="111" s="1"/>
  <c r="A106" i="111" s="1"/>
  <c r="A107" i="111" s="1"/>
  <c r="K19" i="136"/>
  <c r="AB17" i="156"/>
  <c r="A19" i="156"/>
  <c r="AB57" i="156"/>
  <c r="A59" i="156"/>
  <c r="AA15" i="111"/>
  <c r="AB95" i="111"/>
  <c r="T33" i="13"/>
  <c r="AA15" i="132"/>
  <c r="AA95" i="132" s="1"/>
  <c r="G14" i="133" s="1"/>
  <c r="AB95" i="132"/>
  <c r="G16" i="133"/>
  <c r="C13" i="68"/>
  <c r="C48" i="68" s="1"/>
  <c r="F25" i="68"/>
  <c r="M12" i="91"/>
  <c r="D337" i="43"/>
  <c r="C337" i="43" s="1"/>
  <c r="B337" i="43" s="1"/>
  <c r="F40" i="162"/>
  <c r="F42" i="162" s="1"/>
  <c r="F68" i="162" s="1"/>
  <c r="F69" i="162" s="1"/>
  <c r="M102" i="132"/>
  <c r="M14" i="136"/>
  <c r="Y101" i="111"/>
  <c r="X101" i="111" s="1"/>
  <c r="J25" i="138"/>
  <c r="I25" i="138" s="1"/>
  <c r="H25" i="138" s="1"/>
  <c r="Z103" i="156"/>
  <c r="V15" i="136"/>
  <c r="N25" i="134"/>
  <c r="O25" i="134" s="1"/>
  <c r="J22" i="138"/>
  <c r="I22" i="138" s="1"/>
  <c r="H22" i="138" s="1"/>
  <c r="G22" i="138" s="1"/>
  <c r="F22" i="138" s="1"/>
  <c r="D10" i="43"/>
  <c r="J18" i="138"/>
  <c r="J16" i="138"/>
  <c r="I18" i="138"/>
  <c r="I14" i="138"/>
  <c r="D194" i="43"/>
  <c r="C149" i="43"/>
  <c r="R27" i="132"/>
  <c r="S107" i="132"/>
  <c r="AU12" i="134"/>
  <c r="AV12" i="113"/>
  <c r="R28" i="132"/>
  <c r="G15" i="133"/>
  <c r="O12" i="113"/>
  <c r="D483" i="43"/>
  <c r="H23" i="68"/>
  <c r="V103" i="156"/>
  <c r="R93" i="156"/>
  <c r="R93" i="111"/>
  <c r="Y26" i="132"/>
  <c r="G13" i="133"/>
  <c r="AP13" i="134"/>
  <c r="E12" i="157"/>
  <c r="AO12" i="158"/>
  <c r="AO12" i="135" s="1"/>
  <c r="Y28" i="156"/>
  <c r="Y108" i="156" s="1"/>
  <c r="Z108" i="156"/>
  <c r="F27" i="157" s="1"/>
  <c r="F12" i="137"/>
  <c r="S25" i="132"/>
  <c r="T105" i="132"/>
  <c r="F25" i="132"/>
  <c r="G105" i="132"/>
  <c r="Z96" i="132"/>
  <c r="E18" i="157"/>
  <c r="G104" i="132"/>
  <c r="I24" i="136"/>
  <c r="F23" i="138" s="1"/>
  <c r="U104" i="132"/>
  <c r="Y14" i="132"/>
  <c r="Y95" i="111"/>
  <c r="D398" i="43"/>
  <c r="C398" i="43" s="1"/>
  <c r="B398" i="43" s="1"/>
  <c r="J13" i="138"/>
  <c r="I13" i="138" s="1"/>
  <c r="H13" i="138" s="1"/>
  <c r="J27" i="136"/>
  <c r="S26" i="136"/>
  <c r="J28" i="136"/>
  <c r="E14" i="133"/>
  <c r="E14" i="137" s="1"/>
  <c r="F27" i="132"/>
  <c r="F107" i="132" s="1"/>
  <c r="F27" i="136" s="1"/>
  <c r="E27" i="136" s="1"/>
  <c r="G107" i="132"/>
  <c r="K22" i="132"/>
  <c r="L102" i="132"/>
  <c r="Y21" i="132"/>
  <c r="J21" i="132"/>
  <c r="K101" i="132"/>
  <c r="K21" i="136" s="1"/>
  <c r="G108" i="132"/>
  <c r="I28" i="136"/>
  <c r="AC12" i="113"/>
  <c r="B12" i="113"/>
  <c r="C6" i="113" s="1"/>
  <c r="AQ5" i="113" s="1"/>
  <c r="U95" i="156"/>
  <c r="Z94" i="156"/>
  <c r="X95" i="132"/>
  <c r="Y15" i="136"/>
  <c r="Z13" i="136"/>
  <c r="AU12" i="113"/>
  <c r="AQ12" i="113"/>
  <c r="I27" i="136"/>
  <c r="U107" i="132"/>
  <c r="T107" i="132" s="1"/>
  <c r="X98" i="132"/>
  <c r="I18" i="132"/>
  <c r="Y17" i="132"/>
  <c r="Y97" i="132" s="1"/>
  <c r="Z97" i="132"/>
  <c r="F16" i="133" s="1"/>
  <c r="I106" i="132"/>
  <c r="J26" i="136"/>
  <c r="G25" i="138" s="1"/>
  <c r="N20" i="136"/>
  <c r="K19" i="138"/>
  <c r="V99" i="156"/>
  <c r="Y22" i="156"/>
  <c r="S24" i="132"/>
  <c r="R24" i="132" s="1"/>
  <c r="T104" i="132"/>
  <c r="K17" i="132"/>
  <c r="L97" i="132"/>
  <c r="F16" i="132"/>
  <c r="G96" i="132"/>
  <c r="G16" i="136" s="1"/>
  <c r="J15" i="132"/>
  <c r="I15" i="132" s="1"/>
  <c r="K95" i="132"/>
  <c r="I14" i="132"/>
  <c r="J94" i="132"/>
  <c r="J14" i="136" s="1"/>
  <c r="Y22" i="132"/>
  <c r="L20" i="132"/>
  <c r="M100" i="132"/>
  <c r="I19" i="132"/>
  <c r="J99" i="132"/>
  <c r="J19" i="136" s="1"/>
  <c r="G18" i="138" s="1"/>
  <c r="Z94" i="132"/>
  <c r="AA14" i="136"/>
  <c r="Y16" i="111"/>
  <c r="R106" i="132"/>
  <c r="R26" i="136" s="1"/>
  <c r="J26" i="138"/>
  <c r="I26" i="138" s="1"/>
  <c r="H26" i="138" s="1"/>
  <c r="M17" i="136"/>
  <c r="E22" i="138"/>
  <c r="O13" i="5"/>
  <c r="N12" i="5"/>
  <c r="B7" i="5"/>
  <c r="B6" i="5"/>
  <c r="L5" i="5"/>
  <c r="B5" i="5"/>
  <c r="L49" i="65"/>
  <c r="B49" i="65"/>
  <c r="M40" i="65"/>
  <c r="M41" i="65" s="1"/>
  <c r="L40" i="65"/>
  <c r="L41" i="65" s="1"/>
  <c r="L42" i="65" s="1"/>
  <c r="D260" i="43" s="1"/>
  <c r="K40" i="65"/>
  <c r="K41" i="65" s="1"/>
  <c r="J40" i="65"/>
  <c r="I40" i="65"/>
  <c r="I41" i="65" s="1"/>
  <c r="H40" i="65"/>
  <c r="H41" i="65" s="1"/>
  <c r="G40" i="65"/>
  <c r="G41" i="65" s="1"/>
  <c r="F40" i="65"/>
  <c r="F17" i="66" s="1"/>
  <c r="G17" i="66" s="1"/>
  <c r="F11" i="90" s="1"/>
  <c r="E40" i="65"/>
  <c r="E41" i="65" s="1"/>
  <c r="D40" i="65"/>
  <c r="D41" i="65" s="1"/>
  <c r="N12" i="65"/>
  <c r="N13" i="65" s="1"/>
  <c r="B7" i="65"/>
  <c r="B6" i="65"/>
  <c r="L5" i="65"/>
  <c r="B5" i="65"/>
  <c r="H38" i="162"/>
  <c r="H37" i="162"/>
  <c r="F24" i="66"/>
  <c r="G26" i="138" l="1"/>
  <c r="F26" i="138"/>
  <c r="E26" i="138" s="1"/>
  <c r="AB96" i="111"/>
  <c r="N40" i="65"/>
  <c r="AO14" i="134"/>
  <c r="H18" i="138"/>
  <c r="J41" i="65"/>
  <c r="K42" i="65"/>
  <c r="AB59" i="132"/>
  <c r="AA59" i="132" s="1"/>
  <c r="A61" i="132"/>
  <c r="H13" i="69"/>
  <c r="H13" i="162"/>
  <c r="F41" i="65"/>
  <c r="D42" i="65"/>
  <c r="AB58" i="156"/>
  <c r="AA58" i="156" s="1"/>
  <c r="Z58" i="156" s="1"/>
  <c r="Y58" i="156" s="1"/>
  <c r="A60" i="156"/>
  <c r="A108" i="111"/>
  <c r="AB17" i="111"/>
  <c r="A19" i="111"/>
  <c r="N11" i="88"/>
  <c r="J36" i="69"/>
  <c r="AA96" i="156"/>
  <c r="AA56" i="111"/>
  <c r="Z16" i="156"/>
  <c r="H14" i="133"/>
  <c r="AB15" i="136"/>
  <c r="AA15" i="136" s="1"/>
  <c r="AB18" i="156"/>
  <c r="A20" i="156"/>
  <c r="AB17" i="132"/>
  <c r="AB97" i="132" s="1"/>
  <c r="H16" i="133" s="1"/>
  <c r="AP16" i="134" s="1"/>
  <c r="AV16" i="134" s="1"/>
  <c r="A19" i="132"/>
  <c r="J21" i="165"/>
  <c r="Y58" i="132"/>
  <c r="Y98" i="132" s="1"/>
  <c r="Z98" i="132"/>
  <c r="F17" i="133" s="1"/>
  <c r="AA57" i="156"/>
  <c r="B22" i="13"/>
  <c r="B23" i="13" s="1"/>
  <c r="B24" i="13" s="1"/>
  <c r="B25" i="13" s="1"/>
  <c r="B26" i="13" s="1"/>
  <c r="B27" i="13" s="1"/>
  <c r="B28" i="13" s="1"/>
  <c r="B29" i="13" s="1"/>
  <c r="B30" i="13" s="1"/>
  <c r="B31" i="13" s="1"/>
  <c r="B32" i="13" s="1"/>
  <c r="B33" i="13" s="1"/>
  <c r="B34" i="13" s="1"/>
  <c r="B35" i="13" s="1"/>
  <c r="B36" i="13" s="1"/>
  <c r="B37" i="13" s="1"/>
  <c r="B38" i="13" s="1"/>
  <c r="B39" i="13" s="1"/>
  <c r="B40" i="13" s="1"/>
  <c r="AA95" i="111"/>
  <c r="AA17" i="156"/>
  <c r="AB97" i="156"/>
  <c r="AB16" i="136"/>
  <c r="H15" i="133"/>
  <c r="AB57" i="111"/>
  <c r="AA57" i="111" s="1"/>
  <c r="Z57" i="111" s="1"/>
  <c r="A59" i="111"/>
  <c r="D18" i="71"/>
  <c r="D44" i="43"/>
  <c r="J11" i="87"/>
  <c r="D21" i="67"/>
  <c r="AO16" i="134"/>
  <c r="AU16" i="134" s="1"/>
  <c r="AW16" i="134" s="1"/>
  <c r="D370" i="43"/>
  <c r="L17" i="136"/>
  <c r="I16" i="138" s="1"/>
  <c r="N13" i="5"/>
  <c r="N14" i="5" s="1"/>
  <c r="N15" i="5" s="1"/>
  <c r="N16" i="5" s="1"/>
  <c r="N17" i="5" s="1"/>
  <c r="N18" i="5" s="1"/>
  <c r="N19" i="5" s="1"/>
  <c r="N20" i="5" s="1"/>
  <c r="Y103" i="156"/>
  <c r="H25" i="67"/>
  <c r="J19" i="138"/>
  <c r="H33" i="69"/>
  <c r="H36" i="162"/>
  <c r="H38" i="69"/>
  <c r="H41" i="162"/>
  <c r="Y94" i="132"/>
  <c r="Z14" i="136"/>
  <c r="G19" i="132"/>
  <c r="F19" i="132" s="1"/>
  <c r="I99" i="132"/>
  <c r="U19" i="132"/>
  <c r="T19" i="132" s="1"/>
  <c r="K20" i="132"/>
  <c r="L100" i="132"/>
  <c r="L20" i="136" s="1"/>
  <c r="I19" i="138" s="1"/>
  <c r="X102" i="132"/>
  <c r="G14" i="132"/>
  <c r="I94" i="132"/>
  <c r="I14" i="136" s="1"/>
  <c r="U14" i="132"/>
  <c r="T14" i="132" s="1"/>
  <c r="S14" i="132" s="1"/>
  <c r="R14" i="132" s="1"/>
  <c r="G15" i="132"/>
  <c r="F15" i="132" s="1"/>
  <c r="U15" i="132"/>
  <c r="T15" i="132" s="1"/>
  <c r="S15" i="132" s="1"/>
  <c r="E16" i="132"/>
  <c r="F96" i="132"/>
  <c r="F16" i="136" s="1"/>
  <c r="J17" i="132"/>
  <c r="I17" i="132" s="1"/>
  <c r="K97" i="132"/>
  <c r="U99" i="156"/>
  <c r="V19" i="136"/>
  <c r="E16" i="133"/>
  <c r="G27" i="136"/>
  <c r="U27" i="136"/>
  <c r="X95" i="111"/>
  <c r="W95" i="111" s="1"/>
  <c r="F105" i="132"/>
  <c r="G25" i="136"/>
  <c r="C24" i="133"/>
  <c r="H63" i="68"/>
  <c r="M20" i="136"/>
  <c r="V110" i="156"/>
  <c r="G28" i="136"/>
  <c r="F28" i="136" s="1"/>
  <c r="E28" i="136" s="1"/>
  <c r="G24" i="136"/>
  <c r="F24" i="136" s="1"/>
  <c r="E23" i="138" s="1"/>
  <c r="V23" i="136"/>
  <c r="E12" i="137"/>
  <c r="R107" i="132"/>
  <c r="R27" i="136" s="1"/>
  <c r="E27" i="157"/>
  <c r="AO27" i="158"/>
  <c r="J95" i="132"/>
  <c r="I95" i="132" s="1"/>
  <c r="K15" i="136"/>
  <c r="S104" i="132"/>
  <c r="R104" i="132" s="1"/>
  <c r="C23" i="133"/>
  <c r="I26" i="136"/>
  <c r="F25" i="138" s="1"/>
  <c r="E25" i="138" s="1"/>
  <c r="U106" i="132"/>
  <c r="X97" i="132"/>
  <c r="G18" i="132"/>
  <c r="U18" i="132"/>
  <c r="T18" i="132" s="1"/>
  <c r="C26" i="133"/>
  <c r="T27" i="136"/>
  <c r="S27" i="136" s="1"/>
  <c r="AU12" i="135"/>
  <c r="AW12" i="135" s="1"/>
  <c r="I21" i="132"/>
  <c r="J101" i="132"/>
  <c r="J21" i="136" s="1"/>
  <c r="J22" i="132"/>
  <c r="J102" i="132" s="1"/>
  <c r="K102" i="132"/>
  <c r="Y96" i="132"/>
  <c r="R25" i="132"/>
  <c r="R105" i="132" s="1"/>
  <c r="S105" i="132"/>
  <c r="H11" i="139"/>
  <c r="AU12" i="158"/>
  <c r="F13" i="133"/>
  <c r="AO13" i="134" s="1"/>
  <c r="X106" i="132"/>
  <c r="W106" i="132" s="1"/>
  <c r="T12" i="113"/>
  <c r="AG12" i="113" s="1"/>
  <c r="G13" i="138"/>
  <c r="F15" i="133"/>
  <c r="AO15" i="134" s="1"/>
  <c r="N21" i="5" l="1"/>
  <c r="N22" i="5" s="1"/>
  <c r="N23" i="5" s="1"/>
  <c r="N24" i="5" s="1"/>
  <c r="N25" i="5" s="1"/>
  <c r="N26" i="5" s="1"/>
  <c r="N27" i="5" s="1"/>
  <c r="N28" i="5" s="1"/>
  <c r="N29" i="5" s="1"/>
  <c r="N30" i="5" s="1"/>
  <c r="N31" i="5" s="1"/>
  <c r="N32" i="5" s="1"/>
  <c r="N33" i="5" s="1"/>
  <c r="N34" i="5" s="1"/>
  <c r="N35" i="5" s="1"/>
  <c r="N36" i="5" s="1"/>
  <c r="N37" i="5" s="1"/>
  <c r="N38" i="5" s="1"/>
  <c r="N39" i="5" s="1"/>
  <c r="N40" i="5" s="1"/>
  <c r="N41" i="5" s="1"/>
  <c r="N42" i="5" s="1"/>
  <c r="N43" i="5" s="1"/>
  <c r="N44" i="5" s="1"/>
  <c r="N45" i="5" s="1"/>
  <c r="N46" i="5" s="1"/>
  <c r="N47" i="5" s="1"/>
  <c r="N48" i="5" s="1"/>
  <c r="N49" i="5" s="1"/>
  <c r="N50" i="5" s="1"/>
  <c r="N51" i="5" s="1"/>
  <c r="N52" i="5" s="1"/>
  <c r="N53" i="5" s="1"/>
  <c r="N41" i="65"/>
  <c r="H18" i="165"/>
  <c r="F18" i="71"/>
  <c r="AB60" i="132"/>
  <c r="AA60" i="132" s="1"/>
  <c r="A62" i="132"/>
  <c r="H11" i="89"/>
  <c r="D268" i="43"/>
  <c r="AB58" i="111"/>
  <c r="AA58" i="111" s="1"/>
  <c r="Z58" i="111" s="1"/>
  <c r="A60" i="111"/>
  <c r="Z59" i="132"/>
  <c r="AA99" i="132"/>
  <c r="Y57" i="111"/>
  <c r="Y97" i="111" s="1"/>
  <c r="X97" i="111" s="1"/>
  <c r="Z97" i="111"/>
  <c r="E17" i="133"/>
  <c r="Y16" i="156"/>
  <c r="Z96" i="156"/>
  <c r="AA16" i="136"/>
  <c r="AA17" i="111"/>
  <c r="AB97" i="111"/>
  <c r="I13" i="69"/>
  <c r="J13" i="69" s="1"/>
  <c r="F14" i="66"/>
  <c r="E14" i="66" s="1"/>
  <c r="G14" i="66" s="1"/>
  <c r="Z17" i="156"/>
  <c r="Y17" i="156" s="1"/>
  <c r="AA97" i="156"/>
  <c r="Z57" i="156"/>
  <c r="AA18" i="156"/>
  <c r="AB98" i="156"/>
  <c r="Z56" i="111"/>
  <c r="AA96" i="111"/>
  <c r="J42" i="65"/>
  <c r="B41" i="13"/>
  <c r="B42" i="13" s="1"/>
  <c r="AB18" i="132"/>
  <c r="A20" i="132"/>
  <c r="AB18" i="111"/>
  <c r="A20" i="111"/>
  <c r="AB59" i="156"/>
  <c r="A61" i="156"/>
  <c r="H16" i="162"/>
  <c r="I13" i="162"/>
  <c r="J13" i="162" s="1"/>
  <c r="F25" i="136"/>
  <c r="AB19" i="156"/>
  <c r="A21" i="156"/>
  <c r="D252" i="43"/>
  <c r="AQ16" i="134"/>
  <c r="X103" i="156"/>
  <c r="W103" i="156" s="1"/>
  <c r="W23" i="136" s="1"/>
  <c r="Y23" i="136"/>
  <c r="F13" i="138"/>
  <c r="F39" i="66"/>
  <c r="I38" i="69"/>
  <c r="F34" i="66"/>
  <c r="E34" i="66" s="1"/>
  <c r="I33" i="69"/>
  <c r="AU13" i="134"/>
  <c r="AQ13" i="134"/>
  <c r="V106" i="132"/>
  <c r="V26" i="136" s="1"/>
  <c r="U26" i="136" s="1"/>
  <c r="W26" i="136"/>
  <c r="G95" i="132"/>
  <c r="I15" i="136"/>
  <c r="U95" i="132"/>
  <c r="T95" i="132" s="1"/>
  <c r="G11" i="139"/>
  <c r="X105" i="132"/>
  <c r="W105" i="132" s="1"/>
  <c r="X101" i="132"/>
  <c r="J97" i="132"/>
  <c r="J17" i="136" s="1"/>
  <c r="K17" i="136"/>
  <c r="H16" i="138" s="1"/>
  <c r="R15" i="132"/>
  <c r="R95" i="132" s="1"/>
  <c r="R15" i="136" s="1"/>
  <c r="S95" i="132"/>
  <c r="F14" i="132"/>
  <c r="G94" i="132"/>
  <c r="G14" i="136" s="1"/>
  <c r="J20" i="132"/>
  <c r="K100" i="132"/>
  <c r="K20" i="136" s="1"/>
  <c r="G99" i="132"/>
  <c r="I19" i="136"/>
  <c r="U19" i="136" s="1"/>
  <c r="U99" i="132"/>
  <c r="Y14" i="136"/>
  <c r="E13" i="133"/>
  <c r="X96" i="132"/>
  <c r="E15" i="133"/>
  <c r="G21" i="132"/>
  <c r="I101" i="132"/>
  <c r="I21" i="136" s="1"/>
  <c r="U21" i="132"/>
  <c r="T21" i="132" s="1"/>
  <c r="S21" i="132" s="1"/>
  <c r="S18" i="132"/>
  <c r="F18" i="132"/>
  <c r="B23" i="133"/>
  <c r="J15" i="136"/>
  <c r="H14" i="138"/>
  <c r="AU27" i="158"/>
  <c r="X104" i="132"/>
  <c r="X102" i="156"/>
  <c r="G17" i="132"/>
  <c r="F17" i="132" s="1"/>
  <c r="I97" i="132"/>
  <c r="U17" i="132"/>
  <c r="T17" i="132" s="1"/>
  <c r="D16" i="132"/>
  <c r="C16" i="132" s="1"/>
  <c r="E96" i="132"/>
  <c r="E15" i="132"/>
  <c r="F95" i="132"/>
  <c r="S19" i="132"/>
  <c r="T99" i="132"/>
  <c r="E19" i="132"/>
  <c r="E99" i="132" s="1"/>
  <c r="E19" i="136" s="1"/>
  <c r="F99" i="132"/>
  <c r="O51" i="49"/>
  <c r="B51" i="49"/>
  <c r="Q44" i="49"/>
  <c r="P44" i="49"/>
  <c r="O44" i="49"/>
  <c r="O45" i="49" s="1"/>
  <c r="N44" i="49"/>
  <c r="N45" i="49" s="1"/>
  <c r="M44" i="49"/>
  <c r="D91" i="68" s="1"/>
  <c r="F91" i="68" s="1"/>
  <c r="L44" i="49"/>
  <c r="L45" i="49" s="1"/>
  <c r="K44" i="49"/>
  <c r="D93" i="68" s="1"/>
  <c r="F93" i="68" s="1"/>
  <c r="J44" i="49"/>
  <c r="D94" i="68" s="1"/>
  <c r="F94" i="68" s="1"/>
  <c r="I44" i="49"/>
  <c r="D96" i="68" s="1"/>
  <c r="F96" i="68" s="1"/>
  <c r="H44" i="49"/>
  <c r="D95" i="68" s="1"/>
  <c r="F95" i="68" s="1"/>
  <c r="G44" i="49"/>
  <c r="D92" i="68" s="1"/>
  <c r="F92" i="68" s="1"/>
  <c r="F44" i="49"/>
  <c r="F45" i="49" s="1"/>
  <c r="E44" i="49"/>
  <c r="D44" i="49"/>
  <c r="R12" i="49"/>
  <c r="R13" i="49" s="1"/>
  <c r="C6" i="49"/>
  <c r="C5" i="49"/>
  <c r="Q4" i="49"/>
  <c r="C4" i="49"/>
  <c r="O56" i="48"/>
  <c r="B56" i="48"/>
  <c r="Q44" i="48"/>
  <c r="P44" i="48"/>
  <c r="O44" i="48"/>
  <c r="O45" i="48" s="1"/>
  <c r="N44" i="48"/>
  <c r="D80" i="68" s="1"/>
  <c r="F80" i="68" s="1"/>
  <c r="M44" i="48"/>
  <c r="M45" i="48" s="1"/>
  <c r="L44" i="48"/>
  <c r="L45" i="48" s="1"/>
  <c r="K44" i="48"/>
  <c r="D83" i="68" s="1"/>
  <c r="F83" i="68" s="1"/>
  <c r="J44" i="48"/>
  <c r="D84" i="68" s="1"/>
  <c r="F84" i="68" s="1"/>
  <c r="I44" i="48"/>
  <c r="D86" i="68" s="1"/>
  <c r="F86" i="68" s="1"/>
  <c r="H44" i="48"/>
  <c r="D85" i="68" s="1"/>
  <c r="F85" i="68" s="1"/>
  <c r="G44" i="48"/>
  <c r="D82" i="68" s="1"/>
  <c r="F82" i="68" s="1"/>
  <c r="F44" i="48"/>
  <c r="F45" i="48" s="1"/>
  <c r="E44" i="48"/>
  <c r="D44" i="48"/>
  <c r="D45" i="48" s="1"/>
  <c r="R12" i="48"/>
  <c r="C6" i="48"/>
  <c r="C5" i="48"/>
  <c r="Q4" i="48"/>
  <c r="C4" i="48"/>
  <c r="L51" i="47"/>
  <c r="B51" i="47"/>
  <c r="N44" i="47"/>
  <c r="M44" i="47"/>
  <c r="L44" i="47"/>
  <c r="K44" i="47"/>
  <c r="D73" i="68" s="1"/>
  <c r="J44" i="47"/>
  <c r="D74" i="68" s="1"/>
  <c r="F74" i="68" s="1"/>
  <c r="I44" i="47"/>
  <c r="D77" i="68" s="1"/>
  <c r="F77" i="68" s="1"/>
  <c r="H44" i="47"/>
  <c r="D76" i="68" s="1"/>
  <c r="F76" i="68" s="1"/>
  <c r="G44" i="47"/>
  <c r="D75" i="68" s="1"/>
  <c r="F75" i="68" s="1"/>
  <c r="F44" i="47"/>
  <c r="E44" i="47"/>
  <c r="E45" i="47" s="1"/>
  <c r="D44" i="47"/>
  <c r="O12" i="47"/>
  <c r="C6" i="47"/>
  <c r="C5" i="47"/>
  <c r="N4" i="47"/>
  <c r="C4" i="47"/>
  <c r="D64" i="68"/>
  <c r="F64" i="68" s="1"/>
  <c r="D70" i="68"/>
  <c r="D67" i="68"/>
  <c r="D69" i="68"/>
  <c r="D68" i="68"/>
  <c r="D65" i="68"/>
  <c r="F65" i="68" s="1"/>
  <c r="O51" i="46"/>
  <c r="B51" i="46"/>
  <c r="Q44" i="46"/>
  <c r="Q45" i="46" s="1"/>
  <c r="P44" i="46"/>
  <c r="O44" i="46"/>
  <c r="O45" i="46" s="1"/>
  <c r="N44" i="46"/>
  <c r="D53" i="68" s="1"/>
  <c r="F53" i="68" s="1"/>
  <c r="M44" i="46"/>
  <c r="M45" i="46" s="1"/>
  <c r="L44" i="46"/>
  <c r="D60" i="68" s="1"/>
  <c r="F60" i="68" s="1"/>
  <c r="K44" i="46"/>
  <c r="D56" i="68" s="1"/>
  <c r="J44" i="46"/>
  <c r="D57" i="68" s="1"/>
  <c r="F57" i="68" s="1"/>
  <c r="I44" i="46"/>
  <c r="D59" i="68" s="1"/>
  <c r="F59" i="68" s="1"/>
  <c r="H44" i="46"/>
  <c r="D58" i="68" s="1"/>
  <c r="F58" i="68" s="1"/>
  <c r="G44" i="46"/>
  <c r="G45" i="46" s="1"/>
  <c r="F44" i="46"/>
  <c r="E44" i="46"/>
  <c r="D44" i="46"/>
  <c r="D45" i="46" s="1"/>
  <c r="D46" i="46" s="1"/>
  <c r="R12" i="46"/>
  <c r="C6" i="46"/>
  <c r="C5" i="46"/>
  <c r="Q4" i="46"/>
  <c r="C4" i="46"/>
  <c r="D95" i="164"/>
  <c r="A95" i="164"/>
  <c r="D91" i="164"/>
  <c r="D90" i="164"/>
  <c r="D84" i="164"/>
  <c r="A84" i="164"/>
  <c r="D83" i="164"/>
  <c r="D82" i="164"/>
  <c r="D81" i="164"/>
  <c r="D80" i="164"/>
  <c r="D79" i="164"/>
  <c r="A73" i="164"/>
  <c r="D72" i="164"/>
  <c r="D71" i="164"/>
  <c r="D70" i="164"/>
  <c r="D69" i="164"/>
  <c r="D68" i="164"/>
  <c r="C68" i="164"/>
  <c r="A62" i="164"/>
  <c r="C61" i="164"/>
  <c r="C56" i="164"/>
  <c r="A56" i="164"/>
  <c r="C55" i="164"/>
  <c r="D49" i="164"/>
  <c r="A49" i="164"/>
  <c r="D48" i="164"/>
  <c r="C48" i="164"/>
  <c r="A48" i="164"/>
  <c r="D47" i="164"/>
  <c r="C47" i="164"/>
  <c r="D42" i="164"/>
  <c r="D40" i="164"/>
  <c r="D39" i="164"/>
  <c r="D38" i="164"/>
  <c r="C38" i="164" s="1"/>
  <c r="D37" i="164"/>
  <c r="D36" i="164"/>
  <c r="A28" i="164"/>
  <c r="A29" i="164" s="1"/>
  <c r="C14" i="164"/>
  <c r="C11" i="164"/>
  <c r="A8" i="164"/>
  <c r="A9" i="164" s="1"/>
  <c r="C187" i="84"/>
  <c r="D173" i="84"/>
  <c r="D170" i="84"/>
  <c r="D169" i="84"/>
  <c r="K162" i="84"/>
  <c r="K203" i="84" s="1"/>
  <c r="E158" i="84"/>
  <c r="J143" i="84"/>
  <c r="I143" i="84"/>
  <c r="D143" i="84"/>
  <c r="N54" i="5" l="1"/>
  <c r="N55" i="5" s="1"/>
  <c r="N56" i="5" s="1"/>
  <c r="N57" i="5" s="1"/>
  <c r="N58" i="5" s="1"/>
  <c r="N59" i="5" s="1"/>
  <c r="N60" i="5" s="1"/>
  <c r="N61" i="5" s="1"/>
  <c r="N62" i="5" s="1"/>
  <c r="N63" i="5" s="1"/>
  <c r="N64" i="5" s="1"/>
  <c r="N65" i="5" s="1"/>
  <c r="N66" i="5" s="1"/>
  <c r="N67" i="5" s="1"/>
  <c r="N68" i="5" s="1"/>
  <c r="N69" i="5" s="1"/>
  <c r="N70" i="5" s="1"/>
  <c r="N71" i="5" s="1"/>
  <c r="N72" i="5" s="1"/>
  <c r="N73" i="5" s="1"/>
  <c r="N74" i="5" s="1"/>
  <c r="N75" i="5" s="1"/>
  <c r="N76" i="5" s="1"/>
  <c r="N77" i="5" s="1"/>
  <c r="N78" i="5" s="1"/>
  <c r="N79" i="5" s="1"/>
  <c r="N80" i="5" s="1"/>
  <c r="N81" i="5" s="1"/>
  <c r="P45" i="46"/>
  <c r="H65" i="162"/>
  <c r="H56" i="69"/>
  <c r="E45" i="49"/>
  <c r="E46" i="49" s="1"/>
  <c r="D165" i="84" s="1"/>
  <c r="E45" i="48"/>
  <c r="F46" i="48"/>
  <c r="R44" i="46"/>
  <c r="I45" i="46"/>
  <c r="K45" i="47"/>
  <c r="J45" i="48"/>
  <c r="I45" i="48" s="1"/>
  <c r="N45" i="48"/>
  <c r="F45" i="46"/>
  <c r="H45" i="46"/>
  <c r="O44" i="47"/>
  <c r="AP12" i="91"/>
  <c r="D27" i="164"/>
  <c r="C27" i="164" s="1"/>
  <c r="G37" i="161"/>
  <c r="G31" i="70"/>
  <c r="H26" i="67" s="1"/>
  <c r="E45" i="46"/>
  <c r="F46" i="46"/>
  <c r="F45" i="47"/>
  <c r="J45" i="47"/>
  <c r="J46" i="47" s="1"/>
  <c r="AB20" i="156"/>
  <c r="A22" i="156"/>
  <c r="AB19" i="111"/>
  <c r="A21" i="111"/>
  <c r="A22" i="111" s="1"/>
  <c r="H14" i="66"/>
  <c r="D11" i="90"/>
  <c r="F56" i="68"/>
  <c r="AJ12" i="91"/>
  <c r="K45" i="46"/>
  <c r="J45" i="46" s="1"/>
  <c r="J46" i="46" s="1"/>
  <c r="D72" i="68"/>
  <c r="F72" i="68" s="1"/>
  <c r="H35" i="68" s="1"/>
  <c r="F35" i="68" s="1"/>
  <c r="H16" i="68" s="1"/>
  <c r="H55" i="68" s="1"/>
  <c r="F73" i="68"/>
  <c r="G45" i="47"/>
  <c r="I45" i="47"/>
  <c r="R44" i="48"/>
  <c r="H45" i="48"/>
  <c r="H46" i="48" s="1"/>
  <c r="D46" i="48"/>
  <c r="D45" i="49"/>
  <c r="K45" i="49"/>
  <c r="AA59" i="156"/>
  <c r="AA18" i="132"/>
  <c r="AA98" i="132" s="1"/>
  <c r="AB98" i="132"/>
  <c r="Y56" i="111"/>
  <c r="Z96" i="111"/>
  <c r="G18" i="133"/>
  <c r="Y58" i="111"/>
  <c r="Y98" i="111" s="1"/>
  <c r="Z98" i="111"/>
  <c r="F17" i="112" s="1"/>
  <c r="Z60" i="132"/>
  <c r="AA100" i="132"/>
  <c r="G19" i="133" s="1"/>
  <c r="N45" i="46"/>
  <c r="B43" i="13"/>
  <c r="B44" i="13" s="1"/>
  <c r="B45" i="13" s="1"/>
  <c r="I42" i="65"/>
  <c r="H42" i="65" s="1"/>
  <c r="G42" i="65" s="1"/>
  <c r="F42" i="65" s="1"/>
  <c r="E42" i="65" s="1"/>
  <c r="D28" i="43"/>
  <c r="D259" i="43"/>
  <c r="Z97" i="156"/>
  <c r="AA17" i="136"/>
  <c r="Y96" i="156"/>
  <c r="Z16" i="136"/>
  <c r="Y59" i="132"/>
  <c r="Z99" i="132"/>
  <c r="K45" i="48"/>
  <c r="H45" i="49"/>
  <c r="G45" i="49" s="1"/>
  <c r="M45" i="49"/>
  <c r="AA19" i="156"/>
  <c r="AB99" i="156"/>
  <c r="AA18" i="111"/>
  <c r="AA98" i="111" s="1"/>
  <c r="G17" i="112" s="1"/>
  <c r="I16" i="115" s="1"/>
  <c r="AB98" i="111"/>
  <c r="Z18" i="156"/>
  <c r="Y18" i="156" s="1"/>
  <c r="Y98" i="156" s="1"/>
  <c r="AA98" i="156"/>
  <c r="AA97" i="111"/>
  <c r="L45" i="46"/>
  <c r="D45" i="47"/>
  <c r="H45" i="47"/>
  <c r="H46" i="47" s="1"/>
  <c r="G45" i="48"/>
  <c r="R44" i="49"/>
  <c r="J45" i="49"/>
  <c r="I45" i="49" s="1"/>
  <c r="AB60" i="156"/>
  <c r="AA60" i="156" s="1"/>
  <c r="Z60" i="156" s="1"/>
  <c r="Z100" i="156" s="1"/>
  <c r="Y100" i="156" s="1"/>
  <c r="X100" i="156" s="1"/>
  <c r="A62" i="156"/>
  <c r="AB19" i="132"/>
  <c r="AB99" i="132" s="1"/>
  <c r="A21" i="132"/>
  <c r="AB59" i="111"/>
  <c r="A61" i="111"/>
  <c r="AB61" i="132"/>
  <c r="AA61" i="132" s="1"/>
  <c r="A63" i="132"/>
  <c r="C49" i="164"/>
  <c r="K143" i="84"/>
  <c r="E48" i="164"/>
  <c r="F48" i="164" s="1"/>
  <c r="J33" i="69"/>
  <c r="K11" i="88"/>
  <c r="P11" i="88"/>
  <c r="J38" i="69"/>
  <c r="AR12" i="91"/>
  <c r="F70" i="68"/>
  <c r="H27" i="69"/>
  <c r="H30" i="162"/>
  <c r="F68" i="68"/>
  <c r="AN12" i="91"/>
  <c r="AL12" i="91"/>
  <c r="F67" i="68"/>
  <c r="R19" i="132"/>
  <c r="R99" i="132" s="1"/>
  <c r="S99" i="132"/>
  <c r="S19" i="136" s="1"/>
  <c r="D15" i="132"/>
  <c r="C15" i="132" s="1"/>
  <c r="C95" i="132" s="1"/>
  <c r="E95" i="132"/>
  <c r="E15" i="136" s="1"/>
  <c r="G97" i="132"/>
  <c r="I17" i="136"/>
  <c r="U97" i="132"/>
  <c r="R21" i="132"/>
  <c r="F21" i="132"/>
  <c r="G101" i="132"/>
  <c r="G21" i="136" s="1"/>
  <c r="G19" i="136"/>
  <c r="F19" i="136" s="1"/>
  <c r="F18" i="138"/>
  <c r="C14" i="133"/>
  <c r="T15" i="136"/>
  <c r="S15" i="136" s="1"/>
  <c r="E38" i="164"/>
  <c r="F38" i="164" s="1"/>
  <c r="E47" i="164"/>
  <c r="F47" i="164" s="1"/>
  <c r="G14" i="138"/>
  <c r="F14" i="138" s="1"/>
  <c r="G16" i="138"/>
  <c r="C18" i="133"/>
  <c r="T19" i="136"/>
  <c r="C96" i="132"/>
  <c r="E16" i="136"/>
  <c r="S17" i="132"/>
  <c r="T97" i="132"/>
  <c r="T17" i="136" s="1"/>
  <c r="E17" i="132"/>
  <c r="F97" i="132"/>
  <c r="W102" i="156"/>
  <c r="E18" i="132"/>
  <c r="R18" i="132"/>
  <c r="I20" i="132"/>
  <c r="J100" i="132"/>
  <c r="J20" i="136" s="1"/>
  <c r="E14" i="132"/>
  <c r="F94" i="132"/>
  <c r="F14" i="136" s="1"/>
  <c r="E13" i="138" s="1"/>
  <c r="V105" i="132"/>
  <c r="V110" i="132" s="1"/>
  <c r="W25" i="136"/>
  <c r="G15" i="136"/>
  <c r="F15" i="136" s="1"/>
  <c r="U15" i="136"/>
  <c r="H19" i="138"/>
  <c r="C143" i="84"/>
  <c r="E143" i="84" s="1"/>
  <c r="G11" i="70" s="1"/>
  <c r="K9" i="84"/>
  <c r="K10" i="84" s="1"/>
  <c r="E9" i="84"/>
  <c r="K32" i="83"/>
  <c r="H32" i="83"/>
  <c r="E32" i="83"/>
  <c r="K24" i="83"/>
  <c r="P20" i="83"/>
  <c r="P18" i="83"/>
  <c r="D11" i="83"/>
  <c r="P19" i="83" s="1"/>
  <c r="D42" i="82"/>
  <c r="D41" i="82"/>
  <c r="B41" i="82"/>
  <c r="N82" i="5" l="1"/>
  <c r="N83" i="5" s="1"/>
  <c r="N84" i="5" s="1"/>
  <c r="N85" i="5" s="1"/>
  <c r="N86" i="5" s="1"/>
  <c r="N87" i="5" s="1"/>
  <c r="N88" i="5" s="1"/>
  <c r="N89" i="5" s="1"/>
  <c r="N90" i="5" s="1"/>
  <c r="N91" i="5" s="1"/>
  <c r="N92" i="5" s="1"/>
  <c r="N93" i="5" s="1"/>
  <c r="N94" i="5" s="1"/>
  <c r="N95" i="5" s="1"/>
  <c r="N96" i="5" s="1"/>
  <c r="N97" i="5" s="1"/>
  <c r="N98" i="5" s="1"/>
  <c r="N99" i="5" s="1"/>
  <c r="N100" i="5" s="1"/>
  <c r="N101" i="5" s="1"/>
  <c r="N102" i="5" s="1"/>
  <c r="N103" i="5" s="1"/>
  <c r="N104" i="5" s="1"/>
  <c r="N105" i="5" s="1"/>
  <c r="N106" i="5" s="1"/>
  <c r="N107" i="5" s="1"/>
  <c r="N108" i="5" s="1"/>
  <c r="N109" i="5" s="1"/>
  <c r="N110" i="5" s="1"/>
  <c r="N111" i="5" s="1"/>
  <c r="N112" i="5" s="1"/>
  <c r="N113" i="5" s="1"/>
  <c r="N114" i="5" s="1"/>
  <c r="N115" i="5" s="1"/>
  <c r="N116" i="5" s="1"/>
  <c r="E46" i="48"/>
  <c r="G14" i="71" s="1"/>
  <c r="J14" i="165" s="1"/>
  <c r="I46" i="46"/>
  <c r="H46" i="46" s="1"/>
  <c r="G46" i="46" s="1"/>
  <c r="E10" i="84"/>
  <c r="E43" i="82"/>
  <c r="Z61" i="132"/>
  <c r="AA101" i="132"/>
  <c r="Y97" i="156"/>
  <c r="Z17" i="136"/>
  <c r="Y60" i="132"/>
  <c r="Z100" i="132"/>
  <c r="Z59" i="156"/>
  <c r="AA20" i="156"/>
  <c r="AB100" i="156"/>
  <c r="G11" i="161"/>
  <c r="AB60" i="111"/>
  <c r="A62" i="111"/>
  <c r="AB20" i="132"/>
  <c r="AB100" i="132" s="1"/>
  <c r="A22" i="132"/>
  <c r="AA99" i="156"/>
  <c r="X96" i="156"/>
  <c r="Y16" i="136"/>
  <c r="D253" i="43"/>
  <c r="D73" i="164"/>
  <c r="D11" i="43"/>
  <c r="G18" i="71"/>
  <c r="AO17" i="113"/>
  <c r="AU17" i="113" s="1"/>
  <c r="H16" i="115"/>
  <c r="H17" i="133"/>
  <c r="AP17" i="134" s="1"/>
  <c r="AV17" i="134" s="1"/>
  <c r="AX17" i="134" s="1"/>
  <c r="AB18" i="136"/>
  <c r="D29" i="164"/>
  <c r="D26" i="43"/>
  <c r="H23" i="67"/>
  <c r="AB21" i="111"/>
  <c r="A23" i="111"/>
  <c r="AB62" i="132"/>
  <c r="AA62" i="132" s="1"/>
  <c r="A64" i="132"/>
  <c r="AB61" i="156"/>
  <c r="AA61" i="156" s="1"/>
  <c r="Z61" i="156" s="1"/>
  <c r="Y61" i="156" s="1"/>
  <c r="A63" i="156"/>
  <c r="D46" i="47"/>
  <c r="Z98" i="156"/>
  <c r="F18" i="133"/>
  <c r="AB21" i="156"/>
  <c r="A23" i="156"/>
  <c r="E46" i="46"/>
  <c r="X98" i="156"/>
  <c r="Y18" i="136"/>
  <c r="Y96" i="111"/>
  <c r="D46" i="49"/>
  <c r="R45" i="46"/>
  <c r="AA59" i="111"/>
  <c r="AB19" i="136"/>
  <c r="G46" i="47"/>
  <c r="X59" i="132"/>
  <c r="Y99" i="132"/>
  <c r="B46" i="13"/>
  <c r="X98" i="111"/>
  <c r="W98" i="111" s="1"/>
  <c r="E17" i="112"/>
  <c r="AA18" i="136"/>
  <c r="G17" i="133"/>
  <c r="AO17" i="134" s="1"/>
  <c r="G46" i="48"/>
  <c r="AA19" i="111"/>
  <c r="AB99" i="111"/>
  <c r="I46" i="47"/>
  <c r="G12" i="161"/>
  <c r="G12" i="70"/>
  <c r="AE11" i="87"/>
  <c r="H12" i="67"/>
  <c r="V25" i="136"/>
  <c r="R19" i="136"/>
  <c r="H24" i="67"/>
  <c r="D25" i="43"/>
  <c r="D28" i="164"/>
  <c r="D14" i="133"/>
  <c r="J14" i="133" s="1"/>
  <c r="E21" i="132"/>
  <c r="D21" i="132" s="1"/>
  <c r="C20" i="134" s="1"/>
  <c r="F101" i="132"/>
  <c r="G17" i="136"/>
  <c r="F17" i="136" s="1"/>
  <c r="U17" i="136"/>
  <c r="D14" i="132"/>
  <c r="C14" i="132" s="1"/>
  <c r="C94" i="132" s="1"/>
  <c r="E94" i="132"/>
  <c r="E14" i="136" s="1"/>
  <c r="G20" i="132"/>
  <c r="F20" i="132" s="1"/>
  <c r="I100" i="132"/>
  <c r="U20" i="132"/>
  <c r="T20" i="132" s="1"/>
  <c r="W22" i="136"/>
  <c r="D17" i="132"/>
  <c r="C17" i="132" s="1"/>
  <c r="C97" i="132" s="1"/>
  <c r="E97" i="132"/>
  <c r="R17" i="132"/>
  <c r="R97" i="132" s="1"/>
  <c r="R17" i="136" s="1"/>
  <c r="S97" i="132"/>
  <c r="S17" i="136" s="1"/>
  <c r="C16" i="136"/>
  <c r="C15" i="136"/>
  <c r="E14" i="138"/>
  <c r="G19" i="138"/>
  <c r="F16" i="138"/>
  <c r="E18" i="138"/>
  <c r="D69" i="81"/>
  <c r="A68" i="81"/>
  <c r="E55" i="81"/>
  <c r="H39" i="81"/>
  <c r="N117" i="5" l="1"/>
  <c r="N118" i="5" s="1"/>
  <c r="N119" i="5" s="1"/>
  <c r="N120" i="5" s="1"/>
  <c r="N121" i="5" s="1"/>
  <c r="N122" i="5" s="1"/>
  <c r="N123" i="5" s="1"/>
  <c r="N124" i="5" s="1"/>
  <c r="N125" i="5" s="1"/>
  <c r="N126" i="5" s="1"/>
  <c r="N127" i="5" s="1"/>
  <c r="N128" i="5" s="1"/>
  <c r="N129" i="5" s="1"/>
  <c r="N130" i="5" s="1"/>
  <c r="E70" i="81"/>
  <c r="E16" i="138"/>
  <c r="J17" i="19"/>
  <c r="G16" i="115"/>
  <c r="AA60" i="111"/>
  <c r="Z60" i="111" s="1"/>
  <c r="AB100" i="111"/>
  <c r="Y61" i="132"/>
  <c r="Y101" i="132" s="1"/>
  <c r="Z101" i="132"/>
  <c r="V98" i="111"/>
  <c r="AA99" i="111"/>
  <c r="B47" i="13"/>
  <c r="B48" i="13" s="1"/>
  <c r="B49" i="13" s="1"/>
  <c r="W59" i="132"/>
  <c r="X99" i="132"/>
  <c r="Z59" i="111"/>
  <c r="D31" i="164"/>
  <c r="AA21" i="111"/>
  <c r="AB21" i="132"/>
  <c r="AB101" i="132" s="1"/>
  <c r="A23" i="132"/>
  <c r="X97" i="156"/>
  <c r="W97" i="156" s="1"/>
  <c r="Y17" i="136"/>
  <c r="F46" i="47"/>
  <c r="E46" i="47" s="1"/>
  <c r="X96" i="111"/>
  <c r="G12" i="71"/>
  <c r="D161" i="84"/>
  <c r="D30" i="164"/>
  <c r="AB63" i="132"/>
  <c r="A65" i="132"/>
  <c r="H19" i="133"/>
  <c r="AB20" i="136"/>
  <c r="AA100" i="156"/>
  <c r="Z20" i="136"/>
  <c r="F19" i="133"/>
  <c r="AO19" i="134" s="1"/>
  <c r="AU19" i="134" s="1"/>
  <c r="AQ17" i="134"/>
  <c r="AU17" i="134"/>
  <c r="AW17" i="134" s="1"/>
  <c r="Y19" i="136"/>
  <c r="E18" i="133"/>
  <c r="E18" i="137" s="1"/>
  <c r="AA21" i="156"/>
  <c r="Z21" i="156" s="1"/>
  <c r="AB101" i="156"/>
  <c r="Z18" i="136"/>
  <c r="AB22" i="111"/>
  <c r="A24" i="111"/>
  <c r="AB22" i="156"/>
  <c r="A24" i="156"/>
  <c r="AO18" i="134"/>
  <c r="AU18" i="134" s="1"/>
  <c r="AB62" i="156"/>
  <c r="AA62" i="156" s="1"/>
  <c r="A64" i="156"/>
  <c r="Z62" i="132"/>
  <c r="AA102" i="132"/>
  <c r="J18" i="165"/>
  <c r="Z99" i="156"/>
  <c r="AA19" i="136"/>
  <c r="AB61" i="111"/>
  <c r="A63" i="111"/>
  <c r="X60" i="132"/>
  <c r="X70" i="132" s="1"/>
  <c r="Y100" i="132"/>
  <c r="AF11" i="87"/>
  <c r="H13" i="67"/>
  <c r="E101" i="132"/>
  <c r="C15" i="134"/>
  <c r="B15" i="134" s="1"/>
  <c r="T15" i="134" s="1"/>
  <c r="AG15" i="134" s="1"/>
  <c r="AH15" i="134"/>
  <c r="Q15" i="134"/>
  <c r="U15" i="134"/>
  <c r="AC15" i="134" s="1"/>
  <c r="R15" i="134"/>
  <c r="P15" i="134"/>
  <c r="C17" i="136"/>
  <c r="G100" i="132"/>
  <c r="G20" i="136" s="1"/>
  <c r="I20" i="136"/>
  <c r="U100" i="132"/>
  <c r="C14" i="134"/>
  <c r="B14" i="134" s="1"/>
  <c r="T14" i="134" s="1"/>
  <c r="AG14" i="134" s="1"/>
  <c r="Q14" i="134"/>
  <c r="AH14" i="134"/>
  <c r="U14" i="134"/>
  <c r="AC14" i="134" s="1"/>
  <c r="R14" i="134"/>
  <c r="P14" i="134"/>
  <c r="S20" i="132"/>
  <c r="R20" i="132" s="1"/>
  <c r="T100" i="132"/>
  <c r="E20" i="132"/>
  <c r="E100" i="132" s="1"/>
  <c r="F100" i="132"/>
  <c r="C14" i="136"/>
  <c r="B20" i="134"/>
  <c r="T20" i="134" s="1"/>
  <c r="AG20" i="134" s="1"/>
  <c r="N20" i="134"/>
  <c r="O20" i="134" s="1"/>
  <c r="F21" i="136"/>
  <c r="E17" i="136"/>
  <c r="C9" i="81"/>
  <c r="L7" i="81"/>
  <c r="K7" i="81"/>
  <c r="M6" i="81"/>
  <c r="M5" i="81"/>
  <c r="A1" i="81"/>
  <c r="R75" i="19"/>
  <c r="L75" i="19"/>
  <c r="F75" i="19"/>
  <c r="R74" i="19"/>
  <c r="L74" i="19"/>
  <c r="F74" i="19"/>
  <c r="R73" i="19"/>
  <c r="L73" i="19"/>
  <c r="F73" i="19"/>
  <c r="R72" i="19"/>
  <c r="L72" i="19"/>
  <c r="F72" i="19"/>
  <c r="R71" i="19"/>
  <c r="L71" i="19"/>
  <c r="F71" i="19"/>
  <c r="R70" i="19"/>
  <c r="L70" i="19"/>
  <c r="F70" i="19"/>
  <c r="R69" i="19"/>
  <c r="L69" i="19"/>
  <c r="F69" i="19"/>
  <c r="R68" i="19"/>
  <c r="L68" i="19"/>
  <c r="F68" i="19"/>
  <c r="R64" i="19"/>
  <c r="L64" i="19"/>
  <c r="F64" i="19"/>
  <c r="R63" i="19"/>
  <c r="L63" i="19"/>
  <c r="F63" i="19"/>
  <c r="R62" i="19"/>
  <c r="L62" i="19"/>
  <c r="F62" i="19"/>
  <c r="R61" i="19"/>
  <c r="L61" i="19"/>
  <c r="F61" i="19"/>
  <c r="R60" i="19"/>
  <c r="L60" i="19"/>
  <c r="F60" i="19"/>
  <c r="R59" i="19"/>
  <c r="L59" i="19"/>
  <c r="F59" i="19"/>
  <c r="R58" i="19"/>
  <c r="L58" i="19"/>
  <c r="F58" i="19"/>
  <c r="R57" i="19"/>
  <c r="L57" i="19"/>
  <c r="F57" i="19"/>
  <c r="R53" i="19"/>
  <c r="L53" i="19"/>
  <c r="F53" i="19"/>
  <c r="R52" i="19"/>
  <c r="L52" i="19"/>
  <c r="F52" i="19"/>
  <c r="R51" i="19"/>
  <c r="L51" i="19"/>
  <c r="F51" i="19"/>
  <c r="R50" i="19"/>
  <c r="L50" i="19"/>
  <c r="F50" i="19"/>
  <c r="R49" i="19"/>
  <c r="L49" i="19"/>
  <c r="F49" i="19"/>
  <c r="R48" i="19"/>
  <c r="L48" i="19"/>
  <c r="F48" i="19"/>
  <c r="R47" i="19"/>
  <c r="L47" i="19"/>
  <c r="F47" i="19"/>
  <c r="R46" i="19"/>
  <c r="L46" i="19"/>
  <c r="F46" i="19"/>
  <c r="Q41" i="19"/>
  <c r="P41" i="19"/>
  <c r="K41" i="19"/>
  <c r="E41" i="19"/>
  <c r="R40" i="19"/>
  <c r="R39" i="19"/>
  <c r="R38" i="19"/>
  <c r="R37" i="19"/>
  <c r="R36" i="19"/>
  <c r="R35" i="19"/>
  <c r="R34" i="19"/>
  <c r="R33" i="19"/>
  <c r="D33" i="19"/>
  <c r="D66" i="161" s="1"/>
  <c r="R28" i="19"/>
  <c r="L28" i="19"/>
  <c r="F28" i="19"/>
  <c r="R27" i="19"/>
  <c r="L27" i="19"/>
  <c r="F27" i="19"/>
  <c r="R26" i="19"/>
  <c r="L26" i="19"/>
  <c r="F26" i="19"/>
  <c r="Q22" i="19"/>
  <c r="E22" i="19"/>
  <c r="R19" i="19"/>
  <c r="R18" i="19"/>
  <c r="L18" i="19"/>
  <c r="R17" i="19"/>
  <c r="D17" i="19"/>
  <c r="P15" i="19"/>
  <c r="D61" i="161" s="1"/>
  <c r="J14" i="19"/>
  <c r="D14" i="19"/>
  <c r="F14" i="19" s="1"/>
  <c r="R9" i="19"/>
  <c r="L9" i="19"/>
  <c r="R8" i="19"/>
  <c r="L8" i="19"/>
  <c r="F8" i="19"/>
  <c r="R7" i="19"/>
  <c r="L7" i="19"/>
  <c r="R6" i="19"/>
  <c r="N131" i="5" l="1"/>
  <c r="N132" i="5" s="1"/>
  <c r="N133" i="5" s="1"/>
  <c r="N134" i="5" s="1"/>
  <c r="N135" i="5" s="1"/>
  <c r="N136" i="5" s="1"/>
  <c r="N137" i="5" s="1"/>
  <c r="N138" i="5" s="1"/>
  <c r="N139" i="5" s="1"/>
  <c r="N140" i="5" s="1"/>
  <c r="N141" i="5" s="1"/>
  <c r="N142" i="5" s="1"/>
  <c r="N143" i="5" s="1"/>
  <c r="N144" i="5" s="1"/>
  <c r="N145" i="5" s="1"/>
  <c r="N146" i="5" s="1"/>
  <c r="N147" i="5" s="1"/>
  <c r="N148" i="5" s="1"/>
  <c r="N149" i="5" s="1"/>
  <c r="N150" i="5" s="1"/>
  <c r="N151" i="5" s="1"/>
  <c r="N152" i="5" s="1"/>
  <c r="N153" i="5" s="1"/>
  <c r="N154" i="5" s="1"/>
  <c r="N155" i="5" s="1"/>
  <c r="N156" i="5" s="1"/>
  <c r="N157" i="5" s="1"/>
  <c r="N158" i="5" s="1"/>
  <c r="N159" i="5" s="1"/>
  <c r="N160" i="5" s="1"/>
  <c r="N161" i="5" s="1"/>
  <c r="N162" i="5" s="1"/>
  <c r="N163" i="5" s="1"/>
  <c r="N164" i="5" s="1"/>
  <c r="N165" i="5" s="1"/>
  <c r="N166" i="5" s="1"/>
  <c r="N167" i="5" s="1"/>
  <c r="N168" i="5" s="1"/>
  <c r="N169" i="5" s="1"/>
  <c r="N170" i="5" s="1"/>
  <c r="N171" i="5" s="1"/>
  <c r="N172" i="5" s="1"/>
  <c r="N173" i="5" s="1"/>
  <c r="N174" i="5" s="1"/>
  <c r="N175" i="5" s="1"/>
  <c r="N176" i="5" s="1"/>
  <c r="N177" i="5" s="1"/>
  <c r="N178" i="5" s="1"/>
  <c r="N179" i="5" s="1"/>
  <c r="N180" i="5" s="1"/>
  <c r="N181" i="5" s="1"/>
  <c r="N182" i="5" s="1"/>
  <c r="N183" i="5" s="1"/>
  <c r="N184" i="5" s="1"/>
  <c r="N185" i="5" s="1"/>
  <c r="N186" i="5" s="1"/>
  <c r="N187" i="5" s="1"/>
  <c r="N188" i="5" s="1"/>
  <c r="N189" i="5" s="1"/>
  <c r="N190" i="5" s="1"/>
  <c r="N191" i="5" s="1"/>
  <c r="N192" i="5" s="1"/>
  <c r="N193" i="5" s="1"/>
  <c r="N194" i="5" s="1"/>
  <c r="N195" i="5" s="1"/>
  <c r="N196" i="5" s="1"/>
  <c r="N197" i="5" s="1"/>
  <c r="N198" i="5" s="1"/>
  <c r="N199" i="5" s="1"/>
  <c r="N200" i="5" s="1"/>
  <c r="N201" i="5" s="1"/>
  <c r="N202" i="5" s="1"/>
  <c r="N203" i="5" s="1"/>
  <c r="N204" i="5" s="1"/>
  <c r="N205" i="5" s="1"/>
  <c r="N206" i="5" s="1"/>
  <c r="N207" i="5" s="1"/>
  <c r="N208" i="5" s="1"/>
  <c r="N209" i="5" s="1"/>
  <c r="N210" i="5" s="1"/>
  <c r="N211" i="5" s="1"/>
  <c r="N212" i="5" s="1"/>
  <c r="N213" i="5" s="1"/>
  <c r="N214" i="5" s="1"/>
  <c r="N215" i="5" s="1"/>
  <c r="N216" i="5" s="1"/>
  <c r="N217" i="5" s="1"/>
  <c r="N218" i="5" s="1"/>
  <c r="N219" i="5" s="1"/>
  <c r="N220" i="5" s="1"/>
  <c r="N221" i="5" s="1"/>
  <c r="N222" i="5" s="1"/>
  <c r="N223" i="5" s="1"/>
  <c r="N224" i="5" s="1"/>
  <c r="N225" i="5" s="1"/>
  <c r="N226" i="5" s="1"/>
  <c r="N227" i="5" s="1"/>
  <c r="N228" i="5" s="1"/>
  <c r="N229" i="5" s="1"/>
  <c r="N230" i="5" s="1"/>
  <c r="N231" i="5" s="1"/>
  <c r="N232" i="5" s="1"/>
  <c r="N233" i="5" s="1"/>
  <c r="N234" i="5" s="1"/>
  <c r="N235" i="5" s="1"/>
  <c r="N236" i="5" s="1"/>
  <c r="N237" i="5" s="1"/>
  <c r="N238" i="5" s="1"/>
  <c r="N239" i="5" s="1"/>
  <c r="N240" i="5" s="1"/>
  <c r="N241" i="5" s="1"/>
  <c r="N242" i="5" s="1"/>
  <c r="N243" i="5" s="1"/>
  <c r="N244" i="5" s="1"/>
  <c r="N245" i="5" s="1"/>
  <c r="N246" i="5" s="1"/>
  <c r="N247" i="5" s="1"/>
  <c r="N248" i="5" s="1"/>
  <c r="N249" i="5" s="1"/>
  <c r="N250" i="5" s="1"/>
  <c r="N251" i="5" s="1"/>
  <c r="N252" i="5" s="1"/>
  <c r="N253" i="5" s="1"/>
  <c r="N254" i="5" s="1"/>
  <c r="N255" i="5" s="1"/>
  <c r="N256" i="5" s="1"/>
  <c r="N257" i="5" s="1"/>
  <c r="N258" i="5" s="1"/>
  <c r="N259" i="5" s="1"/>
  <c r="N260" i="5" s="1"/>
  <c r="N261" i="5" s="1"/>
  <c r="N262" i="5" s="1"/>
  <c r="N263" i="5" s="1"/>
  <c r="N264" i="5" s="1"/>
  <c r="N265" i="5" s="1"/>
  <c r="N266" i="5" s="1"/>
  <c r="N267" i="5" s="1"/>
  <c r="N268" i="5" s="1"/>
  <c r="N269" i="5" s="1"/>
  <c r="N270" i="5" s="1"/>
  <c r="N271" i="5" s="1"/>
  <c r="N272" i="5" s="1"/>
  <c r="N273" i="5" s="1"/>
  <c r="N274" i="5" s="1"/>
  <c r="N275" i="5" s="1"/>
  <c r="N276" i="5" s="1"/>
  <c r="N277" i="5" s="1"/>
  <c r="N278" i="5" s="1"/>
  <c r="N279" i="5" s="1"/>
  <c r="N280" i="5" s="1"/>
  <c r="N281" i="5" s="1"/>
  <c r="N282" i="5" s="1"/>
  <c r="N283" i="5" s="1"/>
  <c r="N284" i="5" s="1"/>
  <c r="N285" i="5" s="1"/>
  <c r="N286" i="5" s="1"/>
  <c r="N287" i="5" s="1"/>
  <c r="N288" i="5" s="1"/>
  <c r="N289" i="5" s="1"/>
  <c r="N290" i="5" s="1"/>
  <c r="N291" i="5" s="1"/>
  <c r="N292" i="5" s="1"/>
  <c r="N293" i="5" s="1"/>
  <c r="N294" i="5" s="1"/>
  <c r="N295" i="5" s="1"/>
  <c r="N296" i="5" s="1"/>
  <c r="N297" i="5" s="1"/>
  <c r="N298" i="5" s="1"/>
  <c r="N299" i="5" s="1"/>
  <c r="N300" i="5" s="1"/>
  <c r="N301" i="5" s="1"/>
  <c r="N302" i="5" s="1"/>
  <c r="N303" i="5" s="1"/>
  <c r="N304" i="5" s="1"/>
  <c r="N305" i="5" s="1"/>
  <c r="N306" i="5" s="1"/>
  <c r="N307" i="5" s="1"/>
  <c r="N308" i="5" s="1"/>
  <c r="N309" i="5" s="1"/>
  <c r="N310" i="5" s="1"/>
  <c r="N311" i="5" s="1"/>
  <c r="AA100" i="111"/>
  <c r="E21" i="136"/>
  <c r="R41" i="19"/>
  <c r="N14" i="134"/>
  <c r="O14" i="134" s="1"/>
  <c r="M7" i="81"/>
  <c r="E53" i="81" s="1"/>
  <c r="AA101" i="156"/>
  <c r="Z101" i="156" s="1"/>
  <c r="Y101" i="156" s="1"/>
  <c r="X101" i="156" s="1"/>
  <c r="W101" i="156" s="1"/>
  <c r="W21" i="136" s="1"/>
  <c r="N15" i="134"/>
  <c r="O15" i="134" s="1"/>
  <c r="W17" i="136"/>
  <c r="AB63" i="156"/>
  <c r="AA63" i="156" s="1"/>
  <c r="A65" i="156"/>
  <c r="W60" i="132"/>
  <c r="W100" i="132" s="1"/>
  <c r="W20" i="136" s="1"/>
  <c r="X100" i="132"/>
  <c r="G21" i="133"/>
  <c r="AB64" i="132"/>
  <c r="AA64" i="132" s="1"/>
  <c r="Z64" i="132" s="1"/>
  <c r="Y64" i="132" s="1"/>
  <c r="A66" i="132"/>
  <c r="AB21" i="136"/>
  <c r="Y60" i="111"/>
  <c r="Y100" i="111" s="1"/>
  <c r="X100" i="111" s="1"/>
  <c r="Z100" i="111"/>
  <c r="AB62" i="111"/>
  <c r="AA62" i="111" s="1"/>
  <c r="Z62" i="111" s="1"/>
  <c r="Y62" i="111" s="1"/>
  <c r="Y102" i="111" s="1"/>
  <c r="X102" i="111" s="1"/>
  <c r="A64" i="111"/>
  <c r="F18" i="157"/>
  <c r="F18" i="137" s="1"/>
  <c r="Z19" i="136"/>
  <c r="Y62" i="132"/>
  <c r="Y102" i="132" s="1"/>
  <c r="Z102" i="132"/>
  <c r="AB23" i="111"/>
  <c r="A25" i="111"/>
  <c r="D6" i="82"/>
  <c r="D51" i="81"/>
  <c r="AA61" i="111"/>
  <c r="AA101" i="111" s="1"/>
  <c r="AB23" i="156"/>
  <c r="A25" i="156"/>
  <c r="AA22" i="111"/>
  <c r="AA20" i="136"/>
  <c r="AB101" i="111"/>
  <c r="W99" i="132"/>
  <c r="U98" i="111"/>
  <c r="T98" i="111" s="1"/>
  <c r="C24" i="81"/>
  <c r="E19" i="133"/>
  <c r="Y20" i="136"/>
  <c r="Z62" i="156"/>
  <c r="AA102" i="156"/>
  <c r="AA22" i="136" s="1"/>
  <c r="AB102" i="156"/>
  <c r="J12" i="165"/>
  <c r="G15" i="71"/>
  <c r="D164" i="84"/>
  <c r="AB22" i="132"/>
  <c r="AB102" i="132" s="1"/>
  <c r="A24" i="132"/>
  <c r="Y59" i="111"/>
  <c r="Z99" i="111"/>
  <c r="B50" i="13"/>
  <c r="B51" i="13" s="1"/>
  <c r="B52" i="13" s="1"/>
  <c r="F20" i="136"/>
  <c r="D162" i="84"/>
  <c r="L17" i="19"/>
  <c r="C100" i="132"/>
  <c r="E20" i="136"/>
  <c r="C16" i="134"/>
  <c r="B16" i="134" s="1"/>
  <c r="T16" i="134" s="1"/>
  <c r="AG16" i="134" s="1"/>
  <c r="U16" i="134"/>
  <c r="AC16" i="134" s="1"/>
  <c r="R16" i="134"/>
  <c r="AH16" i="134"/>
  <c r="P16" i="134"/>
  <c r="Q16" i="134"/>
  <c r="D54" i="161"/>
  <c r="D48" i="70"/>
  <c r="C13" i="134"/>
  <c r="B13" i="134" s="1"/>
  <c r="AH13" i="134"/>
  <c r="P13" i="134"/>
  <c r="U13" i="134"/>
  <c r="AC13" i="134" s="1"/>
  <c r="R13" i="134"/>
  <c r="Q13" i="134" s="1"/>
  <c r="S100" i="132"/>
  <c r="R100" i="132" s="1"/>
  <c r="R20" i="136" s="1"/>
  <c r="C19" i="133"/>
  <c r="F19" i="138"/>
  <c r="U20" i="136"/>
  <c r="T20" i="136" s="1"/>
  <c r="L14" i="19"/>
  <c r="R15" i="19"/>
  <c r="F17" i="19"/>
  <c r="F33" i="19"/>
  <c r="J6" i="19"/>
  <c r="F6" i="19"/>
  <c r="R5" i="19"/>
  <c r="L5" i="19"/>
  <c r="F5" i="19"/>
  <c r="R4" i="19"/>
  <c r="L4" i="19"/>
  <c r="F4" i="19"/>
  <c r="R3" i="19"/>
  <c r="L3" i="19"/>
  <c r="F3" i="19"/>
  <c r="D27" i="1"/>
  <c r="I20" i="160"/>
  <c r="I19" i="160"/>
  <c r="I18" i="160"/>
  <c r="I17" i="160"/>
  <c r="I16" i="160"/>
  <c r="I15" i="160"/>
  <c r="I14" i="160"/>
  <c r="I13" i="160"/>
  <c r="I12" i="160"/>
  <c r="I11" i="160"/>
  <c r="I10" i="160"/>
  <c r="I9" i="160"/>
  <c r="I8" i="160"/>
  <c r="I7" i="160"/>
  <c r="I6" i="160"/>
  <c r="H6" i="160"/>
  <c r="I5" i="160"/>
  <c r="N312" i="5" l="1"/>
  <c r="N313" i="5" s="1"/>
  <c r="N314" i="5" s="1"/>
  <c r="N315" i="5" s="1"/>
  <c r="N316" i="5" s="1"/>
  <c r="Z21" i="136"/>
  <c r="D28" i="1"/>
  <c r="AA91" i="3" s="1"/>
  <c r="P4" i="2"/>
  <c r="AB102" i="111"/>
  <c r="Y21" i="136"/>
  <c r="AA21" i="136"/>
  <c r="H7" i="160"/>
  <c r="H8" i="160" s="1"/>
  <c r="H9" i="160" s="1"/>
  <c r="H10" i="160" s="1"/>
  <c r="H11" i="160" s="1"/>
  <c r="H12" i="160" s="1"/>
  <c r="H13" i="160" s="1"/>
  <c r="H14" i="160" s="1"/>
  <c r="H15" i="160" s="1"/>
  <c r="H16" i="160" s="1"/>
  <c r="H17" i="160" s="1"/>
  <c r="H18" i="160" s="1"/>
  <c r="H19" i="160" s="1"/>
  <c r="H20" i="160" s="1"/>
  <c r="W70" i="132"/>
  <c r="N13" i="134"/>
  <c r="O13" i="134" s="1"/>
  <c r="B53" i="13"/>
  <c r="B54" i="13" s="1"/>
  <c r="B55" i="13" s="1"/>
  <c r="Y99" i="111"/>
  <c r="AB103" i="156"/>
  <c r="F21" i="133"/>
  <c r="AO21" i="134" s="1"/>
  <c r="AU21" i="134" s="1"/>
  <c r="AB63" i="111"/>
  <c r="AA63" i="111" s="1"/>
  <c r="Z63" i="111" s="1"/>
  <c r="A65" i="111"/>
  <c r="AB23" i="132"/>
  <c r="A25" i="132"/>
  <c r="D71" i="81"/>
  <c r="C28" i="81"/>
  <c r="F27" i="81" s="1"/>
  <c r="AA102" i="111"/>
  <c r="Z102" i="111" s="1"/>
  <c r="G26" i="161"/>
  <c r="L6" i="19"/>
  <c r="J15" i="165"/>
  <c r="E21" i="133"/>
  <c r="AB64" i="156"/>
  <c r="AA64" i="156" s="1"/>
  <c r="Z64" i="156" s="1"/>
  <c r="Y64" i="156" s="1"/>
  <c r="A66" i="156"/>
  <c r="AB24" i="111"/>
  <c r="A26" i="111"/>
  <c r="D13" i="82"/>
  <c r="D46" i="82"/>
  <c r="AA103" i="156"/>
  <c r="AB22" i="136"/>
  <c r="Y62" i="156"/>
  <c r="Y102" i="156" s="1"/>
  <c r="Y22" i="136" s="1"/>
  <c r="Z102" i="156"/>
  <c r="Z22" i="136" s="1"/>
  <c r="W19" i="136"/>
  <c r="W110" i="132"/>
  <c r="AB24" i="156"/>
  <c r="A26" i="156"/>
  <c r="AA23" i="111"/>
  <c r="Z23" i="111" s="1"/>
  <c r="AB65" i="132"/>
  <c r="AA65" i="132" s="1"/>
  <c r="Z65" i="132" s="1"/>
  <c r="Y65" i="132" s="1"/>
  <c r="A67" i="132"/>
  <c r="N16" i="134"/>
  <c r="O16" i="134" s="1"/>
  <c r="E19" i="138"/>
  <c r="S20" i="136"/>
  <c r="F31" i="1"/>
  <c r="B22" i="165" s="1"/>
  <c r="T33" i="132"/>
  <c r="G30" i="1"/>
  <c r="A4" i="87"/>
  <c r="A2" i="166"/>
  <c r="A4" i="43"/>
  <c r="C26" i="71"/>
  <c r="C24" i="71"/>
  <c r="C23" i="71"/>
  <c r="C21" i="71"/>
  <c r="C18" i="71"/>
  <c r="G18" i="165" s="1"/>
  <c r="C17" i="71"/>
  <c r="C15" i="71"/>
  <c r="G15" i="165" s="1"/>
  <c r="C14" i="71"/>
  <c r="C13" i="71"/>
  <c r="C27" i="71"/>
  <c r="C28" i="71" s="1"/>
  <c r="C25" i="71"/>
  <c r="C22" i="71"/>
  <c r="C20" i="71"/>
  <c r="G20" i="165" s="1"/>
  <c r="C19" i="71"/>
  <c r="C16" i="71"/>
  <c r="G16" i="165" s="1"/>
  <c r="C12" i="71"/>
  <c r="G12" i="165" s="1"/>
  <c r="J5" i="71"/>
  <c r="B4" i="66"/>
  <c r="R4" i="18"/>
  <c r="A2" i="164"/>
  <c r="T13" i="134"/>
  <c r="AG13" i="134" s="1"/>
  <c r="D19" i="133"/>
  <c r="J19" i="133" s="1"/>
  <c r="D44" i="70"/>
  <c r="S11" i="87"/>
  <c r="C20" i="136"/>
  <c r="N317" i="5" l="1"/>
  <c r="N318" i="5" s="1"/>
  <c r="N319" i="5" s="1"/>
  <c r="N320" i="5" s="1"/>
  <c r="N321" i="5" s="1"/>
  <c r="N322" i="5" s="1"/>
  <c r="N323" i="5" s="1"/>
  <c r="N324" i="5" s="1"/>
  <c r="I32" i="78"/>
  <c r="O48" i="46"/>
  <c r="R47" i="51"/>
  <c r="J38" i="60"/>
  <c r="R49" i="20"/>
  <c r="I34" i="56"/>
  <c r="N31" i="40"/>
  <c r="I32" i="64"/>
  <c r="O48" i="49"/>
  <c r="N47" i="80"/>
  <c r="J32" i="8"/>
  <c r="I32" i="86"/>
  <c r="J32" i="77"/>
  <c r="T75" i="13"/>
  <c r="J32" i="54"/>
  <c r="T33" i="156"/>
  <c r="T73" i="156" s="1"/>
  <c r="L48" i="47"/>
  <c r="L44" i="65"/>
  <c r="R47" i="50"/>
  <c r="I32" i="61"/>
  <c r="J32" i="58"/>
  <c r="I32" i="169" s="1"/>
  <c r="I32" i="63"/>
  <c r="L44" i="85"/>
  <c r="I32" i="62"/>
  <c r="E55" i="43"/>
  <c r="E674" i="43" s="1"/>
  <c r="O48" i="48"/>
  <c r="P48" i="6"/>
  <c r="R47" i="52"/>
  <c r="I32" i="55"/>
  <c r="J32" i="59"/>
  <c r="G33" i="167"/>
  <c r="H31" i="167" s="1"/>
  <c r="R47" i="79"/>
  <c r="J32" i="53"/>
  <c r="T33" i="111"/>
  <c r="T113" i="111" s="1"/>
  <c r="F28" i="81"/>
  <c r="E9" i="82" s="1"/>
  <c r="L369" i="5"/>
  <c r="N46" i="168" s="1"/>
  <c r="N29" i="2"/>
  <c r="F26" i="81"/>
  <c r="F24" i="81"/>
  <c r="J27" i="81"/>
  <c r="AB103" i="111"/>
  <c r="AA103" i="111"/>
  <c r="AA24" i="156"/>
  <c r="Z24" i="156" s="1"/>
  <c r="AB104" i="156"/>
  <c r="AB65" i="156"/>
  <c r="AA65" i="156" s="1"/>
  <c r="Z65" i="156" s="1"/>
  <c r="Y65" i="156" s="1"/>
  <c r="A67" i="156"/>
  <c r="A68" i="156" s="1"/>
  <c r="AB67" i="156" s="1"/>
  <c r="X99" i="111"/>
  <c r="W99" i="111" s="1"/>
  <c r="AB25" i="111"/>
  <c r="A27" i="111"/>
  <c r="A28" i="111" s="1"/>
  <c r="B56" i="13"/>
  <c r="Y23" i="111"/>
  <c r="Y30" i="111" s="1"/>
  <c r="Z103" i="111"/>
  <c r="AA24" i="111"/>
  <c r="Z24" i="111" s="1"/>
  <c r="AB24" i="132"/>
  <c r="A26" i="132"/>
  <c r="AB64" i="111"/>
  <c r="AA64" i="111" s="1"/>
  <c r="Z64" i="111" s="1"/>
  <c r="Y64" i="111" s="1"/>
  <c r="Y104" i="111" s="1"/>
  <c r="X104" i="111" s="1"/>
  <c r="W104" i="111" s="1"/>
  <c r="V104" i="111" s="1"/>
  <c r="U104" i="111" s="1"/>
  <c r="T104" i="111" s="1"/>
  <c r="A66" i="111"/>
  <c r="AB66" i="132"/>
  <c r="AA66" i="132" s="1"/>
  <c r="A68" i="132"/>
  <c r="AB67" i="132" s="1"/>
  <c r="AA67" i="132" s="1"/>
  <c r="AB25" i="156"/>
  <c r="A27" i="156"/>
  <c r="A28" i="156" s="1"/>
  <c r="AB27" i="156" s="1"/>
  <c r="AA23" i="132"/>
  <c r="AB103" i="132"/>
  <c r="AB23" i="136" s="1"/>
  <c r="Y63" i="111"/>
  <c r="B14" i="165"/>
  <c r="B26" i="165"/>
  <c r="B18" i="165"/>
  <c r="B23" i="165"/>
  <c r="B12" i="165"/>
  <c r="B16" i="165"/>
  <c r="B24" i="165"/>
  <c r="B21" i="165"/>
  <c r="F32" i="1"/>
  <c r="A27" i="138" s="1"/>
  <c r="A26" i="139" s="1"/>
  <c r="B20" i="165"/>
  <c r="B13" i="165"/>
  <c r="B15" i="165"/>
  <c r="B17" i="165"/>
  <c r="B19" i="165"/>
  <c r="B25" i="165"/>
  <c r="B27" i="165"/>
  <c r="DN40" i="18"/>
  <c r="AQ4" i="18"/>
  <c r="AQ76" i="18"/>
  <c r="CO76" i="18"/>
  <c r="R112" i="18"/>
  <c r="DN4" i="18"/>
  <c r="R40" i="18"/>
  <c r="BP40" i="18"/>
  <c r="BP4" i="18"/>
  <c r="R76" i="18"/>
  <c r="BP76" i="18"/>
  <c r="DN76" i="18"/>
  <c r="AQ112" i="18"/>
  <c r="CO4" i="18"/>
  <c r="BZ4" i="18" s="1"/>
  <c r="AQ40" i="18"/>
  <c r="CO40" i="18"/>
  <c r="EM76" i="18"/>
  <c r="A27" i="165"/>
  <c r="A26" i="165"/>
  <c r="A25" i="165"/>
  <c r="A20" i="165"/>
  <c r="A19" i="165"/>
  <c r="A18" i="165"/>
  <c r="A17" i="165"/>
  <c r="A16" i="165"/>
  <c r="A15" i="165"/>
  <c r="A14" i="165"/>
  <c r="A13" i="165"/>
  <c r="A12" i="165"/>
  <c r="A23" i="165"/>
  <c r="A22" i="165"/>
  <c r="A21" i="165"/>
  <c r="F30" i="1"/>
  <c r="T33" i="136"/>
  <c r="T73" i="132"/>
  <c r="T113" i="132"/>
  <c r="A645" i="43"/>
  <c r="A303" i="43"/>
  <c r="A364" i="43"/>
  <c r="A419" i="43"/>
  <c r="A476" i="43"/>
  <c r="A247" i="43"/>
  <c r="A531" i="43"/>
  <c r="A67" i="43"/>
  <c r="A66" i="43" s="1"/>
  <c r="A128" i="43"/>
  <c r="A189" i="43"/>
  <c r="A588" i="43"/>
  <c r="A4" i="165"/>
  <c r="A4" i="88"/>
  <c r="A4" i="89"/>
  <c r="A4" i="90"/>
  <c r="A4" i="91"/>
  <c r="T73" i="111"/>
  <c r="A24" i="165"/>
  <c r="C19" i="134"/>
  <c r="B19" i="134" s="1"/>
  <c r="AH19" i="134"/>
  <c r="U19" i="134"/>
  <c r="AC19" i="134" s="1"/>
  <c r="R19" i="134"/>
  <c r="Q19" i="134"/>
  <c r="P19" i="134" s="1"/>
  <c r="D40" i="67"/>
  <c r="Q11" i="87"/>
  <c r="D27" i="134"/>
  <c r="C27" i="134"/>
  <c r="B27" i="134"/>
  <c r="T27" i="134" s="1"/>
  <c r="AG27" i="134" s="1"/>
  <c r="AF27" i="134" s="1"/>
  <c r="AB28" i="135"/>
  <c r="AD28" i="135" s="1"/>
  <c r="AU14" i="134"/>
  <c r="AW14" i="134" s="1"/>
  <c r="AV13" i="134"/>
  <c r="AX13" i="134" s="1"/>
  <c r="AW13" i="134"/>
  <c r="AU15" i="134"/>
  <c r="AW15" i="134" s="1"/>
  <c r="AW21" i="134"/>
  <c r="AT20" i="135"/>
  <c r="AS20" i="135"/>
  <c r="N325" i="5" l="1"/>
  <c r="N326" i="5" s="1"/>
  <c r="N327" i="5" s="1"/>
  <c r="N328" i="5" s="1"/>
  <c r="N329" i="5" s="1"/>
  <c r="N330" i="5" s="1"/>
  <c r="N331" i="5" s="1"/>
  <c r="N332" i="5" s="1"/>
  <c r="N333" i="5" s="1"/>
  <c r="N334" i="5" s="1"/>
  <c r="N335" i="5" s="1"/>
  <c r="N336" i="5" s="1"/>
  <c r="N337" i="5" s="1"/>
  <c r="N338" i="5" s="1"/>
  <c r="N339" i="5" s="1"/>
  <c r="N340" i="5" s="1"/>
  <c r="N341" i="5" s="1"/>
  <c r="N342" i="5" s="1"/>
  <c r="N343" i="5" s="1"/>
  <c r="N344" i="5" s="1"/>
  <c r="N345" i="5" s="1"/>
  <c r="E103" i="43"/>
  <c r="E560" i="43"/>
  <c r="E158" i="43"/>
  <c r="E448" i="43"/>
  <c r="E617" i="43"/>
  <c r="E505" i="43"/>
  <c r="E332" i="43"/>
  <c r="E277" i="43"/>
  <c r="E219" i="43"/>
  <c r="T113" i="156"/>
  <c r="E393" i="43"/>
  <c r="E8" i="82"/>
  <c r="D21" i="82" s="1"/>
  <c r="F30" i="81"/>
  <c r="F31" i="81" s="1"/>
  <c r="G26" i="81"/>
  <c r="H26" i="81" s="1"/>
  <c r="D73" i="81"/>
  <c r="D22" i="82"/>
  <c r="D75" i="81"/>
  <c r="E54" i="81"/>
  <c r="D74" i="81"/>
  <c r="Z104" i="111"/>
  <c r="F23" i="112" s="1"/>
  <c r="N19" i="134"/>
  <c r="O19" i="134" s="1"/>
  <c r="AA104" i="156"/>
  <c r="G23" i="157" s="1"/>
  <c r="AA25" i="156"/>
  <c r="Z25" i="156" s="1"/>
  <c r="AB105" i="156"/>
  <c r="H24" i="157" s="1"/>
  <c r="AP24" i="158" s="1"/>
  <c r="AV24" i="158" s="1"/>
  <c r="AX24" i="158" s="1"/>
  <c r="AB65" i="111"/>
  <c r="AA65" i="111" s="1"/>
  <c r="Z65" i="111" s="1"/>
  <c r="Y65" i="111" s="1"/>
  <c r="Y105" i="111" s="1"/>
  <c r="X105" i="111" s="1"/>
  <c r="A67" i="111"/>
  <c r="Y103" i="111"/>
  <c r="E22" i="112" s="1"/>
  <c r="G21" i="115" s="1"/>
  <c r="V99" i="111"/>
  <c r="Z23" i="132"/>
  <c r="Z103" i="132" s="1"/>
  <c r="AA103" i="132"/>
  <c r="Z67" i="132"/>
  <c r="AA107" i="132"/>
  <c r="AB104" i="111"/>
  <c r="AA104" i="111" s="1"/>
  <c r="G23" i="112" s="1"/>
  <c r="I22" i="115" s="1"/>
  <c r="AA25" i="111"/>
  <c r="AB30" i="111"/>
  <c r="AA67" i="156"/>
  <c r="AB70" i="156"/>
  <c r="Y24" i="156"/>
  <c r="Z104" i="156"/>
  <c r="F23" i="157" s="1"/>
  <c r="Z66" i="132"/>
  <c r="AA106" i="132"/>
  <c r="AB25" i="132"/>
  <c r="A27" i="132"/>
  <c r="B57" i="13"/>
  <c r="B58" i="13" s="1"/>
  <c r="B59" i="13" s="1"/>
  <c r="AA27" i="156"/>
  <c r="AB107" i="156"/>
  <c r="AB30" i="156"/>
  <c r="AA24" i="132"/>
  <c r="AB104" i="132"/>
  <c r="A24" i="114"/>
  <c r="A23" i="115" s="1"/>
  <c r="A20" i="114"/>
  <c r="A19" i="115" s="1"/>
  <c r="A12" i="114"/>
  <c r="A11" i="115" s="1"/>
  <c r="A11" i="87"/>
  <c r="A11" i="89" s="1"/>
  <c r="A16" i="114"/>
  <c r="A15" i="115" s="1"/>
  <c r="A12" i="138"/>
  <c r="A11" i="139" s="1"/>
  <c r="A14" i="114"/>
  <c r="A13" i="115" s="1"/>
  <c r="A18" i="114"/>
  <c r="A17" i="115" s="1"/>
  <c r="A22" i="114"/>
  <c r="A21" i="115" s="1"/>
  <c r="A26" i="114"/>
  <c r="A25" i="115" s="1"/>
  <c r="A16" i="138"/>
  <c r="A15" i="139" s="1"/>
  <c r="A20" i="138"/>
  <c r="A19" i="139" s="1"/>
  <c r="A14" i="138"/>
  <c r="A13" i="139" s="1"/>
  <c r="A18" i="138"/>
  <c r="A17" i="139" s="1"/>
  <c r="A22" i="138"/>
  <c r="A21" i="139" s="1"/>
  <c r="A13" i="114"/>
  <c r="A12" i="115" s="1"/>
  <c r="A15" i="114"/>
  <c r="A14" i="115" s="1"/>
  <c r="A17" i="114"/>
  <c r="A16" i="115" s="1"/>
  <c r="A19" i="114"/>
  <c r="A18" i="115" s="1"/>
  <c r="A21" i="114"/>
  <c r="A20" i="115" s="1"/>
  <c r="A23" i="114"/>
  <c r="A22" i="115" s="1"/>
  <c r="A25" i="114"/>
  <c r="A24" i="115" s="1"/>
  <c r="A27" i="114"/>
  <c r="A26" i="115" s="1"/>
  <c r="A13" i="138"/>
  <c r="A12" i="139" s="1"/>
  <c r="A15" i="138"/>
  <c r="A14" i="139" s="1"/>
  <c r="A17" i="138"/>
  <c r="A16" i="139" s="1"/>
  <c r="A19" i="138"/>
  <c r="A18" i="139" s="1"/>
  <c r="A21" i="138"/>
  <c r="A20" i="139" s="1"/>
  <c r="A23" i="138"/>
  <c r="A22" i="139" s="1"/>
  <c r="A25" i="138"/>
  <c r="A24" i="139" s="1"/>
  <c r="A24" i="138"/>
  <c r="A23" i="139" s="1"/>
  <c r="A26" i="138"/>
  <c r="A25" i="139" s="1"/>
  <c r="C11" i="87"/>
  <c r="C27" i="138"/>
  <c r="C26" i="139" s="1"/>
  <c r="C26" i="138"/>
  <c r="C25" i="139" s="1"/>
  <c r="C25" i="138"/>
  <c r="C24" i="139" s="1"/>
  <c r="C24" i="138"/>
  <c r="C23" i="139" s="1"/>
  <c r="C23" i="138"/>
  <c r="C22" i="139" s="1"/>
  <c r="C22" i="138"/>
  <c r="C21" i="139" s="1"/>
  <c r="C21" i="138"/>
  <c r="C20" i="139" s="1"/>
  <c r="C20" i="138"/>
  <c r="C19" i="139" s="1"/>
  <c r="C19" i="138"/>
  <c r="C18" i="139" s="1"/>
  <c r="C18" i="138"/>
  <c r="C17" i="139" s="1"/>
  <c r="C17" i="138"/>
  <c r="C16" i="139" s="1"/>
  <c r="C16" i="138"/>
  <c r="C15" i="139" s="1"/>
  <c r="C15" i="138"/>
  <c r="C14" i="139" s="1"/>
  <c r="C14" i="138"/>
  <c r="C13" i="139" s="1"/>
  <c r="C13" i="138"/>
  <c r="C12" i="139" s="1"/>
  <c r="C12" i="138"/>
  <c r="C11" i="139" s="1"/>
  <c r="C27" i="114"/>
  <c r="C26" i="115" s="1"/>
  <c r="C26" i="114"/>
  <c r="C25" i="115" s="1"/>
  <c r="C25" i="114"/>
  <c r="C24" i="115" s="1"/>
  <c r="C24" i="114"/>
  <c r="C23" i="115" s="1"/>
  <c r="C23" i="114"/>
  <c r="C22" i="115" s="1"/>
  <c r="C22" i="114"/>
  <c r="C21" i="115" s="1"/>
  <c r="C21" i="114"/>
  <c r="C20" i="115" s="1"/>
  <c r="C20" i="114"/>
  <c r="C19" i="115" s="1"/>
  <c r="C19" i="114"/>
  <c r="C18" i="115" s="1"/>
  <c r="C18" i="114"/>
  <c r="C17" i="115" s="1"/>
  <c r="C17" i="114"/>
  <c r="C16" i="115" s="1"/>
  <c r="C16" i="114"/>
  <c r="C15" i="115" s="1"/>
  <c r="C15" i="114"/>
  <c r="C14" i="115" s="1"/>
  <c r="C14" i="114"/>
  <c r="C13" i="115" s="1"/>
  <c r="C13" i="114"/>
  <c r="C12" i="115" s="1"/>
  <c r="C12" i="114"/>
  <c r="C11" i="115" s="1"/>
  <c r="Q11" i="89"/>
  <c r="E41" i="67"/>
  <c r="T19" i="134"/>
  <c r="AG19" i="134" s="1"/>
  <c r="AH27" i="134"/>
  <c r="Q27" i="134"/>
  <c r="U27" i="134"/>
  <c r="AC27" i="134" s="1"/>
  <c r="R27" i="134"/>
  <c r="P27" i="134"/>
  <c r="N27" i="134"/>
  <c r="O27" i="134" s="1"/>
  <c r="C13" i="132"/>
  <c r="C30" i="132" s="1"/>
  <c r="C53" i="132"/>
  <c r="D12" i="158"/>
  <c r="U12" i="158" s="1"/>
  <c r="AC12" i="158" s="1"/>
  <c r="D13" i="113"/>
  <c r="U13" i="113" s="1"/>
  <c r="U13" i="135" s="1"/>
  <c r="AC13" i="135" s="1"/>
  <c r="D14" i="113"/>
  <c r="Q14" i="113" s="1"/>
  <c r="D14" i="158"/>
  <c r="U14" i="158" s="1"/>
  <c r="AC14" i="158" s="1"/>
  <c r="D15" i="113"/>
  <c r="U15" i="113" s="1"/>
  <c r="AC15" i="113" s="1"/>
  <c r="D15" i="158"/>
  <c r="U15" i="158" s="1"/>
  <c r="AC15" i="158" s="1"/>
  <c r="D16" i="113"/>
  <c r="U16" i="113" s="1"/>
  <c r="AC16" i="113" s="1"/>
  <c r="D16" i="158"/>
  <c r="Q16" i="158" s="1"/>
  <c r="D17" i="113"/>
  <c r="U17" i="113" s="1"/>
  <c r="AC17" i="113" s="1"/>
  <c r="C58" i="132"/>
  <c r="C98" i="132" s="1"/>
  <c r="D17" i="158"/>
  <c r="R17" i="158" s="1"/>
  <c r="D18" i="113"/>
  <c r="U18" i="113" s="1"/>
  <c r="AC18" i="113" s="1"/>
  <c r="D18" i="158"/>
  <c r="R18" i="158" s="1"/>
  <c r="D19" i="113"/>
  <c r="U19" i="113" s="1"/>
  <c r="AC19" i="113" s="1"/>
  <c r="D19" i="158"/>
  <c r="U19" i="158" s="1"/>
  <c r="AC19" i="158" s="1"/>
  <c r="D20" i="113"/>
  <c r="R20" i="113" s="1"/>
  <c r="D20" i="158"/>
  <c r="U20" i="158" s="1"/>
  <c r="AC20" i="158" s="1"/>
  <c r="D21" i="113"/>
  <c r="U21" i="113" s="1"/>
  <c r="U21" i="135" s="1"/>
  <c r="AC21" i="135" s="1"/>
  <c r="D22" i="113"/>
  <c r="Q22" i="113" s="1"/>
  <c r="D22" i="158"/>
  <c r="U22" i="158" s="1"/>
  <c r="AC22" i="158" s="1"/>
  <c r="D23" i="113"/>
  <c r="U23" i="113" s="1"/>
  <c r="D23" i="158"/>
  <c r="R23" i="158" s="1"/>
  <c r="D24" i="113"/>
  <c r="U24" i="113" s="1"/>
  <c r="AC24" i="113" s="1"/>
  <c r="D24" i="158"/>
  <c r="D25" i="113"/>
  <c r="AH25" i="113" s="1"/>
  <c r="D25" i="158"/>
  <c r="U25" i="158" s="1"/>
  <c r="AC25" i="158" s="1"/>
  <c r="D26" i="113"/>
  <c r="AH26" i="113" s="1"/>
  <c r="AH26" i="135" s="1"/>
  <c r="D27" i="113"/>
  <c r="U27" i="113" s="1"/>
  <c r="AC27" i="113" s="1"/>
  <c r="D27" i="158"/>
  <c r="Q27" i="158" s="1"/>
  <c r="H18" i="133"/>
  <c r="AP18" i="134" s="1"/>
  <c r="AW18" i="134"/>
  <c r="F14" i="112"/>
  <c r="G14" i="112"/>
  <c r="F14" i="157"/>
  <c r="F14" i="137" s="1"/>
  <c r="H13" i="139" s="1"/>
  <c r="G14" i="157"/>
  <c r="G14" i="137" s="1"/>
  <c r="H14" i="112"/>
  <c r="AP14" i="113" s="1"/>
  <c r="AV14" i="113" s="1"/>
  <c r="AX14" i="113" s="1"/>
  <c r="AP14" i="134"/>
  <c r="H14" i="157"/>
  <c r="AP14" i="158" s="1"/>
  <c r="AS18" i="135"/>
  <c r="F18" i="112"/>
  <c r="H17" i="115" s="1"/>
  <c r="G18" i="112"/>
  <c r="I17" i="115" s="1"/>
  <c r="G18" i="157"/>
  <c r="AO18" i="158" s="1"/>
  <c r="AU18" i="158" s="1"/>
  <c r="AW18" i="158" s="1"/>
  <c r="H18" i="112"/>
  <c r="AP18" i="113" s="1"/>
  <c r="H18" i="157"/>
  <c r="AP18" i="158" s="1"/>
  <c r="AV18" i="158" s="1"/>
  <c r="AX18" i="158" s="1"/>
  <c r="H19" i="112"/>
  <c r="AP19" i="113" s="1"/>
  <c r="AV19" i="113" s="1"/>
  <c r="AX19" i="113" s="1"/>
  <c r="AP19" i="134"/>
  <c r="AV19" i="134" s="1"/>
  <c r="AX19" i="134" s="1"/>
  <c r="H19" i="157"/>
  <c r="H19" i="137" s="1"/>
  <c r="J18" i="139" s="1"/>
  <c r="F21" i="112"/>
  <c r="H20" i="115" s="1"/>
  <c r="G21" i="112"/>
  <c r="I20" i="115" s="1"/>
  <c r="F21" i="157"/>
  <c r="F21" i="137" s="1"/>
  <c r="H20" i="139" s="1"/>
  <c r="G21" i="157"/>
  <c r="G21" i="137" s="1"/>
  <c r="I20" i="139" s="1"/>
  <c r="H21" i="112"/>
  <c r="AP21" i="113" s="1"/>
  <c r="AV21" i="113" s="1"/>
  <c r="AX21" i="113" s="1"/>
  <c r="H21" i="133"/>
  <c r="AP21" i="134" s="1"/>
  <c r="H21" i="157"/>
  <c r="AP21" i="158" s="1"/>
  <c r="AV21" i="158" s="1"/>
  <c r="AX21" i="158" s="1"/>
  <c r="H23" i="157"/>
  <c r="AP23" i="158" s="1"/>
  <c r="AV23" i="158" s="1"/>
  <c r="AX23" i="158" s="1"/>
  <c r="F15" i="112"/>
  <c r="H14" i="115" s="1"/>
  <c r="G15" i="112"/>
  <c r="I14" i="115" s="1"/>
  <c r="F15" i="157"/>
  <c r="F15" i="137" s="1"/>
  <c r="H14" i="139" s="1"/>
  <c r="G15" i="157"/>
  <c r="G15" i="137" s="1"/>
  <c r="I14" i="139" s="1"/>
  <c r="H15" i="112"/>
  <c r="AP15" i="113" s="1"/>
  <c r="AV15" i="113" s="1"/>
  <c r="AX15" i="113" s="1"/>
  <c r="AP15" i="134"/>
  <c r="AQ15" i="134" s="1"/>
  <c r="H15" i="157"/>
  <c r="AP15" i="158" s="1"/>
  <c r="AV15" i="158" s="1"/>
  <c r="AX15" i="158" s="1"/>
  <c r="F17" i="157"/>
  <c r="F17" i="137" s="1"/>
  <c r="H16" i="139" s="1"/>
  <c r="G17" i="157"/>
  <c r="G17" i="137" s="1"/>
  <c r="I16" i="139" s="1"/>
  <c r="H17" i="112"/>
  <c r="AP17" i="113" s="1"/>
  <c r="H17" i="157"/>
  <c r="AP17" i="158" s="1"/>
  <c r="AV17" i="158" s="1"/>
  <c r="AX17" i="158" s="1"/>
  <c r="F13" i="112"/>
  <c r="H12" i="115" s="1"/>
  <c r="G13" i="112"/>
  <c r="I12" i="115" s="1"/>
  <c r="F13" i="157"/>
  <c r="F13" i="137" s="1"/>
  <c r="H12" i="139" s="1"/>
  <c r="G13" i="157"/>
  <c r="G13" i="137" s="1"/>
  <c r="I12" i="139" s="1"/>
  <c r="H13" i="112"/>
  <c r="AP13" i="113" s="1"/>
  <c r="AV13" i="113" s="1"/>
  <c r="AX13" i="113" s="1"/>
  <c r="H13" i="157"/>
  <c r="H13" i="137" s="1"/>
  <c r="J12" i="139" s="1"/>
  <c r="AT24" i="135"/>
  <c r="AT16" i="135"/>
  <c r="H16" i="112"/>
  <c r="AP16" i="113" s="1"/>
  <c r="AV16" i="113" s="1"/>
  <c r="AX16" i="113" s="1"/>
  <c r="H16" i="157"/>
  <c r="AP16" i="158" s="1"/>
  <c r="AV16" i="158" s="1"/>
  <c r="AX16" i="158" s="1"/>
  <c r="F20" i="112"/>
  <c r="H19" i="115" s="1"/>
  <c r="G20" i="112"/>
  <c r="I19" i="115" s="1"/>
  <c r="F20" i="133"/>
  <c r="G20" i="133"/>
  <c r="F20" i="157"/>
  <c r="G20" i="157"/>
  <c r="H20" i="112"/>
  <c r="AP20" i="113" s="1"/>
  <c r="AV20" i="113" s="1"/>
  <c r="AX20" i="113" s="1"/>
  <c r="H20" i="133"/>
  <c r="AP20" i="134" s="1"/>
  <c r="H20" i="157"/>
  <c r="AP20" i="158" s="1"/>
  <c r="AV20" i="158" s="1"/>
  <c r="AX20" i="158" s="1"/>
  <c r="F22" i="112"/>
  <c r="H21" i="115" s="1"/>
  <c r="G22" i="112"/>
  <c r="I21" i="115" s="1"/>
  <c r="F22" i="157"/>
  <c r="G22" i="157"/>
  <c r="H22" i="112"/>
  <c r="AP22" i="113" s="1"/>
  <c r="AV22" i="113" s="1"/>
  <c r="AX22" i="113" s="1"/>
  <c r="H22" i="133"/>
  <c r="AP22" i="134" s="1"/>
  <c r="AV22" i="134" s="1"/>
  <c r="AX22" i="134" s="1"/>
  <c r="H22" i="157"/>
  <c r="AP22" i="158" s="1"/>
  <c r="AV22" i="158" s="1"/>
  <c r="AX22" i="158" s="1"/>
  <c r="F25" i="157"/>
  <c r="G25" i="157"/>
  <c r="H25" i="157"/>
  <c r="AP25" i="158" s="1"/>
  <c r="AV25" i="158" s="1"/>
  <c r="AX25" i="158" s="1"/>
  <c r="H27" i="112"/>
  <c r="AP27" i="113" s="1"/>
  <c r="AV27" i="113" s="1"/>
  <c r="AX27" i="113" s="1"/>
  <c r="AB28" i="132"/>
  <c r="AB68" i="132"/>
  <c r="AB70" i="132" s="1"/>
  <c r="H27" i="157"/>
  <c r="AP27" i="158" s="1"/>
  <c r="C25" i="113"/>
  <c r="C25" i="158"/>
  <c r="D13" i="132"/>
  <c r="C12" i="134" s="1"/>
  <c r="C17" i="134"/>
  <c r="C12" i="158"/>
  <c r="C13" i="113"/>
  <c r="C13" i="135" s="1"/>
  <c r="C14" i="113"/>
  <c r="C14" i="158"/>
  <c r="C15" i="113"/>
  <c r="C15" i="158"/>
  <c r="C16" i="113"/>
  <c r="C16" i="158"/>
  <c r="C17" i="113"/>
  <c r="C17" i="158"/>
  <c r="C18" i="113"/>
  <c r="C18" i="158"/>
  <c r="C19" i="113"/>
  <c r="C19" i="158"/>
  <c r="C20" i="113"/>
  <c r="C20" i="158"/>
  <c r="C21" i="113"/>
  <c r="C21" i="135" s="1"/>
  <c r="C22" i="113"/>
  <c r="C22" i="158"/>
  <c r="C23" i="113"/>
  <c r="C23" i="158"/>
  <c r="C24" i="113"/>
  <c r="C26" i="113"/>
  <c r="C26" i="135" s="1"/>
  <c r="C27" i="113"/>
  <c r="C27" i="158"/>
  <c r="J19" i="19"/>
  <c r="D51" i="70" s="1"/>
  <c r="V11" i="87" s="1"/>
  <c r="J16" i="19"/>
  <c r="J15" i="19"/>
  <c r="D49" i="70" s="1"/>
  <c r="T11" i="87" s="1"/>
  <c r="AT18" i="135"/>
  <c r="F19" i="112"/>
  <c r="H18" i="115" s="1"/>
  <c r="G19" i="112"/>
  <c r="I18" i="115" s="1"/>
  <c r="F19" i="157"/>
  <c r="G19" i="157"/>
  <c r="G19" i="137" s="1"/>
  <c r="I18" i="139" s="1"/>
  <c r="F16" i="112"/>
  <c r="H15" i="115" s="1"/>
  <c r="G16" i="112"/>
  <c r="I15" i="115" s="1"/>
  <c r="F16" i="157"/>
  <c r="F16" i="137" s="1"/>
  <c r="H15" i="139" s="1"/>
  <c r="G16" i="157"/>
  <c r="G16" i="137" s="1"/>
  <c r="I15" i="139" s="1"/>
  <c r="F27" i="112"/>
  <c r="H26" i="115" s="1"/>
  <c r="G27" i="112"/>
  <c r="I26" i="115" s="1"/>
  <c r="Z28" i="132"/>
  <c r="Z68" i="132"/>
  <c r="AA28" i="132"/>
  <c r="AA68" i="132"/>
  <c r="H12" i="133"/>
  <c r="AP12" i="134" s="1"/>
  <c r="H12" i="157"/>
  <c r="AP12" i="158" s="1"/>
  <c r="AV12" i="158" s="1"/>
  <c r="AX12" i="158" s="1"/>
  <c r="D34" i="19"/>
  <c r="F34" i="19" s="1"/>
  <c r="P14" i="19"/>
  <c r="D60" i="161" s="1"/>
  <c r="P16" i="19"/>
  <c r="D62" i="161" s="1"/>
  <c r="P20" i="19"/>
  <c r="D64" i="161" s="1"/>
  <c r="AW12" i="134"/>
  <c r="D15" i="19"/>
  <c r="D16" i="19"/>
  <c r="F16" i="19" s="1"/>
  <c r="C14" i="157"/>
  <c r="Q13" i="132"/>
  <c r="Q53" i="132"/>
  <c r="Q94" i="132"/>
  <c r="Q14" i="136" s="1"/>
  <c r="U14" i="136" s="1"/>
  <c r="Q16" i="132"/>
  <c r="Q96" i="132" s="1"/>
  <c r="Q58" i="132"/>
  <c r="Q98" i="132" s="1"/>
  <c r="Q61" i="132"/>
  <c r="Q101" i="132" s="1"/>
  <c r="Q61" i="156"/>
  <c r="Q101" i="156" s="1"/>
  <c r="U101" i="156" s="1"/>
  <c r="Q22" i="132"/>
  <c r="Q102" i="132" s="1"/>
  <c r="Q22" i="156"/>
  <c r="Q102" i="156" s="1"/>
  <c r="Q23" i="132"/>
  <c r="Q103" i="132" s="1"/>
  <c r="U103" i="132" s="1"/>
  <c r="Q103" i="156"/>
  <c r="U103" i="156" s="1"/>
  <c r="Q24" i="156"/>
  <c r="Q104" i="156" s="1"/>
  <c r="Q24" i="136" s="1"/>
  <c r="U24" i="136" s="1"/>
  <c r="Q25" i="156"/>
  <c r="Q105" i="156" s="1"/>
  <c r="Q68" i="132"/>
  <c r="Q108" i="132" s="1"/>
  <c r="U108" i="132" s="1"/>
  <c r="Q68" i="156"/>
  <c r="Q108" i="156" s="1"/>
  <c r="U108" i="156" s="1"/>
  <c r="I13" i="132"/>
  <c r="I30" i="132" s="1"/>
  <c r="I53" i="132"/>
  <c r="I58" i="132"/>
  <c r="I98" i="132" s="1"/>
  <c r="I18" i="136" s="1"/>
  <c r="F17" i="138" s="1"/>
  <c r="I22" i="136"/>
  <c r="F21" i="138" s="1"/>
  <c r="E58" i="132"/>
  <c r="E98" i="132" s="1"/>
  <c r="R61" i="132"/>
  <c r="R101" i="132" s="1"/>
  <c r="R58" i="132"/>
  <c r="R98" i="132" s="1"/>
  <c r="R18" i="136" s="1"/>
  <c r="E21" i="157"/>
  <c r="E21" i="137" s="1"/>
  <c r="G20" i="139" s="1"/>
  <c r="E20" i="133"/>
  <c r="Y28" i="132"/>
  <c r="Y68" i="132"/>
  <c r="D35" i="164"/>
  <c r="E27" i="164"/>
  <c r="F27" i="164" s="1"/>
  <c r="C13" i="164"/>
  <c r="D13" i="164"/>
  <c r="D163" i="84"/>
  <c r="D167" i="84"/>
  <c r="D172" i="84"/>
  <c r="C7" i="164"/>
  <c r="S58" i="132"/>
  <c r="S98" i="132" s="1"/>
  <c r="F58" i="132"/>
  <c r="F98" i="132" s="1"/>
  <c r="C26" i="157"/>
  <c r="C26" i="137" s="1"/>
  <c r="E25" i="139" s="1"/>
  <c r="R61" i="156"/>
  <c r="R101" i="156" s="1"/>
  <c r="R22" i="156"/>
  <c r="R102" i="156" s="1"/>
  <c r="R103" i="156"/>
  <c r="R24" i="156"/>
  <c r="R104" i="156" s="1"/>
  <c r="R24" i="136" s="1"/>
  <c r="R25" i="156"/>
  <c r="R105" i="156" s="1"/>
  <c r="R25" i="136" s="1"/>
  <c r="R68" i="156"/>
  <c r="R108" i="156" s="1"/>
  <c r="T25" i="156"/>
  <c r="T105" i="156" s="1"/>
  <c r="Q21" i="111"/>
  <c r="Q101" i="111" s="1"/>
  <c r="Q110" i="111" s="1"/>
  <c r="C72" i="164" s="1"/>
  <c r="E72" i="164" s="1"/>
  <c r="F72" i="164" s="1"/>
  <c r="E25" i="157"/>
  <c r="C25" i="157"/>
  <c r="C25" i="137" s="1"/>
  <c r="T24" i="156"/>
  <c r="T104" i="156" s="1"/>
  <c r="D94" i="164"/>
  <c r="F13" i="132"/>
  <c r="F30" i="132" s="1"/>
  <c r="F53" i="132"/>
  <c r="E49" i="164"/>
  <c r="F49" i="164" s="1"/>
  <c r="S61" i="132"/>
  <c r="S101" i="132" s="1"/>
  <c r="C33" i="164"/>
  <c r="D33" i="164"/>
  <c r="I14" i="162"/>
  <c r="J14" i="162" s="1"/>
  <c r="I15" i="162"/>
  <c r="J15" i="162" s="1"/>
  <c r="I19" i="162"/>
  <c r="J19" i="162" s="1"/>
  <c r="H20" i="162"/>
  <c r="I20" i="162" s="1"/>
  <c r="I21" i="162"/>
  <c r="J21" i="162" s="1"/>
  <c r="H22" i="162"/>
  <c r="I22" i="162" s="1"/>
  <c r="J22" i="162" s="1"/>
  <c r="H24" i="162"/>
  <c r="I24" i="162" s="1"/>
  <c r="J24" i="162" s="1"/>
  <c r="I25" i="162"/>
  <c r="J25" i="162" s="1"/>
  <c r="I26" i="162"/>
  <c r="J26" i="162" s="1"/>
  <c r="I27" i="162"/>
  <c r="J27" i="162" s="1"/>
  <c r="I30" i="162"/>
  <c r="I36" i="162"/>
  <c r="I37" i="162"/>
  <c r="J37" i="162" s="1"/>
  <c r="I38" i="162"/>
  <c r="J38" i="162" s="1"/>
  <c r="I39" i="162"/>
  <c r="J39" i="162" s="1"/>
  <c r="D42" i="161" s="1"/>
  <c r="I41" i="162"/>
  <c r="J41" i="162" s="1"/>
  <c r="I47" i="162"/>
  <c r="J47" i="162" s="1"/>
  <c r="H48" i="162"/>
  <c r="I48" i="162" s="1"/>
  <c r="J48" i="162" s="1"/>
  <c r="I49" i="162"/>
  <c r="J49" i="162" s="1"/>
  <c r="I51" i="162"/>
  <c r="J51" i="162" s="1"/>
  <c r="I53" i="162"/>
  <c r="J53" i="162" s="1"/>
  <c r="I54" i="162"/>
  <c r="J54" i="162" s="1"/>
  <c r="I55" i="162"/>
  <c r="J55" i="162" s="1"/>
  <c r="I56" i="162"/>
  <c r="J56" i="162" s="1"/>
  <c r="I57" i="162"/>
  <c r="J57" i="162" s="1"/>
  <c r="I58" i="162"/>
  <c r="J58" i="162" s="1"/>
  <c r="H59" i="162"/>
  <c r="I59" i="162" s="1"/>
  <c r="J59" i="162" s="1"/>
  <c r="I60" i="162"/>
  <c r="J60" i="162" s="1"/>
  <c r="I61" i="162"/>
  <c r="J61" i="162" s="1"/>
  <c r="I63" i="162"/>
  <c r="J63" i="162" s="1"/>
  <c r="I65" i="162"/>
  <c r="J65" i="162" s="1"/>
  <c r="T21" i="111"/>
  <c r="T101" i="111" s="1"/>
  <c r="T13" i="132"/>
  <c r="T53" i="132"/>
  <c r="T94" i="132"/>
  <c r="T14" i="136" s="1"/>
  <c r="T16" i="132"/>
  <c r="T96" i="132" s="1"/>
  <c r="T58" i="132"/>
  <c r="T98" i="132" s="1"/>
  <c r="T61" i="132"/>
  <c r="T101" i="132" s="1"/>
  <c r="T22" i="132"/>
  <c r="T102" i="132" s="1"/>
  <c r="T23" i="132"/>
  <c r="T103" i="132" s="1"/>
  <c r="T68" i="132"/>
  <c r="T108" i="132" s="1"/>
  <c r="T61" i="156"/>
  <c r="T101" i="156" s="1"/>
  <c r="C20" i="157" s="1"/>
  <c r="T22" i="156"/>
  <c r="T102" i="156" s="1"/>
  <c r="C21" i="157" s="1"/>
  <c r="T103" i="156"/>
  <c r="C22" i="157" s="1"/>
  <c r="T68" i="156"/>
  <c r="T108" i="156" s="1"/>
  <c r="C27" i="157" s="1"/>
  <c r="C18" i="157"/>
  <c r="G58" i="132"/>
  <c r="G98" i="132" s="1"/>
  <c r="G18" i="136" s="1"/>
  <c r="R21" i="111"/>
  <c r="R30" i="111" s="1"/>
  <c r="E13" i="157"/>
  <c r="E13" i="137" s="1"/>
  <c r="G12" i="139" s="1"/>
  <c r="E15" i="157"/>
  <c r="E15" i="137" s="1"/>
  <c r="G14" i="139" s="1"/>
  <c r="E16" i="157"/>
  <c r="E16" i="137" s="1"/>
  <c r="G15" i="139" s="1"/>
  <c r="E17" i="157"/>
  <c r="E17" i="137" s="1"/>
  <c r="G16" i="139" s="1"/>
  <c r="E19" i="157"/>
  <c r="E19" i="137" s="1"/>
  <c r="G18" i="139" s="1"/>
  <c r="E20" i="157"/>
  <c r="E22" i="157"/>
  <c r="E22" i="137" s="1"/>
  <c r="G21" i="139" s="1"/>
  <c r="C13" i="157"/>
  <c r="C15" i="157"/>
  <c r="C16" i="133"/>
  <c r="D16" i="133" s="1"/>
  <c r="C16" i="157"/>
  <c r="C19" i="157"/>
  <c r="C19" i="137" s="1"/>
  <c r="E18" i="139" s="1"/>
  <c r="A10" i="164"/>
  <c r="A11" i="164" s="1"/>
  <c r="A12" i="164" s="1"/>
  <c r="A13" i="164" s="1"/>
  <c r="A14" i="164" s="1"/>
  <c r="A15" i="164" s="1"/>
  <c r="A16" i="164" s="1"/>
  <c r="A17" i="164" s="1"/>
  <c r="A18" i="164" s="1"/>
  <c r="A19" i="164" s="1"/>
  <c r="A20" i="164" s="1"/>
  <c r="A21" i="164" s="1"/>
  <c r="C15" i="164"/>
  <c r="D15" i="164"/>
  <c r="C16" i="164"/>
  <c r="C18" i="164"/>
  <c r="C20" i="164"/>
  <c r="N101" i="156"/>
  <c r="N22" i="156"/>
  <c r="N102" i="156" s="1"/>
  <c r="N22" i="136" s="1"/>
  <c r="J21" i="138" s="1"/>
  <c r="N108" i="156"/>
  <c r="N28" i="136" s="1"/>
  <c r="J27" i="138" s="1"/>
  <c r="L22" i="156"/>
  <c r="L102" i="156" s="1"/>
  <c r="L110" i="156" s="1"/>
  <c r="C91" i="164" s="1"/>
  <c r="E91" i="164" s="1"/>
  <c r="F91" i="164" s="1"/>
  <c r="P23" i="132"/>
  <c r="P103" i="132" s="1"/>
  <c r="P103" i="156"/>
  <c r="S103" i="156"/>
  <c r="F20" i="66"/>
  <c r="G20" i="66" s="1"/>
  <c r="E44" i="66"/>
  <c r="H46" i="69"/>
  <c r="F44" i="66" s="1"/>
  <c r="S24" i="156"/>
  <c r="S104" i="156" s="1"/>
  <c r="S24" i="136" s="1"/>
  <c r="R68" i="132"/>
  <c r="R108" i="132" s="1"/>
  <c r="S25" i="156"/>
  <c r="S105" i="156" s="1"/>
  <c r="S25" i="136" s="1"/>
  <c r="D15" i="66"/>
  <c r="D13" i="66" s="1"/>
  <c r="E15" i="66"/>
  <c r="E13" i="66" s="1"/>
  <c r="H14" i="69"/>
  <c r="F15" i="66" s="1"/>
  <c r="L15" i="66" s="1"/>
  <c r="F16" i="66"/>
  <c r="G16" i="66" s="1"/>
  <c r="H16" i="66" s="1"/>
  <c r="H17" i="66"/>
  <c r="S21" i="111"/>
  <c r="S101" i="111" s="1"/>
  <c r="J58" i="132"/>
  <c r="J98" i="132" s="1"/>
  <c r="J18" i="136" s="1"/>
  <c r="G17" i="138" s="1"/>
  <c r="D43" i="68"/>
  <c r="F43" i="68" s="1"/>
  <c r="D652" i="43" s="1"/>
  <c r="E654" i="43" s="1"/>
  <c r="S61" i="156"/>
  <c r="S101" i="156" s="1"/>
  <c r="S22" i="156"/>
  <c r="S102" i="156" s="1"/>
  <c r="S68" i="156"/>
  <c r="S108" i="156" s="1"/>
  <c r="S68" i="132"/>
  <c r="S108" i="132" s="1"/>
  <c r="D22" i="66"/>
  <c r="D19" i="66" s="1"/>
  <c r="D35" i="66"/>
  <c r="D33" i="66" s="1"/>
  <c r="D43" i="66"/>
  <c r="E22" i="66"/>
  <c r="E19" i="66" s="1"/>
  <c r="F22" i="66"/>
  <c r="G23" i="66"/>
  <c r="H23" i="66" s="1"/>
  <c r="G24" i="66"/>
  <c r="H24" i="66" s="1"/>
  <c r="G34" i="66"/>
  <c r="L34" i="66" s="1"/>
  <c r="E35" i="66"/>
  <c r="H34" i="69"/>
  <c r="F35" i="66" s="1"/>
  <c r="H35" i="69"/>
  <c r="F36" i="66" s="1"/>
  <c r="G36" i="66" s="1"/>
  <c r="F37" i="66"/>
  <c r="G37" i="66" s="1"/>
  <c r="G39" i="66"/>
  <c r="G41" i="66"/>
  <c r="H41" i="66" s="1"/>
  <c r="H47" i="69"/>
  <c r="F45" i="66" s="1"/>
  <c r="G45" i="66" s="1"/>
  <c r="H45" i="66" s="1"/>
  <c r="D34" i="43" s="1"/>
  <c r="E46" i="66"/>
  <c r="F46" i="66"/>
  <c r="G47" i="66"/>
  <c r="H47" i="66" s="1"/>
  <c r="G50" i="66"/>
  <c r="G51" i="66"/>
  <c r="H51" i="66" s="1"/>
  <c r="G52" i="66"/>
  <c r="Z11" i="90" s="1"/>
  <c r="E13" i="112"/>
  <c r="G12" i="115" s="1"/>
  <c r="E14" i="112"/>
  <c r="G13" i="115" s="1"/>
  <c r="E15" i="112"/>
  <c r="G14" i="115" s="1"/>
  <c r="E16" i="112"/>
  <c r="G15" i="115" s="1"/>
  <c r="E18" i="112"/>
  <c r="G17" i="115" s="1"/>
  <c r="E19" i="112"/>
  <c r="G18" i="115" s="1"/>
  <c r="E20" i="112"/>
  <c r="G19" i="115" s="1"/>
  <c r="E21" i="112"/>
  <c r="G20" i="115" s="1"/>
  <c r="E23" i="112"/>
  <c r="G22" i="115" s="1"/>
  <c r="E27" i="112"/>
  <c r="G26" i="115" s="1"/>
  <c r="D24" i="68"/>
  <c r="F24" i="68" s="1"/>
  <c r="D425" i="43" s="1"/>
  <c r="D40" i="68"/>
  <c r="F40" i="68" s="1"/>
  <c r="P24" i="136"/>
  <c r="D87" i="68"/>
  <c r="F87" i="68" s="1"/>
  <c r="D97" i="68"/>
  <c r="F97" i="68" s="1"/>
  <c r="AB17" i="136"/>
  <c r="D41" i="68"/>
  <c r="F41" i="68" s="1"/>
  <c r="F60" i="69"/>
  <c r="H19" i="69"/>
  <c r="I19" i="69" s="1"/>
  <c r="J19" i="69" s="1"/>
  <c r="I24" i="69"/>
  <c r="J24" i="69" s="1"/>
  <c r="I27" i="69"/>
  <c r="I44" i="69"/>
  <c r="R11" i="88" s="1"/>
  <c r="I50" i="69"/>
  <c r="J50" i="69" s="1"/>
  <c r="H51" i="69"/>
  <c r="I51" i="69" s="1"/>
  <c r="I53" i="69"/>
  <c r="J53" i="69" s="1"/>
  <c r="I54" i="69"/>
  <c r="J54" i="69" s="1"/>
  <c r="I56" i="69"/>
  <c r="Z11" i="88" s="1"/>
  <c r="D36" i="70"/>
  <c r="P11" i="87" s="1"/>
  <c r="AB11" i="87"/>
  <c r="AA11" i="87"/>
  <c r="Y11" i="87"/>
  <c r="P22" i="156"/>
  <c r="P102" i="156" s="1"/>
  <c r="P22" i="136" s="1"/>
  <c r="O22" i="156"/>
  <c r="O102" i="156" s="1"/>
  <c r="O22" i="136" s="1"/>
  <c r="K21" i="138" s="1"/>
  <c r="D63" i="68"/>
  <c r="F63" i="68" s="1"/>
  <c r="D90" i="68"/>
  <c r="F90" i="68" s="1"/>
  <c r="D84" i="43"/>
  <c r="D83" i="43"/>
  <c r="F69" i="68"/>
  <c r="D23" i="43" s="1"/>
  <c r="D22" i="43"/>
  <c r="D80" i="43" s="1"/>
  <c r="D55" i="68"/>
  <c r="F55" i="68" s="1"/>
  <c r="D21" i="43" s="1"/>
  <c r="D79" i="43" s="1"/>
  <c r="AW12" i="158"/>
  <c r="D23" i="68"/>
  <c r="F23" i="68" s="1"/>
  <c r="F14" i="68"/>
  <c r="D20" i="68"/>
  <c r="F20" i="68" s="1"/>
  <c r="F21" i="68"/>
  <c r="H18" i="68" s="1"/>
  <c r="F33" i="68"/>
  <c r="D12" i="43" s="1"/>
  <c r="D54" i="68"/>
  <c r="F54" i="68" s="1"/>
  <c r="D81" i="68"/>
  <c r="K58" i="132"/>
  <c r="K98" i="132" s="1"/>
  <c r="P16" i="132"/>
  <c r="P96" i="132" s="1"/>
  <c r="P16" i="136" s="1"/>
  <c r="O16" i="132"/>
  <c r="O96" i="132" s="1"/>
  <c r="T24" i="135"/>
  <c r="AG24" i="135" s="1"/>
  <c r="AF24" i="135"/>
  <c r="B24" i="113"/>
  <c r="T24" i="113" s="1"/>
  <c r="AG24" i="113" s="1"/>
  <c r="AF24" i="113"/>
  <c r="F29" i="68"/>
  <c r="D594" i="43" s="1"/>
  <c r="D45" i="68"/>
  <c r="F45" i="68" s="1"/>
  <c r="D116" i="68"/>
  <c r="F116" i="68" s="1"/>
  <c r="D600" i="43" s="1"/>
  <c r="F132" i="68"/>
  <c r="D601" i="43" s="1"/>
  <c r="P25" i="156"/>
  <c r="P105" i="156" s="1"/>
  <c r="P25" i="136" s="1"/>
  <c r="O25" i="156"/>
  <c r="O105" i="156" s="1"/>
  <c r="O25" i="136" s="1"/>
  <c r="K24" i="138" s="1"/>
  <c r="D127" i="68"/>
  <c r="D119" i="68" s="1"/>
  <c r="F119" i="68" s="1"/>
  <c r="N21" i="111"/>
  <c r="N101" i="111" s="1"/>
  <c r="N110" i="111" s="1"/>
  <c r="N112" i="111" s="1"/>
  <c r="M21" i="111"/>
  <c r="M101" i="111" s="1"/>
  <c r="M110" i="111" s="1"/>
  <c r="C12" i="112"/>
  <c r="D12" i="112" s="1"/>
  <c r="F11" i="115" s="1"/>
  <c r="C13" i="112"/>
  <c r="E12" i="115" s="1"/>
  <c r="C15" i="112"/>
  <c r="E14" i="115" s="1"/>
  <c r="C16" i="112"/>
  <c r="C17" i="112"/>
  <c r="C19" i="112"/>
  <c r="E18" i="115" s="1"/>
  <c r="C21" i="112"/>
  <c r="C22" i="112"/>
  <c r="E21" i="115" s="1"/>
  <c r="C23" i="112"/>
  <c r="E22" i="115" s="1"/>
  <c r="C24" i="112"/>
  <c r="C26" i="112"/>
  <c r="E25" i="115" s="1"/>
  <c r="C27" i="112"/>
  <c r="E26" i="115" s="1"/>
  <c r="H38" i="112"/>
  <c r="P21" i="111"/>
  <c r="P101" i="111" s="1"/>
  <c r="P110" i="111" s="1"/>
  <c r="F44" i="68"/>
  <c r="H25" i="68" s="1"/>
  <c r="F131" i="68"/>
  <c r="H44" i="68" s="1"/>
  <c r="P61" i="156"/>
  <c r="P101" i="156" s="1"/>
  <c r="P68" i="156"/>
  <c r="P108" i="156" s="1"/>
  <c r="P28" i="136" s="1"/>
  <c r="O108" i="156"/>
  <c r="O28" i="136" s="1"/>
  <c r="K27" i="138" s="1"/>
  <c r="O101" i="156"/>
  <c r="K102" i="156"/>
  <c r="K110" i="156" s="1"/>
  <c r="D255" i="43"/>
  <c r="E256" i="43" s="1"/>
  <c r="P61" i="132"/>
  <c r="P101" i="132" s="1"/>
  <c r="O61" i="132"/>
  <c r="O101" i="132" s="1"/>
  <c r="L58" i="132"/>
  <c r="L98" i="132" s="1"/>
  <c r="L18" i="136" s="1"/>
  <c r="I17" i="138" s="1"/>
  <c r="L21" i="111"/>
  <c r="L101" i="111" s="1"/>
  <c r="M22" i="156"/>
  <c r="M102" i="156" s="1"/>
  <c r="B25" i="135"/>
  <c r="T25" i="135" s="1"/>
  <c r="AG25" i="135" s="1"/>
  <c r="T17" i="135"/>
  <c r="AG17" i="135" s="1"/>
  <c r="T20" i="135"/>
  <c r="AG20" i="135" s="1"/>
  <c r="O58" i="132"/>
  <c r="O98" i="132" s="1"/>
  <c r="O18" i="136" s="1"/>
  <c r="K17" i="138" s="1"/>
  <c r="N58" i="132"/>
  <c r="N98" i="132" s="1"/>
  <c r="N18" i="136" s="1"/>
  <c r="J17" i="138" s="1"/>
  <c r="D543" i="43"/>
  <c r="T21" i="135"/>
  <c r="AG21" i="135" s="1"/>
  <c r="AE28" i="135"/>
  <c r="T15" i="135"/>
  <c r="AG15" i="135" s="1"/>
  <c r="B18" i="135"/>
  <c r="T18" i="135" s="1"/>
  <c r="AG18" i="135" s="1"/>
  <c r="B12" i="134"/>
  <c r="T12" i="134" s="1"/>
  <c r="AG12" i="134" s="1"/>
  <c r="C6" i="134"/>
  <c r="AQ5" i="134"/>
  <c r="N61" i="132"/>
  <c r="N101" i="132" s="1"/>
  <c r="M58" i="132"/>
  <c r="M98" i="132" s="1"/>
  <c r="O21" i="111"/>
  <c r="O30" i="111" s="1"/>
  <c r="P58" i="132"/>
  <c r="P98" i="132" s="1"/>
  <c r="P18" i="136" s="1"/>
  <c r="E53" i="132"/>
  <c r="G53" i="132"/>
  <c r="K53" i="132"/>
  <c r="J53" i="132"/>
  <c r="M53" i="132"/>
  <c r="L53" i="132"/>
  <c r="O53" i="132"/>
  <c r="N53" i="132"/>
  <c r="S53" i="132"/>
  <c r="R53" i="132"/>
  <c r="E13" i="132"/>
  <c r="E30" i="132" s="1"/>
  <c r="J13" i="132"/>
  <c r="J30" i="132" s="1"/>
  <c r="L13" i="132"/>
  <c r="L30" i="132" s="1"/>
  <c r="K13" i="132"/>
  <c r="K30" i="132" s="1"/>
  <c r="N13" i="132"/>
  <c r="N16" i="132"/>
  <c r="N96" i="132" s="1"/>
  <c r="N16" i="136" s="1"/>
  <c r="J15" i="138" s="1"/>
  <c r="M13" i="132"/>
  <c r="P13" i="132"/>
  <c r="P53" i="132"/>
  <c r="O13" i="132"/>
  <c r="R13" i="132"/>
  <c r="R16" i="132"/>
  <c r="R22" i="132"/>
  <c r="R102" i="132" s="1"/>
  <c r="R23" i="132"/>
  <c r="R103" i="132" s="1"/>
  <c r="S13" i="132"/>
  <c r="M96" i="132"/>
  <c r="M16" i="136" s="1"/>
  <c r="S16" i="132"/>
  <c r="S96" i="132" s="1"/>
  <c r="S16" i="136" s="1"/>
  <c r="E68" i="164"/>
  <c r="F68" i="164" s="1"/>
  <c r="G13" i="132"/>
  <c r="G30" i="132" s="1"/>
  <c r="S22" i="132"/>
  <c r="S102" i="132" s="1"/>
  <c r="S23" i="132"/>
  <c r="S103" i="132" s="1"/>
  <c r="S23" i="136" s="1"/>
  <c r="R94" i="132"/>
  <c r="R14" i="136" s="1"/>
  <c r="C89" i="164"/>
  <c r="D89" i="164"/>
  <c r="D92" i="164"/>
  <c r="S94" i="132"/>
  <c r="S14" i="136" s="1"/>
  <c r="T19" i="135"/>
  <c r="AG19" i="135" s="1"/>
  <c r="B21" i="113"/>
  <c r="T21" i="113" s="1"/>
  <c r="AG21" i="113" s="1"/>
  <c r="AF21" i="113"/>
  <c r="B19" i="113"/>
  <c r="T19" i="113" s="1"/>
  <c r="AG19" i="113" s="1"/>
  <c r="B15" i="113"/>
  <c r="T15" i="113" s="1"/>
  <c r="AG15" i="113" s="1"/>
  <c r="T14" i="135"/>
  <c r="AG14" i="135" s="1"/>
  <c r="AF14" i="135"/>
  <c r="B14" i="113"/>
  <c r="T14" i="113" s="1"/>
  <c r="AG14" i="113" s="1"/>
  <c r="AE28" i="134"/>
  <c r="AD28" i="134"/>
  <c r="T22" i="135"/>
  <c r="AG22" i="135" s="1"/>
  <c r="B20" i="113"/>
  <c r="T20" i="113" s="1"/>
  <c r="AG20" i="113" s="1"/>
  <c r="AF20" i="113"/>
  <c r="AE28" i="113"/>
  <c r="AD28" i="113"/>
  <c r="T13" i="135"/>
  <c r="AG13" i="135" s="1"/>
  <c r="AF13" i="135"/>
  <c r="B13" i="113"/>
  <c r="T13" i="113" s="1"/>
  <c r="AG13" i="113" s="1"/>
  <c r="AW19" i="134"/>
  <c r="D93" i="164"/>
  <c r="G22" i="136"/>
  <c r="T27" i="135"/>
  <c r="AG27" i="135" s="1"/>
  <c r="B17" i="134"/>
  <c r="T17" i="134" s="1"/>
  <c r="AG17" i="134" s="1"/>
  <c r="AF17" i="134"/>
  <c r="AX16" i="134"/>
  <c r="T23" i="135"/>
  <c r="AG23" i="135" s="1"/>
  <c r="B18" i="113"/>
  <c r="T18" i="113" s="1"/>
  <c r="AG18" i="113" s="1"/>
  <c r="AF18" i="113"/>
  <c r="B17" i="113"/>
  <c r="T17" i="113" s="1"/>
  <c r="AG17" i="113" s="1"/>
  <c r="T16" i="135"/>
  <c r="AG16" i="135" s="1"/>
  <c r="AF16" i="135"/>
  <c r="AE16" i="135"/>
  <c r="AD16" i="135"/>
  <c r="B16" i="113"/>
  <c r="T16" i="113" s="1"/>
  <c r="AG16" i="113" s="1"/>
  <c r="D11" i="115"/>
  <c r="B16" i="133"/>
  <c r="A16" i="133"/>
  <c r="A17" i="133" s="1"/>
  <c r="A18" i="133" s="1"/>
  <c r="A19" i="133" s="1"/>
  <c r="A20" i="133" s="1"/>
  <c r="A21" i="133" s="1"/>
  <c r="A22" i="133" s="1"/>
  <c r="A23" i="133" s="1"/>
  <c r="A24" i="133" s="1"/>
  <c r="A25" i="133" s="1"/>
  <c r="A26" i="133" s="1"/>
  <c r="A27" i="133" s="1"/>
  <c r="B20" i="157"/>
  <c r="B24" i="157"/>
  <c r="B25" i="157"/>
  <c r="B27" i="157"/>
  <c r="B18" i="136"/>
  <c r="A18" i="136"/>
  <c r="A19" i="136" s="1"/>
  <c r="A20" i="136" s="1"/>
  <c r="A21" i="136" s="1"/>
  <c r="A22" i="136" s="1"/>
  <c r="A23" i="136" s="1"/>
  <c r="A24" i="136" s="1"/>
  <c r="A25" i="136" s="1"/>
  <c r="A26" i="136" s="1"/>
  <c r="A27" i="136" s="1"/>
  <c r="A28" i="136" s="1"/>
  <c r="B22" i="113"/>
  <c r="T22" i="113" s="1"/>
  <c r="AG22" i="113" s="1"/>
  <c r="AF22" i="113"/>
  <c r="B27" i="113"/>
  <c r="T27" i="113" s="1"/>
  <c r="AG27" i="113" s="1"/>
  <c r="B25" i="113"/>
  <c r="T25" i="113" s="1"/>
  <c r="AG25" i="113" s="1"/>
  <c r="T26" i="135"/>
  <c r="AG26" i="135" s="1"/>
  <c r="B26" i="113"/>
  <c r="T26" i="113" s="1"/>
  <c r="AG26" i="113" s="1"/>
  <c r="AF26" i="113"/>
  <c r="AF23" i="135"/>
  <c r="AE23" i="135"/>
  <c r="B23" i="113"/>
  <c r="T23" i="113" s="1"/>
  <c r="AG23" i="113" s="1"/>
  <c r="B23" i="158"/>
  <c r="T23" i="158" s="1"/>
  <c r="AG23" i="158" s="1"/>
  <c r="B20" i="158"/>
  <c r="T20" i="158" s="1"/>
  <c r="AG20" i="158" s="1"/>
  <c r="B17" i="158"/>
  <c r="T17" i="158" s="1"/>
  <c r="AG17" i="158" s="1"/>
  <c r="B14" i="158"/>
  <c r="T14" i="158" s="1"/>
  <c r="AG14" i="158" s="1"/>
  <c r="B16" i="158"/>
  <c r="T16" i="158" s="1"/>
  <c r="AG16" i="158" s="1"/>
  <c r="X110" i="132"/>
  <c r="B18" i="157"/>
  <c r="A18" i="157"/>
  <c r="A19" i="157" s="1"/>
  <c r="A20" i="157" s="1"/>
  <c r="A21" i="157" s="1"/>
  <c r="A22" i="157" s="1"/>
  <c r="A23" i="157" s="1"/>
  <c r="A24" i="157" s="1"/>
  <c r="A25" i="157" s="1"/>
  <c r="A26" i="157" s="1"/>
  <c r="A27" i="157" s="1"/>
  <c r="B21" i="157"/>
  <c r="C4" i="113"/>
  <c r="U4" i="113" s="1"/>
  <c r="C4" i="134"/>
  <c r="U4" i="134" s="1"/>
  <c r="B27" i="158"/>
  <c r="T27" i="158" s="1"/>
  <c r="AG27" i="158" s="1"/>
  <c r="T24" i="158"/>
  <c r="AG24" i="158" s="1"/>
  <c r="B22" i="158"/>
  <c r="T22" i="158" s="1"/>
  <c r="AG22" i="158" s="1"/>
  <c r="B18" i="158"/>
  <c r="T18" i="158" s="1"/>
  <c r="AG18" i="158" s="1"/>
  <c r="B15" i="158"/>
  <c r="T15" i="158" s="1"/>
  <c r="AG15" i="158" s="1"/>
  <c r="G58" i="72"/>
  <c r="B25" i="158"/>
  <c r="T25" i="158" s="1"/>
  <c r="AG25" i="158" s="1"/>
  <c r="B12" i="158"/>
  <c r="T12" i="158" s="1"/>
  <c r="AG12" i="158" s="1"/>
  <c r="AE28" i="158"/>
  <c r="AD28" i="158"/>
  <c r="AF12" i="158"/>
  <c r="C4" i="158"/>
  <c r="AH4" i="158" s="1"/>
  <c r="AO36" i="134"/>
  <c r="R12" i="158"/>
  <c r="AF14" i="158"/>
  <c r="AE14" i="158"/>
  <c r="AF15" i="158"/>
  <c r="AE15" i="158"/>
  <c r="AF16" i="158"/>
  <c r="AE16" i="158"/>
  <c r="AF17" i="158"/>
  <c r="AF18" i="158"/>
  <c r="B19" i="158"/>
  <c r="T19" i="158" s="1"/>
  <c r="AG19" i="158" s="1"/>
  <c r="AF19" i="158"/>
  <c r="AE19" i="158"/>
  <c r="AF20" i="158"/>
  <c r="AE20" i="158"/>
  <c r="AF22" i="158"/>
  <c r="AE22" i="158"/>
  <c r="AF23" i="158"/>
  <c r="AF24" i="158"/>
  <c r="AE24" i="158"/>
  <c r="AF25" i="158"/>
  <c r="AF27" i="158"/>
  <c r="AW27" i="158"/>
  <c r="C6" i="158"/>
  <c r="H20" i="73"/>
  <c r="H22" i="73" s="1"/>
  <c r="AX12" i="113"/>
  <c r="AW12" i="113"/>
  <c r="AW17" i="113"/>
  <c r="H49" i="72"/>
  <c r="H58" i="72" s="1"/>
  <c r="H58" i="73"/>
  <c r="G13" i="139"/>
  <c r="D20" i="139"/>
  <c r="D16" i="139"/>
  <c r="H17" i="139"/>
  <c r="G17" i="139"/>
  <c r="D17" i="139"/>
  <c r="L28" i="136"/>
  <c r="I27" i="138" s="1"/>
  <c r="H27" i="138"/>
  <c r="G27" i="138"/>
  <c r="F27" i="138"/>
  <c r="E27" i="138"/>
  <c r="M28" i="136"/>
  <c r="D18" i="139"/>
  <c r="D26" i="139"/>
  <c r="J22" i="136"/>
  <c r="G21" i="138" s="1"/>
  <c r="F22" i="136"/>
  <c r="E21" i="138" s="1"/>
  <c r="H20" i="114"/>
  <c r="G20" i="114"/>
  <c r="F20" i="114"/>
  <c r="E20" i="114"/>
  <c r="J24" i="138"/>
  <c r="I24" i="138"/>
  <c r="H24" i="138"/>
  <c r="G24" i="138"/>
  <c r="F24" i="138"/>
  <c r="E24" i="138"/>
  <c r="I20" i="138"/>
  <c r="H20" i="138"/>
  <c r="G20" i="138"/>
  <c r="F20" i="138"/>
  <c r="E20" i="138"/>
  <c r="L16" i="136"/>
  <c r="I15" i="138" s="1"/>
  <c r="K16" i="136"/>
  <c r="H15" i="138" s="1"/>
  <c r="G15" i="138"/>
  <c r="F15" i="138"/>
  <c r="E15" i="138"/>
  <c r="D16" i="115"/>
  <c r="D18" i="115"/>
  <c r="D21" i="115"/>
  <c r="B23" i="112"/>
  <c r="A23" i="112"/>
  <c r="A24" i="112" s="1"/>
  <c r="A25" i="112" s="1"/>
  <c r="A26" i="112" s="1"/>
  <c r="A27" i="112" s="1"/>
  <c r="D23" i="115"/>
  <c r="D25" i="115"/>
  <c r="D11" i="139"/>
  <c r="I11" i="139"/>
  <c r="D12" i="139"/>
  <c r="D19" i="139"/>
  <c r="AI11" i="87"/>
  <c r="AH11" i="87"/>
  <c r="AG11" i="87"/>
  <c r="L11" i="89"/>
  <c r="L11" i="90"/>
  <c r="G27" i="165"/>
  <c r="D15" i="115"/>
  <c r="J16" i="115"/>
  <c r="D20" i="115"/>
  <c r="B27" i="112"/>
  <c r="D14" i="139"/>
  <c r="B15" i="137"/>
  <c r="D15" i="139"/>
  <c r="D21" i="139"/>
  <c r="B22" i="137"/>
  <c r="A22" i="137"/>
  <c r="A23" i="137" s="1"/>
  <c r="A24" i="137" s="1"/>
  <c r="A25" i="137" s="1"/>
  <c r="A26" i="137" s="1"/>
  <c r="A27" i="137" s="1"/>
  <c r="D22" i="139"/>
  <c r="D23" i="139"/>
  <c r="D24" i="139"/>
  <c r="D25" i="139"/>
  <c r="D11" i="88"/>
  <c r="Y11" i="89"/>
  <c r="X11" i="89"/>
  <c r="W11" i="89"/>
  <c r="V11" i="89"/>
  <c r="T11" i="89"/>
  <c r="S11" i="89"/>
  <c r="K12" i="91"/>
  <c r="W12" i="91"/>
  <c r="V12" i="91"/>
  <c r="U12" i="91"/>
  <c r="R12" i="91"/>
  <c r="AG12" i="91"/>
  <c r="AE12" i="91"/>
  <c r="H147" i="68"/>
  <c r="G21" i="165"/>
  <c r="G22" i="165"/>
  <c r="G23" i="165"/>
  <c r="G24" i="165"/>
  <c r="G25" i="165"/>
  <c r="G26" i="165"/>
  <c r="D34" i="164"/>
  <c r="D168" i="84"/>
  <c r="N346" i="5" l="1"/>
  <c r="N347" i="5" s="1"/>
  <c r="N348" i="5" s="1"/>
  <c r="N349" i="5" s="1"/>
  <c r="N350" i="5" s="1"/>
  <c r="N351" i="5" s="1"/>
  <c r="H39" i="66"/>
  <c r="L39" i="66"/>
  <c r="T30" i="111"/>
  <c r="P17" i="158"/>
  <c r="R25" i="158"/>
  <c r="N14" i="113"/>
  <c r="O14" i="113" s="1"/>
  <c r="U23" i="132"/>
  <c r="R13" i="113"/>
  <c r="Q19" i="113"/>
  <c r="N25" i="158"/>
  <c r="O25" i="158" s="1"/>
  <c r="AC13" i="113"/>
  <c r="G18" i="137"/>
  <c r="I17" i="139" s="1"/>
  <c r="Q25" i="158"/>
  <c r="U68" i="132"/>
  <c r="AH23" i="158"/>
  <c r="F33" i="81"/>
  <c r="H52" i="66"/>
  <c r="Q17" i="113"/>
  <c r="P20" i="158"/>
  <c r="N30" i="156"/>
  <c r="R22" i="136"/>
  <c r="D17" i="112"/>
  <c r="F16" i="115" s="1"/>
  <c r="Q25" i="113"/>
  <c r="P27" i="158"/>
  <c r="D48" i="82"/>
  <c r="E17" i="82"/>
  <c r="D15" i="82"/>
  <c r="E16" i="82"/>
  <c r="D14" i="82"/>
  <c r="D47" i="82"/>
  <c r="P18" i="113"/>
  <c r="H16" i="137"/>
  <c r="J15" i="139" s="1"/>
  <c r="AQ12" i="158"/>
  <c r="S11" i="90"/>
  <c r="J26" i="115"/>
  <c r="Q13" i="113"/>
  <c r="Q23" i="158"/>
  <c r="R19" i="113"/>
  <c r="U61" i="156"/>
  <c r="AH15" i="158"/>
  <c r="AF12" i="91"/>
  <c r="P13" i="113"/>
  <c r="P21" i="113"/>
  <c r="P25" i="158"/>
  <c r="R15" i="158"/>
  <c r="P19" i="113"/>
  <c r="C70" i="164"/>
  <c r="E70" i="164" s="1"/>
  <c r="F70" i="164" s="1"/>
  <c r="AH25" i="158"/>
  <c r="AH25" i="135" s="1"/>
  <c r="AH19" i="113"/>
  <c r="AH13" i="113"/>
  <c r="AH13" i="135" s="1"/>
  <c r="I47" i="69"/>
  <c r="T11" i="88" s="1"/>
  <c r="N13" i="113"/>
  <c r="O13" i="113" s="1"/>
  <c r="D18" i="135"/>
  <c r="Q18" i="135" s="1"/>
  <c r="D13" i="135"/>
  <c r="Q13" i="135" s="1"/>
  <c r="J19" i="115"/>
  <c r="R22" i="158"/>
  <c r="Q22" i="158"/>
  <c r="AH14" i="158"/>
  <c r="D18" i="157"/>
  <c r="J18" i="157" s="1"/>
  <c r="J15" i="115"/>
  <c r="R27" i="113"/>
  <c r="J17" i="112"/>
  <c r="P22" i="158"/>
  <c r="P16" i="158"/>
  <c r="R14" i="158"/>
  <c r="N27" i="113"/>
  <c r="O27" i="113" s="1"/>
  <c r="J13" i="115"/>
  <c r="Q18" i="113"/>
  <c r="Q14" i="158"/>
  <c r="AH16" i="158"/>
  <c r="Q70" i="156"/>
  <c r="U70" i="156" s="1"/>
  <c r="H25" i="69"/>
  <c r="Q24" i="113"/>
  <c r="Q19" i="158"/>
  <c r="R16" i="113"/>
  <c r="J12" i="112"/>
  <c r="E70" i="132"/>
  <c r="L30" i="111"/>
  <c r="AH24" i="113"/>
  <c r="H14" i="137"/>
  <c r="J13" i="139" s="1"/>
  <c r="N22" i="113"/>
  <c r="O22" i="113" s="1"/>
  <c r="X11" i="88"/>
  <c r="R24" i="113"/>
  <c r="N19" i="158"/>
  <c r="O19" i="158" s="1"/>
  <c r="L112" i="156"/>
  <c r="AH22" i="113"/>
  <c r="S70" i="156"/>
  <c r="D25" i="135"/>
  <c r="P25" i="135" s="1"/>
  <c r="AQ27" i="158"/>
  <c r="AV27" i="158"/>
  <c r="AX27" i="158" s="1"/>
  <c r="J14" i="115"/>
  <c r="J20" i="115"/>
  <c r="Q23" i="113"/>
  <c r="R14" i="113"/>
  <c r="P15" i="113"/>
  <c r="P24" i="113"/>
  <c r="P19" i="158"/>
  <c r="Q16" i="113"/>
  <c r="N20" i="158"/>
  <c r="O20" i="158" s="1"/>
  <c r="H17" i="137"/>
  <c r="J16" i="139" s="1"/>
  <c r="U22" i="156"/>
  <c r="U25" i="156"/>
  <c r="P30" i="111"/>
  <c r="R23" i="136"/>
  <c r="AH16" i="113"/>
  <c r="I11" i="88"/>
  <c r="D109" i="68"/>
  <c r="D21" i="112"/>
  <c r="F20" i="115" s="1"/>
  <c r="N21" i="113"/>
  <c r="O21" i="113" s="1"/>
  <c r="D13" i="157"/>
  <c r="J13" i="157" s="1"/>
  <c r="D14" i="157"/>
  <c r="D14" i="137" s="1"/>
  <c r="F13" i="139" s="1"/>
  <c r="N24" i="113"/>
  <c r="O24" i="113" s="1"/>
  <c r="D19" i="135"/>
  <c r="R19" i="135" s="1"/>
  <c r="C15" i="135"/>
  <c r="AP19" i="158"/>
  <c r="AV19" i="158" s="1"/>
  <c r="AX19" i="158" s="1"/>
  <c r="D24" i="135"/>
  <c r="R24" i="135" s="1"/>
  <c r="D14" i="112"/>
  <c r="J14" i="112" s="1"/>
  <c r="P70" i="156"/>
  <c r="AB108" i="132"/>
  <c r="AB28" i="136" s="1"/>
  <c r="C70" i="132"/>
  <c r="AH12" i="91"/>
  <c r="J21" i="115"/>
  <c r="K22" i="136"/>
  <c r="H21" i="138" s="1"/>
  <c r="R23" i="113"/>
  <c r="R17" i="113"/>
  <c r="R25" i="113"/>
  <c r="AH20" i="158"/>
  <c r="AH18" i="158"/>
  <c r="D19" i="112"/>
  <c r="D13" i="112"/>
  <c r="R30" i="156"/>
  <c r="D12" i="157"/>
  <c r="J12" i="157" s="1"/>
  <c r="H23" i="112"/>
  <c r="H13" i="115"/>
  <c r="J18" i="115"/>
  <c r="L22" i="136"/>
  <c r="I21" i="138" s="1"/>
  <c r="P27" i="113"/>
  <c r="P23" i="113"/>
  <c r="R18" i="113"/>
  <c r="C28" i="158"/>
  <c r="R20" i="158"/>
  <c r="P18" i="158"/>
  <c r="P12" i="158"/>
  <c r="N16" i="158"/>
  <c r="O16" i="158" s="1"/>
  <c r="L30" i="156"/>
  <c r="P30" i="132"/>
  <c r="Q112" i="111"/>
  <c r="Q30" i="111"/>
  <c r="U30" i="111" s="1"/>
  <c r="AH23" i="113"/>
  <c r="AH20" i="113"/>
  <c r="AH18" i="113"/>
  <c r="AH18" i="135" s="1"/>
  <c r="AH12" i="158"/>
  <c r="T70" i="156"/>
  <c r="T30" i="156"/>
  <c r="D89" i="68"/>
  <c r="F89" i="68" s="1"/>
  <c r="H37" i="68" s="1"/>
  <c r="H57" i="68" s="1"/>
  <c r="D79" i="68"/>
  <c r="F79" i="68" s="1"/>
  <c r="H36" i="68" s="1"/>
  <c r="N18" i="113"/>
  <c r="O18" i="113" s="1"/>
  <c r="E24" i="112"/>
  <c r="G23" i="115" s="1"/>
  <c r="F70" i="132"/>
  <c r="D27" i="135"/>
  <c r="N23" i="113"/>
  <c r="O23" i="113" s="1"/>
  <c r="D22" i="135"/>
  <c r="D20" i="135"/>
  <c r="R20" i="135" s="1"/>
  <c r="AB105" i="111"/>
  <c r="AA105" i="111" s="1"/>
  <c r="G24" i="112" s="1"/>
  <c r="I23" i="115" s="1"/>
  <c r="E20" i="115"/>
  <c r="J12" i="115"/>
  <c r="F11" i="88"/>
  <c r="E16" i="115"/>
  <c r="Q27" i="113"/>
  <c r="P17" i="113"/>
  <c r="Q15" i="113"/>
  <c r="P24" i="158"/>
  <c r="Q20" i="158"/>
  <c r="R19" i="158"/>
  <c r="Q17" i="158"/>
  <c r="P14" i="158"/>
  <c r="Q12" i="158"/>
  <c r="Q26" i="113"/>
  <c r="P16" i="113"/>
  <c r="N22" i="158"/>
  <c r="O22" i="158" s="1"/>
  <c r="N12" i="158"/>
  <c r="O12" i="158" s="1"/>
  <c r="E11" i="115"/>
  <c r="O30" i="156"/>
  <c r="AH27" i="113"/>
  <c r="AH22" i="158"/>
  <c r="AH19" i="158"/>
  <c r="AH19" i="135" s="1"/>
  <c r="AH17" i="113"/>
  <c r="AH15" i="113"/>
  <c r="M30" i="111"/>
  <c r="D52" i="68"/>
  <c r="F52" i="68" s="1"/>
  <c r="H33" i="68" s="1"/>
  <c r="D16" i="112"/>
  <c r="F15" i="115" s="1"/>
  <c r="Z12" i="91"/>
  <c r="S30" i="111"/>
  <c r="N26" i="113"/>
  <c r="O26" i="113" s="1"/>
  <c r="N16" i="113"/>
  <c r="O16" i="113" s="1"/>
  <c r="H15" i="137"/>
  <c r="J14" i="139" s="1"/>
  <c r="D15" i="157"/>
  <c r="J15" i="157" s="1"/>
  <c r="D23" i="135"/>
  <c r="N14" i="158"/>
  <c r="O14" i="158" s="1"/>
  <c r="C25" i="135"/>
  <c r="AO13" i="113"/>
  <c r="AU13" i="113" s="1"/>
  <c r="AW13" i="113" s="1"/>
  <c r="AO17" i="158"/>
  <c r="AO17" i="135" s="1"/>
  <c r="AU17" i="135" s="1"/>
  <c r="AW17" i="135" s="1"/>
  <c r="AO21" i="113"/>
  <c r="AU21" i="113" s="1"/>
  <c r="AW21" i="113" s="1"/>
  <c r="M93" i="132"/>
  <c r="M13" i="136" s="1"/>
  <c r="O101" i="111"/>
  <c r="P23" i="136"/>
  <c r="D24" i="43"/>
  <c r="D82" i="43" s="1"/>
  <c r="E15" i="164"/>
  <c r="F15" i="164" s="1"/>
  <c r="D16" i="157"/>
  <c r="J16" i="157" s="1"/>
  <c r="AO14" i="158"/>
  <c r="AU14" i="158" s="1"/>
  <c r="AW14" i="158" s="1"/>
  <c r="U27" i="158"/>
  <c r="AC27" i="158" s="1"/>
  <c r="U25" i="113"/>
  <c r="AC25" i="113" s="1"/>
  <c r="J56" i="69"/>
  <c r="L19" i="19"/>
  <c r="D57" i="161"/>
  <c r="U22" i="132"/>
  <c r="E33" i="164"/>
  <c r="F33" i="164" s="1"/>
  <c r="R14" i="19"/>
  <c r="D67" i="161"/>
  <c r="AQ18" i="158"/>
  <c r="AQ17" i="113"/>
  <c r="AV17" i="113"/>
  <c r="AX17" i="113" s="1"/>
  <c r="C22" i="133"/>
  <c r="C22" i="137" s="1"/>
  <c r="T23" i="136"/>
  <c r="E89" i="164"/>
  <c r="F89" i="164" s="1"/>
  <c r="J25" i="69"/>
  <c r="D20" i="157"/>
  <c r="J20" i="157" s="1"/>
  <c r="AO16" i="113"/>
  <c r="AU16" i="113" s="1"/>
  <c r="AW16" i="113" s="1"/>
  <c r="AO23" i="113"/>
  <c r="AU23" i="113" s="1"/>
  <c r="AW23" i="113" s="1"/>
  <c r="AO19" i="158"/>
  <c r="C16" i="135"/>
  <c r="AA105" i="156"/>
  <c r="G24" i="157" s="1"/>
  <c r="D544" i="43"/>
  <c r="A11" i="88"/>
  <c r="A11" i="90"/>
  <c r="I14" i="69"/>
  <c r="I16" i="69" s="1"/>
  <c r="C24" i="157"/>
  <c r="C24" i="137" s="1"/>
  <c r="E23" i="139" s="1"/>
  <c r="T25" i="136"/>
  <c r="Q25" i="136"/>
  <c r="U25" i="136" s="1"/>
  <c r="U105" i="156"/>
  <c r="R28" i="136"/>
  <c r="K93" i="132"/>
  <c r="K13" i="136" s="1"/>
  <c r="H12" i="138" s="1"/>
  <c r="P21" i="136"/>
  <c r="D73" i="43"/>
  <c r="F81" i="68"/>
  <c r="D86" i="43" s="1"/>
  <c r="H14" i="68"/>
  <c r="R16" i="19"/>
  <c r="C22" i="135"/>
  <c r="C14" i="135"/>
  <c r="AO22" i="158"/>
  <c r="AQ22" i="158" s="1"/>
  <c r="U17" i="158"/>
  <c r="AC17" i="158" s="1"/>
  <c r="U16" i="132"/>
  <c r="H57" i="69"/>
  <c r="AV14" i="158"/>
  <c r="AX14" i="158" s="1"/>
  <c r="AC23" i="113"/>
  <c r="S28" i="136"/>
  <c r="Y108" i="132"/>
  <c r="E27" i="133" s="1"/>
  <c r="E23" i="82"/>
  <c r="C19" i="135"/>
  <c r="C17" i="135"/>
  <c r="AO25" i="158"/>
  <c r="AQ25" i="158" s="1"/>
  <c r="AO22" i="113"/>
  <c r="AU22" i="113" s="1"/>
  <c r="AW22" i="113" s="1"/>
  <c r="AO20" i="158"/>
  <c r="AU20" i="158" s="1"/>
  <c r="AW20" i="158" s="1"/>
  <c r="AO20" i="113"/>
  <c r="AU20" i="113" s="1"/>
  <c r="AW20" i="113" s="1"/>
  <c r="AO18" i="113"/>
  <c r="AO18" i="135" s="1"/>
  <c r="AU18" i="135" s="1"/>
  <c r="AW18" i="135" s="1"/>
  <c r="N23" i="158"/>
  <c r="O23" i="158" s="1"/>
  <c r="N20" i="113"/>
  <c r="O20" i="113" s="1"/>
  <c r="N18" i="158"/>
  <c r="O18" i="158" s="1"/>
  <c r="D28" i="113"/>
  <c r="P28" i="113" s="1"/>
  <c r="S30" i="132"/>
  <c r="O21" i="136"/>
  <c r="K20" i="138" s="1"/>
  <c r="F127" i="68"/>
  <c r="R101" i="111"/>
  <c r="U13" i="132"/>
  <c r="R20" i="19"/>
  <c r="AA108" i="132"/>
  <c r="G27" i="133" s="1"/>
  <c r="Z108" i="132"/>
  <c r="Z28" i="136" s="1"/>
  <c r="AO27" i="113"/>
  <c r="AU27" i="113" s="1"/>
  <c r="AW27" i="113" s="1"/>
  <c r="AO16" i="158"/>
  <c r="AU16" i="158" s="1"/>
  <c r="AW16" i="158" s="1"/>
  <c r="AO23" i="158"/>
  <c r="AQ23" i="158" s="1"/>
  <c r="AO19" i="113"/>
  <c r="AU19" i="113" s="1"/>
  <c r="AW19" i="113" s="1"/>
  <c r="C24" i="135"/>
  <c r="C18" i="135"/>
  <c r="N18" i="135" s="1"/>
  <c r="O18" i="135" s="1"/>
  <c r="AO15" i="158"/>
  <c r="AO15" i="113"/>
  <c r="AQ15" i="113" s="1"/>
  <c r="AO21" i="158"/>
  <c r="AQ21" i="158" s="1"/>
  <c r="AO14" i="113"/>
  <c r="AU14" i="113" s="1"/>
  <c r="AW14" i="113" s="1"/>
  <c r="U23" i="158"/>
  <c r="AC23" i="158" s="1"/>
  <c r="U20" i="113"/>
  <c r="U20" i="135" s="1"/>
  <c r="AC20" i="135" s="1"/>
  <c r="U18" i="158"/>
  <c r="AC18" i="158" s="1"/>
  <c r="U16" i="158"/>
  <c r="AC16" i="158" s="1"/>
  <c r="U14" i="113"/>
  <c r="U14" i="135" s="1"/>
  <c r="AC14" i="135" s="1"/>
  <c r="K112" i="156"/>
  <c r="C90" i="164"/>
  <c r="E90" i="164" s="1"/>
  <c r="F90" i="164" s="1"/>
  <c r="L110" i="111"/>
  <c r="L112" i="111" s="1"/>
  <c r="I20" i="114"/>
  <c r="C27" i="133"/>
  <c r="C27" i="137" s="1"/>
  <c r="E26" i="139" s="1"/>
  <c r="T28" i="136"/>
  <c r="AQ16" i="158"/>
  <c r="D21" i="157"/>
  <c r="J21" i="157" s="1"/>
  <c r="S22" i="136"/>
  <c r="M110" i="156"/>
  <c r="M22" i="136"/>
  <c r="E24" i="139"/>
  <c r="P110" i="156"/>
  <c r="AA25" i="132"/>
  <c r="AB105" i="132"/>
  <c r="D28" i="158"/>
  <c r="R26" i="113"/>
  <c r="D33" i="67"/>
  <c r="N11" i="89" s="1"/>
  <c r="M30" i="156"/>
  <c r="O110" i="156"/>
  <c r="D15" i="112"/>
  <c r="F14" i="115" s="1"/>
  <c r="Y11" i="90"/>
  <c r="H24" i="112"/>
  <c r="AA107" i="156"/>
  <c r="AA27" i="136" s="1"/>
  <c r="AB110" i="156"/>
  <c r="Z25" i="111"/>
  <c r="AA30" i="111"/>
  <c r="G22" i="133"/>
  <c r="G22" i="137" s="1"/>
  <c r="I21" i="139" s="1"/>
  <c r="AA23" i="136"/>
  <c r="H22" i="115"/>
  <c r="J17" i="115"/>
  <c r="I13" i="115"/>
  <c r="J20" i="114"/>
  <c r="P14" i="113"/>
  <c r="P25" i="113"/>
  <c r="R22" i="113"/>
  <c r="R21" i="113"/>
  <c r="Q20" i="113"/>
  <c r="R27" i="158"/>
  <c r="R24" i="158"/>
  <c r="P23" i="158"/>
  <c r="R16" i="158"/>
  <c r="P26" i="113"/>
  <c r="N27" i="158"/>
  <c r="O27" i="158" s="1"/>
  <c r="N17" i="158"/>
  <c r="O17" i="158" s="1"/>
  <c r="P30" i="156"/>
  <c r="Q30" i="156"/>
  <c r="U30" i="156" s="1"/>
  <c r="M30" i="132"/>
  <c r="P70" i="132"/>
  <c r="M70" i="132"/>
  <c r="AH27" i="158"/>
  <c r="AH17" i="158"/>
  <c r="AH14" i="113"/>
  <c r="U101" i="111"/>
  <c r="L15" i="19"/>
  <c r="F15" i="19"/>
  <c r="H24" i="68"/>
  <c r="H64" i="68" s="1"/>
  <c r="D22" i="112"/>
  <c r="S30" i="156"/>
  <c r="I46" i="69"/>
  <c r="S11" i="88" s="1"/>
  <c r="I25" i="69"/>
  <c r="N19" i="113"/>
  <c r="O19" i="113" s="1"/>
  <c r="N15" i="113"/>
  <c r="O15" i="113" s="1"/>
  <c r="N110" i="156"/>
  <c r="D17" i="157"/>
  <c r="J17" i="157" s="1"/>
  <c r="D25" i="157"/>
  <c r="E13" i="164"/>
  <c r="F13" i="164" s="1"/>
  <c r="Q93" i="132"/>
  <c r="Q13" i="136" s="1"/>
  <c r="C27" i="135"/>
  <c r="D26" i="135"/>
  <c r="N26" i="135" s="1"/>
  <c r="O26" i="135" s="1"/>
  <c r="C23" i="135"/>
  <c r="C20" i="135"/>
  <c r="D16" i="135"/>
  <c r="Q16" i="135" s="1"/>
  <c r="D15" i="135"/>
  <c r="D14" i="135"/>
  <c r="F20" i="137"/>
  <c r="H19" i="139" s="1"/>
  <c r="AP16" i="135"/>
  <c r="AV16" i="135" s="1"/>
  <c r="AX16" i="135" s="1"/>
  <c r="AP13" i="158"/>
  <c r="AP13" i="135" s="1"/>
  <c r="AV13" i="135" s="1"/>
  <c r="AX13" i="135" s="1"/>
  <c r="AO13" i="158"/>
  <c r="U26" i="113"/>
  <c r="U24" i="158"/>
  <c r="U22" i="113"/>
  <c r="A12" i="91"/>
  <c r="C7" i="91" s="1"/>
  <c r="Z24" i="132"/>
  <c r="AA104" i="132"/>
  <c r="AB26" i="132"/>
  <c r="AB106" i="132" s="1"/>
  <c r="A28" i="132"/>
  <c r="AB27" i="132" s="1"/>
  <c r="AB107" i="132" s="1"/>
  <c r="Y104" i="156"/>
  <c r="E23" i="157" s="1"/>
  <c r="G26" i="133"/>
  <c r="AB66" i="111"/>
  <c r="A68" i="111"/>
  <c r="AB67" i="111" s="1"/>
  <c r="Y67" i="132"/>
  <c r="Y107" i="132" s="1"/>
  <c r="Z107" i="132"/>
  <c r="U99" i="111"/>
  <c r="T99" i="111" s="1"/>
  <c r="C18" i="112" s="1"/>
  <c r="E15" i="115"/>
  <c r="P22" i="113"/>
  <c r="Q24" i="158"/>
  <c r="N24" i="158"/>
  <c r="O24" i="158" s="1"/>
  <c r="N15" i="158"/>
  <c r="O15" i="158" s="1"/>
  <c r="C28" i="113"/>
  <c r="H22" i="137"/>
  <c r="J21" i="139" s="1"/>
  <c r="C18" i="137"/>
  <c r="E17" i="139" s="1"/>
  <c r="U68" i="156"/>
  <c r="N30" i="111"/>
  <c r="J44" i="69"/>
  <c r="AA70" i="132"/>
  <c r="AH24" i="158"/>
  <c r="N25" i="113"/>
  <c r="N17" i="113"/>
  <c r="O17" i="113" s="1"/>
  <c r="S110" i="156"/>
  <c r="D22" i="157"/>
  <c r="J22" i="157" s="1"/>
  <c r="D19" i="157"/>
  <c r="S21" i="136"/>
  <c r="V58" i="13"/>
  <c r="B60" i="13"/>
  <c r="AA26" i="136"/>
  <c r="G25" i="133"/>
  <c r="G25" i="137" s="1"/>
  <c r="I24" i="139" s="1"/>
  <c r="U11" i="90"/>
  <c r="E23" i="115"/>
  <c r="AV18" i="113"/>
  <c r="AX18" i="113" s="1"/>
  <c r="Q21" i="113"/>
  <c r="R15" i="113"/>
  <c r="P20" i="113"/>
  <c r="Q18" i="158"/>
  <c r="P15" i="158"/>
  <c r="Q15" i="158"/>
  <c r="U4" i="158"/>
  <c r="AH4" i="113"/>
  <c r="C14" i="137"/>
  <c r="E13" i="139" s="1"/>
  <c r="AC21" i="113"/>
  <c r="U104" i="156"/>
  <c r="U24" i="156"/>
  <c r="U21" i="111"/>
  <c r="U110" i="111"/>
  <c r="AH21" i="113"/>
  <c r="AH21" i="135" s="1"/>
  <c r="H28" i="162"/>
  <c r="H32" i="162" s="1"/>
  <c r="Z70" i="132"/>
  <c r="D27" i="112"/>
  <c r="R70" i="156"/>
  <c r="F19" i="137"/>
  <c r="H18" i="139" s="1"/>
  <c r="Q23" i="136"/>
  <c r="U23" i="136" s="1"/>
  <c r="D21" i="135"/>
  <c r="N21" i="135" s="1"/>
  <c r="O21" i="135" s="1"/>
  <c r="G20" i="137"/>
  <c r="I19" i="139" s="1"/>
  <c r="H26" i="157"/>
  <c r="AP26" i="158" s="1"/>
  <c r="AV26" i="158" s="1"/>
  <c r="AX26" i="158" s="1"/>
  <c r="AP17" i="135"/>
  <c r="AV17" i="135" s="1"/>
  <c r="AX17" i="135" s="1"/>
  <c r="H23" i="133"/>
  <c r="AB24" i="136"/>
  <c r="Z27" i="156"/>
  <c r="AA30" i="156"/>
  <c r="Y66" i="132"/>
  <c r="Z106" i="132"/>
  <c r="Z67" i="156"/>
  <c r="AA70" i="156"/>
  <c r="F22" i="133"/>
  <c r="Z23" i="136"/>
  <c r="X103" i="111"/>
  <c r="Y25" i="156"/>
  <c r="Y105" i="156" s="1"/>
  <c r="E24" i="157" s="1"/>
  <c r="Z105" i="156"/>
  <c r="F24" i="157" s="1"/>
  <c r="E93" i="132"/>
  <c r="E13" i="136" s="1"/>
  <c r="H21" i="137"/>
  <c r="J20" i="139" s="1"/>
  <c r="Q30" i="132"/>
  <c r="U30" i="132" s="1"/>
  <c r="H50" i="66"/>
  <c r="E43" i="66"/>
  <c r="H20" i="137"/>
  <c r="J19" i="139" s="1"/>
  <c r="I93" i="132"/>
  <c r="I110" i="132" s="1"/>
  <c r="N30" i="132"/>
  <c r="U53" i="132"/>
  <c r="L70" i="132"/>
  <c r="AV15" i="134"/>
  <c r="AX15" i="134" s="1"/>
  <c r="C13" i="133"/>
  <c r="D13" i="133" s="1"/>
  <c r="D538" i="43"/>
  <c r="X12" i="91"/>
  <c r="Y11" i="88"/>
  <c r="F19" i="66"/>
  <c r="H66" i="162"/>
  <c r="I16" i="162"/>
  <c r="D62" i="68"/>
  <c r="F62" i="68" s="1"/>
  <c r="H34" i="68" s="1"/>
  <c r="H54" i="68" s="1"/>
  <c r="D55" i="161"/>
  <c r="I34" i="69"/>
  <c r="J34" i="69" s="1"/>
  <c r="AD12" i="91"/>
  <c r="U61" i="132"/>
  <c r="J70" i="132"/>
  <c r="G70" i="132"/>
  <c r="S70" i="132"/>
  <c r="H12" i="137"/>
  <c r="J11" i="139" s="1"/>
  <c r="C16" i="137"/>
  <c r="E15" i="139" s="1"/>
  <c r="O70" i="132"/>
  <c r="O30" i="132"/>
  <c r="R96" i="132"/>
  <c r="R16" i="136" s="1"/>
  <c r="D371" i="43"/>
  <c r="E373" i="43" s="1"/>
  <c r="H22" i="68"/>
  <c r="H62" i="68" s="1"/>
  <c r="G22" i="66"/>
  <c r="G19" i="66" s="1"/>
  <c r="AH4" i="134"/>
  <c r="I35" i="69"/>
  <c r="M11" i="88" s="1"/>
  <c r="AO20" i="134"/>
  <c r="AU20" i="134" s="1"/>
  <c r="AW20" i="134" s="1"/>
  <c r="N70" i="132"/>
  <c r="AQ19" i="134"/>
  <c r="H18" i="137"/>
  <c r="J17" i="139" s="1"/>
  <c r="D18" i="133"/>
  <c r="J18" i="133" s="1"/>
  <c r="AP15" i="135"/>
  <c r="AV15" i="135" s="1"/>
  <c r="AX15" i="135" s="1"/>
  <c r="U58" i="132"/>
  <c r="U94" i="132"/>
  <c r="H65" i="68"/>
  <c r="N93" i="132"/>
  <c r="N13" i="136" s="1"/>
  <c r="J12" i="138" s="1"/>
  <c r="J51" i="69"/>
  <c r="V11" i="88"/>
  <c r="C20" i="112"/>
  <c r="C23" i="157"/>
  <c r="T110" i="156"/>
  <c r="T24" i="136"/>
  <c r="P93" i="132"/>
  <c r="D72" i="43"/>
  <c r="H17" i="68"/>
  <c r="D9" i="43"/>
  <c r="H21" i="68"/>
  <c r="D426" i="43"/>
  <c r="E428" i="43" s="1"/>
  <c r="D27" i="157"/>
  <c r="J27" i="157" s="1"/>
  <c r="U102" i="156"/>
  <c r="Q110" i="156"/>
  <c r="J93" i="132"/>
  <c r="J13" i="136" s="1"/>
  <c r="R110" i="156"/>
  <c r="Q28" i="136"/>
  <c r="U28" i="136" s="1"/>
  <c r="AP22" i="135"/>
  <c r="AV22" i="135" s="1"/>
  <c r="AX22" i="135" s="1"/>
  <c r="U19" i="135"/>
  <c r="AC19" i="135" s="1"/>
  <c r="U15" i="135"/>
  <c r="AC15" i="135" s="1"/>
  <c r="D85" i="43"/>
  <c r="F13" i="66"/>
  <c r="D16" i="137"/>
  <c r="I66" i="162"/>
  <c r="F93" i="132"/>
  <c r="F13" i="136" s="1"/>
  <c r="E12" i="138" s="1"/>
  <c r="C93" i="132"/>
  <c r="N12" i="134" s="1"/>
  <c r="G46" i="66"/>
  <c r="H46" i="66" s="1"/>
  <c r="D54" i="66"/>
  <c r="J16" i="162"/>
  <c r="R21" i="136"/>
  <c r="AP20" i="135"/>
  <c r="AV20" i="135" s="1"/>
  <c r="AX20" i="135" s="1"/>
  <c r="AP14" i="135"/>
  <c r="H37" i="66"/>
  <c r="P11" i="90"/>
  <c r="E26" i="66"/>
  <c r="D26" i="66"/>
  <c r="C12" i="91"/>
  <c r="C11" i="88"/>
  <c r="B11" i="88" s="1"/>
  <c r="C11" i="89"/>
  <c r="C11" i="90"/>
  <c r="N366" i="5"/>
  <c r="G93" i="132"/>
  <c r="G13" i="136" s="1"/>
  <c r="G30" i="136" s="1"/>
  <c r="S93" i="132"/>
  <c r="S13" i="136" s="1"/>
  <c r="I70" i="132"/>
  <c r="C12" i="135"/>
  <c r="C28" i="134"/>
  <c r="R93" i="132"/>
  <c r="T93" i="132"/>
  <c r="T110" i="132" s="1"/>
  <c r="R30" i="132"/>
  <c r="L93" i="132"/>
  <c r="L13" i="136" s="1"/>
  <c r="Q21" i="136"/>
  <c r="U21" i="136" s="1"/>
  <c r="U101" i="132"/>
  <c r="J16" i="133"/>
  <c r="F18" i="136"/>
  <c r="S110" i="132"/>
  <c r="S18" i="136"/>
  <c r="M18" i="136"/>
  <c r="E18" i="136"/>
  <c r="C18" i="136"/>
  <c r="N21" i="136"/>
  <c r="J20" i="138" s="1"/>
  <c r="O93" i="132"/>
  <c r="O13" i="136" s="1"/>
  <c r="K12" i="138" s="1"/>
  <c r="AP21" i="135"/>
  <c r="AV21" i="135" s="1"/>
  <c r="AX21" i="135" s="1"/>
  <c r="AV21" i="134"/>
  <c r="AX21" i="134" s="1"/>
  <c r="AQ21" i="134"/>
  <c r="T30" i="132"/>
  <c r="C21" i="133"/>
  <c r="T22" i="136"/>
  <c r="Q22" i="136"/>
  <c r="U22" i="136" s="1"/>
  <c r="U102" i="132"/>
  <c r="C20" i="133"/>
  <c r="T21" i="136"/>
  <c r="E20" i="137"/>
  <c r="AV20" i="134"/>
  <c r="AX20" i="134" s="1"/>
  <c r="C17" i="133"/>
  <c r="T18" i="136"/>
  <c r="U98" i="132"/>
  <c r="Q18" i="136"/>
  <c r="U18" i="136" s="1"/>
  <c r="K18" i="136"/>
  <c r="K70" i="132"/>
  <c r="Q70" i="132"/>
  <c r="AV18" i="134"/>
  <c r="AX18" i="134" s="1"/>
  <c r="AP18" i="135"/>
  <c r="AQ18" i="134"/>
  <c r="O16" i="136"/>
  <c r="K15" i="138" s="1"/>
  <c r="C15" i="133"/>
  <c r="T16" i="136"/>
  <c r="Q16" i="136"/>
  <c r="U16" i="136" s="1"/>
  <c r="U96" i="132"/>
  <c r="I13" i="139"/>
  <c r="AQ14" i="134"/>
  <c r="AV14" i="134"/>
  <c r="AX14" i="134" s="1"/>
  <c r="R70" i="132"/>
  <c r="T70" i="132"/>
  <c r="T72" i="132" s="1"/>
  <c r="AP12" i="135"/>
  <c r="AQ12" i="134"/>
  <c r="AV12" i="134"/>
  <c r="AX12" i="134" s="1"/>
  <c r="D595" i="43"/>
  <c r="H26" i="68"/>
  <c r="D32" i="68"/>
  <c r="F32" i="68" s="1"/>
  <c r="H45" i="68"/>
  <c r="D309" i="43"/>
  <c r="H20" i="68"/>
  <c r="H59" i="68" s="1"/>
  <c r="L12" i="91"/>
  <c r="D13" i="68"/>
  <c r="F43" i="66"/>
  <c r="H20" i="66"/>
  <c r="D136" i="43" s="1"/>
  <c r="G11" i="90"/>
  <c r="G44" i="66"/>
  <c r="H44" i="66" s="1"/>
  <c r="I28" i="162"/>
  <c r="J66" i="162"/>
  <c r="J20" i="162"/>
  <c r="J28" i="162" s="1"/>
  <c r="D197" i="43"/>
  <c r="H16" i="69"/>
  <c r="G15" i="66"/>
  <c r="G13" i="66" s="1"/>
  <c r="C188" i="84"/>
  <c r="H19" i="71"/>
  <c r="D201" i="43"/>
  <c r="D27" i="43"/>
  <c r="J30" i="162"/>
  <c r="G35" i="66"/>
  <c r="O11" i="90"/>
  <c r="H36" i="66"/>
  <c r="M11" i="90"/>
  <c r="J11" i="90"/>
  <c r="H34" i="66"/>
  <c r="R11" i="90"/>
  <c r="J11" i="88"/>
  <c r="J27" i="69"/>
  <c r="J36" i="162"/>
  <c r="D81" i="43"/>
  <c r="D14" i="164"/>
  <c r="E14" i="164" s="1"/>
  <c r="F14" i="164" s="1"/>
  <c r="N352" i="5" l="1"/>
  <c r="N353" i="5" s="1"/>
  <c r="N354" i="5" s="1"/>
  <c r="N355" i="5" s="1"/>
  <c r="N356" i="5" s="1"/>
  <c r="N357" i="5" s="1"/>
  <c r="N358" i="5" s="1"/>
  <c r="N359" i="5" s="1"/>
  <c r="N360" i="5" s="1"/>
  <c r="N361" i="5" s="1"/>
  <c r="N362" i="5" s="1"/>
  <c r="N363" i="5" s="1"/>
  <c r="N364" i="5" s="1"/>
  <c r="H35" i="66"/>
  <c r="L35" i="66"/>
  <c r="Q19" i="135"/>
  <c r="U16" i="135"/>
  <c r="AC16" i="135" s="1"/>
  <c r="R18" i="135"/>
  <c r="AH23" i="135"/>
  <c r="N22" i="135"/>
  <c r="O22" i="135" s="1"/>
  <c r="F27" i="133"/>
  <c r="AO27" i="134" s="1"/>
  <c r="AQ20" i="113"/>
  <c r="R21" i="135"/>
  <c r="AO14" i="135"/>
  <c r="AU14" i="135" s="1"/>
  <c r="AW14" i="135" s="1"/>
  <c r="Q25" i="135"/>
  <c r="D45" i="82"/>
  <c r="AA28" i="136"/>
  <c r="N13" i="135"/>
  <c r="O13" i="135" s="1"/>
  <c r="P13" i="135"/>
  <c r="AH14" i="135"/>
  <c r="R13" i="135"/>
  <c r="J16" i="112"/>
  <c r="N14" i="135"/>
  <c r="O14" i="135" s="1"/>
  <c r="E18" i="82"/>
  <c r="D44" i="82"/>
  <c r="AU22" i="158"/>
  <c r="AW22" i="158" s="1"/>
  <c r="AQ20" i="158"/>
  <c r="N25" i="135"/>
  <c r="O25" i="135" s="1"/>
  <c r="AH15" i="135"/>
  <c r="AQ14" i="158"/>
  <c r="P18" i="135"/>
  <c r="R25" i="135"/>
  <c r="AH16" i="135"/>
  <c r="J47" i="69"/>
  <c r="H53" i="68"/>
  <c r="H56" i="68"/>
  <c r="N27" i="135"/>
  <c r="O27" i="135" s="1"/>
  <c r="AU17" i="158"/>
  <c r="AW17" i="158" s="1"/>
  <c r="J14" i="157"/>
  <c r="H27" i="133"/>
  <c r="AP27" i="134" s="1"/>
  <c r="AV27" i="134" s="1"/>
  <c r="AX27" i="134" s="1"/>
  <c r="AH22" i="135"/>
  <c r="AH24" i="135"/>
  <c r="N23" i="135"/>
  <c r="O23" i="135" s="1"/>
  <c r="AQ19" i="158"/>
  <c r="AP19" i="135"/>
  <c r="AV19" i="135" s="1"/>
  <c r="AX19" i="135" s="1"/>
  <c r="AQ17" i="158"/>
  <c r="AH20" i="135"/>
  <c r="H29" i="69"/>
  <c r="M110" i="132"/>
  <c r="Y28" i="136"/>
  <c r="AC20" i="113"/>
  <c r="AC14" i="113"/>
  <c r="F13" i="115"/>
  <c r="U25" i="135"/>
  <c r="AC25" i="135" s="1"/>
  <c r="P19" i="135"/>
  <c r="Q28" i="113"/>
  <c r="AQ16" i="113"/>
  <c r="AU15" i="113"/>
  <c r="AW15" i="113" s="1"/>
  <c r="AQ18" i="113"/>
  <c r="P24" i="135"/>
  <c r="N24" i="135"/>
  <c r="O24" i="135" s="1"/>
  <c r="N19" i="135"/>
  <c r="O19" i="135" s="1"/>
  <c r="K110" i="132"/>
  <c r="C79" i="164" s="1"/>
  <c r="E79" i="164" s="1"/>
  <c r="F79" i="164" s="1"/>
  <c r="AQ27" i="113"/>
  <c r="AU23" i="158"/>
  <c r="AW23" i="158" s="1"/>
  <c r="C69" i="164"/>
  <c r="E69" i="164" s="1"/>
  <c r="F69" i="164" s="1"/>
  <c r="D13" i="137"/>
  <c r="F12" i="139" s="1"/>
  <c r="AO24" i="158"/>
  <c r="AQ24" i="158" s="1"/>
  <c r="U18" i="135"/>
  <c r="AC18" i="135" s="1"/>
  <c r="N15" i="135"/>
  <c r="O15" i="135" s="1"/>
  <c r="J21" i="112"/>
  <c r="Q24" i="135"/>
  <c r="R28" i="113"/>
  <c r="AO16" i="135"/>
  <c r="AU16" i="135" s="1"/>
  <c r="AW16" i="135" s="1"/>
  <c r="P20" i="135"/>
  <c r="N20" i="135"/>
  <c r="O20" i="135" s="1"/>
  <c r="P22" i="135"/>
  <c r="R22" i="135"/>
  <c r="AP23" i="113"/>
  <c r="AV23" i="113" s="1"/>
  <c r="AX23" i="113" s="1"/>
  <c r="J22" i="115"/>
  <c r="F18" i="115"/>
  <c r="J19" i="112"/>
  <c r="M30" i="136"/>
  <c r="AQ22" i="113"/>
  <c r="AO21" i="135"/>
  <c r="AU21" i="135" s="1"/>
  <c r="AW21" i="135" s="1"/>
  <c r="AO19" i="135"/>
  <c r="AU19" i="135" s="1"/>
  <c r="AW19" i="135" s="1"/>
  <c r="Q20" i="135"/>
  <c r="U27" i="135"/>
  <c r="AC27" i="135" s="1"/>
  <c r="D30" i="43"/>
  <c r="AQ14" i="113"/>
  <c r="AU21" i="158"/>
  <c r="AW21" i="158" s="1"/>
  <c r="AU19" i="158"/>
  <c r="AW19" i="158" s="1"/>
  <c r="AQ13" i="113"/>
  <c r="AQ21" i="113"/>
  <c r="AQ19" i="113"/>
  <c r="AO15" i="135"/>
  <c r="AU15" i="135" s="1"/>
  <c r="AW15" i="135" s="1"/>
  <c r="D23" i="112"/>
  <c r="J23" i="112" s="1"/>
  <c r="AU18" i="113"/>
  <c r="AW18" i="113" s="1"/>
  <c r="AU25" i="158"/>
  <c r="AW25" i="158" s="1"/>
  <c r="R23" i="135"/>
  <c r="Q23" i="135"/>
  <c r="P23" i="135"/>
  <c r="R27" i="135"/>
  <c r="P27" i="135"/>
  <c r="Q27" i="135"/>
  <c r="Q22" i="135"/>
  <c r="F12" i="115"/>
  <c r="J13" i="112"/>
  <c r="O110" i="111"/>
  <c r="K20" i="114"/>
  <c r="E89" i="43"/>
  <c r="N16" i="135"/>
  <c r="O16" i="135" s="1"/>
  <c r="Q110" i="132"/>
  <c r="V112" i="132" s="1"/>
  <c r="E110" i="132"/>
  <c r="D137" i="68"/>
  <c r="L110" i="132"/>
  <c r="C80" i="164" s="1"/>
  <c r="E80" i="164" s="1"/>
  <c r="F80" i="164" s="1"/>
  <c r="I29" i="69"/>
  <c r="E11" i="88"/>
  <c r="J14" i="69"/>
  <c r="J16" i="69" s="1"/>
  <c r="J29" i="69" s="1"/>
  <c r="AH28" i="113"/>
  <c r="AQ17" i="135"/>
  <c r="D432" i="43"/>
  <c r="H40" i="68"/>
  <c r="H60" i="68" s="1"/>
  <c r="U23" i="135"/>
  <c r="AC23" i="135" s="1"/>
  <c r="AU15" i="158"/>
  <c r="AW15" i="158" s="1"/>
  <c r="AQ15" i="158"/>
  <c r="AH28" i="158"/>
  <c r="N28" i="158"/>
  <c r="O28" i="158" s="1"/>
  <c r="D19" i="137"/>
  <c r="J19" i="157"/>
  <c r="AC22" i="113"/>
  <c r="U22" i="135"/>
  <c r="AC22" i="135" s="1"/>
  <c r="U28" i="113"/>
  <c r="AC28" i="113" s="1"/>
  <c r="Q15" i="135"/>
  <c r="P15" i="135"/>
  <c r="R15" i="135"/>
  <c r="P26" i="135"/>
  <c r="Q26" i="135"/>
  <c r="R26" i="135"/>
  <c r="E30" i="136"/>
  <c r="I57" i="69"/>
  <c r="Z26" i="136"/>
  <c r="F25" i="133"/>
  <c r="B61" i="13"/>
  <c r="B62" i="13" s="1"/>
  <c r="B63" i="13" s="1"/>
  <c r="AA110" i="156"/>
  <c r="G26" i="157"/>
  <c r="G26" i="137" s="1"/>
  <c r="I25" i="139" s="1"/>
  <c r="D22" i="133"/>
  <c r="V11" i="90"/>
  <c r="I13" i="136"/>
  <c r="I30" i="136" s="1"/>
  <c r="C28" i="135"/>
  <c r="P16" i="135"/>
  <c r="R16" i="135"/>
  <c r="D24" i="157"/>
  <c r="H29" i="157"/>
  <c r="D39" i="157" s="1"/>
  <c r="E39" i="157" s="1"/>
  <c r="AB30" i="132"/>
  <c r="F26" i="133"/>
  <c r="AA66" i="111"/>
  <c r="Z66" i="111" s="1"/>
  <c r="Y66" i="111" s="1"/>
  <c r="AB106" i="111"/>
  <c r="AB27" i="136"/>
  <c r="H26" i="133"/>
  <c r="AO13" i="135"/>
  <c r="AQ13" i="158"/>
  <c r="AU13" i="158"/>
  <c r="AW13" i="158" s="1"/>
  <c r="P14" i="135"/>
  <c r="R14" i="135"/>
  <c r="Q14" i="135"/>
  <c r="C92" i="164"/>
  <c r="E92" i="164" s="1"/>
  <c r="F92" i="164" s="1"/>
  <c r="N112" i="156"/>
  <c r="J22" i="112"/>
  <c r="F21" i="115"/>
  <c r="Z105" i="111"/>
  <c r="F24" i="112" s="1"/>
  <c r="Z30" i="111"/>
  <c r="Z25" i="132"/>
  <c r="Z30" i="132" s="1"/>
  <c r="AA105" i="132"/>
  <c r="AA30" i="132"/>
  <c r="AH27" i="135"/>
  <c r="Y67" i="156"/>
  <c r="Z70" i="156"/>
  <c r="Y27" i="156"/>
  <c r="Y30" i="156" s="1"/>
  <c r="Z107" i="156"/>
  <c r="Z27" i="136" s="1"/>
  <c r="Z30" i="156"/>
  <c r="E26" i="133"/>
  <c r="AB26" i="136"/>
  <c r="H25" i="133"/>
  <c r="AV13" i="158"/>
  <c r="AX13" i="158" s="1"/>
  <c r="AP28" i="158"/>
  <c r="E21" i="139"/>
  <c r="J27" i="112"/>
  <c r="F26" i="115"/>
  <c r="J15" i="112"/>
  <c r="N28" i="113"/>
  <c r="O28" i="113" s="1"/>
  <c r="O25" i="113"/>
  <c r="G23" i="133"/>
  <c r="G23" i="137" s="1"/>
  <c r="I22" i="139" s="1"/>
  <c r="AA24" i="136"/>
  <c r="AC24" i="158"/>
  <c r="U28" i="158"/>
  <c r="AC28" i="158" s="1"/>
  <c r="AP24" i="113"/>
  <c r="J23" i="115"/>
  <c r="U24" i="135"/>
  <c r="AC24" i="135" s="1"/>
  <c r="J46" i="69"/>
  <c r="AO22" i="134"/>
  <c r="F22" i="137"/>
  <c r="H21" i="139" s="1"/>
  <c r="Y106" i="132"/>
  <c r="Y70" i="132"/>
  <c r="AP23" i="134"/>
  <c r="H23" i="137"/>
  <c r="J22" i="139" s="1"/>
  <c r="P21" i="135"/>
  <c r="Q21" i="135"/>
  <c r="D18" i="112"/>
  <c r="F17" i="115" s="1"/>
  <c r="E17" i="115"/>
  <c r="AA67" i="111"/>
  <c r="AB107" i="111"/>
  <c r="AB70" i="111"/>
  <c r="Y24" i="132"/>
  <c r="Z104" i="132"/>
  <c r="U26" i="135"/>
  <c r="AC26" i="135" s="1"/>
  <c r="AC26" i="113"/>
  <c r="O112" i="156"/>
  <c r="C93" i="164"/>
  <c r="E93" i="164" s="1"/>
  <c r="F93" i="164" s="1"/>
  <c r="J25" i="157"/>
  <c r="R28" i="158"/>
  <c r="Q28" i="158"/>
  <c r="P28" i="158"/>
  <c r="AB25" i="136"/>
  <c r="H24" i="133"/>
  <c r="AB110" i="132"/>
  <c r="C110" i="132"/>
  <c r="C13" i="136"/>
  <c r="C30" i="136" s="1"/>
  <c r="F110" i="132"/>
  <c r="C78" i="164" s="1"/>
  <c r="O12" i="134"/>
  <c r="AH12" i="134"/>
  <c r="AH12" i="135" s="1"/>
  <c r="Q12" i="134"/>
  <c r="R12" i="134"/>
  <c r="U93" i="132"/>
  <c r="J16" i="137"/>
  <c r="R110" i="132"/>
  <c r="R112" i="132" s="1"/>
  <c r="C12" i="133"/>
  <c r="C29" i="133" s="1"/>
  <c r="F26" i="66"/>
  <c r="D33" i="43"/>
  <c r="D13" i="43"/>
  <c r="J35" i="69"/>
  <c r="D56" i="66"/>
  <c r="J13" i="133"/>
  <c r="C13" i="137"/>
  <c r="E12" i="139" s="1"/>
  <c r="D203" i="43"/>
  <c r="N367" i="5"/>
  <c r="D19" i="161" s="1"/>
  <c r="I32" i="162"/>
  <c r="L11" i="88"/>
  <c r="AV14" i="135"/>
  <c r="AX14" i="135" s="1"/>
  <c r="F15" i="139"/>
  <c r="G110" i="132"/>
  <c r="D18" i="137"/>
  <c r="F17" i="139" s="1"/>
  <c r="H22" i="66"/>
  <c r="I11" i="90"/>
  <c r="P12" i="134"/>
  <c r="U12" i="134"/>
  <c r="AC12" i="134" s="1"/>
  <c r="D12" i="135"/>
  <c r="R12" i="135" s="1"/>
  <c r="G26" i="66"/>
  <c r="AQ20" i="134"/>
  <c r="AO20" i="135"/>
  <c r="AU20" i="135" s="1"/>
  <c r="AW20" i="135" s="1"/>
  <c r="N110" i="132"/>
  <c r="C81" i="164" s="1"/>
  <c r="E81" i="164" s="1"/>
  <c r="F81" i="164" s="1"/>
  <c r="N30" i="136"/>
  <c r="J110" i="132"/>
  <c r="G43" i="66"/>
  <c r="J32" i="162"/>
  <c r="T13" i="136"/>
  <c r="T30" i="136" s="1"/>
  <c r="U70" i="132"/>
  <c r="J14" i="137"/>
  <c r="G27" i="137"/>
  <c r="E27" i="137"/>
  <c r="G26" i="139" s="1"/>
  <c r="D32" i="70"/>
  <c r="E29" i="67" s="1"/>
  <c r="D38" i="161"/>
  <c r="D20" i="112"/>
  <c r="J20" i="112" s="1"/>
  <c r="E19" i="115"/>
  <c r="C95" i="164"/>
  <c r="E95" i="164" s="1"/>
  <c r="F95" i="164" s="1"/>
  <c r="R112" i="156"/>
  <c r="C94" i="164"/>
  <c r="E94" i="164" s="1"/>
  <c r="F94" i="164" s="1"/>
  <c r="V112" i="156"/>
  <c r="U110" i="156"/>
  <c r="Q112" i="156"/>
  <c r="P110" i="132"/>
  <c r="P13" i="136"/>
  <c r="P30" i="136" s="1"/>
  <c r="D23" i="157"/>
  <c r="J23" i="157" s="1"/>
  <c r="C29" i="157"/>
  <c r="C23" i="137"/>
  <c r="T11" i="90"/>
  <c r="N11" i="90"/>
  <c r="E11" i="90"/>
  <c r="R13" i="136"/>
  <c r="R30" i="136" s="1"/>
  <c r="S30" i="136"/>
  <c r="F30" i="136"/>
  <c r="E17" i="138"/>
  <c r="U17" i="134"/>
  <c r="Q17" i="134"/>
  <c r="R17" i="134"/>
  <c r="D28" i="134"/>
  <c r="N17" i="134"/>
  <c r="D17" i="135"/>
  <c r="AH17" i="134"/>
  <c r="P17" i="134"/>
  <c r="O30" i="136"/>
  <c r="O110" i="132"/>
  <c r="C82" i="164" s="1"/>
  <c r="E82" i="164" s="1"/>
  <c r="F82" i="164" s="1"/>
  <c r="G12" i="138"/>
  <c r="J30" i="136"/>
  <c r="D21" i="133"/>
  <c r="D21" i="137" s="1"/>
  <c r="F20" i="139" s="1"/>
  <c r="C21" i="137"/>
  <c r="G19" i="139"/>
  <c r="C20" i="137"/>
  <c r="D20" i="133"/>
  <c r="D20" i="137" s="1"/>
  <c r="F19" i="139" s="1"/>
  <c r="H17" i="138"/>
  <c r="K30" i="136"/>
  <c r="C17" i="137"/>
  <c r="D17" i="133"/>
  <c r="D17" i="137" s="1"/>
  <c r="F16" i="139" s="1"/>
  <c r="AV18" i="135"/>
  <c r="AX18" i="135" s="1"/>
  <c r="AQ18" i="135"/>
  <c r="D15" i="133"/>
  <c r="D15" i="137" s="1"/>
  <c r="F14" i="139" s="1"/>
  <c r="C15" i="137"/>
  <c r="AQ12" i="135"/>
  <c r="AV12" i="135"/>
  <c r="AX12" i="135" s="1"/>
  <c r="I12" i="138"/>
  <c r="L30" i="136"/>
  <c r="Q30" i="136"/>
  <c r="D31" i="70"/>
  <c r="D37" i="161"/>
  <c r="H66" i="68"/>
  <c r="F13" i="68"/>
  <c r="F48" i="68" s="1"/>
  <c r="D48" i="68"/>
  <c r="D142" i="43"/>
  <c r="D32" i="43"/>
  <c r="H43" i="66"/>
  <c r="H15" i="66"/>
  <c r="H13" i="66" s="1"/>
  <c r="G19" i="71"/>
  <c r="K19" i="165"/>
  <c r="J57" i="69" l="1"/>
  <c r="F27" i="137"/>
  <c r="H27" i="137"/>
  <c r="J26" i="139" s="1"/>
  <c r="U12" i="135"/>
  <c r="AC12" i="135" s="1"/>
  <c r="AQ14" i="135"/>
  <c r="E49" i="82"/>
  <c r="E51" i="82" s="1"/>
  <c r="Q12" i="135"/>
  <c r="AU24" i="158"/>
  <c r="AW24" i="158" s="1"/>
  <c r="D27" i="133"/>
  <c r="J27" i="133" s="1"/>
  <c r="AP27" i="135"/>
  <c r="AV27" i="135" s="1"/>
  <c r="AX27" i="135" s="1"/>
  <c r="AQ21" i="135"/>
  <c r="AQ19" i="135"/>
  <c r="K112" i="132"/>
  <c r="AQ16" i="135"/>
  <c r="AQ15" i="135"/>
  <c r="F22" i="115"/>
  <c r="N12" i="135"/>
  <c r="O12" i="135" s="1"/>
  <c r="AB30" i="136"/>
  <c r="AQ23" i="113"/>
  <c r="C71" i="164"/>
  <c r="E71" i="164" s="1"/>
  <c r="F71" i="164" s="1"/>
  <c r="O112" i="111"/>
  <c r="C83" i="164"/>
  <c r="E83" i="164" s="1"/>
  <c r="F83" i="164" s="1"/>
  <c r="U110" i="132"/>
  <c r="Q112" i="132"/>
  <c r="P12" i="135"/>
  <c r="L112" i="132"/>
  <c r="D12" i="133"/>
  <c r="J12" i="133" s="1"/>
  <c r="F12" i="138"/>
  <c r="J18" i="137"/>
  <c r="U13" i="136"/>
  <c r="Z67" i="111"/>
  <c r="AA70" i="111"/>
  <c r="H23" i="115"/>
  <c r="D24" i="112"/>
  <c r="AO24" i="113"/>
  <c r="J24" i="157"/>
  <c r="Y26" i="136"/>
  <c r="E25" i="133"/>
  <c r="AA107" i="111"/>
  <c r="AB110" i="111"/>
  <c r="H26" i="112"/>
  <c r="AV23" i="134"/>
  <c r="AX23" i="134" s="1"/>
  <c r="AP23" i="135"/>
  <c r="AU22" i="134"/>
  <c r="AW22" i="134" s="1"/>
  <c r="AQ22" i="134"/>
  <c r="AO22" i="135"/>
  <c r="F26" i="157"/>
  <c r="F29" i="157" s="1"/>
  <c r="D37" i="157" s="1"/>
  <c r="E37" i="157" s="1"/>
  <c r="Z110" i="156"/>
  <c r="AU13" i="135"/>
  <c r="AW13" i="135" s="1"/>
  <c r="AQ13" i="135"/>
  <c r="G29" i="157"/>
  <c r="D38" i="157" s="1"/>
  <c r="E38" i="157" s="1"/>
  <c r="B64" i="13"/>
  <c r="B65" i="13" s="1"/>
  <c r="B66" i="13" s="1"/>
  <c r="B67" i="13" s="1"/>
  <c r="AP24" i="134"/>
  <c r="AV24" i="134" s="1"/>
  <c r="AX24" i="134" s="1"/>
  <c r="H24" i="137"/>
  <c r="H29" i="133"/>
  <c r="D39" i="133" s="1"/>
  <c r="E39" i="133" s="1"/>
  <c r="Z24" i="136"/>
  <c r="F23" i="133"/>
  <c r="AP26" i="134"/>
  <c r="AV26" i="134" s="1"/>
  <c r="AX26" i="134" s="1"/>
  <c r="H26" i="137"/>
  <c r="J25" i="139" s="1"/>
  <c r="AO26" i="134"/>
  <c r="Y104" i="132"/>
  <c r="AV24" i="113"/>
  <c r="AX24" i="113" s="1"/>
  <c r="D26" i="133"/>
  <c r="J26" i="133" s="1"/>
  <c r="G24" i="133"/>
  <c r="AA25" i="136"/>
  <c r="AA30" i="136" s="1"/>
  <c r="D22" i="137"/>
  <c r="J22" i="133"/>
  <c r="AO25" i="134"/>
  <c r="F25" i="137"/>
  <c r="H24" i="139" s="1"/>
  <c r="F18" i="139"/>
  <c r="J19" i="137"/>
  <c r="AA110" i="132"/>
  <c r="D16" i="70"/>
  <c r="J19" i="71" s="1"/>
  <c r="J18" i="112"/>
  <c r="AP25" i="134"/>
  <c r="AV25" i="134" s="1"/>
  <c r="AX25" i="134" s="1"/>
  <c r="H25" i="137"/>
  <c r="J24" i="139" s="1"/>
  <c r="Y107" i="156"/>
  <c r="Y70" i="156"/>
  <c r="Y25" i="132"/>
  <c r="Y105" i="132" s="1"/>
  <c r="Z105" i="132"/>
  <c r="Z25" i="136" s="1"/>
  <c r="AA106" i="111"/>
  <c r="H25" i="112"/>
  <c r="C12" i="137"/>
  <c r="E11" i="139" s="1"/>
  <c r="C84" i="164"/>
  <c r="E84" i="164" s="1"/>
  <c r="F84" i="164" s="1"/>
  <c r="W112" i="132"/>
  <c r="J13" i="137"/>
  <c r="J15" i="133"/>
  <c r="D196" i="43"/>
  <c r="E198" i="43" s="1"/>
  <c r="H19" i="66"/>
  <c r="H26" i="66" s="1"/>
  <c r="D14" i="43"/>
  <c r="AQ20" i="135"/>
  <c r="J21" i="133"/>
  <c r="N112" i="132"/>
  <c r="E22" i="139"/>
  <c r="F19" i="115"/>
  <c r="I26" i="139"/>
  <c r="AO27" i="135"/>
  <c r="AU27" i="134"/>
  <c r="AW27" i="134" s="1"/>
  <c r="AQ27" i="134"/>
  <c r="H26" i="139"/>
  <c r="O112" i="132"/>
  <c r="AH28" i="134"/>
  <c r="AH17" i="135"/>
  <c r="AH28" i="135" s="1"/>
  <c r="N28" i="134"/>
  <c r="O28" i="134" s="1"/>
  <c r="O17" i="134"/>
  <c r="AC17" i="134"/>
  <c r="U17" i="135"/>
  <c r="U28" i="134"/>
  <c r="AC28" i="134" s="1"/>
  <c r="D28" i="135"/>
  <c r="P17" i="135"/>
  <c r="N17" i="135"/>
  <c r="Q17" i="135"/>
  <c r="R17" i="135"/>
  <c r="Q28" i="134"/>
  <c r="P28" i="134"/>
  <c r="R28" i="134"/>
  <c r="U30" i="136"/>
  <c r="J21" i="137"/>
  <c r="E20" i="139"/>
  <c r="J20" i="133"/>
  <c r="J20" i="137"/>
  <c r="E19" i="139"/>
  <c r="J17" i="133"/>
  <c r="J17" i="137"/>
  <c r="E16" i="139"/>
  <c r="E14" i="139"/>
  <c r="J15" i="137"/>
  <c r="E28" i="67"/>
  <c r="M11" i="87"/>
  <c r="J19" i="165"/>
  <c r="I19" i="71"/>
  <c r="D27" i="137" l="1"/>
  <c r="AO26" i="158"/>
  <c r="AO28" i="158" s="1"/>
  <c r="K11" i="89"/>
  <c r="D12" i="137"/>
  <c r="J12" i="137" s="1"/>
  <c r="F26" i="137"/>
  <c r="H25" i="139" s="1"/>
  <c r="AP24" i="135"/>
  <c r="AV24" i="135" s="1"/>
  <c r="AX24" i="135" s="1"/>
  <c r="C29" i="137"/>
  <c r="D15" i="67"/>
  <c r="J23" i="139"/>
  <c r="H29" i="137"/>
  <c r="D39" i="137" s="1"/>
  <c r="E39" i="137" s="1"/>
  <c r="AP26" i="113"/>
  <c r="J25" i="115"/>
  <c r="Y67" i="111"/>
  <c r="Y70" i="111" s="1"/>
  <c r="Z107" i="111"/>
  <c r="Z70" i="111"/>
  <c r="E24" i="133"/>
  <c r="Y25" i="136"/>
  <c r="AQ25" i="134"/>
  <c r="AU25" i="134"/>
  <c r="AW25" i="134" s="1"/>
  <c r="F24" i="133"/>
  <c r="G24" i="137"/>
  <c r="G29" i="133"/>
  <c r="D38" i="133" s="1"/>
  <c r="E38" i="133" s="1"/>
  <c r="AQ26" i="134"/>
  <c r="AU26" i="134"/>
  <c r="AW26" i="134" s="1"/>
  <c r="Z106" i="111"/>
  <c r="G25" i="112"/>
  <c r="X107" i="156"/>
  <c r="E26" i="157"/>
  <c r="Y110" i="156"/>
  <c r="Y27" i="136"/>
  <c r="F21" i="139"/>
  <c r="J22" i="137"/>
  <c r="E23" i="133"/>
  <c r="Y24" i="136"/>
  <c r="Y110" i="132"/>
  <c r="D25" i="133"/>
  <c r="E25" i="137"/>
  <c r="G24" i="139" s="1"/>
  <c r="AU24" i="113"/>
  <c r="AW24" i="113" s="1"/>
  <c r="AQ24" i="113"/>
  <c r="Z110" i="132"/>
  <c r="F23" i="115"/>
  <c r="J24" i="112"/>
  <c r="AO23" i="134"/>
  <c r="F23" i="137"/>
  <c r="AV23" i="135"/>
  <c r="AX23" i="135" s="1"/>
  <c r="AP25" i="113"/>
  <c r="J24" i="115"/>
  <c r="H29" i="112"/>
  <c r="D39" i="112" s="1"/>
  <c r="E39" i="112" s="1"/>
  <c r="Y30" i="132"/>
  <c r="Z30" i="136"/>
  <c r="B68" i="13"/>
  <c r="B69" i="13" s="1"/>
  <c r="AU22" i="135"/>
  <c r="AW22" i="135" s="1"/>
  <c r="AQ22" i="135"/>
  <c r="AP28" i="134"/>
  <c r="AA110" i="111"/>
  <c r="G26" i="112"/>
  <c r="J27" i="137"/>
  <c r="F26" i="139"/>
  <c r="AU27" i="135"/>
  <c r="AW27" i="135" s="1"/>
  <c r="AQ27" i="135"/>
  <c r="O17" i="135"/>
  <c r="O28" i="135" s="1"/>
  <c r="N28" i="135"/>
  <c r="Q28" i="135"/>
  <c r="P28" i="135"/>
  <c r="R28" i="135"/>
  <c r="U28" i="135"/>
  <c r="AC28" i="135" s="1"/>
  <c r="AC17" i="135"/>
  <c r="L19" i="165"/>
  <c r="Y30" i="136" l="1"/>
  <c r="AU26" i="158"/>
  <c r="AW26" i="158" s="1"/>
  <c r="AQ26" i="158"/>
  <c r="AQ28" i="158" s="1"/>
  <c r="F11" i="139"/>
  <c r="AP25" i="135"/>
  <c r="AV25" i="113"/>
  <c r="AX25" i="113" s="1"/>
  <c r="AP28" i="113"/>
  <c r="AO24" i="134"/>
  <c r="AO28" i="134" s="1"/>
  <c r="F24" i="137"/>
  <c r="H23" i="139" s="1"/>
  <c r="AQ23" i="134"/>
  <c r="AU23" i="134"/>
  <c r="AW23" i="134" s="1"/>
  <c r="AO23" i="135"/>
  <c r="W107" i="156"/>
  <c r="X110" i="156"/>
  <c r="AP26" i="135"/>
  <c r="AV26" i="135" s="1"/>
  <c r="AX26" i="135" s="1"/>
  <c r="AV26" i="113"/>
  <c r="AX26" i="113" s="1"/>
  <c r="F29" i="133"/>
  <c r="D37" i="133" s="1"/>
  <c r="E37" i="133" s="1"/>
  <c r="D23" i="133"/>
  <c r="E23" i="137"/>
  <c r="E29" i="133"/>
  <c r="D36" i="133" s="1"/>
  <c r="E36" i="133" s="1"/>
  <c r="Y106" i="111"/>
  <c r="F25" i="112"/>
  <c r="AO25" i="113" s="1"/>
  <c r="I23" i="139"/>
  <c r="G29" i="137"/>
  <c r="D38" i="137" s="1"/>
  <c r="E38" i="137" s="1"/>
  <c r="H22" i="139"/>
  <c r="J25" i="133"/>
  <c r="D25" i="137"/>
  <c r="D26" i="157"/>
  <c r="E29" i="157"/>
  <c r="D36" i="157" s="1"/>
  <c r="E36" i="157" s="1"/>
  <c r="E24" i="137"/>
  <c r="G23" i="139" s="1"/>
  <c r="D24" i="133"/>
  <c r="I25" i="115"/>
  <c r="E26" i="137"/>
  <c r="G25" i="139" s="1"/>
  <c r="I24" i="115"/>
  <c r="G29" i="112"/>
  <c r="D38" i="112" s="1"/>
  <c r="E38" i="112" s="1"/>
  <c r="Y107" i="111"/>
  <c r="Z110" i="111"/>
  <c r="F26" i="112"/>
  <c r="H25" i="115" s="1"/>
  <c r="X107" i="111" l="1"/>
  <c r="W107" i="111" s="1"/>
  <c r="E26" i="112"/>
  <c r="AO26" i="113"/>
  <c r="AO28" i="113" s="1"/>
  <c r="D26" i="137"/>
  <c r="J26" i="157"/>
  <c r="D29" i="157"/>
  <c r="D35" i="157" s="1"/>
  <c r="X106" i="111"/>
  <c r="W106" i="111" s="1"/>
  <c r="E25" i="112"/>
  <c r="Y110" i="111"/>
  <c r="J24" i="133"/>
  <c r="D24" i="137"/>
  <c r="F24" i="139"/>
  <c r="J25" i="137"/>
  <c r="W27" i="136"/>
  <c r="W30" i="136" s="1"/>
  <c r="V30" i="136" s="1"/>
  <c r="W110" i="156"/>
  <c r="W112" i="156" s="1"/>
  <c r="G22" i="139"/>
  <c r="E29" i="137"/>
  <c r="D36" i="137" s="1"/>
  <c r="E36" i="137" s="1"/>
  <c r="AU25" i="113"/>
  <c r="AW25" i="113" s="1"/>
  <c r="AQ25" i="113"/>
  <c r="AO25" i="135"/>
  <c r="F29" i="137"/>
  <c r="D37" i="137" s="1"/>
  <c r="E37" i="137" s="1"/>
  <c r="H24" i="115"/>
  <c r="F29" i="112"/>
  <c r="D37" i="112" s="1"/>
  <c r="E37" i="112" s="1"/>
  <c r="J23" i="133"/>
  <c r="D23" i="137"/>
  <c r="D29" i="133"/>
  <c r="D35" i="133" s="1"/>
  <c r="AU23" i="135"/>
  <c r="AW23" i="135" s="1"/>
  <c r="AQ23" i="135"/>
  <c r="AU24" i="134"/>
  <c r="AW24" i="134" s="1"/>
  <c r="AQ24" i="134"/>
  <c r="AQ28" i="134" s="1"/>
  <c r="AO24" i="135"/>
  <c r="AV25" i="135"/>
  <c r="AX25" i="135" s="1"/>
  <c r="AP28" i="135"/>
  <c r="X110" i="111" l="1"/>
  <c r="AU24" i="135"/>
  <c r="AW24" i="135" s="1"/>
  <c r="AQ24" i="135"/>
  <c r="E35" i="157"/>
  <c r="E40" i="157" s="1"/>
  <c r="D40" i="157"/>
  <c r="E41" i="157" s="1"/>
  <c r="F22" i="139"/>
  <c r="J23" i="137"/>
  <c r="D29" i="137"/>
  <c r="D35" i="137" s="1"/>
  <c r="F23" i="139"/>
  <c r="J24" i="137"/>
  <c r="V106" i="111"/>
  <c r="W110" i="111"/>
  <c r="AU26" i="113"/>
  <c r="AW26" i="113" s="1"/>
  <c r="AO26" i="135"/>
  <c r="AQ26" i="113"/>
  <c r="AQ28" i="113" s="1"/>
  <c r="AQ25" i="135"/>
  <c r="AU25" i="135"/>
  <c r="AW25" i="135" s="1"/>
  <c r="G25" i="115"/>
  <c r="D26" i="112"/>
  <c r="D40" i="133"/>
  <c r="E35" i="133"/>
  <c r="E40" i="133" s="1"/>
  <c r="G24" i="115"/>
  <c r="E29" i="112"/>
  <c r="D36" i="112" s="1"/>
  <c r="E36" i="112" s="1"/>
  <c r="F25" i="139"/>
  <c r="J26" i="137"/>
  <c r="C182" i="84"/>
  <c r="D8" i="164"/>
  <c r="A50" i="164"/>
  <c r="BH12" i="91"/>
  <c r="U106" i="111" l="1"/>
  <c r="T106" i="111" s="1"/>
  <c r="V110" i="111"/>
  <c r="V112" i="111" s="1"/>
  <c r="AQ26" i="135"/>
  <c r="AQ28" i="135" s="1"/>
  <c r="AU26" i="135"/>
  <c r="AW26" i="135" s="1"/>
  <c r="J26" i="112"/>
  <c r="F25" i="115"/>
  <c r="E35" i="137"/>
  <c r="E40" i="137" s="1"/>
  <c r="D40" i="137"/>
  <c r="E41" i="133"/>
  <c r="AO28" i="135"/>
  <c r="H13" i="71"/>
  <c r="K13" i="165" s="1"/>
  <c r="J21" i="19"/>
  <c r="L21" i="19" s="1"/>
  <c r="F143" i="68"/>
  <c r="J13" i="71" s="1"/>
  <c r="J20" i="19"/>
  <c r="E41" i="137" l="1"/>
  <c r="S106" i="111"/>
  <c r="C25" i="112"/>
  <c r="T110" i="111"/>
  <c r="D13" i="161"/>
  <c r="D13" i="70"/>
  <c r="D52" i="70"/>
  <c r="D58" i="161"/>
  <c r="L20" i="19"/>
  <c r="J22" i="19"/>
  <c r="L13" i="165"/>
  <c r="D50" i="164"/>
  <c r="D135" i="43"/>
  <c r="D166" i="84"/>
  <c r="D12" i="164"/>
  <c r="D35" i="70"/>
  <c r="I74" i="13"/>
  <c r="D133" i="43"/>
  <c r="D32" i="164"/>
  <c r="B131" i="43"/>
  <c r="B192" i="43" s="1"/>
  <c r="D55" i="164"/>
  <c r="E55" i="164" s="1"/>
  <c r="F55" i="164" s="1"/>
  <c r="F29" i="40"/>
  <c r="D30" i="70" l="1"/>
  <c r="D36" i="161"/>
  <c r="D25" i="112"/>
  <c r="J25" i="112" s="1"/>
  <c r="E24" i="115"/>
  <c r="C29" i="112"/>
  <c r="R106" i="111"/>
  <c r="R110" i="111" s="1"/>
  <c r="S110" i="111"/>
  <c r="D61" i="164"/>
  <c r="E61" i="164" s="1"/>
  <c r="F61" i="164" s="1"/>
  <c r="D137" i="43"/>
  <c r="D41" i="161"/>
  <c r="D43" i="161" s="1"/>
  <c r="D56" i="164"/>
  <c r="E56" i="164" s="1"/>
  <c r="F56" i="164" s="1"/>
  <c r="D37" i="70"/>
  <c r="D32" i="67"/>
  <c r="E34" i="67" s="1"/>
  <c r="O11" i="87"/>
  <c r="C186" i="84"/>
  <c r="G17" i="71"/>
  <c r="J17" i="165" s="1"/>
  <c r="D62" i="164"/>
  <c r="W11" i="87"/>
  <c r="D143" i="43"/>
  <c r="D134" i="43"/>
  <c r="H17" i="71"/>
  <c r="D29" i="43"/>
  <c r="E138" i="43" l="1"/>
  <c r="F24" i="115"/>
  <c r="D29" i="112"/>
  <c r="D35" i="112" s="1"/>
  <c r="R112" i="111"/>
  <c r="C73" i="164"/>
  <c r="E73" i="164" s="1"/>
  <c r="F73" i="164" s="1"/>
  <c r="W112" i="111"/>
  <c r="E27" i="67"/>
  <c r="J11" i="89" s="1"/>
  <c r="L11" i="87"/>
  <c r="M11" i="89"/>
  <c r="I17" i="71"/>
  <c r="D141" i="43"/>
  <c r="E144" i="43" s="1"/>
  <c r="D14" i="70"/>
  <c r="D17" i="161"/>
  <c r="K17" i="165"/>
  <c r="E146" i="43" l="1"/>
  <c r="E35" i="112"/>
  <c r="E40" i="112" s="1"/>
  <c r="D40" i="112"/>
  <c r="E41" i="112" s="1"/>
  <c r="J17" i="71"/>
  <c r="E11" i="87"/>
  <c r="D13" i="67"/>
  <c r="L17" i="165" l="1"/>
  <c r="D150" i="43"/>
  <c r="D11" i="89"/>
  <c r="K46" i="20" l="1"/>
  <c r="K47" i="20" s="1"/>
  <c r="L46" i="20"/>
  <c r="L47" i="20" s="1"/>
  <c r="M46" i="20"/>
  <c r="M47" i="20" s="1"/>
  <c r="N46" i="20"/>
  <c r="N47" i="20" s="1"/>
  <c r="O46" i="20"/>
  <c r="O47" i="20" s="1"/>
  <c r="P46" i="20"/>
  <c r="P47" i="20" s="1"/>
  <c r="Q46" i="20"/>
  <c r="Q47" i="20" s="1"/>
  <c r="R46" i="20"/>
  <c r="R47" i="20" s="1"/>
  <c r="S46" i="20"/>
  <c r="S47" i="20" s="1"/>
  <c r="T46" i="20"/>
  <c r="T47" i="20" s="1"/>
  <c r="V46" i="20"/>
  <c r="V47" i="20" s="1"/>
  <c r="U46" i="20"/>
  <c r="U47" i="20" s="1"/>
  <c r="D18" i="164" s="1"/>
  <c r="E18" i="164" s="1"/>
  <c r="F18" i="164" s="1"/>
  <c r="W12" i="20"/>
  <c r="W13" i="20" s="1"/>
  <c r="W14" i="20" s="1"/>
  <c r="W15" i="20" s="1"/>
  <c r="W16" i="20" s="1"/>
  <c r="W17" i="20" s="1"/>
  <c r="W18" i="20" s="1"/>
  <c r="W19" i="20" s="1"/>
  <c r="W20" i="20" s="1"/>
  <c r="W21" i="20" s="1"/>
  <c r="W22" i="20" s="1"/>
  <c r="W23" i="20" s="1"/>
  <c r="W24" i="20" s="1"/>
  <c r="W25" i="20" s="1"/>
  <c r="W26" i="20" s="1"/>
  <c r="W27" i="20" s="1"/>
  <c r="W28" i="20" s="1"/>
  <c r="W29" i="20" s="1"/>
  <c r="W30" i="20" s="1"/>
  <c r="W31" i="20" s="1"/>
  <c r="W32" i="20" s="1"/>
  <c r="W33" i="20" s="1"/>
  <c r="W34" i="20" s="1"/>
  <c r="W35" i="20" s="1"/>
  <c r="W36" i="20" s="1"/>
  <c r="W37" i="20" s="1"/>
  <c r="W38" i="20" s="1"/>
  <c r="W39" i="20" s="1"/>
  <c r="W40" i="20" s="1"/>
  <c r="W41" i="20" s="1"/>
  <c r="W42" i="20" s="1"/>
  <c r="W43" i="20" s="1"/>
  <c r="W44" i="20" s="1"/>
  <c r="W46" i="20" l="1"/>
  <c r="H23" i="71"/>
  <c r="W47" i="20"/>
  <c r="F150" i="68" s="1"/>
  <c r="C192" i="84"/>
  <c r="D378" i="43"/>
  <c r="E379" i="43" s="1"/>
  <c r="E381" i="43" s="1"/>
  <c r="BL12" i="91" l="1"/>
  <c r="J23" i="71"/>
  <c r="D385" i="43"/>
  <c r="I23" i="71"/>
  <c r="K23" i="165"/>
  <c r="L23" i="165" l="1"/>
  <c r="F36" i="60" l="1"/>
  <c r="G13" i="71" s="1"/>
  <c r="I13" i="71" s="1"/>
  <c r="G36" i="60"/>
  <c r="C8" i="164" s="1"/>
  <c r="E8" i="164" s="1"/>
  <c r="F8" i="164" s="1"/>
  <c r="H36" i="60"/>
  <c r="I36" i="60"/>
  <c r="C28" i="164" s="1"/>
  <c r="E28" i="164" s="1"/>
  <c r="F28" i="164" s="1"/>
  <c r="J36" i="60"/>
  <c r="K36" i="60"/>
  <c r="G13" i="165"/>
  <c r="L12" i="60"/>
  <c r="L13" i="60" l="1"/>
  <c r="L14" i="60" s="1"/>
  <c r="L15" i="60" s="1"/>
  <c r="L16" i="60" s="1"/>
  <c r="L17" i="60" s="1"/>
  <c r="L18" i="60" s="1"/>
  <c r="L19" i="60" s="1"/>
  <c r="L20" i="60" s="1"/>
  <c r="L21" i="60" s="1"/>
  <c r="L22" i="60" s="1"/>
  <c r="L23" i="60" s="1"/>
  <c r="L24" i="60" s="1"/>
  <c r="L25" i="60" s="1"/>
  <c r="L26" i="60" s="1"/>
  <c r="L27" i="60" s="1"/>
  <c r="L28" i="60" s="1"/>
  <c r="L29" i="60" s="1"/>
  <c r="L30" i="60" s="1"/>
  <c r="L31" i="60" s="1"/>
  <c r="L32" i="60" s="1"/>
  <c r="L33" i="60" s="1"/>
  <c r="E13" i="71"/>
  <c r="I13" i="165" s="1"/>
  <c r="J13" i="165"/>
  <c r="L36" i="60"/>
  <c r="F157" i="68" s="1"/>
  <c r="D25" i="161" l="1"/>
  <c r="H121" i="68"/>
  <c r="H143" i="68" s="1"/>
  <c r="D13" i="71"/>
  <c r="F13" i="71" s="1"/>
  <c r="D22" i="70"/>
  <c r="H13" i="165" l="1"/>
  <c r="K13" i="71"/>
  <c r="F30" i="61"/>
  <c r="C9" i="164" s="1"/>
  <c r="G30" i="61"/>
  <c r="H30" i="61"/>
  <c r="C29" i="164" s="1"/>
  <c r="E29" i="164" s="1"/>
  <c r="F29" i="164" s="1"/>
  <c r="I30" i="61"/>
  <c r="J30" i="61"/>
  <c r="G14" i="165"/>
  <c r="K12" i="61"/>
  <c r="K13" i="61" l="1"/>
  <c r="K14" i="61" s="1"/>
  <c r="K15" i="61" s="1"/>
  <c r="K16" i="61" s="1"/>
  <c r="K17" i="61" s="1"/>
  <c r="K18" i="61" s="1"/>
  <c r="K19" i="61" s="1"/>
  <c r="K20" i="61" s="1"/>
  <c r="K21" i="61" s="1"/>
  <c r="K22" i="61" s="1"/>
  <c r="K23" i="61" s="1"/>
  <c r="K24" i="61" s="1"/>
  <c r="K25" i="61" s="1"/>
  <c r="K26" i="61" s="1"/>
  <c r="K27" i="61" s="1"/>
  <c r="E14" i="71"/>
  <c r="I14" i="165" s="1"/>
  <c r="K30" i="61"/>
  <c r="F159" i="68" s="1"/>
  <c r="D27" i="161" l="1"/>
  <c r="D14" i="71"/>
  <c r="H14" i="165" l="1"/>
  <c r="F14" i="71"/>
  <c r="F32" i="56" l="1"/>
  <c r="C12" i="164" s="1"/>
  <c r="E12" i="164" s="1"/>
  <c r="F12" i="164" s="1"/>
  <c r="G32" i="56"/>
  <c r="H32" i="56"/>
  <c r="C32" i="164" s="1"/>
  <c r="E32" i="164" s="1"/>
  <c r="F32" i="164" s="1"/>
  <c r="I32" i="56"/>
  <c r="J31" i="56"/>
  <c r="J32" i="56" s="1"/>
  <c r="G17" i="165"/>
  <c r="K31" i="56" l="1"/>
  <c r="E17" i="71"/>
  <c r="I17" i="165" s="1"/>
  <c r="K32" i="56"/>
  <c r="D23" i="70" s="1"/>
  <c r="D29" i="161" l="1"/>
  <c r="D17" i="71"/>
  <c r="D20" i="67"/>
  <c r="D42" i="43"/>
  <c r="I11" i="87"/>
  <c r="D149" i="43" l="1"/>
  <c r="E151" i="43" s="1"/>
  <c r="E153" i="43" s="1"/>
  <c r="G11" i="89"/>
  <c r="F17" i="71"/>
  <c r="H17" i="165"/>
  <c r="K17" i="71" l="1"/>
  <c r="C34" i="164"/>
  <c r="E34" i="164" s="1"/>
  <c r="F34" i="164" s="1"/>
  <c r="C210" i="43"/>
  <c r="G19" i="165"/>
  <c r="K53" i="57" l="1"/>
  <c r="K54" i="57"/>
  <c r="E19" i="71"/>
  <c r="I19" i="165" l="1"/>
  <c r="D31" i="161"/>
  <c r="D25" i="70"/>
  <c r="D19" i="71" l="1"/>
  <c r="G42" i="70"/>
  <c r="D22" i="67"/>
  <c r="G48" i="161"/>
  <c r="F19" i="71" l="1"/>
  <c r="H19" i="165"/>
  <c r="K19" i="71" l="1"/>
  <c r="F30" i="58"/>
  <c r="G29" i="58"/>
  <c r="G30" i="58" s="1"/>
  <c r="H29" i="58"/>
  <c r="H30" i="58" s="1"/>
  <c r="I29" i="58"/>
  <c r="I30" i="58" s="1"/>
  <c r="C37" i="164" s="1"/>
  <c r="E37" i="164" s="1"/>
  <c r="F37" i="164" s="1"/>
  <c r="J29" i="58"/>
  <c r="J30" i="58" s="1"/>
  <c r="H53" i="72" s="1"/>
  <c r="K29" i="58"/>
  <c r="K30" i="58" s="1"/>
  <c r="H54" i="72" s="1"/>
  <c r="L12" i="58"/>
  <c r="L13" i="58" s="1"/>
  <c r="L14" i="58" s="1"/>
  <c r="L15" i="58" s="1"/>
  <c r="L16" i="58" s="1"/>
  <c r="L17" i="58" s="1"/>
  <c r="L18" i="58" s="1"/>
  <c r="L19" i="58" s="1"/>
  <c r="L20" i="58" s="1"/>
  <c r="L21" i="58" s="1"/>
  <c r="L22" i="58" s="1"/>
  <c r="L23" i="58" s="1"/>
  <c r="L24" i="58" s="1"/>
  <c r="L25" i="58" s="1"/>
  <c r="L26" i="58" s="1"/>
  <c r="L27" i="58" s="1"/>
  <c r="L29" i="58" l="1"/>
  <c r="C17" i="164"/>
  <c r="L30" i="58"/>
  <c r="F162" i="68" s="1"/>
  <c r="E22" i="71"/>
  <c r="H20" i="72"/>
  <c r="H22" i="72" s="1"/>
  <c r="H56" i="72"/>
  <c r="H60" i="72" l="1"/>
  <c r="D22" i="71"/>
  <c r="D323" i="43"/>
  <c r="BP12" i="91"/>
  <c r="I22" i="165"/>
  <c r="F22" i="71" l="1"/>
  <c r="H22" i="165"/>
  <c r="J30" i="59" l="1"/>
  <c r="K29" i="59"/>
  <c r="K30" i="59" s="1"/>
  <c r="H54" i="73" s="1"/>
  <c r="L12" i="59"/>
  <c r="L13" i="59" s="1"/>
  <c r="L14" i="59" s="1"/>
  <c r="L15" i="59" s="1"/>
  <c r="L16" i="59" s="1"/>
  <c r="L17" i="59" s="1"/>
  <c r="L18" i="59" s="1"/>
  <c r="L19" i="59" s="1"/>
  <c r="L20" i="59" s="1"/>
  <c r="L21" i="59" s="1"/>
  <c r="L22" i="59" s="1"/>
  <c r="L23" i="59" s="1"/>
  <c r="L24" i="59" s="1"/>
  <c r="L25" i="59" s="1"/>
  <c r="L26" i="59" s="1"/>
  <c r="L27" i="59" s="1"/>
  <c r="L29" i="59" l="1"/>
  <c r="L30" i="59"/>
  <c r="F164" i="68" s="1"/>
  <c r="D384" i="43" s="1"/>
  <c r="E386" i="43" s="1"/>
  <c r="E388" i="43" s="1"/>
  <c r="E23" i="71"/>
  <c r="I23" i="165" s="1"/>
  <c r="H53" i="73"/>
  <c r="H56" i="73" s="1"/>
  <c r="H60" i="73" s="1"/>
  <c r="BQ12" i="91" l="1"/>
  <c r="H128" i="68"/>
  <c r="H150" i="68" s="1"/>
  <c r="D23" i="71"/>
  <c r="F23" i="71" s="1"/>
  <c r="H23" i="165" l="1"/>
  <c r="K23" i="71"/>
  <c r="E30" i="63"/>
  <c r="F30" i="63"/>
  <c r="C21" i="164" s="1"/>
  <c r="G30" i="63"/>
  <c r="D17" i="75" s="1"/>
  <c r="D19" i="75" s="1"/>
  <c r="H29" i="63"/>
  <c r="H30" i="63" s="1"/>
  <c r="I29" i="63"/>
  <c r="I30" i="63" s="1"/>
  <c r="J29" i="63"/>
  <c r="J30" i="63" s="1"/>
  <c r="D51" i="75" s="1"/>
  <c r="K12" i="63"/>
  <c r="K13" i="63" l="1"/>
  <c r="K14" i="63" s="1"/>
  <c r="K15" i="63" s="1"/>
  <c r="K16" i="63" s="1"/>
  <c r="K17" i="63" s="1"/>
  <c r="K18" i="63" s="1"/>
  <c r="K19" i="63" s="1"/>
  <c r="K20" i="63" s="1"/>
  <c r="K21" i="63" s="1"/>
  <c r="K22" i="63" s="1"/>
  <c r="K23" i="63" s="1"/>
  <c r="K24" i="63" s="1"/>
  <c r="K25" i="63" s="1"/>
  <c r="K26" i="63" s="1"/>
  <c r="K27" i="63" s="1"/>
  <c r="K29" i="63"/>
  <c r="E26" i="71"/>
  <c r="D50" i="75"/>
  <c r="D53" i="75" s="1"/>
  <c r="D57" i="75" s="1"/>
  <c r="C41" i="164"/>
  <c r="K30" i="63"/>
  <c r="F167" i="68" s="1"/>
  <c r="I26" i="165" l="1"/>
  <c r="D551" i="43"/>
  <c r="D26" i="71"/>
  <c r="H26" i="165" l="1"/>
  <c r="F26" i="71"/>
  <c r="E30" i="64" l="1"/>
  <c r="F30" i="64"/>
  <c r="C22" i="164" s="1"/>
  <c r="G30" i="64"/>
  <c r="H30" i="64"/>
  <c r="C42" i="164" s="1"/>
  <c r="E42" i="164" s="1"/>
  <c r="F42" i="164" s="1"/>
  <c r="I30" i="64"/>
  <c r="J30" i="64"/>
  <c r="A22" i="164"/>
  <c r="K12" i="64"/>
  <c r="K13" i="64" s="1"/>
  <c r="K14" i="64" s="1"/>
  <c r="K15" i="64" s="1"/>
  <c r="K16" i="64" s="1"/>
  <c r="K17" i="64" s="1"/>
  <c r="K18" i="64" s="1"/>
  <c r="K19" i="64" s="1"/>
  <c r="K20" i="64" s="1"/>
  <c r="K21" i="64" s="1"/>
  <c r="K22" i="64" s="1"/>
  <c r="K23" i="64" s="1"/>
  <c r="K24" i="64" s="1"/>
  <c r="K25" i="64" s="1"/>
  <c r="K26" i="64" s="1"/>
  <c r="K27" i="64" s="1"/>
  <c r="E27" i="71" l="1"/>
  <c r="I27" i="165" s="1"/>
  <c r="K30" i="64"/>
  <c r="F168" i="68" s="1"/>
  <c r="D27" i="71" s="1"/>
  <c r="D608" i="43" l="1"/>
  <c r="F27" i="71"/>
  <c r="H27" i="165"/>
  <c r="U14" i="6" l="1"/>
  <c r="U15" i="6" s="1"/>
  <c r="U16" i="6" s="1"/>
  <c r="U17" i="6" s="1"/>
  <c r="U18" i="6" s="1"/>
  <c r="K45" i="6"/>
  <c r="K46" i="6" s="1"/>
  <c r="T45" i="6"/>
  <c r="T46" i="6" s="1"/>
  <c r="S45" i="6"/>
  <c r="S46" i="6" s="1"/>
  <c r="D17" i="164" s="1"/>
  <c r="E17" i="164" s="1"/>
  <c r="F17" i="164" s="1"/>
  <c r="R45" i="6"/>
  <c r="R46" i="6" s="1"/>
  <c r="Q45" i="6"/>
  <c r="Q46" i="6" s="1"/>
  <c r="P45" i="6"/>
  <c r="P46" i="6" s="1"/>
  <c r="O45" i="6"/>
  <c r="O46" i="6" s="1"/>
  <c r="N45" i="6"/>
  <c r="N46" i="6" s="1"/>
  <c r="M45" i="6"/>
  <c r="M46" i="6" s="1"/>
  <c r="L45" i="6"/>
  <c r="L46" i="6" s="1"/>
  <c r="J45" i="6"/>
  <c r="J46" i="6" s="1"/>
  <c r="I45" i="6"/>
  <c r="I46" i="6" s="1"/>
  <c r="H45" i="6"/>
  <c r="H46" i="6" s="1"/>
  <c r="G45" i="6"/>
  <c r="G46" i="6" s="1"/>
  <c r="F45" i="6"/>
  <c r="U45" i="6" l="1"/>
  <c r="D317" i="43"/>
  <c r="E318" i="43" s="1"/>
  <c r="C191" i="84"/>
  <c r="U19" i="6"/>
  <c r="U20" i="6" s="1"/>
  <c r="U21" i="6" s="1"/>
  <c r="F46" i="6"/>
  <c r="U46" i="6" s="1"/>
  <c r="F148" i="68" s="1"/>
  <c r="H22" i="71"/>
  <c r="U22" i="6" l="1"/>
  <c r="U23" i="6" s="1"/>
  <c r="U24" i="6" s="1"/>
  <c r="U25" i="6" s="1"/>
  <c r="U26" i="6" s="1"/>
  <c r="U27" i="6" s="1"/>
  <c r="U28" i="6" s="1"/>
  <c r="U29" i="6" s="1"/>
  <c r="U30" i="6" s="1"/>
  <c r="U31" i="6" s="1"/>
  <c r="U32" i="6" s="1"/>
  <c r="U33" i="6" s="1"/>
  <c r="U34" i="6" s="1"/>
  <c r="U35" i="6" s="1"/>
  <c r="U36" i="6" s="1"/>
  <c r="U37" i="6" s="1"/>
  <c r="U38" i="6" s="1"/>
  <c r="U39" i="6" s="1"/>
  <c r="U40" i="6" s="1"/>
  <c r="U41" i="6" s="1"/>
  <c r="U42" i="6" s="1"/>
  <c r="U43" i="6" s="1"/>
  <c r="D311" i="43"/>
  <c r="E312" i="43" s="1"/>
  <c r="E320" i="43" s="1"/>
  <c r="D171" i="84"/>
  <c r="G22" i="71"/>
  <c r="K22" i="165"/>
  <c r="D324" i="43"/>
  <c r="E325" i="43" s="1"/>
  <c r="BK12" i="91"/>
  <c r="J22" i="71"/>
  <c r="H126" i="68"/>
  <c r="J22" i="165" l="1"/>
  <c r="I22" i="71"/>
  <c r="K22" i="71" s="1"/>
  <c r="E327" i="43"/>
  <c r="H148" i="68"/>
  <c r="L22" i="165"/>
  <c r="U33" i="13"/>
  <c r="V33" i="13" s="1"/>
  <c r="U15" i="13"/>
  <c r="V15" i="13" s="1"/>
  <c r="U17" i="13"/>
  <c r="V17" i="13" s="1"/>
  <c r="S19" i="13"/>
  <c r="T19" i="13" s="1"/>
  <c r="U19" i="13" s="1"/>
  <c r="V19" i="13" s="1"/>
  <c r="D45" i="161"/>
  <c r="U23" i="13" l="1"/>
  <c r="V23" i="13" s="1"/>
  <c r="U25" i="13"/>
  <c r="V25" i="13" s="1"/>
  <c r="F45" i="52"/>
  <c r="D175" i="84" s="1"/>
  <c r="T45" i="52"/>
  <c r="C195" i="84" s="1"/>
  <c r="E45" i="52"/>
  <c r="D41" i="164" s="1"/>
  <c r="E41" i="164" s="1"/>
  <c r="F41" i="164" s="1"/>
  <c r="G45" i="52"/>
  <c r="H45" i="52"/>
  <c r="I45" i="52"/>
  <c r="J45" i="52"/>
  <c r="K45" i="52"/>
  <c r="L45" i="52"/>
  <c r="M45" i="52"/>
  <c r="N45" i="52"/>
  <c r="O45" i="52"/>
  <c r="P45" i="52"/>
  <c r="Q45" i="52"/>
  <c r="R45" i="52"/>
  <c r="S45" i="52"/>
  <c r="U44" i="52"/>
  <c r="U45" i="52" s="1"/>
  <c r="D21" i="164" s="1"/>
  <c r="E21" i="164" s="1"/>
  <c r="F21" i="164" s="1"/>
  <c r="V44" i="52"/>
  <c r="V45" i="52" s="1"/>
  <c r="W12" i="52"/>
  <c r="W13" i="52" s="1"/>
  <c r="W14" i="52" s="1"/>
  <c r="W15" i="52" s="1"/>
  <c r="W16" i="52" s="1"/>
  <c r="W17" i="52" s="1"/>
  <c r="W18" i="52" s="1"/>
  <c r="W19" i="52" s="1"/>
  <c r="W20" i="52" s="1"/>
  <c r="W21" i="52" s="1"/>
  <c r="W22" i="52" s="1"/>
  <c r="W23" i="52" s="1"/>
  <c r="W24" i="52" s="1"/>
  <c r="W25" i="52" s="1"/>
  <c r="W26" i="52" s="1"/>
  <c r="W27" i="52" s="1"/>
  <c r="W28" i="52" s="1"/>
  <c r="W29" i="52" s="1"/>
  <c r="W30" i="52" s="1"/>
  <c r="W31" i="52" s="1"/>
  <c r="W32" i="52" s="1"/>
  <c r="W33" i="52" s="1"/>
  <c r="W34" i="52" s="1"/>
  <c r="W35" i="52" s="1"/>
  <c r="W36" i="52" s="1"/>
  <c r="W37" i="52" s="1"/>
  <c r="W38" i="52" s="1"/>
  <c r="W39" i="52" s="1"/>
  <c r="W40" i="52" s="1"/>
  <c r="W41" i="52" s="1"/>
  <c r="W42" i="52" s="1"/>
  <c r="F45" i="51"/>
  <c r="D176" i="84" s="1"/>
  <c r="T44" i="51"/>
  <c r="T45" i="51" s="1"/>
  <c r="C196" i="84" s="1"/>
  <c r="G45" i="51"/>
  <c r="H45" i="51"/>
  <c r="I45" i="51"/>
  <c r="J45" i="51"/>
  <c r="K45" i="51"/>
  <c r="L45" i="51"/>
  <c r="M45" i="51"/>
  <c r="N45" i="51"/>
  <c r="O45" i="51"/>
  <c r="P45" i="51"/>
  <c r="Q45" i="51"/>
  <c r="R45" i="51"/>
  <c r="S44" i="51"/>
  <c r="S45" i="51" s="1"/>
  <c r="U44" i="51"/>
  <c r="U45" i="51" s="1"/>
  <c r="D22" i="164" s="1"/>
  <c r="E22" i="164" s="1"/>
  <c r="F22" i="164" s="1"/>
  <c r="V44" i="51"/>
  <c r="V45" i="51" s="1"/>
  <c r="W12" i="51"/>
  <c r="W13" i="51" s="1"/>
  <c r="W14" i="51" s="1"/>
  <c r="W15" i="51" s="1"/>
  <c r="W16" i="51" s="1"/>
  <c r="W17" i="51" s="1"/>
  <c r="W18" i="51" s="1"/>
  <c r="W19" i="51" s="1"/>
  <c r="W20" i="51" s="1"/>
  <c r="W21" i="51" s="1"/>
  <c r="W22" i="51" s="1"/>
  <c r="W23" i="51" s="1"/>
  <c r="W24" i="51" s="1"/>
  <c r="W25" i="51" s="1"/>
  <c r="W26" i="51" s="1"/>
  <c r="W27" i="51" s="1"/>
  <c r="W28" i="51" s="1"/>
  <c r="W29" i="51" s="1"/>
  <c r="W30" i="51" s="1"/>
  <c r="W31" i="51" s="1"/>
  <c r="W32" i="51" s="1"/>
  <c r="W33" i="51" s="1"/>
  <c r="W34" i="51" s="1"/>
  <c r="W35" i="51" s="1"/>
  <c r="W36" i="51" s="1"/>
  <c r="W37" i="51" s="1"/>
  <c r="W38" i="51" s="1"/>
  <c r="W39" i="51" s="1"/>
  <c r="W40" i="51" s="1"/>
  <c r="W41" i="51" s="1"/>
  <c r="W42" i="51" s="1"/>
  <c r="D596" i="43" l="1"/>
  <c r="E597" i="43" s="1"/>
  <c r="G26" i="71"/>
  <c r="J26" i="165" s="1"/>
  <c r="W44" i="51"/>
  <c r="G27" i="71"/>
  <c r="J27" i="165" s="1"/>
  <c r="D539" i="43"/>
  <c r="E540" i="43" s="1"/>
  <c r="W44" i="52"/>
  <c r="W45" i="52"/>
  <c r="F153" i="68" s="1"/>
  <c r="H131" i="68" s="1"/>
  <c r="H26" i="71"/>
  <c r="K26" i="165" s="1"/>
  <c r="D545" i="43"/>
  <c r="E546" i="43" s="1"/>
  <c r="E548" i="43" s="1"/>
  <c r="H27" i="71"/>
  <c r="D602" i="43"/>
  <c r="E603" i="43" s="1"/>
  <c r="W45" i="51"/>
  <c r="F154" i="68" s="1"/>
  <c r="J27" i="71" s="1"/>
  <c r="L27" i="165" s="1"/>
  <c r="E605" i="43" l="1"/>
  <c r="I27" i="71"/>
  <c r="K27" i="71" s="1"/>
  <c r="D609" i="43"/>
  <c r="E610" i="43" s="1"/>
  <c r="J26" i="71"/>
  <c r="L26" i="165" s="1"/>
  <c r="D552" i="43"/>
  <c r="E553" i="43" s="1"/>
  <c r="E555" i="43" s="1"/>
  <c r="H132" i="68"/>
  <c r="H154" i="68" s="1"/>
  <c r="K27" i="165"/>
  <c r="I26" i="71"/>
  <c r="H153" i="68"/>
  <c r="T34" i="13"/>
  <c r="U34" i="13" s="1"/>
  <c r="E612" i="43" l="1"/>
  <c r="K26" i="71"/>
  <c r="V34" i="13"/>
  <c r="E11" i="84"/>
  <c r="E12" i="84" s="1"/>
  <c r="E13" i="84" s="1"/>
  <c r="E14" i="84" s="1"/>
  <c r="E15" i="84" s="1"/>
  <c r="E16" i="84" s="1"/>
  <c r="E17" i="84" s="1"/>
  <c r="E18" i="84" s="1"/>
  <c r="E19" i="84" s="1"/>
  <c r="E20" i="84" s="1"/>
  <c r="E21" i="84" s="1"/>
  <c r="E22" i="84" s="1"/>
  <c r="E23" i="84" s="1"/>
  <c r="E24" i="84" s="1"/>
  <c r="E25" i="84" s="1"/>
  <c r="E26" i="84" s="1"/>
  <c r="E27" i="84" s="1"/>
  <c r="E28" i="84" s="1"/>
  <c r="E29" i="84" s="1"/>
  <c r="E30" i="84" s="1"/>
  <c r="E31" i="84" s="1"/>
  <c r="E32" i="84" s="1"/>
  <c r="E33" i="84" s="1"/>
  <c r="E34" i="84" s="1"/>
  <c r="E35" i="84" s="1"/>
  <c r="E36" i="84" s="1"/>
  <c r="E37" i="84" s="1"/>
  <c r="E38" i="84" s="1"/>
  <c r="E39" i="84" s="1"/>
  <c r="E40" i="84" s="1"/>
  <c r="E41" i="84" s="1"/>
  <c r="E42" i="84" s="1"/>
  <c r="E43" i="84" s="1"/>
  <c r="E44" i="84" s="1"/>
  <c r="E45" i="84" s="1"/>
  <c r="E46" i="84" s="1"/>
  <c r="E47" i="84" s="1"/>
  <c r="E48" i="84" s="1"/>
  <c r="E49" i="84" s="1"/>
  <c r="E50" i="84" s="1"/>
  <c r="E51" i="84" s="1"/>
  <c r="E52" i="84" s="1"/>
  <c r="E53" i="84" s="1"/>
  <c r="E54" i="84" s="1"/>
  <c r="E55" i="84" s="1"/>
  <c r="E56" i="84" s="1"/>
  <c r="E57" i="84" s="1"/>
  <c r="E58" i="84" s="1"/>
  <c r="E59" i="84" s="1"/>
  <c r="E60" i="84" s="1"/>
  <c r="E61" i="84" s="1"/>
  <c r="E62" i="84" s="1"/>
  <c r="E63" i="84" s="1"/>
  <c r="E64" i="84" s="1"/>
  <c r="E65" i="84" s="1"/>
  <c r="E66" i="84" s="1"/>
  <c r="K11" i="84"/>
  <c r="K12" i="84" s="1"/>
  <c r="K13" i="84" s="1"/>
  <c r="K14" i="84" s="1"/>
  <c r="K15" i="84" s="1"/>
  <c r="K16" i="84" s="1"/>
  <c r="K17" i="84" s="1"/>
  <c r="K18" i="84" s="1"/>
  <c r="K19" i="84" s="1"/>
  <c r="K20" i="84" s="1"/>
  <c r="K21" i="84" s="1"/>
  <c r="K22" i="84" s="1"/>
  <c r="K23" i="84" s="1"/>
  <c r="K24" i="84" s="1"/>
  <c r="E67" i="84" l="1"/>
  <c r="E68" i="84" s="1"/>
  <c r="E69" i="84" s="1"/>
  <c r="E70" i="84" s="1"/>
  <c r="E71" i="84" s="1"/>
  <c r="K25" i="84"/>
  <c r="K26" i="84" s="1"/>
  <c r="K27" i="84" s="1"/>
  <c r="K28" i="84" s="1"/>
  <c r="K29" i="84" s="1"/>
  <c r="K30" i="84" s="1"/>
  <c r="K31" i="84" s="1"/>
  <c r="K32" i="84" s="1"/>
  <c r="K33" i="84" s="1"/>
  <c r="K34" i="84" s="1"/>
  <c r="K35" i="84" s="1"/>
  <c r="K36" i="84" s="1"/>
  <c r="K37" i="84" s="1"/>
  <c r="K38" i="84" s="1"/>
  <c r="K39" i="84" s="1"/>
  <c r="K40" i="84" s="1"/>
  <c r="E72" i="84" l="1"/>
  <c r="E73" i="84" s="1"/>
  <c r="E74" i="84" s="1"/>
  <c r="E75" i="84" s="1"/>
  <c r="E76" i="84" s="1"/>
  <c r="E77" i="84" s="1"/>
  <c r="K41" i="84"/>
  <c r="E78" i="84" l="1"/>
  <c r="E79" i="84" s="1"/>
  <c r="E80" i="84" s="1"/>
  <c r="E81" i="84" s="1"/>
  <c r="E82" i="84" s="1"/>
  <c r="E83" i="84" s="1"/>
  <c r="E84" i="84" s="1"/>
  <c r="E85" i="84" s="1"/>
  <c r="E86" i="84" s="1"/>
  <c r="E87" i="84" s="1"/>
  <c r="E88" i="84" s="1"/>
  <c r="E89" i="84" s="1"/>
  <c r="E90" i="84" s="1"/>
  <c r="E91" i="84" s="1"/>
  <c r="E92" i="84" s="1"/>
  <c r="K42" i="84"/>
  <c r="K43" i="84" s="1"/>
  <c r="K44" i="84" s="1"/>
  <c r="K45" i="84" s="1"/>
  <c r="K46" i="84" s="1"/>
  <c r="K47" i="84" s="1"/>
  <c r="K48" i="84" s="1"/>
  <c r="K49" i="84" s="1"/>
  <c r="K50" i="84" s="1"/>
  <c r="K51" i="84" s="1"/>
  <c r="K52" i="84" s="1"/>
  <c r="K53" i="84" s="1"/>
  <c r="K54" i="84" s="1"/>
  <c r="K55" i="84" s="1"/>
  <c r="K56" i="84" s="1"/>
  <c r="K57" i="84" s="1"/>
  <c r="K58" i="84" s="1"/>
  <c r="K59" i="84" s="1"/>
  <c r="K60" i="84" s="1"/>
  <c r="K61" i="84" s="1"/>
  <c r="K62" i="84" s="1"/>
  <c r="K63" i="84" s="1"/>
  <c r="K64" i="84" s="1"/>
  <c r="K65" i="84" s="1"/>
  <c r="K66" i="84" s="1"/>
  <c r="T35" i="13"/>
  <c r="U35" i="13" s="1"/>
  <c r="V35" i="13" s="1"/>
  <c r="T36" i="13"/>
  <c r="U36" i="13" s="1"/>
  <c r="E93" i="84" l="1"/>
  <c r="E94" i="84" s="1"/>
  <c r="E95" i="84" s="1"/>
  <c r="K67" i="84"/>
  <c r="K68" i="84" s="1"/>
  <c r="K69" i="84" s="1"/>
  <c r="K70" i="84" s="1"/>
  <c r="K71" i="84" s="1"/>
  <c r="K72" i="84" s="1"/>
  <c r="K73" i="84" s="1"/>
  <c r="K74" i="84" s="1"/>
  <c r="K75" i="84" s="1"/>
  <c r="K76" i="84" s="1"/>
  <c r="K77" i="84" s="1"/>
  <c r="V36" i="13"/>
  <c r="J12" i="13"/>
  <c r="L12" i="13" s="1"/>
  <c r="J13" i="13"/>
  <c r="L13" i="13" s="1"/>
  <c r="S13" i="13" s="1"/>
  <c r="U16" i="13"/>
  <c r="V16" i="13" s="1"/>
  <c r="U18" i="13"/>
  <c r="V18" i="13" s="1"/>
  <c r="J20" i="13"/>
  <c r="L20" i="13" s="1"/>
  <c r="L21" i="13"/>
  <c r="S21" i="13" s="1"/>
  <c r="L22" i="13"/>
  <c r="S22" i="13" s="1"/>
  <c r="R22" i="13"/>
  <c r="L24" i="13"/>
  <c r="S24" i="13" s="1"/>
  <c r="L26" i="13"/>
  <c r="S26" i="13" s="1"/>
  <c r="R26" i="13"/>
  <c r="J27" i="13"/>
  <c r="L27" i="13" s="1"/>
  <c r="L28" i="13"/>
  <c r="S28" i="13" s="1"/>
  <c r="R28" i="13"/>
  <c r="J29" i="13"/>
  <c r="R29" i="13" s="1"/>
  <c r="L30" i="13"/>
  <c r="S30" i="13" s="1"/>
  <c r="L31" i="13"/>
  <c r="S31" i="13" s="1"/>
  <c r="L32" i="13"/>
  <c r="S32" i="13" s="1"/>
  <c r="T37" i="13"/>
  <c r="U37" i="13" s="1"/>
  <c r="U38" i="13"/>
  <c r="V38" i="13" s="1"/>
  <c r="T39" i="13"/>
  <c r="U39" i="13" s="1"/>
  <c r="V39" i="13" s="1"/>
  <c r="T40" i="13"/>
  <c r="U40" i="13" s="1"/>
  <c r="V40" i="13" s="1"/>
  <c r="T42" i="13"/>
  <c r="U42" i="13" s="1"/>
  <c r="V42" i="13" s="1"/>
  <c r="T43" i="13"/>
  <c r="U43" i="13" s="1"/>
  <c r="V43" i="13" s="1"/>
  <c r="U44" i="13"/>
  <c r="V44" i="13" s="1"/>
  <c r="T45" i="13"/>
  <c r="U45" i="13" s="1"/>
  <c r="V45" i="13" s="1"/>
  <c r="T46" i="13"/>
  <c r="U46" i="13" s="1"/>
  <c r="V46" i="13" s="1"/>
  <c r="T47" i="13"/>
  <c r="U47" i="13" s="1"/>
  <c r="V47" i="13" s="1"/>
  <c r="T48" i="13"/>
  <c r="U48" i="13" s="1"/>
  <c r="V48" i="13" s="1"/>
  <c r="T49" i="13"/>
  <c r="U49" i="13" s="1"/>
  <c r="V49" i="13" s="1"/>
  <c r="T52" i="13"/>
  <c r="U52" i="13" s="1"/>
  <c r="V52" i="13" s="1"/>
  <c r="T53" i="13"/>
  <c r="U53" i="13" s="1"/>
  <c r="V53" i="13" s="1"/>
  <c r="U54" i="13"/>
  <c r="V54" i="13" s="1"/>
  <c r="T56" i="13"/>
  <c r="U56" i="13" s="1"/>
  <c r="V56" i="13" s="1"/>
  <c r="T57" i="13"/>
  <c r="U57" i="13" s="1"/>
  <c r="V57" i="13" s="1"/>
  <c r="U59" i="13"/>
  <c r="V59" i="13" s="1"/>
  <c r="T60" i="13"/>
  <c r="U60" i="13" s="1"/>
  <c r="V60" i="13" s="1"/>
  <c r="U61" i="13"/>
  <c r="V61" i="13" s="1"/>
  <c r="T62" i="13"/>
  <c r="U62" i="13" s="1"/>
  <c r="V62" i="13" s="1"/>
  <c r="U63" i="13"/>
  <c r="V63" i="13" s="1"/>
  <c r="T64" i="13"/>
  <c r="U64" i="13" s="1"/>
  <c r="V64" i="13" s="1"/>
  <c r="U65" i="13"/>
  <c r="V65" i="13" s="1"/>
  <c r="U66" i="13"/>
  <c r="V66" i="13" s="1"/>
  <c r="T68" i="13"/>
  <c r="U68" i="13" s="1"/>
  <c r="V68" i="13" s="1"/>
  <c r="T69" i="13"/>
  <c r="U69" i="13" s="1"/>
  <c r="V69" i="13" s="1"/>
  <c r="T70" i="13"/>
  <c r="U70" i="13" s="1"/>
  <c r="V70" i="13" s="1"/>
  <c r="U71" i="13"/>
  <c r="V71" i="13" s="1"/>
  <c r="F45" i="79"/>
  <c r="D174" i="84" s="1"/>
  <c r="D203" i="84" s="1"/>
  <c r="O46" i="46"/>
  <c r="C181" i="84" s="1"/>
  <c r="O46" i="48"/>
  <c r="C183" i="84" s="1"/>
  <c r="L45" i="47"/>
  <c r="L46" i="47" s="1"/>
  <c r="O46" i="49"/>
  <c r="C185" i="84" s="1"/>
  <c r="K42" i="85"/>
  <c r="H14" i="67" s="1"/>
  <c r="U11" i="89" s="1"/>
  <c r="P45" i="80"/>
  <c r="C190" i="84" s="1"/>
  <c r="T45" i="50"/>
  <c r="C193" i="84" s="1"/>
  <c r="T45" i="79"/>
  <c r="C194" i="84" s="1"/>
  <c r="K46" i="46"/>
  <c r="D18" i="19" s="1"/>
  <c r="F18" i="19" s="1"/>
  <c r="L46" i="46"/>
  <c r="D19" i="19" s="1"/>
  <c r="F19" i="19" s="1"/>
  <c r="M46" i="46"/>
  <c r="D20" i="19" s="1"/>
  <c r="F20" i="19" s="1"/>
  <c r="N46" i="46"/>
  <c r="P46" i="46"/>
  <c r="Q46" i="46"/>
  <c r="D7" i="164" s="1"/>
  <c r="E7" i="164" s="1"/>
  <c r="F7" i="164" s="1"/>
  <c r="K46" i="47"/>
  <c r="P21" i="19" s="1"/>
  <c r="P22" i="19" s="1"/>
  <c r="M45" i="47"/>
  <c r="M46" i="47" s="1"/>
  <c r="N45" i="47"/>
  <c r="N46" i="47" s="1"/>
  <c r="D10" i="164" s="1"/>
  <c r="I46" i="48"/>
  <c r="D35" i="19" s="1"/>
  <c r="D68" i="161" s="1"/>
  <c r="J46" i="48"/>
  <c r="K46" i="48"/>
  <c r="D37" i="19" s="1"/>
  <c r="F37" i="19" s="1"/>
  <c r="L46" i="48"/>
  <c r="D38" i="19" s="1"/>
  <c r="M46" i="48"/>
  <c r="D39" i="19" s="1"/>
  <c r="N46" i="48"/>
  <c r="P45" i="48"/>
  <c r="P46" i="48" s="1"/>
  <c r="Q45" i="48"/>
  <c r="F46" i="49"/>
  <c r="D74" i="43" s="1"/>
  <c r="E75" i="43" s="1"/>
  <c r="E91" i="43" s="1"/>
  <c r="G46" i="49"/>
  <c r="J33" i="19" s="1"/>
  <c r="H46" i="49"/>
  <c r="J34" i="19" s="1"/>
  <c r="D73" i="161" s="1"/>
  <c r="I46" i="49"/>
  <c r="J35" i="19" s="1"/>
  <c r="J46" i="49"/>
  <c r="D78" i="164" s="1"/>
  <c r="E78" i="164" s="1"/>
  <c r="F78" i="164" s="1"/>
  <c r="K46" i="49"/>
  <c r="J37" i="19" s="1"/>
  <c r="L37" i="19" s="1"/>
  <c r="L46" i="49"/>
  <c r="J38" i="19" s="1"/>
  <c r="M46" i="49"/>
  <c r="J39" i="19" s="1"/>
  <c r="D76" i="161" s="1"/>
  <c r="N46" i="49"/>
  <c r="J40" i="19" s="1"/>
  <c r="L40" i="19" s="1"/>
  <c r="P45" i="49"/>
  <c r="P46" i="49" s="1"/>
  <c r="Q45" i="49"/>
  <c r="Q46" i="49" s="1"/>
  <c r="D11" i="164" s="1"/>
  <c r="E11" i="164" s="1"/>
  <c r="F11" i="164" s="1"/>
  <c r="H45" i="50"/>
  <c r="I45" i="50"/>
  <c r="J45" i="50"/>
  <c r="K45" i="50"/>
  <c r="L45" i="50"/>
  <c r="M45" i="50"/>
  <c r="N45" i="50"/>
  <c r="O45" i="50"/>
  <c r="P45" i="50"/>
  <c r="Q45" i="50"/>
  <c r="R45" i="50"/>
  <c r="S45" i="50"/>
  <c r="U44" i="50"/>
  <c r="U45" i="50" s="1"/>
  <c r="V44" i="50"/>
  <c r="V45" i="50" s="1"/>
  <c r="G45" i="79"/>
  <c r="H45" i="79"/>
  <c r="I45" i="79"/>
  <c r="J45" i="79"/>
  <c r="K45" i="79"/>
  <c r="L45" i="79"/>
  <c r="M45" i="79"/>
  <c r="N45" i="79"/>
  <c r="O45" i="79"/>
  <c r="P45" i="79"/>
  <c r="Q45" i="79"/>
  <c r="R45" i="79"/>
  <c r="S45" i="79"/>
  <c r="U44" i="79"/>
  <c r="U45" i="79" s="1"/>
  <c r="D20" i="164" s="1"/>
  <c r="E20" i="164" s="1"/>
  <c r="F20" i="164" s="1"/>
  <c r="V44" i="79"/>
  <c r="V45" i="79" s="1"/>
  <c r="M45" i="80"/>
  <c r="N45" i="80"/>
  <c r="O45" i="80"/>
  <c r="Q44" i="80"/>
  <c r="Q45" i="80" s="1"/>
  <c r="R44" i="80"/>
  <c r="R45" i="80" s="1"/>
  <c r="K30" i="8"/>
  <c r="L30" i="8" s="1"/>
  <c r="G30" i="54"/>
  <c r="C10" i="164" s="1"/>
  <c r="H30" i="54"/>
  <c r="I30" i="54"/>
  <c r="J30" i="54"/>
  <c r="K30" i="54"/>
  <c r="G30" i="55"/>
  <c r="H30" i="55"/>
  <c r="C31" i="164" s="1"/>
  <c r="E31" i="164" s="1"/>
  <c r="F31" i="164" s="1"/>
  <c r="I29" i="55"/>
  <c r="I30" i="55" s="1"/>
  <c r="J29" i="55"/>
  <c r="J30" i="55" s="1"/>
  <c r="F30" i="53"/>
  <c r="G24" i="71" s="1"/>
  <c r="J24" i="165" s="1"/>
  <c r="G30" i="53"/>
  <c r="H30" i="53"/>
  <c r="I30" i="53"/>
  <c r="J30" i="53"/>
  <c r="K29" i="53"/>
  <c r="K30" i="53" s="1"/>
  <c r="I30" i="77"/>
  <c r="J29" i="77"/>
  <c r="J30" i="77" s="1"/>
  <c r="K29" i="77"/>
  <c r="K30" i="77" s="1"/>
  <c r="H30" i="78"/>
  <c r="C36" i="164" s="1"/>
  <c r="E36" i="164" s="1"/>
  <c r="F36" i="164" s="1"/>
  <c r="I30" i="78"/>
  <c r="J29" i="78"/>
  <c r="J30" i="78" s="1"/>
  <c r="M42" i="65"/>
  <c r="N42" i="65" s="1"/>
  <c r="L41" i="85"/>
  <c r="M41" i="85"/>
  <c r="M42" i="85" s="1"/>
  <c r="G30" i="86"/>
  <c r="H30" i="86"/>
  <c r="C35" i="164" s="1"/>
  <c r="E35" i="164" s="1"/>
  <c r="F35" i="164" s="1"/>
  <c r="I30" i="86"/>
  <c r="J30" i="86"/>
  <c r="E159" i="84"/>
  <c r="E160" i="84" s="1"/>
  <c r="E161" i="84" s="1"/>
  <c r="E162" i="84" s="1"/>
  <c r="E163" i="84" s="1"/>
  <c r="E164" i="84" s="1"/>
  <c r="E165" i="84" s="1"/>
  <c r="E166" i="84" s="1"/>
  <c r="E167" i="84" s="1"/>
  <c r="E168" i="84" s="1"/>
  <c r="E169" i="84" s="1"/>
  <c r="E170" i="84" s="1"/>
  <c r="E171" i="84" s="1"/>
  <c r="E172" i="84" s="1"/>
  <c r="E173" i="84" s="1"/>
  <c r="A30" i="164"/>
  <c r="A31" i="164" s="1"/>
  <c r="A32" i="164" s="1"/>
  <c r="A33" i="164" s="1"/>
  <c r="A34" i="164" s="1"/>
  <c r="A35" i="164" s="1"/>
  <c r="A36" i="164" s="1"/>
  <c r="A37" i="164" s="1"/>
  <c r="A38" i="164" s="1"/>
  <c r="A39" i="164" s="1"/>
  <c r="A40" i="164" s="1"/>
  <c r="A41" i="164" s="1"/>
  <c r="A42" i="164" s="1"/>
  <c r="N13" i="40"/>
  <c r="O13" i="40" s="1"/>
  <c r="N14" i="40"/>
  <c r="O14" i="40" s="1"/>
  <c r="N15" i="40"/>
  <c r="O15" i="40" s="1"/>
  <c r="N16" i="40"/>
  <c r="O16" i="40" s="1"/>
  <c r="N17" i="40"/>
  <c r="O17" i="40" s="1"/>
  <c r="N18" i="40"/>
  <c r="O18" i="40" s="1"/>
  <c r="N19" i="40"/>
  <c r="O19" i="40" s="1"/>
  <c r="N20" i="40"/>
  <c r="O20" i="40" s="1"/>
  <c r="N21" i="40"/>
  <c r="O21" i="40" s="1"/>
  <c r="N22" i="40"/>
  <c r="O22" i="40" s="1"/>
  <c r="N23" i="40"/>
  <c r="O23" i="40" s="1"/>
  <c r="N24" i="40"/>
  <c r="O24" i="40" s="1"/>
  <c r="N25" i="40"/>
  <c r="O25" i="40" s="1"/>
  <c r="N26" i="40"/>
  <c r="O26" i="40" s="1"/>
  <c r="D21" i="19"/>
  <c r="F21" i="19" s="1"/>
  <c r="D36" i="19"/>
  <c r="F36" i="19" s="1"/>
  <c r="D40" i="19"/>
  <c r="F40" i="19" s="1"/>
  <c r="D261" i="43"/>
  <c r="C30" i="164"/>
  <c r="E30" i="164" s="1"/>
  <c r="F30" i="164" s="1"/>
  <c r="C40" i="164"/>
  <c r="E40" i="164" s="1"/>
  <c r="F40" i="164" s="1"/>
  <c r="E77" i="81"/>
  <c r="E78" i="81" s="1"/>
  <c r="O13" i="47"/>
  <c r="O14" i="47" s="1"/>
  <c r="O15" i="47" s="1"/>
  <c r="O16" i="47" s="1"/>
  <c r="O17" i="47" s="1"/>
  <c r="O18" i="47" s="1"/>
  <c r="O19" i="47" s="1"/>
  <c r="O20" i="47" s="1"/>
  <c r="O21" i="47" s="1"/>
  <c r="O22" i="47" s="1"/>
  <c r="O23" i="47" s="1"/>
  <c r="O24" i="47" s="1"/>
  <c r="O25" i="47" s="1"/>
  <c r="O26" i="47" s="1"/>
  <c r="O27" i="47" s="1"/>
  <c r="O28" i="47" s="1"/>
  <c r="O29" i="47" s="1"/>
  <c r="O30" i="47" s="1"/>
  <c r="O31" i="47" s="1"/>
  <c r="O32" i="47" s="1"/>
  <c r="O33" i="47" s="1"/>
  <c r="O34" i="47" s="1"/>
  <c r="O35" i="47" s="1"/>
  <c r="O36" i="47" s="1"/>
  <c r="O37" i="47" s="1"/>
  <c r="O38" i="47" s="1"/>
  <c r="O39" i="47" s="1"/>
  <c r="O40" i="47" s="1"/>
  <c r="O41" i="47" s="1"/>
  <c r="O42" i="47" s="1"/>
  <c r="O43" i="47" s="1"/>
  <c r="C39" i="164"/>
  <c r="E39" i="164" s="1"/>
  <c r="F39" i="164" s="1"/>
  <c r="R14" i="49"/>
  <c r="R15" i="49" s="1"/>
  <c r="R16" i="49" s="1"/>
  <c r="R17" i="49" s="1"/>
  <c r="R18" i="49" s="1"/>
  <c r="R19" i="49" s="1"/>
  <c r="R20" i="49" s="1"/>
  <c r="R21" i="49" s="1"/>
  <c r="R22" i="49" s="1"/>
  <c r="R23" i="49" s="1"/>
  <c r="R24" i="49" s="1"/>
  <c r="R25" i="49" s="1"/>
  <c r="R26" i="49" s="1"/>
  <c r="R27" i="49" s="1"/>
  <c r="R28" i="49" s="1"/>
  <c r="R29" i="49" s="1"/>
  <c r="R30" i="49" s="1"/>
  <c r="R31" i="49" s="1"/>
  <c r="R32" i="49" s="1"/>
  <c r="R33" i="49" s="1"/>
  <c r="R34" i="49" s="1"/>
  <c r="R35" i="49" s="1"/>
  <c r="R36" i="49" s="1"/>
  <c r="R37" i="49" s="1"/>
  <c r="R38" i="49" s="1"/>
  <c r="R39" i="49" s="1"/>
  <c r="R40" i="49" s="1"/>
  <c r="R41" i="49" s="1"/>
  <c r="R42" i="49" s="1"/>
  <c r="R43" i="49" s="1"/>
  <c r="C67" i="164"/>
  <c r="R13" i="48"/>
  <c r="R14" i="48" s="1"/>
  <c r="R15" i="48" s="1"/>
  <c r="R16" i="48" s="1"/>
  <c r="R17" i="48" s="1"/>
  <c r="R18" i="48" s="1"/>
  <c r="R19" i="48" s="1"/>
  <c r="R20" i="48" s="1"/>
  <c r="R21" i="48" s="1"/>
  <c r="R22" i="48" s="1"/>
  <c r="R23" i="48" s="1"/>
  <c r="R24" i="48" s="1"/>
  <c r="R25" i="48" s="1"/>
  <c r="R26" i="48" s="1"/>
  <c r="R27" i="48" s="1"/>
  <c r="R28" i="48" s="1"/>
  <c r="R29" i="48" s="1"/>
  <c r="R30" i="48" s="1"/>
  <c r="R31" i="48" s="1"/>
  <c r="R32" i="48" s="1"/>
  <c r="R33" i="48" s="1"/>
  <c r="R34" i="48" s="1"/>
  <c r="R35" i="48" s="1"/>
  <c r="R36" i="48" s="1"/>
  <c r="R37" i="48" s="1"/>
  <c r="R38" i="48" s="1"/>
  <c r="R39" i="48" s="1"/>
  <c r="R40" i="48" s="1"/>
  <c r="R41" i="48" s="1"/>
  <c r="R42" i="48" s="1"/>
  <c r="R43" i="48" s="1"/>
  <c r="R13" i="46"/>
  <c r="R14" i="46" s="1"/>
  <c r="R15" i="46" s="1"/>
  <c r="R16" i="46" s="1"/>
  <c r="R17" i="46" s="1"/>
  <c r="R18" i="46" s="1"/>
  <c r="R19" i="46" s="1"/>
  <c r="R20" i="46" s="1"/>
  <c r="R21" i="46" s="1"/>
  <c r="R22" i="46" s="1"/>
  <c r="R23" i="46" s="1"/>
  <c r="R24" i="46" s="1"/>
  <c r="R25" i="46" s="1"/>
  <c r="R26" i="46" s="1"/>
  <c r="R27" i="46" s="1"/>
  <c r="R28" i="46" s="1"/>
  <c r="R29" i="46" s="1"/>
  <c r="R30" i="46" s="1"/>
  <c r="R31" i="46" s="1"/>
  <c r="R32" i="46" s="1"/>
  <c r="R33" i="46" s="1"/>
  <c r="R34" i="46" s="1"/>
  <c r="R35" i="46" s="1"/>
  <c r="R36" i="46" s="1"/>
  <c r="R37" i="46" s="1"/>
  <c r="R38" i="46" s="1"/>
  <c r="R39" i="46" s="1"/>
  <c r="R40" i="46" s="1"/>
  <c r="R41" i="46" s="1"/>
  <c r="R42" i="46" s="1"/>
  <c r="R43" i="46" s="1"/>
  <c r="N14" i="65"/>
  <c r="N15" i="65" s="1"/>
  <c r="N16" i="65" s="1"/>
  <c r="N17" i="65" s="1"/>
  <c r="N18" i="65" s="1"/>
  <c r="N19" i="65" s="1"/>
  <c r="N20" i="65" s="1"/>
  <c r="N21" i="65" s="1"/>
  <c r="N22" i="65" s="1"/>
  <c r="N23" i="65" s="1"/>
  <c r="N24" i="65" s="1"/>
  <c r="N25" i="65" s="1"/>
  <c r="N26" i="65" s="1"/>
  <c r="N27" i="65" s="1"/>
  <c r="N28" i="65" s="1"/>
  <c r="N29" i="65" s="1"/>
  <c r="N30" i="65" s="1"/>
  <c r="N31" i="65" s="1"/>
  <c r="N32" i="65" s="1"/>
  <c r="N33" i="65" s="1"/>
  <c r="N34" i="65" s="1"/>
  <c r="N35" i="65" s="1"/>
  <c r="N36" i="65" s="1"/>
  <c r="N37" i="65" s="1"/>
  <c r="N38" i="65" s="1"/>
  <c r="N39" i="65" s="1"/>
  <c r="AO11" i="87"/>
  <c r="AN11" i="87"/>
  <c r="AM11" i="87"/>
  <c r="AL11" i="87"/>
  <c r="L13" i="77"/>
  <c r="L14" i="77" s="1"/>
  <c r="L15" i="77" s="1"/>
  <c r="L16" i="77" s="1"/>
  <c r="L17" i="77" s="1"/>
  <c r="L18" i="77" s="1"/>
  <c r="L19" i="77" s="1"/>
  <c r="L20" i="77" s="1"/>
  <c r="L21" i="77" s="1"/>
  <c r="L22" i="77" s="1"/>
  <c r="L23" i="77" s="1"/>
  <c r="L24" i="77" s="1"/>
  <c r="L25" i="77" s="1"/>
  <c r="L26" i="77" s="1"/>
  <c r="L27" i="77" s="1"/>
  <c r="J65" i="13"/>
  <c r="L65" i="13" s="1"/>
  <c r="W12" i="50"/>
  <c r="W13" i="50" s="1"/>
  <c r="W14" i="50" s="1"/>
  <c r="W15" i="50" s="1"/>
  <c r="W16" i="50" s="1"/>
  <c r="W17" i="50" s="1"/>
  <c r="W18" i="50" s="1"/>
  <c r="W19" i="50" s="1"/>
  <c r="W20" i="50" s="1"/>
  <c r="W21" i="50" s="1"/>
  <c r="W22" i="50" s="1"/>
  <c r="W23" i="50" s="1"/>
  <c r="W24" i="50" s="1"/>
  <c r="W25" i="50" s="1"/>
  <c r="W26" i="50" s="1"/>
  <c r="W27" i="50" s="1"/>
  <c r="W28" i="50" s="1"/>
  <c r="W29" i="50" s="1"/>
  <c r="W30" i="50" s="1"/>
  <c r="W31" i="50" s="1"/>
  <c r="W32" i="50" s="1"/>
  <c r="W33" i="50" s="1"/>
  <c r="W34" i="50" s="1"/>
  <c r="W35" i="50" s="1"/>
  <c r="W36" i="50" s="1"/>
  <c r="W37" i="50" s="1"/>
  <c r="W38" i="50" s="1"/>
  <c r="W39" i="50" s="1"/>
  <c r="W40" i="50" s="1"/>
  <c r="W41" i="50" s="1"/>
  <c r="W42" i="50" s="1"/>
  <c r="J62" i="13"/>
  <c r="L62" i="13" s="1"/>
  <c r="L13" i="53"/>
  <c r="L14" i="53" s="1"/>
  <c r="L15" i="53" s="1"/>
  <c r="L16" i="53" s="1"/>
  <c r="L17" i="53" s="1"/>
  <c r="L18" i="53" s="1"/>
  <c r="L19" i="53" s="1"/>
  <c r="L20" i="53" s="1"/>
  <c r="L21" i="53" s="1"/>
  <c r="L22" i="53" s="1"/>
  <c r="L23" i="53" s="1"/>
  <c r="L24" i="53" s="1"/>
  <c r="L25" i="53" s="1"/>
  <c r="L26" i="53" s="1"/>
  <c r="L27" i="53" s="1"/>
  <c r="L12" i="54"/>
  <c r="L13" i="54" s="1"/>
  <c r="L14" i="54" s="1"/>
  <c r="L15" i="54" s="1"/>
  <c r="L16" i="54" s="1"/>
  <c r="L17" i="54" s="1"/>
  <c r="L18" i="54" s="1"/>
  <c r="L19" i="54" s="1"/>
  <c r="L20" i="54" s="1"/>
  <c r="L21" i="54" s="1"/>
  <c r="L22" i="54" s="1"/>
  <c r="L23" i="54" s="1"/>
  <c r="L24" i="54" s="1"/>
  <c r="L25" i="54" s="1"/>
  <c r="L26" i="54" s="1"/>
  <c r="L27" i="54" s="1"/>
  <c r="S16" i="80"/>
  <c r="S17" i="80" s="1"/>
  <c r="S18" i="80" s="1"/>
  <c r="S19" i="80" s="1"/>
  <c r="S20" i="80" s="1"/>
  <c r="S21" i="80" s="1"/>
  <c r="S22" i="80" s="1"/>
  <c r="S23" i="80" s="1"/>
  <c r="S24" i="80" s="1"/>
  <c r="S25" i="80" s="1"/>
  <c r="S26" i="80" s="1"/>
  <c r="S27" i="80" s="1"/>
  <c r="S28" i="80" s="1"/>
  <c r="S29" i="80" s="1"/>
  <c r="S30" i="80" s="1"/>
  <c r="S31" i="80" s="1"/>
  <c r="S32" i="80" s="1"/>
  <c r="S33" i="80" s="1"/>
  <c r="S34" i="80" s="1"/>
  <c r="S35" i="80" s="1"/>
  <c r="S36" i="80" s="1"/>
  <c r="S37" i="80" s="1"/>
  <c r="S38" i="80" s="1"/>
  <c r="S39" i="80" s="1"/>
  <c r="S40" i="80" s="1"/>
  <c r="S41" i="80" s="1"/>
  <c r="S42" i="80" s="1"/>
  <c r="W14" i="79"/>
  <c r="W15" i="79" s="1"/>
  <c r="W16" i="79" s="1"/>
  <c r="W17" i="79" s="1"/>
  <c r="W18" i="79" s="1"/>
  <c r="W19" i="79" s="1"/>
  <c r="W20" i="79" s="1"/>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K12" i="78"/>
  <c r="K12" i="62"/>
  <c r="K13" i="62" s="1"/>
  <c r="K14" i="62" s="1"/>
  <c r="K15" i="62" s="1"/>
  <c r="K16" i="62" s="1"/>
  <c r="K17" i="62" s="1"/>
  <c r="K18" i="62" s="1"/>
  <c r="K19" i="62" s="1"/>
  <c r="K20" i="62" s="1"/>
  <c r="K21" i="62" s="1"/>
  <c r="K22" i="62" s="1"/>
  <c r="K23" i="62" s="1"/>
  <c r="K24" i="62" s="1"/>
  <c r="K25" i="62" s="1"/>
  <c r="K26" i="62" s="1"/>
  <c r="K27" i="62" s="1"/>
  <c r="L12" i="8"/>
  <c r="L13" i="8" s="1"/>
  <c r="L14" i="8" s="1"/>
  <c r="L15" i="8" s="1"/>
  <c r="L16" i="8" s="1"/>
  <c r="L17" i="8" s="1"/>
  <c r="L18" i="8" s="1"/>
  <c r="L19" i="8" s="1"/>
  <c r="L20" i="8" s="1"/>
  <c r="L21" i="8" s="1"/>
  <c r="L22" i="8" s="1"/>
  <c r="L23" i="8" s="1"/>
  <c r="L24" i="8" s="1"/>
  <c r="L25" i="8" s="1"/>
  <c r="L26" i="8" s="1"/>
  <c r="L27" i="8" s="1"/>
  <c r="K13" i="86"/>
  <c r="K14" i="86" s="1"/>
  <c r="K15" i="86" s="1"/>
  <c r="K16" i="86" s="1"/>
  <c r="K17" i="86" s="1"/>
  <c r="K18" i="86" s="1"/>
  <c r="K19" i="86" s="1"/>
  <c r="K20" i="86" s="1"/>
  <c r="K21" i="86" s="1"/>
  <c r="K22" i="86" s="1"/>
  <c r="K23" i="86" s="1"/>
  <c r="K24" i="86" s="1"/>
  <c r="K25" i="86" s="1"/>
  <c r="K26" i="86" s="1"/>
  <c r="K27" i="86" s="1"/>
  <c r="N13" i="85"/>
  <c r="N14" i="85" s="1"/>
  <c r="N15" i="85" s="1"/>
  <c r="N16" i="85" s="1"/>
  <c r="N17" i="85" s="1"/>
  <c r="N18" i="85" s="1"/>
  <c r="N19" i="85" s="1"/>
  <c r="N20" i="85" s="1"/>
  <c r="N21" i="85" s="1"/>
  <c r="N22" i="85" s="1"/>
  <c r="N23" i="85" s="1"/>
  <c r="N24" i="85" s="1"/>
  <c r="N25" i="85" s="1"/>
  <c r="N26" i="85" s="1"/>
  <c r="N27" i="85" s="1"/>
  <c r="N28" i="85" s="1"/>
  <c r="N29" i="85" s="1"/>
  <c r="N30" i="85" s="1"/>
  <c r="N31" i="85" s="1"/>
  <c r="N32" i="85" s="1"/>
  <c r="N33" i="85" s="1"/>
  <c r="N34" i="85" s="1"/>
  <c r="N35" i="85" s="1"/>
  <c r="N36" i="85" s="1"/>
  <c r="N37" i="85" s="1"/>
  <c r="N38" i="85" s="1"/>
  <c r="N39" i="85" s="1"/>
  <c r="J60" i="13"/>
  <c r="L60" i="13" s="1"/>
  <c r="K12" i="55"/>
  <c r="K13" i="55" s="1"/>
  <c r="K14" i="55" s="1"/>
  <c r="K15" i="55" s="1"/>
  <c r="K16" i="55" s="1"/>
  <c r="K17" i="55" s="1"/>
  <c r="K18" i="55" s="1"/>
  <c r="K19" i="55" s="1"/>
  <c r="K20" i="55" s="1"/>
  <c r="K21" i="55" s="1"/>
  <c r="K22" i="55" s="1"/>
  <c r="K23" i="55" s="1"/>
  <c r="K24" i="55" s="1"/>
  <c r="K25" i="55" s="1"/>
  <c r="K26" i="55" s="1"/>
  <c r="K27" i="55" s="1"/>
  <c r="J68" i="13"/>
  <c r="L68" i="13" s="1"/>
  <c r="DP63" i="18"/>
  <c r="DQ63" i="18" s="1"/>
  <c r="J41" i="13"/>
  <c r="L41" i="13" s="1"/>
  <c r="J51" i="13"/>
  <c r="L51" i="13" s="1"/>
  <c r="J55" i="13"/>
  <c r="L55" i="13" s="1"/>
  <c r="J59" i="13"/>
  <c r="L59" i="13" s="1"/>
  <c r="J70" i="13"/>
  <c r="L70" i="13" s="1"/>
  <c r="F117" i="68"/>
  <c r="C109" i="68"/>
  <c r="C137" i="68" s="1"/>
  <c r="D262" i="43" l="1"/>
  <c r="S55" i="13"/>
  <c r="R55" i="13"/>
  <c r="J36" i="19"/>
  <c r="L36" i="19" s="1"/>
  <c r="D16" i="43"/>
  <c r="E17" i="43" s="1"/>
  <c r="D204" i="43"/>
  <c r="G16" i="71"/>
  <c r="J16" i="165" s="1"/>
  <c r="DR63" i="18"/>
  <c r="R51" i="13"/>
  <c r="S51" i="13"/>
  <c r="E96" i="84"/>
  <c r="E97" i="84" s="1"/>
  <c r="E98" i="84" s="1"/>
  <c r="E99" i="84" s="1"/>
  <c r="E100" i="84" s="1"/>
  <c r="E101" i="84" s="1"/>
  <c r="K78" i="84"/>
  <c r="K79" i="84" s="1"/>
  <c r="K80" i="84" s="1"/>
  <c r="K81" i="84" s="1"/>
  <c r="K82" i="84" s="1"/>
  <c r="K83" i="84" s="1"/>
  <c r="K84" i="84" s="1"/>
  <c r="K85" i="84" s="1"/>
  <c r="K86" i="84" s="1"/>
  <c r="K87" i="84" s="1"/>
  <c r="K88" i="84" s="1"/>
  <c r="K89" i="84" s="1"/>
  <c r="K90" i="84" s="1"/>
  <c r="K91" i="84" s="1"/>
  <c r="K92" i="84" s="1"/>
  <c r="K93" i="84" s="1"/>
  <c r="K94" i="84" s="1"/>
  <c r="K95" i="84" s="1"/>
  <c r="K96" i="84" s="1"/>
  <c r="K97" i="84" s="1"/>
  <c r="K98" i="84" s="1"/>
  <c r="K99" i="84" s="1"/>
  <c r="K13" i="78"/>
  <c r="K14" i="78" s="1"/>
  <c r="K15" i="78" s="1"/>
  <c r="K16" i="78" s="1"/>
  <c r="K17" i="78" s="1"/>
  <c r="K18" i="78" s="1"/>
  <c r="K19" i="78" s="1"/>
  <c r="K20" i="78" s="1"/>
  <c r="K21" i="78" s="1"/>
  <c r="K22" i="78" s="1"/>
  <c r="K23" i="78" s="1"/>
  <c r="K24" i="78" s="1"/>
  <c r="K25" i="78" s="1"/>
  <c r="K26" i="78" s="1"/>
  <c r="K27" i="78" s="1"/>
  <c r="R45" i="48"/>
  <c r="D74" i="161"/>
  <c r="L35" i="19"/>
  <c r="D70" i="161"/>
  <c r="F39" i="19"/>
  <c r="L30" i="54"/>
  <c r="F158" i="68" s="1"/>
  <c r="D15" i="71" s="1"/>
  <c r="H15" i="165" s="1"/>
  <c r="N41" i="85"/>
  <c r="S44" i="80"/>
  <c r="D18" i="161"/>
  <c r="G47" i="161" s="1"/>
  <c r="G46" i="161" s="1"/>
  <c r="D15" i="70"/>
  <c r="J18" i="71" s="1"/>
  <c r="L18" i="165" s="1"/>
  <c r="D75" i="161"/>
  <c r="L38" i="19"/>
  <c r="L29" i="53"/>
  <c r="R45" i="49"/>
  <c r="N28" i="40"/>
  <c r="L30" i="53"/>
  <c r="F163" i="68" s="1"/>
  <c r="D24" i="71" s="1"/>
  <c r="H24" i="165" s="1"/>
  <c r="K29" i="78"/>
  <c r="D52" i="81"/>
  <c r="E10" i="82" s="1"/>
  <c r="K30" i="86"/>
  <c r="D32" i="161" s="1"/>
  <c r="L42" i="85"/>
  <c r="H20" i="71" s="1"/>
  <c r="I20" i="71" s="1"/>
  <c r="H18" i="71"/>
  <c r="H12" i="71"/>
  <c r="I12" i="71" s="1"/>
  <c r="E24" i="71"/>
  <c r="I24" i="165" s="1"/>
  <c r="W44" i="79"/>
  <c r="Q46" i="48"/>
  <c r="D9" i="164" s="1"/>
  <c r="E9" i="164" s="1"/>
  <c r="F9" i="164" s="1"/>
  <c r="C50" i="164"/>
  <c r="E50" i="164" s="1"/>
  <c r="F50" i="164" s="1"/>
  <c r="R41" i="13"/>
  <c r="S41" i="13"/>
  <c r="C19" i="164"/>
  <c r="L39" i="19"/>
  <c r="E20" i="71"/>
  <c r="I20" i="165" s="1"/>
  <c r="E12" i="71"/>
  <c r="I12" i="165" s="1"/>
  <c r="E15" i="71"/>
  <c r="I15" i="165" s="1"/>
  <c r="H25" i="71"/>
  <c r="K25" i="165" s="1"/>
  <c r="D26" i="70"/>
  <c r="D23" i="67" s="1"/>
  <c r="D439" i="43"/>
  <c r="E25" i="71"/>
  <c r="I25" i="165" s="1"/>
  <c r="L30" i="77"/>
  <c r="F165" i="68" s="1"/>
  <c r="D25" i="71" s="1"/>
  <c r="H25" i="165" s="1"/>
  <c r="D72" i="161"/>
  <c r="L33" i="19"/>
  <c r="D69" i="161"/>
  <c r="F38" i="19"/>
  <c r="F35" i="19"/>
  <c r="G23" i="70"/>
  <c r="AP11" i="87" s="1"/>
  <c r="R46" i="46"/>
  <c r="T26" i="13"/>
  <c r="U26" i="13" s="1"/>
  <c r="V26" i="13" s="1"/>
  <c r="O45" i="47"/>
  <c r="D490" i="43"/>
  <c r="E491" i="43" s="1"/>
  <c r="O28" i="40"/>
  <c r="G13" i="70"/>
  <c r="G15" i="70" s="1"/>
  <c r="E174" i="84"/>
  <c r="E175" i="84" s="1"/>
  <c r="E176" i="84" s="1"/>
  <c r="E177" i="84" s="1"/>
  <c r="E178" i="84" s="1"/>
  <c r="E179" i="84" s="1"/>
  <c r="E180" i="84" s="1"/>
  <c r="E181" i="84" s="1"/>
  <c r="E182" i="84" s="1"/>
  <c r="E183" i="84" s="1"/>
  <c r="G25" i="71"/>
  <c r="G29" i="71" s="1"/>
  <c r="H14" i="71"/>
  <c r="W45" i="79"/>
  <c r="F151" i="68" s="1"/>
  <c r="J25" i="71" s="1"/>
  <c r="L25" i="165" s="1"/>
  <c r="L29" i="77"/>
  <c r="W44" i="50"/>
  <c r="K29" i="55"/>
  <c r="D67" i="164"/>
  <c r="E67" i="164" s="1"/>
  <c r="F67" i="164" s="1"/>
  <c r="D22" i="19"/>
  <c r="D484" i="43"/>
  <c r="E485" i="43" s="1"/>
  <c r="L34" i="19"/>
  <c r="K30" i="78"/>
  <c r="F166" i="68" s="1"/>
  <c r="E21" i="71"/>
  <c r="I21" i="165" s="1"/>
  <c r="H21" i="71"/>
  <c r="D659" i="43"/>
  <c r="E660" i="43" s="1"/>
  <c r="E662" i="43" s="1"/>
  <c r="H24" i="71"/>
  <c r="D433" i="43"/>
  <c r="E434" i="43" s="1"/>
  <c r="E436" i="43" s="1"/>
  <c r="C184" i="84"/>
  <c r="H15" i="71"/>
  <c r="G13" i="161"/>
  <c r="G15" i="161" s="1"/>
  <c r="D35" i="43"/>
  <c r="E36" i="43" s="1"/>
  <c r="D88" i="43"/>
  <c r="D21" i="70"/>
  <c r="D24" i="161"/>
  <c r="F156" i="68"/>
  <c r="D16" i="164"/>
  <c r="E16" i="164" s="1"/>
  <c r="F16" i="164" s="1"/>
  <c r="S45" i="80"/>
  <c r="F152" i="68" s="1"/>
  <c r="D19" i="164"/>
  <c r="W45" i="50"/>
  <c r="F149" i="68" s="1"/>
  <c r="R46" i="49"/>
  <c r="H16" i="71"/>
  <c r="K16" i="165" s="1"/>
  <c r="O46" i="47"/>
  <c r="C189" i="84"/>
  <c r="R21" i="13"/>
  <c r="T21" i="13" s="1"/>
  <c r="U21" i="13" s="1"/>
  <c r="V21" i="13" s="1"/>
  <c r="T28" i="13"/>
  <c r="U28" i="13" s="1"/>
  <c r="V28" i="13" s="1"/>
  <c r="S27" i="13"/>
  <c r="R27" i="13"/>
  <c r="R12" i="13"/>
  <c r="S12" i="13"/>
  <c r="R32" i="13"/>
  <c r="T32" i="13" s="1"/>
  <c r="U32" i="13" s="1"/>
  <c r="V32" i="13" s="1"/>
  <c r="R31" i="13"/>
  <c r="T31" i="13" s="1"/>
  <c r="U31" i="13" s="1"/>
  <c r="V31" i="13" s="1"/>
  <c r="R30" i="13"/>
  <c r="T30" i="13" s="1"/>
  <c r="U30" i="13" s="1"/>
  <c r="V30" i="13" s="1"/>
  <c r="L29" i="13"/>
  <c r="S29" i="13" s="1"/>
  <c r="T29" i="13" s="1"/>
  <c r="U29" i="13" s="1"/>
  <c r="V29" i="13" s="1"/>
  <c r="R24" i="13"/>
  <c r="T24" i="13" s="1"/>
  <c r="U24" i="13" s="1"/>
  <c r="V24" i="13" s="1"/>
  <c r="S20" i="13"/>
  <c r="R13" i="13"/>
  <c r="T13" i="13" s="1"/>
  <c r="U13" i="13" s="1"/>
  <c r="V13" i="13" s="1"/>
  <c r="R20" i="13"/>
  <c r="T22" i="13"/>
  <c r="U22" i="13" s="1"/>
  <c r="V22" i="13" s="1"/>
  <c r="E263" i="43"/>
  <c r="E265" i="43" s="1"/>
  <c r="R21" i="19"/>
  <c r="R22" i="19" s="1"/>
  <c r="E16" i="71"/>
  <c r="K30" i="55"/>
  <c r="F22" i="19"/>
  <c r="E10" i="164"/>
  <c r="F10" i="164" s="1"/>
  <c r="D41" i="19"/>
  <c r="V37" i="13"/>
  <c r="H46" i="68"/>
  <c r="H67" i="68" s="1"/>
  <c r="H155" i="68" s="1"/>
  <c r="H28" i="71"/>
  <c r="F109" i="68"/>
  <c r="F137" i="68" s="1"/>
  <c r="K100" i="84" l="1"/>
  <c r="K101" i="84" s="1"/>
  <c r="K107" i="84"/>
  <c r="K108" i="84" s="1"/>
  <c r="K109" i="84" s="1"/>
  <c r="K110" i="84" s="1"/>
  <c r="K111" i="84" s="1"/>
  <c r="K112" i="84" s="1"/>
  <c r="K113" i="84" s="1"/>
  <c r="K114" i="84" s="1"/>
  <c r="K115" i="84" s="1"/>
  <c r="K116" i="84" s="1"/>
  <c r="K117" i="84" s="1"/>
  <c r="R46" i="48"/>
  <c r="N42" i="85"/>
  <c r="D17" i="70" s="1"/>
  <c r="J41" i="19"/>
  <c r="D43" i="43"/>
  <c r="T55" i="13"/>
  <c r="U55" i="13" s="1"/>
  <c r="V55" i="13" s="1"/>
  <c r="E38" i="43"/>
  <c r="T51" i="13"/>
  <c r="U51" i="13" s="1"/>
  <c r="V51" i="13" s="1"/>
  <c r="D20" i="71"/>
  <c r="F20" i="71" s="1"/>
  <c r="D27" i="70"/>
  <c r="K11" i="87"/>
  <c r="E102" i="84"/>
  <c r="E103" i="84" s="1"/>
  <c r="E104" i="84" s="1"/>
  <c r="E105" i="84" s="1"/>
  <c r="E106" i="84" s="1"/>
  <c r="F41" i="19"/>
  <c r="E19" i="164"/>
  <c r="F19" i="164" s="1"/>
  <c r="C203" i="84"/>
  <c r="E203" i="84" s="1"/>
  <c r="C9" i="68" s="1"/>
  <c r="H29" i="68" s="1"/>
  <c r="H157" i="68" s="1"/>
  <c r="D496" i="43"/>
  <c r="G41" i="70"/>
  <c r="G40" i="70" s="1"/>
  <c r="F11" i="87"/>
  <c r="H129" i="68"/>
  <c r="H151" i="68" s="1"/>
  <c r="D26" i="161"/>
  <c r="T41" i="13"/>
  <c r="U41" i="13" s="1"/>
  <c r="V41" i="13" s="1"/>
  <c r="F15" i="71"/>
  <c r="H11" i="87"/>
  <c r="E184" i="84"/>
  <c r="E185" i="84" s="1"/>
  <c r="E186" i="84" s="1"/>
  <c r="E187" i="84" s="1"/>
  <c r="E188" i="84" s="1"/>
  <c r="E189" i="84" s="1"/>
  <c r="E190" i="84" s="1"/>
  <c r="E191" i="84" s="1"/>
  <c r="E192" i="84" s="1"/>
  <c r="E193" i="84" s="1"/>
  <c r="E194" i="84" s="1"/>
  <c r="E195" i="84" s="1"/>
  <c r="E196" i="84" s="1"/>
  <c r="AD11" i="87"/>
  <c r="I18" i="71"/>
  <c r="K18" i="71" s="1"/>
  <c r="K18" i="165"/>
  <c r="D497" i="43"/>
  <c r="D14" i="67"/>
  <c r="E11" i="89" s="1"/>
  <c r="D202" i="43"/>
  <c r="E205" i="43" s="1"/>
  <c r="E207" i="43" s="1"/>
  <c r="C62" i="164"/>
  <c r="E62" i="164" s="1"/>
  <c r="F62" i="164" s="1"/>
  <c r="K12" i="165"/>
  <c r="F24" i="71"/>
  <c r="L41" i="19"/>
  <c r="E493" i="43"/>
  <c r="I14" i="71"/>
  <c r="K14" i="165"/>
  <c r="I16" i="71"/>
  <c r="K20" i="165"/>
  <c r="J25" i="165"/>
  <c r="I25" i="71"/>
  <c r="F25" i="71"/>
  <c r="F142" i="68"/>
  <c r="D12" i="70"/>
  <c r="D11" i="87" s="1"/>
  <c r="D12" i="161"/>
  <c r="D20" i="161"/>
  <c r="F144" i="68"/>
  <c r="D14" i="161"/>
  <c r="F146" i="68"/>
  <c r="J16" i="71" s="1"/>
  <c r="L16" i="165" s="1"/>
  <c r="D16" i="161"/>
  <c r="J21" i="71"/>
  <c r="L21" i="165" s="1"/>
  <c r="H130" i="68"/>
  <c r="H152" i="68" s="1"/>
  <c r="D666" i="43"/>
  <c r="BM12" i="91"/>
  <c r="BN12" i="91"/>
  <c r="D12" i="71"/>
  <c r="I15" i="71"/>
  <c r="K15" i="165"/>
  <c r="I24" i="71"/>
  <c r="K24" i="165"/>
  <c r="I21" i="71"/>
  <c r="K21" i="165"/>
  <c r="D21" i="71"/>
  <c r="D665" i="43"/>
  <c r="BR12" i="91"/>
  <c r="E24" i="67"/>
  <c r="I11" i="89"/>
  <c r="D210" i="43"/>
  <c r="L73" i="13"/>
  <c r="H120" i="68"/>
  <c r="H142" i="68" s="1"/>
  <c r="H127" i="68"/>
  <c r="H149" i="68" s="1"/>
  <c r="J24" i="71"/>
  <c r="L24" i="165" s="1"/>
  <c r="D440" i="43"/>
  <c r="E441" i="43" s="1"/>
  <c r="E443" i="43" s="1"/>
  <c r="R73" i="13"/>
  <c r="S73" i="13"/>
  <c r="H37" i="69" s="1"/>
  <c r="T20" i="13"/>
  <c r="U20" i="13" s="1"/>
  <c r="V20" i="13" s="1"/>
  <c r="T27" i="13"/>
  <c r="U27" i="13" s="1"/>
  <c r="V27" i="13" s="1"/>
  <c r="T12" i="13"/>
  <c r="E29" i="71"/>
  <c r="I16" i="165"/>
  <c r="F160" i="68"/>
  <c r="D28" i="161"/>
  <c r="I28" i="71"/>
  <c r="H29" i="71"/>
  <c r="F145" i="68" l="1"/>
  <c r="D15" i="161"/>
  <c r="K142" i="84"/>
  <c r="E107" i="84"/>
  <c r="E108" i="84" s="1"/>
  <c r="E109" i="84" s="1"/>
  <c r="E110" i="84" s="1"/>
  <c r="E111" i="84" s="1"/>
  <c r="E112" i="84" s="1"/>
  <c r="E113" i="84" s="1"/>
  <c r="E114" i="84" s="1"/>
  <c r="E115" i="84" s="1"/>
  <c r="E116" i="84" s="1"/>
  <c r="E117" i="84" s="1"/>
  <c r="E118" i="84" s="1"/>
  <c r="E119" i="84" s="1"/>
  <c r="E120" i="84" s="1"/>
  <c r="E121" i="84" s="1"/>
  <c r="E122" i="84" s="1"/>
  <c r="E123" i="84" s="1"/>
  <c r="E124" i="84" s="1"/>
  <c r="E125" i="84" s="1"/>
  <c r="E126" i="84" s="1"/>
  <c r="E127" i="84" s="1"/>
  <c r="E128" i="84" s="1"/>
  <c r="E129" i="84" s="1"/>
  <c r="E130" i="84" s="1"/>
  <c r="E131" i="84" s="1"/>
  <c r="E132" i="84" s="1"/>
  <c r="E133" i="84" s="1"/>
  <c r="E134" i="84" s="1"/>
  <c r="E135" i="84" s="1"/>
  <c r="E136" i="84" s="1"/>
  <c r="E137" i="84" s="1"/>
  <c r="E138" i="84" s="1"/>
  <c r="E139" i="84" s="1"/>
  <c r="H20" i="165"/>
  <c r="E197" i="84"/>
  <c r="E198" i="84" s="1"/>
  <c r="E199" i="84" s="1"/>
  <c r="E200" i="84" s="1"/>
  <c r="E201" i="84" s="1"/>
  <c r="E202" i="84" s="1"/>
  <c r="F9" i="68"/>
  <c r="D12" i="91" s="1"/>
  <c r="D269" i="43"/>
  <c r="E270" i="43" s="1"/>
  <c r="E272" i="43" s="1"/>
  <c r="F38" i="66"/>
  <c r="F33" i="66" s="1"/>
  <c r="F54" i="66" s="1"/>
  <c r="F56" i="66" s="1"/>
  <c r="H69" i="68"/>
  <c r="H72" i="68" s="1"/>
  <c r="C139" i="68"/>
  <c r="D9" i="68" s="1"/>
  <c r="D139" i="68" s="1"/>
  <c r="E498" i="43"/>
  <c r="E500" i="43" s="1"/>
  <c r="E667" i="43"/>
  <c r="E669" i="43" s="1"/>
  <c r="K25" i="71"/>
  <c r="J12" i="71"/>
  <c r="L12" i="165" s="1"/>
  <c r="BI12" i="91"/>
  <c r="H21" i="165"/>
  <c r="F21" i="71"/>
  <c r="K21" i="71" s="1"/>
  <c r="H122" i="68"/>
  <c r="H144" i="68" s="1"/>
  <c r="J15" i="71"/>
  <c r="L15" i="165" s="1"/>
  <c r="J20" i="71"/>
  <c r="D16" i="67"/>
  <c r="G11" i="87"/>
  <c r="D18" i="70"/>
  <c r="K24" i="71"/>
  <c r="H12" i="165"/>
  <c r="F12" i="71"/>
  <c r="D95" i="43"/>
  <c r="D21" i="161"/>
  <c r="D45" i="43" s="1"/>
  <c r="U12" i="13"/>
  <c r="T73" i="13"/>
  <c r="H39" i="69"/>
  <c r="H59" i="69" s="1"/>
  <c r="H60" i="69" s="1"/>
  <c r="H40" i="162"/>
  <c r="H42" i="162" s="1"/>
  <c r="H68" i="162" s="1"/>
  <c r="H69" i="162" s="1"/>
  <c r="G37" i="69"/>
  <c r="E38" i="66" s="1"/>
  <c r="G40" i="162"/>
  <c r="D41" i="43"/>
  <c r="D94" i="43"/>
  <c r="D33" i="161"/>
  <c r="F171" i="68"/>
  <c r="H124" i="68"/>
  <c r="D16" i="71"/>
  <c r="K28" i="71"/>
  <c r="I29" i="71"/>
  <c r="H123" i="68" l="1"/>
  <c r="H145" i="68" s="1"/>
  <c r="J14" i="71"/>
  <c r="J29" i="71" s="1"/>
  <c r="E140" i="84"/>
  <c r="E141" i="84" s="1"/>
  <c r="E142" i="84" s="1"/>
  <c r="F139" i="68"/>
  <c r="F172" i="68" s="1"/>
  <c r="K15" i="71"/>
  <c r="E96" i="43"/>
  <c r="E98" i="43" s="1"/>
  <c r="O28" i="71"/>
  <c r="K12" i="71"/>
  <c r="E46" i="43"/>
  <c r="E48" i="43" s="1"/>
  <c r="L20" i="165"/>
  <c r="K20" i="71"/>
  <c r="E17" i="67"/>
  <c r="F11" i="89"/>
  <c r="D211" i="43"/>
  <c r="E212" i="43" s="1"/>
  <c r="E214" i="43" s="1"/>
  <c r="V12" i="13"/>
  <c r="V73" i="13" s="1"/>
  <c r="U73" i="13"/>
  <c r="G39" i="69"/>
  <c r="G59" i="69" s="1"/>
  <c r="G60" i="69" s="1"/>
  <c r="I37" i="69"/>
  <c r="G42" i="162"/>
  <c r="G68" i="162" s="1"/>
  <c r="G69" i="162" s="1"/>
  <c r="I40" i="162"/>
  <c r="H16" i="165"/>
  <c r="D29" i="71"/>
  <c r="F16" i="71"/>
  <c r="H146" i="68"/>
  <c r="H135" i="68"/>
  <c r="H159" i="68" s="1"/>
  <c r="L14" i="165" l="1"/>
  <c r="K14" i="71"/>
  <c r="I42" i="162"/>
  <c r="I68" i="162" s="1"/>
  <c r="I69" i="162" s="1"/>
  <c r="G42" i="161" s="1"/>
  <c r="J40" i="162"/>
  <c r="E33" i="66"/>
  <c r="G38" i="66"/>
  <c r="J37" i="69"/>
  <c r="O11" i="88"/>
  <c r="I39" i="69"/>
  <c r="I59" i="69" s="1"/>
  <c r="I60" i="69" s="1"/>
  <c r="F29" i="71"/>
  <c r="K16" i="71"/>
  <c r="K29" i="71" s="1"/>
  <c r="H161" i="68"/>
  <c r="E54" i="66" l="1"/>
  <c r="E56" i="66" s="1"/>
  <c r="D46" i="161"/>
  <c r="D47" i="161" s="1"/>
  <c r="J42" i="162"/>
  <c r="J68" i="162" s="1"/>
  <c r="J69" i="162" s="1"/>
  <c r="D40" i="70"/>
  <c r="J39" i="69"/>
  <c r="J59" i="69" s="1"/>
  <c r="J60" i="69" s="1"/>
  <c r="AA11" i="88"/>
  <c r="G36" i="70"/>
  <c r="G33" i="66"/>
  <c r="H33" i="66"/>
  <c r="H54" i="66" s="1"/>
  <c r="H56" i="66" s="1"/>
  <c r="Q11" i="90"/>
  <c r="G54" i="66" l="1"/>
  <c r="G56" i="66" s="1"/>
  <c r="H32" i="67" s="1"/>
  <c r="L33" i="66"/>
  <c r="L40" i="66" s="1"/>
  <c r="AK11" i="87"/>
  <c r="D37" i="67"/>
  <c r="D41" i="70"/>
  <c r="R11" i="87"/>
  <c r="AA11" i="90" l="1"/>
  <c r="AA11" i="89"/>
  <c r="E38" i="67"/>
  <c r="P11" i="89"/>
  <c r="D57" i="66"/>
  <c r="D58" i="66" s="1"/>
  <c r="H27" i="67" s="1"/>
  <c r="I32" i="81"/>
  <c r="E56" i="81"/>
  <c r="E57" i="81" s="1"/>
  <c r="E58" i="81" s="1"/>
  <c r="D47" i="81"/>
  <c r="Z11" i="89" l="1"/>
  <c r="H48" i="67"/>
  <c r="F61" i="69"/>
  <c r="F62" i="69" s="1"/>
  <c r="G34" i="70" s="1"/>
  <c r="F70" i="162"/>
  <c r="F71" i="162" s="1"/>
  <c r="G40" i="161" s="1"/>
  <c r="G113" i="161" s="1"/>
  <c r="E46" i="67" l="1"/>
  <c r="E48" i="67" s="1"/>
  <c r="AJ11" i="87"/>
  <c r="G71" i="70"/>
  <c r="N19" i="60" l="1"/>
  <c r="N20" i="60" s="1"/>
  <c r="K22" i="19"/>
  <c r="D64" i="70"/>
  <c r="D67" i="70" s="1"/>
  <c r="D88" i="161"/>
  <c r="D109" i="161" s="1"/>
  <c r="D56" i="161"/>
  <c r="D77" i="161" s="1"/>
  <c r="L16" i="19"/>
  <c r="L22" i="19" s="1"/>
  <c r="D50" i="70"/>
  <c r="U11" i="87" s="1"/>
  <c r="Z11" i="87" l="1"/>
  <c r="D111" i="161"/>
  <c r="D113" i="161" s="1"/>
  <c r="D53" i="70"/>
  <c r="D69" i="70" l="1"/>
  <c r="AC11" i="87" s="1"/>
  <c r="D71" i="70" l="1"/>
</calcChain>
</file>

<file path=xl/comments1.xml><?xml version="1.0" encoding="utf-8"?>
<comments xmlns="http://schemas.openxmlformats.org/spreadsheetml/2006/main">
  <authors>
    <author>Vista</author>
  </authors>
  <commentList>
    <comment ref="B1" authorId="0">
      <text>
        <r>
          <rPr>
            <b/>
            <sz val="12"/>
            <color indexed="81"/>
            <rFont val="Tahoma"/>
            <family val="2"/>
          </rPr>
          <t>KLIK DI NAMA SHEET UNTUK 
MASUK KE FORMULIR &amp;                    KLIK KEMBALI KE DAFTAR ISI UNTUK KEMBALI KESINI</t>
        </r>
      </text>
    </comment>
  </commentList>
</comments>
</file>

<file path=xl/comments2.xml><?xml version="1.0" encoding="utf-8"?>
<comments xmlns="http://schemas.openxmlformats.org/spreadsheetml/2006/main">
  <authors>
    <author>Vista</author>
  </authors>
  <commentList>
    <comment ref="H21" authorId="0">
      <text>
        <r>
          <rPr>
            <b/>
            <sz val="18"/>
            <color indexed="81"/>
            <rFont val="Tahoma"/>
            <family val="2"/>
          </rPr>
          <t>KLIK DI NAMA SHEET UNTUK 
MASUK KE FORMULIR &amp; KLIK KEMBALI KE DAFTAR ISI UNTUK KEMBALI KESINI</t>
        </r>
      </text>
    </comment>
  </commentList>
</comments>
</file>

<file path=xl/comments3.xml><?xml version="1.0" encoding="utf-8"?>
<comments xmlns="http://schemas.openxmlformats.org/spreadsheetml/2006/main">
  <authors>
    <author>Vista</author>
  </authors>
  <commentList>
    <comment ref="C25" authorId="0">
      <text>
        <r>
          <rPr>
            <b/>
            <sz val="9"/>
            <color indexed="81"/>
            <rFont val="Tahoma"/>
            <family val="2"/>
          </rPr>
          <t>Ikuti Cara Menulis Bulan seperti di yg KUNING (Pake Bahasa Inggris)</t>
        </r>
      </text>
    </comment>
    <comment ref="G31" authorId="0">
      <text>
        <r>
          <rPr>
            <b/>
            <sz val="9"/>
            <color indexed="81"/>
            <rFont val="Tahoma"/>
            <family val="2"/>
          </rPr>
          <t xml:space="preserve">Jika nilainya </t>
        </r>
        <r>
          <rPr>
            <b/>
            <sz val="14"/>
            <color indexed="81"/>
            <rFont val="Tahoma"/>
            <family val="2"/>
          </rPr>
          <t xml:space="preserve">"Value" </t>
        </r>
        <r>
          <rPr>
            <b/>
            <sz val="9"/>
            <color indexed="81"/>
            <rFont val="Tahoma"/>
            <family val="2"/>
          </rPr>
          <t>berarti anda salah mengisi Bulan (menulisnya tdk seperti yang warna Kuning)</t>
        </r>
      </text>
    </comment>
  </commentList>
</comments>
</file>

<file path=xl/comments4.xml><?xml version="1.0" encoding="utf-8"?>
<comments xmlns="http://schemas.openxmlformats.org/spreadsheetml/2006/main">
  <authors>
    <author>Vista</author>
  </authors>
  <commentList>
    <comment ref="E12" authorId="0">
      <text>
        <r>
          <rPr>
            <b/>
            <sz val="9"/>
            <color indexed="81"/>
            <rFont val="Tahoma"/>
            <family val="2"/>
          </rPr>
          <t>ISI DENGAN NILAI RUPIAH KEGIATAN YANG SUDAH MDST</t>
        </r>
      </text>
    </comment>
    <comment ref="K12" authorId="0">
      <text>
        <r>
          <rPr>
            <b/>
            <sz val="9"/>
            <color indexed="81"/>
            <rFont val="Tahoma"/>
            <family val="2"/>
          </rPr>
          <t>ISI DENGAN NILAI RUPIAH KEGIATAN YANG SUDAH MDST</t>
        </r>
      </text>
    </comment>
    <comment ref="Q12" authorId="0">
      <text>
        <r>
          <rPr>
            <b/>
            <sz val="9"/>
            <color indexed="81"/>
            <rFont val="Tahoma"/>
            <family val="2"/>
          </rPr>
          <t>ISI DENGAN NILAI RUPIAH KEGIATAN YANG SUDAH MDST</t>
        </r>
      </text>
    </comment>
    <comment ref="E31" authorId="0">
      <text>
        <r>
          <rPr>
            <b/>
            <sz val="9"/>
            <color indexed="81"/>
            <rFont val="Tahoma"/>
            <family val="2"/>
          </rPr>
          <t>ISI DENGAN NILAI RUPIAH KEGIATAN YANG SUDAH MDST</t>
        </r>
      </text>
    </comment>
    <comment ref="K31" authorId="0">
      <text>
        <r>
          <rPr>
            <b/>
            <sz val="9"/>
            <color indexed="81"/>
            <rFont val="Tahoma"/>
            <family val="2"/>
          </rPr>
          <t>ISI DENGAN NILAI RUPIAH KEGIATAN YANG SUDAH MDST</t>
        </r>
      </text>
    </comment>
    <comment ref="Q31" authorId="0">
      <text>
        <r>
          <rPr>
            <b/>
            <sz val="9"/>
            <color indexed="81"/>
            <rFont val="Tahoma"/>
            <family val="2"/>
          </rPr>
          <t>ISI DENGAN NILAI RUPIAH KEGIATAN YANG SUDAH MDST</t>
        </r>
      </text>
    </comment>
  </commentList>
</comments>
</file>

<file path=xl/comments5.xml><?xml version="1.0" encoding="utf-8"?>
<comments xmlns="http://schemas.openxmlformats.org/spreadsheetml/2006/main">
  <authors>
    <author>Vista</author>
    <author>CompacUPK</author>
  </authors>
  <commentList>
    <comment ref="A1" authorId="0">
      <text>
        <r>
          <rPr>
            <b/>
            <sz val="9"/>
            <color indexed="10"/>
            <rFont val="Tahoma"/>
            <family val="2"/>
          </rPr>
          <t>Tanyain pasca tutup buku :</t>
        </r>
        <r>
          <rPr>
            <b/>
            <sz val="9"/>
            <color indexed="81"/>
            <rFont val="Tahoma"/>
            <family val="2"/>
          </rPr>
          <t xml:space="preserve">
1. Buku Kas &amp; Bank
2. Inventaris &amp; BDD
3. Neraca &amp; R/L
4. LPP &amp; Kolektibilitas
5. Rekonsiliasi</t>
        </r>
      </text>
    </comment>
    <comment ref="F31" authorId="1">
      <text>
        <r>
          <rPr>
            <b/>
            <sz val="9"/>
            <color indexed="81"/>
            <rFont val="Tahoma"/>
            <family val="2"/>
          </rPr>
          <t>CompacUPK:</t>
        </r>
        <r>
          <rPr>
            <sz val="9"/>
            <color indexed="81"/>
            <rFont val="Tahoma"/>
            <family val="2"/>
          </rPr>
          <t xml:space="preserve">
tambah tahu lalu</t>
        </r>
      </text>
    </comment>
    <comment ref="H31" authorId="1">
      <text>
        <r>
          <rPr>
            <b/>
            <sz val="9"/>
            <color indexed="81"/>
            <rFont val="Tahoma"/>
            <family val="2"/>
          </rPr>
          <t>CompacUPK:</t>
        </r>
        <r>
          <rPr>
            <sz val="9"/>
            <color indexed="81"/>
            <rFont val="Tahoma"/>
            <family val="2"/>
          </rPr>
          <t xml:space="preserve">
tambah tahu lalu</t>
        </r>
      </text>
    </comment>
    <comment ref="F33" authorId="0">
      <text>
        <r>
          <rPr>
            <b/>
            <sz val="9"/>
            <color indexed="81"/>
            <rFont val="Tahoma"/>
            <family val="2"/>
          </rPr>
          <t>BISA SEBAGAI TAMBAHAN MODAL ATAU BANTUAN RTM</t>
        </r>
      </text>
    </comment>
  </commentList>
</comments>
</file>

<file path=xl/comments6.xml><?xml version="1.0" encoding="utf-8"?>
<comments xmlns="http://schemas.openxmlformats.org/spreadsheetml/2006/main">
  <authors>
    <author>Vista</author>
  </authors>
  <commentList>
    <comment ref="H158" authorId="0">
      <text>
        <r>
          <rPr>
            <b/>
            <sz val="11"/>
            <color indexed="81"/>
            <rFont val="Tahoma"/>
            <family val="2"/>
          </rPr>
          <t>ISI DENGAN HIBAH DANA SPP ..........
JANGAN DIGANTI DENGAN YG LAIN</t>
        </r>
      </text>
    </comment>
  </commentList>
</comments>
</file>

<file path=xl/comments7.xml><?xml version="1.0" encoding="utf-8"?>
<comments xmlns="http://schemas.openxmlformats.org/spreadsheetml/2006/main">
  <authors>
    <author>Vista</author>
  </authors>
  <commentList>
    <comment ref="J9" authorId="0">
      <text>
        <r>
          <rPr>
            <b/>
            <sz val="12"/>
            <color indexed="81"/>
            <rFont val="Tahoma"/>
            <family val="2"/>
          </rPr>
          <t>Mencatat hadiah,  hibah, bantuan  dll</t>
        </r>
      </text>
    </comment>
  </commentList>
</comments>
</file>

<file path=xl/comments8.xml><?xml version="1.0" encoding="utf-8"?>
<comments xmlns="http://schemas.openxmlformats.org/spreadsheetml/2006/main">
  <authors>
    <author>Vista</author>
  </authors>
  <commentList>
    <comment ref="D8" authorId="0">
      <text>
        <r>
          <rPr>
            <b/>
            <sz val="10"/>
            <color indexed="34"/>
            <rFont val="Tahoma"/>
            <family val="2"/>
          </rPr>
          <t>Di Isi dengan :
ADA
RUSAK
DIJUAL
HILANG</t>
        </r>
      </text>
    </comment>
    <comment ref="H8" authorId="0">
      <text>
        <r>
          <rPr>
            <b/>
            <sz val="9"/>
            <color indexed="10"/>
            <rFont val="Tahoma"/>
            <family val="2"/>
          </rPr>
          <t>Kalau ada Barang yg Hilang/dijual isi dengan Nilai Buku saat Hilang/dijual dikali dengan minus 1</t>
        </r>
      </text>
    </comment>
    <comment ref="J8" authorId="0">
      <text>
        <r>
          <rPr>
            <b/>
            <sz val="9"/>
            <color indexed="10"/>
            <rFont val="Tahoma"/>
            <family val="2"/>
          </rPr>
          <t>Kalau Barangnya Hilang atau Dijual jadi Rumusnya rubah jadi 100% (Harga Perolehan=Nilai yg Disusutkan)</t>
        </r>
      </text>
    </comment>
    <comment ref="K8" authorId="0">
      <text>
        <r>
          <rPr>
            <b/>
            <sz val="9"/>
            <color indexed="81"/>
            <rFont val="Tahoma"/>
            <family val="2"/>
          </rPr>
          <t>Bangunan = 180 bulan
Komputer = 36 bulan
Printer     = 12 bulan
Mebeler   = 36 bulan
Elektronik lain=24 bln
Motor=60 Bulan
Kalau tdk ada isi dg nilai 1</t>
        </r>
      </text>
    </comment>
    <comment ref="M8" authorId="0">
      <text>
        <r>
          <rPr>
            <b/>
            <sz val="9"/>
            <color indexed="81"/>
            <rFont val="Tahoma"/>
            <family val="2"/>
          </rPr>
          <t>Isi sampai dengan Umur Ekonomis tambah 1
Kecuali Barangnya Hilang/Dijual</t>
        </r>
      </text>
    </comment>
    <comment ref="N8" authorId="0">
      <text>
        <r>
          <rPr>
            <b/>
            <sz val="11"/>
            <color indexed="10"/>
            <rFont val="Tahoma"/>
            <family val="2"/>
          </rPr>
          <t>Disi dengan Nilai Buku pada saat penjualan atau Kehilangan Inventaris
Cat: Bila sudah di jual atau hilang, maka Umur Pakai tidak perlu di teruskan</t>
        </r>
      </text>
    </comment>
    <comment ref="Q8" authorId="0">
      <text>
        <r>
          <rPr>
            <b/>
            <sz val="9"/>
            <color indexed="81"/>
            <rFont val="Tahoma"/>
            <family val="2"/>
          </rPr>
          <t>JANGAN DIRUBAH SAMPAI TUTUP BUKU BERIKUTNYA</t>
        </r>
      </text>
    </comment>
    <comment ref="C12" authorId="0">
      <text>
        <r>
          <rPr>
            <b/>
            <sz val="9"/>
            <color indexed="81"/>
            <rFont val="Tahoma"/>
            <family val="2"/>
          </rPr>
          <t>Jangan di rubah ... Khusus untuk kolom Gedung kantor</t>
        </r>
      </text>
    </comment>
  </commentList>
</comments>
</file>

<file path=xl/comments9.xml><?xml version="1.0" encoding="utf-8"?>
<comments xmlns="http://schemas.openxmlformats.org/spreadsheetml/2006/main">
  <authors>
    <author>Vista</author>
  </authors>
  <commentList>
    <comment ref="G11" authorId="0">
      <text>
        <r>
          <rPr>
            <b/>
            <sz val="9"/>
            <color indexed="81"/>
            <rFont val="Tahoma"/>
            <family val="2"/>
          </rPr>
          <t>Hutang Akibat dari Tutup Buku yg belum di eksekusi</t>
        </r>
      </text>
    </comment>
    <comment ref="G12" authorId="0">
      <text>
        <r>
          <rPr>
            <b/>
            <sz val="9"/>
            <color indexed="81"/>
            <rFont val="Tahoma"/>
            <family val="2"/>
          </rPr>
          <t>Hutang Akibat dari Tutup Buku yg belum di eksekusi</t>
        </r>
      </text>
    </comment>
    <comment ref="G13" authorId="0">
      <text>
        <r>
          <rPr>
            <b/>
            <sz val="9"/>
            <color indexed="81"/>
            <rFont val="Tahoma"/>
            <family val="2"/>
          </rPr>
          <t>Hutang Akibat Buka Rekening atau dana Talangan dari Pihak Lain</t>
        </r>
      </text>
    </comment>
  </commentList>
</comments>
</file>

<file path=xl/comments10.xml><?xml version="1.0" encoding="utf-8"?>
<comments xmlns="http://schemas.openxmlformats.org/spreadsheetml/2006/main">
  <authors>
    <author>Vista</author>
  </authors>
  <commentList>
    <comment ref="G11" authorId="0">
      <text>
        <r>
          <rPr>
            <b/>
            <sz val="9"/>
            <color indexed="81"/>
            <rFont val="Tahoma"/>
            <family val="2"/>
          </rPr>
          <t>Hutang Akibat dari Tutup Buku yg belum di eksekusi</t>
        </r>
      </text>
    </comment>
    <comment ref="G12" authorId="0">
      <text>
        <r>
          <rPr>
            <b/>
            <sz val="9"/>
            <color indexed="81"/>
            <rFont val="Tahoma"/>
            <family val="2"/>
          </rPr>
          <t>Hutang Akibat dari Tutup Buku yg belum di eksekusi</t>
        </r>
      </text>
    </comment>
    <comment ref="G13" authorId="0">
      <text>
        <r>
          <rPr>
            <b/>
            <sz val="9"/>
            <color indexed="81"/>
            <rFont val="Tahoma"/>
            <family val="2"/>
          </rPr>
          <t>Hutang Akibat Buka Rekening atau dana Talangan dari Pihak Lain</t>
        </r>
      </text>
    </comment>
  </commentList>
</comments>
</file>

<file path=xl/comments11.xml><?xml version="1.0" encoding="utf-8"?>
<comments xmlns="http://schemas.openxmlformats.org/spreadsheetml/2006/main">
  <authors>
    <author>Vista</author>
  </authors>
  <commentList>
    <comment ref="C24" authorId="0">
      <text>
        <r>
          <rPr>
            <b/>
            <sz val="9"/>
            <color indexed="81"/>
            <rFont val="Tahoma"/>
            <family val="2"/>
          </rPr>
          <t>OP UPK 2% Alokasi dari Non SPP</t>
        </r>
      </text>
    </comment>
    <comment ref="H29" authorId="0">
      <text>
        <r>
          <rPr>
            <b/>
            <sz val="12"/>
            <color indexed="81"/>
            <rFont val="Tahoma"/>
            <family val="2"/>
          </rPr>
          <t>Biaya yg dikeluarkan utk  membayar bunga pinjaman atau utk memperoleh dana kerjasama</t>
        </r>
      </text>
    </comment>
    <comment ref="H52" authorId="0">
      <text>
        <r>
          <rPr>
            <b/>
            <sz val="12"/>
            <color indexed="81"/>
            <rFont val="Tahoma"/>
            <family val="2"/>
          </rPr>
          <t>Mencatat biaya kerugian  conto h :  Penjualan inventaris dibawah nilai buku, kehilangan /perampokan</t>
        </r>
      </text>
    </comment>
  </commentList>
</comments>
</file>

<file path=xl/comments12.xml><?xml version="1.0" encoding="utf-8"?>
<comments xmlns="http://schemas.openxmlformats.org/spreadsheetml/2006/main">
  <authors>
    <author>ABDUL-KHOLIK</author>
    <author>upk</author>
    <author>Vista</author>
  </authors>
  <commentList>
    <comment ref="C9" authorId="0">
      <text>
        <r>
          <rPr>
            <sz val="9"/>
            <color indexed="81"/>
            <rFont val="Tahoma"/>
            <family val="2"/>
          </rPr>
          <t>Diisi dengan jumlah dana yang disetor ke Bank  untuk biaya membuka rekening-rekening BLM (BLM Kegiatan, BLM DOK)</t>
        </r>
      </text>
    </comment>
    <comment ref="C16" authorId="1">
      <text>
        <r>
          <rPr>
            <b/>
            <sz val="8"/>
            <color indexed="81"/>
            <rFont val="Tahoma"/>
            <family val="2"/>
          </rPr>
          <t>upk:</t>
        </r>
        <r>
          <rPr>
            <sz val="8"/>
            <color indexed="81"/>
            <rFont val="Tahoma"/>
            <family val="2"/>
          </rPr>
          <t xml:space="preserve">
1.400.000 kelebihan dari cisarua</t>
        </r>
      </text>
    </comment>
    <comment ref="F22" authorId="2">
      <text>
        <r>
          <rPr>
            <b/>
            <sz val="9"/>
            <color indexed="81"/>
            <rFont val="Tahoma"/>
            <family val="2"/>
          </rPr>
          <t>Untuk Cadangan Kegiatan Program lain ... Cth P2SPP</t>
        </r>
      </text>
    </comment>
    <comment ref="F30" authorId="2">
      <text>
        <r>
          <rPr>
            <b/>
            <sz val="9"/>
            <color indexed="81"/>
            <rFont val="Tahoma"/>
            <family val="2"/>
          </rPr>
          <t>Untuk Cadangan Kegiatan Program lain ... Cth P2SPP</t>
        </r>
      </text>
    </comment>
    <comment ref="F99" authorId="2">
      <text>
        <r>
          <rPr>
            <b/>
            <sz val="9"/>
            <color indexed="81"/>
            <rFont val="Tahoma"/>
            <family val="2"/>
          </rPr>
          <t>Untuk Cadangan adanya program baru .... Cth P2SPP</t>
        </r>
      </text>
    </comment>
  </commentList>
</comments>
</file>

<file path=xl/comments13.xml><?xml version="1.0" encoding="utf-8"?>
<comments xmlns="http://schemas.openxmlformats.org/spreadsheetml/2006/main">
  <authors>
    <author>Vista</author>
  </authors>
  <commentList>
    <comment ref="L9" authorId="0">
      <text>
        <r>
          <rPr>
            <b/>
            <sz val="12"/>
            <color indexed="81"/>
            <rFont val="Tahoma"/>
            <family val="2"/>
          </rPr>
          <t>Isi Apabila ada selisih</t>
        </r>
      </text>
    </comment>
  </commentList>
</comments>
</file>

<file path=xl/comments14.xml><?xml version="1.0" encoding="utf-8"?>
<comments xmlns="http://schemas.openxmlformats.org/spreadsheetml/2006/main">
  <authors>
    <author>Vista</author>
  </authors>
  <commentList>
    <comment ref="D7" authorId="0">
      <text>
        <r>
          <rPr>
            <b/>
            <sz val="10"/>
            <color indexed="81"/>
            <rFont val="Tahoma"/>
            <family val="2"/>
          </rPr>
          <t>Isi dengan angka satu (1)</t>
        </r>
      </text>
    </comment>
    <comment ref="I8" authorId="0">
      <text>
        <r>
          <rPr>
            <b/>
            <sz val="9"/>
            <color indexed="81"/>
            <rFont val="Tahoma"/>
            <family val="2"/>
          </rPr>
          <t>SPP / UEP</t>
        </r>
      </text>
    </comment>
  </commentList>
</comments>
</file>

<file path=xl/comments15.xml><?xml version="1.0" encoding="utf-8"?>
<comments xmlns="http://schemas.openxmlformats.org/spreadsheetml/2006/main">
  <authors>
    <author>p</author>
  </authors>
  <commentList>
    <comment ref="Q113" authorId="0">
      <text>
        <r>
          <rPr>
            <b/>
            <sz val="10"/>
            <color indexed="10"/>
            <rFont val="Tahoma"/>
            <family val="2"/>
          </rPr>
          <t>HARUS NOL
CEK KE BUKU KAS UEP</t>
        </r>
      </text>
    </comment>
  </commentList>
</comments>
</file>

<file path=xl/comments16.xml><?xml version="1.0" encoding="utf-8"?>
<comments xmlns="http://schemas.openxmlformats.org/spreadsheetml/2006/main">
  <authors>
    <author>p</author>
  </authors>
  <commentList>
    <comment ref="Q113" authorId="0">
      <text>
        <r>
          <rPr>
            <b/>
            <sz val="10"/>
            <color indexed="10"/>
            <rFont val="Tahoma"/>
            <family val="2"/>
          </rPr>
          <t>HARUS NOL
CEK KE BUKU KAS SPP</t>
        </r>
      </text>
    </comment>
  </commentList>
</comments>
</file>

<file path=xl/comments17.xml><?xml version="1.0" encoding="utf-8"?>
<comments xmlns="http://schemas.openxmlformats.org/spreadsheetml/2006/main">
  <authors>
    <author>p</author>
  </authors>
  <commentList>
    <comment ref="Q113" authorId="0">
      <text>
        <r>
          <rPr>
            <b/>
            <sz val="10"/>
            <color indexed="10"/>
            <rFont val="Tahoma"/>
            <family val="2"/>
          </rPr>
          <t>HARUS NOL
CEK KE BUKU KAS SPP PIHAK KE-3</t>
        </r>
      </text>
    </comment>
  </commentList>
</comments>
</file>

<file path=xl/comments18.xml><?xml version="1.0" encoding="utf-8"?>
<comments xmlns="http://schemas.openxmlformats.org/spreadsheetml/2006/main">
  <authors>
    <author>Vista</author>
  </authors>
  <commentList>
    <comment ref="D6" authorId="0">
      <text>
        <r>
          <rPr>
            <b/>
            <sz val="9"/>
            <color indexed="81"/>
            <rFont val="Tahoma"/>
            <family val="2"/>
          </rPr>
          <t>ISI TAHUN DENGAN 
ANGGARAN</t>
        </r>
      </text>
    </comment>
    <comment ref="E6" authorId="0">
      <text>
        <r>
          <rPr>
            <b/>
            <sz val="9"/>
            <color indexed="81"/>
            <rFont val="Tahoma"/>
            <family val="2"/>
          </rPr>
          <t>ISI TAHUN DENGAN 
ANGGARAN</t>
        </r>
      </text>
    </comment>
    <comment ref="F6" authorId="0">
      <text>
        <r>
          <rPr>
            <b/>
            <sz val="9"/>
            <color indexed="81"/>
            <rFont val="Tahoma"/>
            <family val="2"/>
          </rPr>
          <t>ISI TAHUN DENGAN 
ANGGARAN</t>
        </r>
      </text>
    </comment>
    <comment ref="G6" authorId="0">
      <text>
        <r>
          <rPr>
            <b/>
            <sz val="9"/>
            <color indexed="81"/>
            <rFont val="Tahoma"/>
            <family val="2"/>
          </rPr>
          <t>ISI TAHUN DENGAN 
ANGGARAN</t>
        </r>
      </text>
    </comment>
    <comment ref="C25" authorId="0">
      <text>
        <r>
          <rPr>
            <b/>
            <sz val="9"/>
            <color indexed="81"/>
            <rFont val="Tahoma"/>
            <family val="2"/>
          </rPr>
          <t>ISI SESUAI RAB DOK</t>
        </r>
      </text>
    </comment>
  </commentList>
</comments>
</file>

<file path=xl/comments19.xml><?xml version="1.0" encoding="utf-8"?>
<comments xmlns="http://schemas.openxmlformats.org/spreadsheetml/2006/main">
  <authors>
    <author>Vista</author>
  </authors>
  <commentList>
    <comment ref="D6" authorId="0">
      <text>
        <r>
          <rPr>
            <b/>
            <sz val="9"/>
            <color indexed="81"/>
            <rFont val="Tahoma"/>
            <family val="2"/>
          </rPr>
          <t>ISI TAHUN DENGAN 
ANGGARAN</t>
        </r>
      </text>
    </comment>
    <comment ref="E6" authorId="0">
      <text>
        <r>
          <rPr>
            <b/>
            <sz val="9"/>
            <color indexed="81"/>
            <rFont val="Tahoma"/>
            <family val="2"/>
          </rPr>
          <t>ISI TAHUN DENGAN 
ANGGARAN</t>
        </r>
      </text>
    </comment>
    <comment ref="F6" authorId="0">
      <text>
        <r>
          <rPr>
            <b/>
            <sz val="9"/>
            <color indexed="81"/>
            <rFont val="Tahoma"/>
            <family val="2"/>
          </rPr>
          <t>ISI TAHUN DENGAN 
ANGGARAN</t>
        </r>
      </text>
    </comment>
    <comment ref="G6" authorId="0">
      <text>
        <r>
          <rPr>
            <b/>
            <sz val="9"/>
            <color indexed="81"/>
            <rFont val="Tahoma"/>
            <family val="2"/>
          </rPr>
          <t>ISI TAHUN DENGAN 
ANGGARAN</t>
        </r>
      </text>
    </comment>
    <comment ref="C25" authorId="0">
      <text>
        <r>
          <rPr>
            <b/>
            <sz val="9"/>
            <color indexed="81"/>
            <rFont val="Tahoma"/>
            <family val="2"/>
          </rPr>
          <t>ISI SESUAI RAB DOK</t>
        </r>
      </text>
    </comment>
  </commentList>
</comments>
</file>

<file path=xl/comments20.xml><?xml version="1.0" encoding="utf-8"?>
<comments xmlns="http://schemas.openxmlformats.org/spreadsheetml/2006/main">
  <authors>
    <author>Vista</author>
  </authors>
  <commentList>
    <comment ref="C22" authorId="0">
      <text>
        <r>
          <rPr>
            <b/>
            <sz val="9"/>
            <color indexed="81"/>
            <rFont val="Tahoma"/>
            <family val="2"/>
          </rPr>
          <t>ISI SESUAI RAB DOK</t>
        </r>
      </text>
    </comment>
  </commentList>
</comments>
</file>

<file path=xl/comments21.xml><?xml version="1.0" encoding="utf-8"?>
<comments xmlns="http://schemas.openxmlformats.org/spreadsheetml/2006/main">
  <authors>
    <author>Vista</author>
  </authors>
  <commentList>
    <comment ref="D6" authorId="0">
      <text>
        <r>
          <rPr>
            <b/>
            <sz val="9"/>
            <color indexed="81"/>
            <rFont val="Tahoma"/>
            <family val="2"/>
          </rPr>
          <t>ISI TAHUN DENGAN 
ANGGARAN</t>
        </r>
      </text>
    </comment>
    <comment ref="E6" authorId="0">
      <text>
        <r>
          <rPr>
            <b/>
            <sz val="9"/>
            <color indexed="81"/>
            <rFont val="Tahoma"/>
            <family val="2"/>
          </rPr>
          <t>ISI TAHUN DENGAN 
ANGGARAN</t>
        </r>
      </text>
    </comment>
    <comment ref="F6" authorId="0">
      <text>
        <r>
          <rPr>
            <b/>
            <sz val="9"/>
            <color indexed="81"/>
            <rFont val="Tahoma"/>
            <family val="2"/>
          </rPr>
          <t>ISI TAHUN DENGAN 
ANGGARAN</t>
        </r>
      </text>
    </comment>
    <comment ref="G6" authorId="0">
      <text>
        <r>
          <rPr>
            <b/>
            <sz val="9"/>
            <color indexed="81"/>
            <rFont val="Tahoma"/>
            <family val="2"/>
          </rPr>
          <t>ISI TAHUN DENGAN 
ANGGARAN</t>
        </r>
      </text>
    </comment>
    <comment ref="C25" authorId="0">
      <text>
        <r>
          <rPr>
            <b/>
            <sz val="9"/>
            <color indexed="81"/>
            <rFont val="Tahoma"/>
            <family val="2"/>
          </rPr>
          <t>ISI SESUAI RAB DOK</t>
        </r>
      </text>
    </comment>
  </commentList>
</comments>
</file>

<file path=xl/comments22.xml><?xml version="1.0" encoding="utf-8"?>
<comments xmlns="http://schemas.openxmlformats.org/spreadsheetml/2006/main">
  <authors>
    <author>Vista</author>
  </authors>
  <commentList>
    <comment ref="D6" authorId="0">
      <text>
        <r>
          <rPr>
            <b/>
            <sz val="9"/>
            <color indexed="81"/>
            <rFont val="Tahoma"/>
            <family val="2"/>
          </rPr>
          <t>ISI TAHUN DENGAN 
ANGGARAN</t>
        </r>
      </text>
    </comment>
    <comment ref="E6" authorId="0">
      <text>
        <r>
          <rPr>
            <b/>
            <sz val="9"/>
            <color indexed="81"/>
            <rFont val="Tahoma"/>
            <family val="2"/>
          </rPr>
          <t>ISI TAHUN DENGAN 
ANGGARAN</t>
        </r>
      </text>
    </comment>
    <comment ref="F6" authorId="0">
      <text>
        <r>
          <rPr>
            <b/>
            <sz val="9"/>
            <color indexed="81"/>
            <rFont val="Tahoma"/>
            <family val="2"/>
          </rPr>
          <t>ISI TAHUN DENGAN 
ANGGARAN</t>
        </r>
      </text>
    </comment>
    <comment ref="G6" authorId="0">
      <text>
        <r>
          <rPr>
            <b/>
            <sz val="9"/>
            <color indexed="81"/>
            <rFont val="Tahoma"/>
            <family val="2"/>
          </rPr>
          <t>ISI TAHUN DENGAN 
ANGGARAN</t>
        </r>
      </text>
    </comment>
    <comment ref="C25" authorId="0">
      <text>
        <r>
          <rPr>
            <b/>
            <sz val="9"/>
            <color indexed="81"/>
            <rFont val="Tahoma"/>
            <family val="2"/>
          </rPr>
          <t>ISI SESUAI RAB DOK</t>
        </r>
      </text>
    </comment>
  </commentList>
</comments>
</file>

<file path=xl/comments23.xml><?xml version="1.0" encoding="utf-8"?>
<comments xmlns="http://schemas.openxmlformats.org/spreadsheetml/2006/main">
  <authors>
    <author>Vista</author>
  </authors>
  <commentList>
    <comment ref="C22" authorId="0">
      <text>
        <r>
          <rPr>
            <b/>
            <sz val="9"/>
            <color indexed="81"/>
            <rFont val="Tahoma"/>
            <family val="2"/>
          </rPr>
          <t>ISI SESUAI RAB DOK</t>
        </r>
      </text>
    </comment>
  </commentList>
</comments>
</file>

<file path=xl/comments24.xml><?xml version="1.0" encoding="utf-8"?>
<comments xmlns="http://schemas.openxmlformats.org/spreadsheetml/2006/main">
  <authors>
    <author>Vista</author>
  </authors>
  <commentList>
    <comment ref="C22" authorId="0">
      <text>
        <r>
          <rPr>
            <b/>
            <sz val="9"/>
            <color indexed="81"/>
            <rFont val="Tahoma"/>
            <family val="2"/>
          </rPr>
          <t>ISI SESUAI RAB DOK</t>
        </r>
      </text>
    </comment>
  </commentList>
</comments>
</file>

<file path=xl/comments25.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26.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27.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28.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29.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30.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31.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32.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33.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34.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35.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36.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37.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38.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39.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40.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41.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42.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85"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86" authorId="0">
      <text>
        <r>
          <rPr>
            <b/>
            <sz val="9"/>
            <color indexed="81"/>
            <rFont val="Tahoma"/>
            <family val="2"/>
          </rPr>
          <t>.....
PG1 2008
PG2 2009
PG3 2010
..dst</t>
        </r>
      </text>
    </comment>
  </commentList>
</comments>
</file>

<file path=xl/comments43.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44.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45.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46.xml><?xml version="1.0" encoding="utf-8"?>
<comments xmlns="http://schemas.openxmlformats.org/spreadsheetml/2006/main">
  <authors>
    <author>Vista</author>
    <author>upknagrak</author>
    <author>upk4</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 ref="R107" authorId="1">
      <text>
        <r>
          <rPr>
            <b/>
            <sz val="9"/>
            <color indexed="81"/>
            <rFont val="Tahoma"/>
            <family val="2"/>
          </rPr>
          <t>upknagrak:-200 koreksi kesalhan</t>
        </r>
      </text>
    </comment>
    <comment ref="R167" authorId="2">
      <text>
        <r>
          <rPr>
            <b/>
            <sz val="9"/>
            <color indexed="81"/>
            <rFont val="Tahoma"/>
            <family val="2"/>
          </rPr>
          <t>upk4:</t>
        </r>
        <r>
          <rPr>
            <sz val="9"/>
            <color indexed="81"/>
            <rFont val="Tahoma"/>
            <family val="2"/>
          </rPr>
          <t xml:space="preserve">
koreksi -400</t>
        </r>
      </text>
    </comment>
  </commentList>
</comments>
</file>

<file path=xl/comments47.xml><?xml version="1.0" encoding="utf-8"?>
<comments xmlns="http://schemas.openxmlformats.org/spreadsheetml/2006/main">
  <authors>
    <author>Vista</author>
    <author>CompacUPK</author>
    <author>upk4</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 ref="R82" authorId="1">
      <text>
        <r>
          <rPr>
            <b/>
            <sz val="9"/>
            <color indexed="81"/>
            <rFont val="Tahoma"/>
            <family val="2"/>
          </rPr>
          <t>CompacUPK:</t>
        </r>
        <r>
          <rPr>
            <sz val="9"/>
            <color indexed="81"/>
            <rFont val="Tahoma"/>
            <family val="2"/>
          </rPr>
          <t xml:space="preserve">
</t>
        </r>
      </text>
    </comment>
    <comment ref="S82" authorId="1">
      <text>
        <r>
          <rPr>
            <b/>
            <sz val="9"/>
            <color indexed="81"/>
            <rFont val="Tahoma"/>
            <family val="2"/>
          </rPr>
          <t>CompacUPK:</t>
        </r>
        <r>
          <rPr>
            <sz val="9"/>
            <color indexed="81"/>
            <rFont val="Tahoma"/>
            <family val="2"/>
          </rPr>
          <t xml:space="preserve">
+300,000</t>
        </r>
      </text>
    </comment>
    <comment ref="O129" authorId="2">
      <text>
        <r>
          <rPr>
            <b/>
            <sz val="9"/>
            <color indexed="81"/>
            <rFont val="Tahoma"/>
            <family val="2"/>
          </rPr>
          <t>upk4:</t>
        </r>
        <r>
          <rPr>
            <sz val="9"/>
            <color indexed="81"/>
            <rFont val="Tahoma"/>
            <family val="2"/>
          </rPr>
          <t xml:space="preserve">
koreksi +400
</t>
        </r>
      </text>
    </comment>
  </commentList>
</comments>
</file>

<file path=xl/comments48.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49.xml><?xml version="1.0" encoding="utf-8"?>
<comments xmlns="http://schemas.openxmlformats.org/spreadsheetml/2006/main">
  <authors>
    <author>Vista</author>
    <author>upk4</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5"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6" authorId="0">
      <text>
        <r>
          <rPr>
            <b/>
            <sz val="9"/>
            <color indexed="81"/>
            <rFont val="Tahoma"/>
            <family val="2"/>
          </rPr>
          <t>.....
PG1 2008
PG2 2009
PG3 2010
..dst</t>
        </r>
      </text>
    </comment>
    <comment ref="R191" authorId="1">
      <text>
        <r>
          <rPr>
            <b/>
            <sz val="9"/>
            <color indexed="81"/>
            <rFont val="Tahoma"/>
            <family val="2"/>
          </rPr>
          <t>upk4:</t>
        </r>
        <r>
          <rPr>
            <sz val="9"/>
            <color indexed="81"/>
            <rFont val="Tahoma"/>
            <family val="2"/>
          </rPr>
          <t xml:space="preserve">
+200</t>
        </r>
      </text>
    </comment>
  </commentList>
</comments>
</file>

<file path=xl/comments50.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51.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52.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53.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54.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55.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56.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57.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58.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59.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60.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61.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62.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63.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64.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65.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66.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67.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68.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69.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70.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71.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comments72.xml><?xml version="1.0" encoding="utf-8"?>
<comments xmlns="http://schemas.openxmlformats.org/spreadsheetml/2006/main">
  <authors>
    <author>Vista</author>
  </authors>
  <commentList>
    <comment ref="D10"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11" authorId="0">
      <text>
        <r>
          <rPr>
            <b/>
            <sz val="9"/>
            <color indexed="81"/>
            <rFont val="Tahoma"/>
            <family val="2"/>
          </rPr>
          <t>.....
DA 2008
DA 2009
DA 2010
..dst</t>
        </r>
      </text>
    </comment>
    <comment ref="D63" authorId="0">
      <text>
        <r>
          <rPr>
            <b/>
            <sz val="9"/>
            <color indexed="81"/>
            <rFont val="Tahoma"/>
            <family val="2"/>
          </rPr>
          <t xml:space="preserve">ISI dg JUMLAH PEMINJAM </t>
        </r>
        <r>
          <rPr>
            <b/>
            <sz val="10"/>
            <color indexed="10"/>
            <rFont val="Tahoma"/>
            <family val="2"/>
          </rPr>
          <t xml:space="preserve">HAPUS Jml PEMINJAMNYA SAJA </t>
        </r>
        <r>
          <rPr>
            <b/>
            <sz val="10"/>
            <color indexed="81"/>
            <rFont val="Tahoma"/>
            <family val="2"/>
          </rPr>
          <t xml:space="preserve">KALAU KELOMPOK SUDAH LUNAS </t>
        </r>
      </text>
    </comment>
    <comment ref="C64" authorId="0">
      <text>
        <r>
          <rPr>
            <b/>
            <sz val="9"/>
            <color indexed="81"/>
            <rFont val="Tahoma"/>
            <family val="2"/>
          </rPr>
          <t>.....
PG1 2008
PG2 2009
PG3 2010
..dst</t>
        </r>
      </text>
    </comment>
  </commentList>
</comments>
</file>

<file path=xl/sharedStrings.xml><?xml version="1.0" encoding="utf-8"?>
<sst xmlns="http://schemas.openxmlformats.org/spreadsheetml/2006/main" count="17090" uniqueCount="3027">
  <si>
    <t>UNIT PENGELOLA KEGIATAN</t>
  </si>
  <si>
    <t>BUKU KAS HARIAN</t>
  </si>
  <si>
    <t>Kecamatan</t>
  </si>
  <si>
    <t>Bulan</t>
  </si>
  <si>
    <t>Kabupaten</t>
  </si>
  <si>
    <t>No Rek Neraca</t>
  </si>
  <si>
    <t>Propinsi</t>
  </si>
  <si>
    <t>TANGGAL</t>
  </si>
  <si>
    <t xml:space="preserve">KETERANGAN </t>
  </si>
  <si>
    <t>BUKTI</t>
  </si>
  <si>
    <t>PEMASUKAN</t>
  </si>
  <si>
    <t>PENGELUARAN</t>
  </si>
  <si>
    <t>SALDO</t>
  </si>
  <si>
    <t>TRANSAKSI</t>
  </si>
  <si>
    <t>SETORAN DARI DESA</t>
  </si>
  <si>
    <t>Kas</t>
  </si>
  <si>
    <t>POKOK</t>
  </si>
  <si>
    <t>JASA</t>
  </si>
  <si>
    <t>Lain-Lain</t>
  </si>
  <si>
    <t>TOTAL TRANSAKSI BULAN INI</t>
  </si>
  <si>
    <t>TOTAL TRANSAKSI KUMULATIF</t>
  </si>
  <si>
    <t>Disetujui dan diketahui oleh</t>
  </si>
  <si>
    <t>Dibuat Oleh</t>
  </si>
  <si>
    <t>Ketua UPK</t>
  </si>
  <si>
    <t>Bendahara UPK</t>
  </si>
  <si>
    <t>Pinjaman SPP</t>
  </si>
  <si>
    <t>BUKU KAS HARIAN OPERASIONAL UPK</t>
  </si>
  <si>
    <t>Tarik dr Rek</t>
  </si>
  <si>
    <t>Lain-lain</t>
  </si>
  <si>
    <t>Setor ke Rek</t>
  </si>
  <si>
    <t>Honor Pengurus</t>
  </si>
  <si>
    <t>Adm &amp; Umum</t>
  </si>
  <si>
    <t>Transport</t>
  </si>
  <si>
    <t>By diby di muka</t>
  </si>
  <si>
    <t>Inventaris</t>
  </si>
  <si>
    <t>BUKU KAS HARIAN DANA OPERASIONAL KEGIATAN (DOK)</t>
  </si>
  <si>
    <t>NO</t>
  </si>
  <si>
    <t>Kegiatan</t>
  </si>
  <si>
    <t>Pembuatan</t>
  </si>
  <si>
    <t>Honor</t>
  </si>
  <si>
    <t>MAD</t>
  </si>
  <si>
    <t>Verifikasi</t>
  </si>
  <si>
    <t>Informasi</t>
  </si>
  <si>
    <t>Desain &amp;</t>
  </si>
  <si>
    <t>RAB</t>
  </si>
  <si>
    <t>PENYALURAN KE DESA</t>
  </si>
  <si>
    <t>Prasarana</t>
  </si>
  <si>
    <t>Pendidikan</t>
  </si>
  <si>
    <t>Kesehatan</t>
  </si>
  <si>
    <t>Pinjaman</t>
  </si>
  <si>
    <t>OP TPK</t>
  </si>
  <si>
    <t>OP UPK</t>
  </si>
  <si>
    <t>UEP</t>
  </si>
  <si>
    <t>SPP</t>
  </si>
  <si>
    <t>lain</t>
  </si>
  <si>
    <t>UNIT  PENGELOLA KEGIATAN</t>
  </si>
  <si>
    <t>Bank Cab.</t>
  </si>
  <si>
    <t>No.</t>
  </si>
  <si>
    <t>SETORAN</t>
  </si>
  <si>
    <t>BUNGA BANK</t>
  </si>
  <si>
    <t>PENARIKAN</t>
  </si>
  <si>
    <t>PAJAK</t>
  </si>
  <si>
    <t>BIAYA ADM</t>
  </si>
  <si>
    <t>Hutang UPK</t>
  </si>
  <si>
    <t>Pembayaran</t>
  </si>
  <si>
    <t>Pemb.Htng UPK</t>
  </si>
  <si>
    <t xml:space="preserve">Hutang </t>
  </si>
  <si>
    <t>UPK</t>
  </si>
  <si>
    <t>Denda/Lain2</t>
  </si>
  <si>
    <t>Operasional</t>
  </si>
  <si>
    <t>SIMPAN PINJAM PEREMPUAN  ( SPP )</t>
  </si>
  <si>
    <t>Bulan :</t>
  </si>
  <si>
    <t>No</t>
  </si>
  <si>
    <t>Nama Desa</t>
  </si>
  <si>
    <t>Sarana Prasarana</t>
  </si>
  <si>
    <t>Ops TPK (3 %)</t>
  </si>
  <si>
    <t>Ops UPK (2% )</t>
  </si>
  <si>
    <t>Total</t>
  </si>
  <si>
    <t>(%)*</t>
  </si>
  <si>
    <t>Sisa</t>
  </si>
  <si>
    <t>Alokasi</t>
  </si>
  <si>
    <t>Realisasi</t>
  </si>
  <si>
    <t>Disetujui Oleh,</t>
  </si>
  <si>
    <t>Dibuat Oleh,</t>
  </si>
  <si>
    <t xml:space="preserve">Fasilitator Kecamatan </t>
  </si>
  <si>
    <t>PJOK</t>
  </si>
  <si>
    <t>KECAMATAN</t>
  </si>
  <si>
    <t>KABUPATEN</t>
  </si>
  <si>
    <t>PROPINSI</t>
  </si>
  <si>
    <t>AKTIVA</t>
  </si>
  <si>
    <t>PASIVA</t>
  </si>
  <si>
    <t>HARTA</t>
  </si>
  <si>
    <t>HUTANG</t>
  </si>
  <si>
    <t>1.1</t>
  </si>
  <si>
    <t>1.1.2</t>
  </si>
  <si>
    <t>Kas Operasional UPK</t>
  </si>
  <si>
    <t>1.1.3</t>
  </si>
  <si>
    <t>Kas Pengembalian SPP</t>
  </si>
  <si>
    <t>Total Kas</t>
  </si>
  <si>
    <t>1.2</t>
  </si>
  <si>
    <t>Bank</t>
  </si>
  <si>
    <t>MODAL</t>
  </si>
  <si>
    <t>1.2.1</t>
  </si>
  <si>
    <t>1.2.2</t>
  </si>
  <si>
    <t>Bank Operasional UPK</t>
  </si>
  <si>
    <t>Bank Pengembalian SPP</t>
  </si>
  <si>
    <t>Surplus ditahan</t>
  </si>
  <si>
    <t>Total Bank</t>
  </si>
  <si>
    <t>1.3</t>
  </si>
  <si>
    <t>1.3.2</t>
  </si>
  <si>
    <t>1.4</t>
  </si>
  <si>
    <t>Biaya dibayar dimuka (Bdd)</t>
  </si>
  <si>
    <t>Ak. Amortisasi (Bdd)</t>
  </si>
  <si>
    <t>Nilai Buku</t>
  </si>
  <si>
    <t>1.5</t>
  </si>
  <si>
    <t>Nilai Buku Inventaris</t>
  </si>
  <si>
    <t>1.6</t>
  </si>
  <si>
    <t>Alokasi Desa Dalam Proses</t>
  </si>
  <si>
    <t>TOTAL AKTIVA</t>
  </si>
  <si>
    <t>TOTAL PASIVA</t>
  </si>
  <si>
    <t>Nilai  Pekerjaan</t>
  </si>
  <si>
    <t>Kegiatan Lain</t>
  </si>
  <si>
    <t>(Rp.)</t>
  </si>
  <si>
    <t>UNIT  PENGELOLA  KEGIATAN</t>
  </si>
  <si>
    <t>PENDAPATAN</t>
  </si>
  <si>
    <t>Bulan ini</t>
  </si>
  <si>
    <t>Pendapatan Operasional</t>
  </si>
  <si>
    <t>4.1.2</t>
  </si>
  <si>
    <t>Pendapatan Non Operasional</t>
  </si>
  <si>
    <t>4.2.1</t>
  </si>
  <si>
    <t>4.2.2</t>
  </si>
  <si>
    <t xml:space="preserve">   Bunga Bank Operasional UPK</t>
  </si>
  <si>
    <t>4.2.4</t>
  </si>
  <si>
    <t xml:space="preserve">   Bunga Bank Pengembalian SPP</t>
  </si>
  <si>
    <t>TOTAL PENDAPATAN</t>
  </si>
  <si>
    <t>BIAYA</t>
  </si>
  <si>
    <t>Biaya Operasional</t>
  </si>
  <si>
    <t>5.1.1</t>
  </si>
  <si>
    <t xml:space="preserve">   Honor Pengurus UPK</t>
  </si>
  <si>
    <t>5.1.2</t>
  </si>
  <si>
    <t xml:space="preserve">   Administrasi dan Umum</t>
  </si>
  <si>
    <t xml:space="preserve">   Transport</t>
  </si>
  <si>
    <t xml:space="preserve">   Sewa Kantor (Amortisasi Byy Dibayar Dimuka)</t>
  </si>
  <si>
    <t xml:space="preserve">   Penyusutan (Inventaris)</t>
  </si>
  <si>
    <t>Biaya Penghapusan Pinjaman</t>
  </si>
  <si>
    <t>Biaya Non Operasional</t>
  </si>
  <si>
    <t xml:space="preserve">   Pajak Bunga Bank Operasional UPK</t>
  </si>
  <si>
    <t xml:space="preserve">   Administrasi Bank Operasional UPK</t>
  </si>
  <si>
    <t xml:space="preserve">   Administrasi Bank Pengembalian SPP</t>
  </si>
  <si>
    <t>TOTAL BIAYA</t>
  </si>
  <si>
    <t>DAFTAR  INVENTARIS</t>
  </si>
  <si>
    <t>Jenis Inventaris</t>
  </si>
  <si>
    <t>Tanggal</t>
  </si>
  <si>
    <t>Bukti</t>
  </si>
  <si>
    <t>Unit</t>
  </si>
  <si>
    <t>Harga</t>
  </si>
  <si>
    <t xml:space="preserve">Umur </t>
  </si>
  <si>
    <t>Penyusutan</t>
  </si>
  <si>
    <t>Nilai</t>
  </si>
  <si>
    <t>Pembelian</t>
  </si>
  <si>
    <t>Satuan</t>
  </si>
  <si>
    <t>Perolehan</t>
  </si>
  <si>
    <t>Ekonomis</t>
  </si>
  <si>
    <t>per bulan</t>
  </si>
  <si>
    <t>Pakai</t>
  </si>
  <si>
    <t>Buku</t>
  </si>
  <si>
    <t>(bl/tgl/th)</t>
  </si>
  <si>
    <t>(bln)</t>
  </si>
  <si>
    <t>T o t a l</t>
  </si>
  <si>
    <t>Keterangan</t>
  </si>
  <si>
    <t xml:space="preserve">   Pajak Bunga Bank Pengembalian SPP</t>
  </si>
  <si>
    <t>1.8</t>
  </si>
  <si>
    <t>Rupa-rupa Aktiva</t>
  </si>
  <si>
    <t>3.1</t>
  </si>
  <si>
    <t>3.2</t>
  </si>
  <si>
    <t>3.4</t>
  </si>
  <si>
    <t>3.5</t>
  </si>
  <si>
    <t>1.</t>
  </si>
  <si>
    <t>2.</t>
  </si>
  <si>
    <t>3.</t>
  </si>
  <si>
    <t>4.</t>
  </si>
  <si>
    <t>4.1</t>
  </si>
  <si>
    <t>4.2</t>
  </si>
  <si>
    <t>5.</t>
  </si>
  <si>
    <t>5.1</t>
  </si>
  <si>
    <t>5.2</t>
  </si>
  <si>
    <t>5.3</t>
  </si>
  <si>
    <t>REKONSILIASI REKENING BANK</t>
  </si>
  <si>
    <t>Tanggal Pemeriksaan  :</t>
  </si>
  <si>
    <t>DANA</t>
  </si>
  <si>
    <t>Nomor</t>
  </si>
  <si>
    <t>Saldo</t>
  </si>
  <si>
    <t xml:space="preserve">Bunga - </t>
  </si>
  <si>
    <t xml:space="preserve">Total </t>
  </si>
  <si>
    <t>Sisa Dana</t>
  </si>
  <si>
    <t>Cash on</t>
  </si>
  <si>
    <t>Selisih</t>
  </si>
  <si>
    <t>Rekening</t>
  </si>
  <si>
    <t>(pajak+adm)</t>
  </si>
  <si>
    <t>Netto</t>
  </si>
  <si>
    <t>Penerimaan</t>
  </si>
  <si>
    <t>Penggunaan</t>
  </si>
  <si>
    <t>Seharusnya</t>
  </si>
  <si>
    <t>Hand</t>
  </si>
  <si>
    <t>Dana</t>
  </si>
  <si>
    <t>6=4-5</t>
  </si>
  <si>
    <t>11=9-6-10</t>
  </si>
  <si>
    <t>OPERASIONAL UPK</t>
  </si>
  <si>
    <t>T    O    T    A    L</t>
  </si>
  <si>
    <t>Mengetahui</t>
  </si>
  <si>
    <t>Diperiksa Oleh</t>
  </si>
  <si>
    <t>Fasilitator Kecamatan</t>
  </si>
  <si>
    <t>NAMA KONSULTAN</t>
  </si>
  <si>
    <t>NAMA PENGURUS UPK</t>
  </si>
  <si>
    <t>Ketua</t>
  </si>
  <si>
    <t>Bendahara</t>
  </si>
  <si>
    <t>Sekretaris</t>
  </si>
  <si>
    <t>PjOK</t>
  </si>
  <si>
    <t>Jawa Barat</t>
  </si>
  <si>
    <t>Tgl, bulan, tahun</t>
  </si>
  <si>
    <t>WAKTU PEMBUATAN LAPORAN</t>
  </si>
  <si>
    <t>Tempat, Tgl. Bln dan Tahun</t>
  </si>
  <si>
    <t>JENIS BUKU REKENING</t>
  </si>
  <si>
    <t>BANK CABANG/UNIT</t>
  </si>
  <si>
    <t>LOKASI</t>
  </si>
  <si>
    <t>DATA POKOK LAPORAN</t>
  </si>
  <si>
    <t>NOMOR REKENING</t>
  </si>
  <si>
    <t>Saldo Inventaris dari Kas Ops. UPK</t>
  </si>
  <si>
    <t>Setor ke Rek SPP</t>
  </si>
  <si>
    <t>Tarik dr Rek SPP</t>
  </si>
  <si>
    <t>2.1</t>
  </si>
  <si>
    <t>2.2</t>
  </si>
  <si>
    <t>2.3</t>
  </si>
  <si>
    <t>9=7-8</t>
  </si>
  <si>
    <t>NAMA DESA</t>
  </si>
  <si>
    <t>Setor Ke Rek DOK</t>
  </si>
  <si>
    <t>Tarik Dari Rek DOK</t>
  </si>
  <si>
    <t>3.3</t>
  </si>
  <si>
    <t>P E L A T I H A N    M A S Y A R A K A T</t>
  </si>
  <si>
    <t>BKAD</t>
  </si>
  <si>
    <t>PL</t>
  </si>
  <si>
    <t>KPMD</t>
  </si>
  <si>
    <t>KADES</t>
  </si>
  <si>
    <t>LPM &amp; BPD</t>
  </si>
  <si>
    <t>TPU</t>
  </si>
  <si>
    <t>TIM</t>
  </si>
  <si>
    <t>VERIFIKASI</t>
  </si>
  <si>
    <t>BP-UPK</t>
  </si>
  <si>
    <t>TPK</t>
  </si>
  <si>
    <t>MONITORING</t>
  </si>
  <si>
    <t>PEMELIHARA</t>
  </si>
  <si>
    <t>P E L A T I H A N      M A S Y A R A K A T</t>
  </si>
  <si>
    <t>P  E  R  E  N  C  A  N  A  A  N</t>
  </si>
  <si>
    <t>TARIK dari REK</t>
  </si>
  <si>
    <t>Hutang</t>
  </si>
  <si>
    <t>Fasilitator Teknik</t>
  </si>
  <si>
    <t>Hutang Dana Sosial</t>
  </si>
  <si>
    <t>TOTAL TRANSAKSI TAHUN BERJALAN</t>
  </si>
  <si>
    <t>TOTAL TRANSAKSI TAHUN LALU</t>
  </si>
  <si>
    <t>LAPORAN OPERASIONAL</t>
  </si>
  <si>
    <t>Pendapatan</t>
  </si>
  <si>
    <t>Biaya</t>
  </si>
  <si>
    <t>-</t>
  </si>
  <si>
    <t>KONSEP PEMBAGIAN LABA</t>
  </si>
  <si>
    <t>Penambahan modal</t>
  </si>
  <si>
    <t>Surplus / Laba</t>
  </si>
  <si>
    <r>
      <t xml:space="preserve">- Penambahan Modal </t>
    </r>
    <r>
      <rPr>
        <sz val="10"/>
        <color indexed="10"/>
        <rFont val="Times New Roman"/>
        <family val="1"/>
      </rPr>
      <t>(min 50%)</t>
    </r>
  </si>
  <si>
    <t>Laba yg dibagi</t>
  </si>
  <si>
    <t>+</t>
  </si>
  <si>
    <t>*) Nilai Resiko diambil dari laporan Kolektibilitas</t>
  </si>
  <si>
    <t>Besarannya tergantung kesepakatan di MAD, dengan 2 kriteria :</t>
  </si>
  <si>
    <t>- Jika Laba besar, maka nilai resiko (bisa) diambil mulai dari nilai resiko kolektibilitas 1 s/d 5</t>
  </si>
  <si>
    <t xml:space="preserve">  atau tergantung kesepakatan</t>
  </si>
  <si>
    <t xml:space="preserve">- Jika Laba kecil, maka nilai resiko (bisa) diambil pada nilai kolektibilitas 4, 5 </t>
  </si>
  <si>
    <t xml:space="preserve">  Tujuannya adalah agar UPK bisa membagi laba.</t>
  </si>
  <si>
    <t>sehingga posisi di Neraca per 31 Des XXX sebagai berikut :</t>
  </si>
  <si>
    <t>Neraca</t>
  </si>
  <si>
    <t>Per 31 Des XXX</t>
  </si>
  <si>
    <t xml:space="preserve"> Kas</t>
  </si>
  <si>
    <t xml:space="preserve"> Bank</t>
  </si>
  <si>
    <t>berubah menjadi</t>
  </si>
  <si>
    <t xml:space="preserve"> berasal dari : Laba berjalan-Total alokasi laba dibagi</t>
  </si>
  <si>
    <t>Catatan :</t>
  </si>
  <si>
    <t>1. Pembagian laba hanya bisa dilakukan pada akhir tahun saja</t>
  </si>
  <si>
    <t>2. Surplus ditahan akhir sebenarnya merupakan penambahan modal UPK</t>
  </si>
  <si>
    <t>1. Pada saat pembagian laba, dana yang bisa diambil berasal dari kas/bank yang saldonya mencukupi dan mendapat persetujuan forum MAD.</t>
  </si>
  <si>
    <t>2. Khusus untuk hutang, dibuatkan buku hutang tersendiri.</t>
  </si>
  <si>
    <t>yang terjadi di kas/bank UPK tidak menjadi biaya operasional UPK dan hanya berpengaruh kepada mutasi pembukuan saja.</t>
  </si>
  <si>
    <t>LAPORAN PERUBAHAN MODAL</t>
  </si>
  <si>
    <t>Surplus ditahan tahun lalu</t>
  </si>
  <si>
    <t>Surplus tahun berjalan</t>
  </si>
  <si>
    <t>Alokasi surplus tahun berjalan :</t>
  </si>
  <si>
    <t>- Bonus UPK</t>
  </si>
  <si>
    <t>Modal Akhir</t>
  </si>
  <si>
    <t>Jurnal mutasi-mutasi transaksi pada saat eksekusi/posting :</t>
  </si>
  <si>
    <t>Tgl</t>
  </si>
  <si>
    <t>Uraian Singkat</t>
  </si>
  <si>
    <t>Ref</t>
  </si>
  <si>
    <t>Debet</t>
  </si>
  <si>
    <t>Credit</t>
  </si>
  <si>
    <t>Pengalokasian Surplus tahun berjalan:</t>
  </si>
  <si>
    <t>Dana Bonus UPK</t>
  </si>
  <si>
    <t>Eksekusi</t>
  </si>
  <si>
    <t>Dana Sosial bantuan orang miskin</t>
  </si>
  <si>
    <t>Buku Hutang</t>
  </si>
  <si>
    <t>Dana Pengemb kelembag UPK &amp; Kel</t>
  </si>
  <si>
    <t>Surplus ditahan tahun berjalan</t>
  </si>
  <si>
    <t xml:space="preserve">--------------------------     --------------------- </t>
  </si>
  <si>
    <t>Mutasi penggunaan alokasi dana:</t>
  </si>
  <si>
    <t>Hutang Dana Pengemb Kelembag UPK &amp; Kel</t>
  </si>
  <si>
    <t>Kas/Bank</t>
  </si>
  <si>
    <t>Mutasi penggunaan dana dikelola UPK:</t>
  </si>
  <si>
    <t>--------------------------     ---------------------</t>
  </si>
  <si>
    <t xml:space="preserve">Lampiran 1: </t>
  </si>
  <si>
    <t>Laporan Perubahan Modal</t>
  </si>
  <si>
    <t>Unit Pengelola Kegiatan</t>
  </si>
  <si>
    <t>Rp</t>
  </si>
  <si>
    <t>Modal awal :</t>
  </si>
  <si>
    <t>a</t>
  </si>
  <si>
    <t>Laba ditahan tahun  lalu</t>
  </si>
  <si>
    <t>d=a+b+c</t>
  </si>
  <si>
    <t>Surplus (Deficit) ditahan tahun lalu</t>
  </si>
  <si>
    <t>e</t>
  </si>
  <si>
    <r>
      <t>Surplus tahun berjalan</t>
    </r>
    <r>
      <rPr>
        <sz val="11"/>
        <rFont val="Maiandra GD"/>
        <family val="2"/>
      </rPr>
      <t>, yg dialokasikan pada:</t>
    </r>
  </si>
  <si>
    <t>f</t>
  </si>
  <si>
    <t>f3</t>
  </si>
  <si>
    <t>f4</t>
  </si>
  <si>
    <t>f5</t>
  </si>
  <si>
    <t>g = e - f</t>
  </si>
  <si>
    <t>=</t>
  </si>
  <si>
    <t>Modal akhir</t>
  </si>
  <si>
    <t>D + g</t>
  </si>
  <si>
    <t>Diketahui dan disetuji Oleh,</t>
  </si>
  <si>
    <t xml:space="preserve">Lampiran 2: </t>
  </si>
  <si>
    <t>Laporan Realisasi Penggunaan Dana Alokasi Suplus UPK</t>
  </si>
  <si>
    <t>LAPORAN REALISASI PENGGUNAAN DANA ALOKASI SURPLUS UPK</t>
  </si>
  <si>
    <t>Alokasi Dana</t>
  </si>
  <si>
    <t>Januari</t>
  </si>
  <si>
    <t>Februari</t>
  </si>
  <si>
    <t>Maret</t>
  </si>
  <si>
    <t>April</t>
  </si>
  <si>
    <t>Mei</t>
  </si>
  <si>
    <t>Juni</t>
  </si>
  <si>
    <t>Pengemb kelembag UPK &amp; Kel</t>
  </si>
  <si>
    <t>Bonus Pengurus UPK</t>
  </si>
  <si>
    <t>Sosial bantuan orang miskin</t>
  </si>
  <si>
    <t>Juli</t>
  </si>
  <si>
    <t>Agustus</t>
  </si>
  <si>
    <t>September</t>
  </si>
  <si>
    <t>Oktober</t>
  </si>
  <si>
    <t>Nopember</t>
  </si>
  <si>
    <t>Desember</t>
  </si>
  <si>
    <t>Diperiksa Oleh,</t>
  </si>
  <si>
    <t>Diketahui dan Disetujui Oleh,</t>
  </si>
  <si>
    <t>Faslitator Kecamatan</t>
  </si>
  <si>
    <t>Lainnya</t>
  </si>
  <si>
    <t>IPTW</t>
  </si>
  <si>
    <t>:</t>
  </si>
  <si>
    <t>s/d Tahun Lalu</t>
  </si>
  <si>
    <t>Tahun Berjalan</t>
  </si>
  <si>
    <t>Akumulasi</t>
  </si>
  <si>
    <t>Bulan Lalu</t>
  </si>
  <si>
    <t>s/d Bln ini</t>
  </si>
  <si>
    <t>TAHUN BERJALAN</t>
  </si>
  <si>
    <t>s/d Bln Lalu</t>
  </si>
  <si>
    <t>Thn Lalu</t>
  </si>
  <si>
    <t>Bonus UPK</t>
  </si>
  <si>
    <t>Dana Sosial</t>
  </si>
  <si>
    <t>PENERIMAAN</t>
  </si>
  <si>
    <t>KETERANGAN</t>
  </si>
  <si>
    <t>BULAN BERJALAN</t>
  </si>
  <si>
    <t>AKUMULASI</t>
  </si>
  <si>
    <t>%</t>
  </si>
  <si>
    <t xml:space="preserve">SALDO AWAL </t>
  </si>
  <si>
    <t>PENERIMAAN DANA</t>
  </si>
  <si>
    <t>Jumlah Penerimaan Dana</t>
  </si>
  <si>
    <t>Operasional UPK</t>
  </si>
  <si>
    <t>Operasional TPK</t>
  </si>
  <si>
    <t>Penyaluran Keg. Prasarana sarana</t>
  </si>
  <si>
    <t>Penyaluran Keg. SPP</t>
  </si>
  <si>
    <t>Penyaluran Keg. Pendidikan</t>
  </si>
  <si>
    <t>Penyaluran Keg. Kesehatan</t>
  </si>
  <si>
    <t>Jumlah Penggunaan Dana</t>
  </si>
  <si>
    <t xml:space="preserve">SALDO AKHIR </t>
  </si>
  <si>
    <t xml:space="preserve">PERINCIAN SALDO AKHIR </t>
  </si>
  <si>
    <t>Bank …… No.Rek. ……………………….</t>
  </si>
  <si>
    <t>Jumlah Total</t>
  </si>
  <si>
    <t>NERACA KEGIATAN MICRO FINANCE</t>
  </si>
  <si>
    <t>Modal Alokasi  BLM Kegiatan SPP</t>
  </si>
  <si>
    <t>Laba ditahan</t>
  </si>
  <si>
    <t>Laba / (Rugi) Thn berjalan</t>
  </si>
  <si>
    <t>LABA / (RUGI)</t>
  </si>
  <si>
    <t>PELATIHAN</t>
  </si>
  <si>
    <t>LAIN</t>
  </si>
  <si>
    <t>P E N G E L U A R A N</t>
  </si>
  <si>
    <t>Media</t>
  </si>
  <si>
    <t>Pertemuan</t>
  </si>
  <si>
    <t>Lain</t>
  </si>
  <si>
    <t>JENIS KEGIATAN DOK PERENCANAAN</t>
  </si>
  <si>
    <t>P  E  N  G  E  L  U  A  R  A  N</t>
  </si>
  <si>
    <t>Bunga Bank</t>
  </si>
  <si>
    <t>Transfer dari KPPN</t>
  </si>
  <si>
    <t>FK</t>
  </si>
  <si>
    <t>FT</t>
  </si>
  <si>
    <t>DAFTAR  BIAYA DIBAYAR DIMUKA  (BDD)</t>
  </si>
  <si>
    <t>Masa</t>
  </si>
  <si>
    <t>Umur</t>
  </si>
  <si>
    <t>Amortisasi</t>
  </si>
  <si>
    <t xml:space="preserve">Akumulasi </t>
  </si>
  <si>
    <t>Biaya Dibayar Di muka</t>
  </si>
  <si>
    <t>Transaksi</t>
  </si>
  <si>
    <t>Manfaat</t>
  </si>
  <si>
    <t>(BDD)</t>
  </si>
  <si>
    <t>s/d Thn Lalu</t>
  </si>
  <si>
    <t>s/d Bln lalu</t>
  </si>
  <si>
    <t>S/d Bln ini</t>
  </si>
  <si>
    <t>8=5 / 6</t>
  </si>
  <si>
    <t>12=10+11</t>
  </si>
  <si>
    <t>13=9+12</t>
  </si>
  <si>
    <t>14=5-13</t>
  </si>
  <si>
    <t>Saldo BDD dari Kas Ops. UPK</t>
  </si>
  <si>
    <t>Pajak</t>
  </si>
  <si>
    <t>C</t>
  </si>
  <si>
    <t>D</t>
  </si>
  <si>
    <t>C.</t>
  </si>
  <si>
    <t>Swadaya Masyarakat</t>
  </si>
  <si>
    <t>E.</t>
  </si>
  <si>
    <t>PENGELUARAN LAIN</t>
  </si>
  <si>
    <t>Administrasi</t>
  </si>
  <si>
    <t>F.</t>
  </si>
  <si>
    <t>G.</t>
  </si>
  <si>
    <t>Laporan Hasil Pemeriksaan Dana-dana UPK</t>
  </si>
  <si>
    <t>Uraian</t>
  </si>
  <si>
    <t>SALDO AWAL</t>
  </si>
  <si>
    <t>Transfer dari KPPN  dan Cost Sharing (DDUPB)</t>
  </si>
  <si>
    <t>Pengembalian SPP (Pokok + bunga)</t>
  </si>
  <si>
    <t>Bunga rekening operasional</t>
  </si>
  <si>
    <t>Bunga rekening SPP</t>
  </si>
  <si>
    <t>Penerimaan lain-lain *</t>
  </si>
  <si>
    <t>Total Penerimaan + Saldo Awal</t>
  </si>
  <si>
    <t>Pencairan ke desa (tidak termasuk 3% ops. TPK)</t>
  </si>
  <si>
    <t>Perguliran SPP</t>
  </si>
  <si>
    <t xml:space="preserve">Biaya Operasional UPK (Honor, Adm. dan  Umum,Inventaris dll)    </t>
  </si>
  <si>
    <t>Biaya Operasional TPK</t>
  </si>
  <si>
    <t>Pajak dan Adm. Rek. Operasional</t>
  </si>
  <si>
    <t>Pajak dan Adm. Rek. SPP</t>
  </si>
  <si>
    <t>Pengeluaran lain-lain *</t>
  </si>
  <si>
    <t>Total Pengeluaran</t>
  </si>
  <si>
    <t>Saldo ((Saldo Awal +Total Penerimaan) - Total Pengeluaran)        (A)</t>
  </si>
  <si>
    <t>Hasil Pemeriksaan Rekening dan Uang Kas</t>
  </si>
  <si>
    <t>Saldo Rekening Operasional No. Rek</t>
  </si>
  <si>
    <t>Saldo Rekening SPP No. Rek</t>
  </si>
  <si>
    <t>(B)</t>
  </si>
  <si>
    <t>Selisih (A) - (B) =</t>
  </si>
  <si>
    <t>Keterangan Selisih (Apabila terjadi selisih) :</t>
  </si>
  <si>
    <t>Badan Pengawas UPK</t>
  </si>
  <si>
    <t>F.Kec / FT.Kec</t>
  </si>
  <si>
    <t>Transfer dari KPPN dan Cost Sharing (DDUPB)</t>
  </si>
  <si>
    <t>Penerimaan Lain lain</t>
  </si>
  <si>
    <t>Pencairan ke desa</t>
  </si>
  <si>
    <t>Biaya operasional UPK(yang masuk ke kas atau rekening operasional)</t>
  </si>
  <si>
    <t>Saldo ((Saldo Awal +Total Penerimaan) - Total Pengeluaran)    (A)</t>
  </si>
  <si>
    <t>Hasil Pemeriksaan Dana Operasional UPK</t>
  </si>
  <si>
    <t>Dari 2% BLM</t>
  </si>
  <si>
    <t>Transfer dari Jasa Pinjaman SPP</t>
  </si>
  <si>
    <t>Penerimaan Lain-lain *</t>
  </si>
  <si>
    <t xml:space="preserve">Biaya Operasiona UPK (Honor, Adm. dan  Umum,Inventaris dll)    </t>
  </si>
  <si>
    <t>Saldo ((Saldo Awal +Total Penerimaan) - Total Pengeluaran)              (A)</t>
  </si>
  <si>
    <t xml:space="preserve">Saldo Rekening Ops.UPK No. Rekening   : </t>
  </si>
  <si>
    <r>
      <t>Total Uang Tunai (</t>
    </r>
    <r>
      <rPr>
        <i/>
        <sz val="12"/>
        <rFont val="Tahoma"/>
        <family val="2"/>
      </rPr>
      <t>Cash on hand</t>
    </r>
    <r>
      <rPr>
        <sz val="12"/>
        <rFont val="Tahoma"/>
        <family val="2"/>
      </rPr>
      <t>) Ops. UPK</t>
    </r>
  </si>
  <si>
    <t>Hasil Pemeriksaan Dana Bergulir (SPP)</t>
  </si>
  <si>
    <t>Pengembalian Pokok</t>
  </si>
  <si>
    <t>Pengembalian bunga</t>
  </si>
  <si>
    <t>Perguliran</t>
  </si>
  <si>
    <t>Transfer ke Rek. Operasional</t>
  </si>
  <si>
    <t xml:space="preserve">Saldo Rekening SPP Nomor. Rekening   : </t>
  </si>
  <si>
    <r>
      <t>Total Uang Tunai (</t>
    </r>
    <r>
      <rPr>
        <i/>
        <sz val="12"/>
        <rFont val="Tahoma"/>
        <family val="2"/>
      </rPr>
      <t>Cash on hand</t>
    </r>
    <r>
      <rPr>
        <sz val="12"/>
        <rFont val="Tahoma"/>
        <family val="2"/>
      </rPr>
      <t>) SPP</t>
    </r>
  </si>
  <si>
    <t>Saldo Awal</t>
  </si>
  <si>
    <t>Bunga rekening DOK Perencanaan</t>
  </si>
  <si>
    <t xml:space="preserve">Kegiatan Perencanaan </t>
  </si>
  <si>
    <t>Pajak dan Adm. Rek. DOK Perencanaan</t>
  </si>
  <si>
    <t>Saldo Rekening DOK Perencanaan</t>
  </si>
  <si>
    <r>
      <t>Total Uang Tunai (</t>
    </r>
    <r>
      <rPr>
        <i/>
        <sz val="12"/>
        <rFont val="Tahoma"/>
        <family val="2"/>
      </rPr>
      <t>Cash on hand</t>
    </r>
    <r>
      <rPr>
        <sz val="12"/>
        <rFont val="Tahoma"/>
        <family val="2"/>
      </rPr>
      <t>) DOK Perencanaan</t>
    </r>
  </si>
  <si>
    <t xml:space="preserve">Bunga rekening DOK Pelatihan Masyarakat </t>
  </si>
  <si>
    <t>Kegiatan Pelatihan Masyarakat  PNPM</t>
  </si>
  <si>
    <t xml:space="preserve">Pajak dan Adm. Rek. DOK Pelatihan Masyarakat PNPM </t>
  </si>
  <si>
    <t xml:space="preserve">Saldo Rekening DOK Pelatihan Masyarakat </t>
  </si>
  <si>
    <r>
      <t>Total Uang Tunai (</t>
    </r>
    <r>
      <rPr>
        <i/>
        <sz val="12"/>
        <rFont val="Tahoma"/>
        <family val="2"/>
      </rPr>
      <t>Cash on hand</t>
    </r>
    <r>
      <rPr>
        <sz val="12"/>
        <rFont val="Tahoma"/>
        <family val="2"/>
      </rPr>
      <t xml:space="preserve">) DOK Pelatihan Masyarakat </t>
    </r>
  </si>
  <si>
    <t>No Rekening Bank</t>
  </si>
  <si>
    <t>A.</t>
  </si>
  <si>
    <t>B.</t>
  </si>
  <si>
    <t>PENCAIRAN DOK</t>
  </si>
  <si>
    <t>Jumlah</t>
  </si>
  <si>
    <t>Pencairan Tahap I</t>
  </si>
  <si>
    <t>Pencairan Tahap II</t>
  </si>
  <si>
    <t>PEMASUKAN LAIN</t>
  </si>
  <si>
    <t>JUMLAH</t>
  </si>
  <si>
    <t>PENYERAPAN (PENGGUNAAN)</t>
  </si>
  <si>
    <t>Uraian Kegiatan</t>
  </si>
  <si>
    <t>Honor PjOK</t>
  </si>
  <si>
    <t xml:space="preserve">MAD Prioritas Usulan </t>
  </si>
  <si>
    <t>MAD Penetapan Usulan</t>
  </si>
  <si>
    <t>MKP</t>
  </si>
  <si>
    <t>MD Perencanaan</t>
  </si>
  <si>
    <t>Pembuatan Desain &amp; RAB</t>
  </si>
  <si>
    <t>Uraian Pencairan</t>
  </si>
  <si>
    <t>Peningkatan Kapasitas Kelembagaan BKAD</t>
  </si>
  <si>
    <t>Pelatihan Dasar Pendamping Lokal (PL)</t>
  </si>
  <si>
    <t>Pelatihan bagi Kepala Desa,  LPM dan  BPD</t>
  </si>
  <si>
    <t>Orientasi Tim Penulis Usulan (TPU)</t>
  </si>
  <si>
    <t>Orientasi Tim Verifikasi</t>
  </si>
  <si>
    <t>Pelatihan Unit Pengelola Kecamatan (UPK)</t>
  </si>
  <si>
    <t>Pelatihan Badan Pengawas UPK</t>
  </si>
  <si>
    <t>Orientasi Tim Pengawasan Desa bagi Monitoring Desa</t>
  </si>
  <si>
    <t>Pelatihan Tim Pengelola dan Pemelihara Kegiatan</t>
  </si>
  <si>
    <t>Program Nasional Pemberdayaan Masyarakat Mandiri Perdesaan</t>
  </si>
  <si>
    <t>Aktiva Tetap</t>
  </si>
  <si>
    <t>4.2.3</t>
  </si>
  <si>
    <t>Sukabumi</t>
  </si>
  <si>
    <r>
      <t xml:space="preserve">Nilai Resiko </t>
    </r>
    <r>
      <rPr>
        <b/>
        <sz val="10"/>
        <color indexed="10"/>
        <rFont val="Times New Roman"/>
        <family val="1"/>
      </rPr>
      <t>*)</t>
    </r>
  </si>
  <si>
    <t>**) Pembagian Surplus utk Kembagaan UPK &amp; Kelompok :</t>
  </si>
  <si>
    <t>- Utk penguatan status kelembagaan &amp; peningkatan kapasitas pelaku</t>
  </si>
  <si>
    <r>
      <t xml:space="preserve">- </t>
    </r>
    <r>
      <rPr>
        <b/>
        <sz val="11"/>
        <rFont val="Times New Roman"/>
        <family val="1"/>
      </rPr>
      <t>Subsidi</t>
    </r>
    <r>
      <rPr>
        <sz val="10"/>
        <rFont val="Times New Roman"/>
        <family val="1"/>
      </rPr>
      <t xml:space="preserve"> pendanaan kegiatan kelembagaan BKAD</t>
    </r>
  </si>
  <si>
    <t>- Kelembagaan UPK &amp; KLP</t>
  </si>
  <si>
    <t>- Dana sosial Org Miskin</t>
  </si>
  <si>
    <r>
      <t xml:space="preserve">3. Pada saat membukukan transaksi2 yang bersifat bisa langsung dieksekusi (Bonus UPK), </t>
    </r>
    <r>
      <rPr>
        <sz val="10"/>
        <color indexed="10"/>
        <rFont val="Times New Roman"/>
        <family val="1"/>
      </rPr>
      <t>maka pengurangan</t>
    </r>
    <r>
      <rPr>
        <sz val="10"/>
        <rFont val="Times New Roman"/>
        <family val="1"/>
      </rPr>
      <t xml:space="preserve"> </t>
    </r>
  </si>
  <si>
    <t>MD                                                    &amp;                                                     MKP</t>
  </si>
  <si>
    <t>Terima dr Bk Kas UEP</t>
  </si>
  <si>
    <t>Terima dr Bk Kas SPP</t>
  </si>
  <si>
    <t>LAIN - LAIN</t>
  </si>
  <si>
    <t>LAIN - LAIN NON BIAYA</t>
  </si>
  <si>
    <t>NON SPP</t>
  </si>
  <si>
    <t>Verifikasi Perguliran</t>
  </si>
  <si>
    <t>Penyehatan Pinjaman</t>
  </si>
  <si>
    <t>Kelembagaan</t>
  </si>
  <si>
    <t>KETERANGAN TRANSAKSI</t>
  </si>
  <si>
    <t>TANGGAL TRANSAKSI</t>
  </si>
  <si>
    <t>BUKTI TRANSAKSI</t>
  </si>
  <si>
    <t>TOTAL TRANSAKSI KUMULATIF S/D BULAN INI</t>
  </si>
  <si>
    <t>TOTAL TRANSAKSI S/D BULAN LALU</t>
  </si>
  <si>
    <t>1.3.3</t>
  </si>
  <si>
    <t>Pinjaman Lainnya</t>
  </si>
  <si>
    <t>Nilai Buku Aktiva Tetap</t>
  </si>
  <si>
    <t>Hutang Dana Kelembagaan UPK</t>
  </si>
  <si>
    <t>Hutang Lain-lain</t>
  </si>
  <si>
    <t>Hutang Dana Sosial utk Orang Miskin</t>
  </si>
  <si>
    <t>TOTAL KUMULATIF</t>
  </si>
  <si>
    <t>4.1.3</t>
  </si>
  <si>
    <t xml:space="preserve">   Biaya Lain-lain Non Operasional</t>
  </si>
  <si>
    <t>ALOKASI LABA DIBAGI</t>
  </si>
  <si>
    <t>LABA DITAHAN</t>
  </si>
  <si>
    <t>Hibah dari Pihak ketiga</t>
  </si>
  <si>
    <t>Ak. Penyusutan</t>
  </si>
  <si>
    <t>Rupa-Rupa Aktiva</t>
  </si>
  <si>
    <t xml:space="preserve">    Pendapatan Operasional Lain-lain</t>
  </si>
  <si>
    <t xml:space="preserve">    Jasa Pengembalian SPP</t>
  </si>
  <si>
    <t xml:space="preserve">   Biaya Operasional Lain-lain</t>
  </si>
  <si>
    <t>NILAI</t>
  </si>
  <si>
    <t>YG DISUSUTKAN</t>
  </si>
  <si>
    <t>DOK RPJMDES</t>
  </si>
  <si>
    <t>BUKU KAS HARIAN B-PPK</t>
  </si>
  <si>
    <t>BUKU KAS HARIAN B-PNPM - UB</t>
  </si>
  <si>
    <t>BUKU KAS HARIAN B-PNPM - TP (PASCA GEMPA)</t>
  </si>
  <si>
    <t>BUKU KAS HARIAN B-PNPM - GSC</t>
  </si>
  <si>
    <t>BUKU KAS HARIAN B-PNPM - PASCA KRISIS</t>
  </si>
  <si>
    <r>
      <t xml:space="preserve">PERENCANAAN  </t>
    </r>
    <r>
      <rPr>
        <b/>
        <sz val="24"/>
        <rFont val="Arial"/>
        <family val="2"/>
      </rPr>
      <t>GSC</t>
    </r>
  </si>
  <si>
    <r>
      <t xml:space="preserve">PERENCANAAN </t>
    </r>
    <r>
      <rPr>
        <b/>
        <sz val="24"/>
        <rFont val="Arial"/>
        <family val="2"/>
      </rPr>
      <t>GSC</t>
    </r>
  </si>
  <si>
    <t>PASCA GEMPA</t>
  </si>
  <si>
    <t>R P J M D E S</t>
  </si>
  <si>
    <t>KEGIATAN LAIN</t>
  </si>
  <si>
    <t>TRANSFER</t>
  </si>
  <si>
    <t>TUNAI</t>
  </si>
  <si>
    <t>A</t>
  </si>
  <si>
    <t>Perguliran UEP</t>
  </si>
  <si>
    <t>USAHA EKONOMI PRODUKTIF (UEP)</t>
  </si>
  <si>
    <t>Tarik dr Rek UEP</t>
  </si>
  <si>
    <t>Setor ke Rek UEP</t>
  </si>
  <si>
    <t>RPJMDES</t>
  </si>
  <si>
    <t>BUKU BANK B - PPK</t>
  </si>
  <si>
    <t>BUKU BANK B - PNPM   UB</t>
  </si>
  <si>
    <t>BUKU BANK B - PNPM   TP - PASCA GEMPA</t>
  </si>
  <si>
    <t>BUKU BANK B - GSC</t>
  </si>
  <si>
    <t>BUKU BANK PASCA KRISIS</t>
  </si>
  <si>
    <t>BUKU BANK OP-UPK</t>
  </si>
  <si>
    <t>BUKU BANK SPP</t>
  </si>
  <si>
    <t>BUKU BANK UEP</t>
  </si>
  <si>
    <t>BUKU BANK DOK PERENCANAAN</t>
  </si>
  <si>
    <t>BUKU BANK DOK PELATIHAN</t>
  </si>
  <si>
    <r>
      <t xml:space="preserve">BUKU BANK DOK PERENCANAAN </t>
    </r>
    <r>
      <rPr>
        <b/>
        <sz val="24"/>
        <rFont val="Times New Roman"/>
        <family val="1"/>
      </rPr>
      <t>GSC</t>
    </r>
  </si>
  <si>
    <t>BUKU BANK DOK PASCA GEMPA</t>
  </si>
  <si>
    <t>BUKU BANK RPJMDES</t>
  </si>
  <si>
    <t>4.1.1</t>
  </si>
  <si>
    <t xml:space="preserve">    Jasa Pengembalian UEP</t>
  </si>
  <si>
    <t xml:space="preserve">   Bunga Bank Pengembalian UEP</t>
  </si>
  <si>
    <t>Biaya Dana</t>
  </si>
  <si>
    <t>Dana Program Kerjasama</t>
  </si>
  <si>
    <t>Dana Lain-lain</t>
  </si>
  <si>
    <t>5.2.1</t>
  </si>
  <si>
    <t>5.2.2</t>
  </si>
  <si>
    <t>5.2.3</t>
  </si>
  <si>
    <t>5.2.4</t>
  </si>
  <si>
    <t>5.2.5</t>
  </si>
  <si>
    <t>5.2.6</t>
  </si>
  <si>
    <t>5.4</t>
  </si>
  <si>
    <t>5.4.1</t>
  </si>
  <si>
    <t>5.4.2</t>
  </si>
  <si>
    <t xml:space="preserve">   Pajak Bunga Bank Pengembalian UEP</t>
  </si>
  <si>
    <t>5.4.3</t>
  </si>
  <si>
    <t>5.4.4</t>
  </si>
  <si>
    <t>5.4.5</t>
  </si>
  <si>
    <t xml:space="preserve">   Administrasi Bank Pengembalian UEP</t>
  </si>
  <si>
    <t>5.4.6</t>
  </si>
  <si>
    <t>5.4.7</t>
  </si>
  <si>
    <t>Kas Pengembalian UEP</t>
  </si>
  <si>
    <t>1.1.4</t>
  </si>
  <si>
    <t>Bank Pengembalian UEP</t>
  </si>
  <si>
    <t>1.2.3</t>
  </si>
  <si>
    <t>Modal Alokasi  BLM Kegiatan UEP</t>
  </si>
  <si>
    <t>1.3.1</t>
  </si>
  <si>
    <t>Pinjaman UEP</t>
  </si>
  <si>
    <t>PNPM Mandiri Perdesaan</t>
  </si>
  <si>
    <t>Form. 83</t>
  </si>
  <si>
    <t>Laporan Non Revolving Fund</t>
  </si>
  <si>
    <t>LAPORAN s/d BULAN LALU</t>
  </si>
  <si>
    <t>ANALISA SELISIH ARUS DANA</t>
  </si>
  <si>
    <t>Penerimaan Transfer Dana BLM :</t>
  </si>
  <si>
    <t>Jmlah penerimaan dana</t>
  </si>
  <si>
    <t>BLM Kegiatan GSC</t>
  </si>
  <si>
    <t>Transfer KPPN  (BLM PNPM GSC)</t>
  </si>
  <si>
    <t>BLM Kegiatan Pasca Gempa</t>
  </si>
  <si>
    <t>Transfer Kasda  (BLM PNPM GSC)</t>
  </si>
  <si>
    <t>BLM Kegiatan Pasca Krisis</t>
  </si>
  <si>
    <t>Transfer KPPN  (BLM Pasca Gempa)</t>
  </si>
  <si>
    <t>BLM ....................</t>
  </si>
  <si>
    <t>Transfer KPPN  (BLM Pasca Krisis)</t>
  </si>
  <si>
    <t>DOK Perencaan MP</t>
  </si>
  <si>
    <t>Transfer lain-lain  (BLM ..........................)</t>
  </si>
  <si>
    <t>DOK Perencaan GSC</t>
  </si>
  <si>
    <t>Transfer KPPN (DOK Perencanaan) MP &amp; PPK</t>
  </si>
  <si>
    <t>DOK Pelatihan MP</t>
  </si>
  <si>
    <t>Transfer KPPN (DOK Perencanaan) GSC</t>
  </si>
  <si>
    <t>DOK Pelatihan GSC</t>
  </si>
  <si>
    <t>Transfer KPPN (DOK Pelatihan Masyarakat) MP &amp; PPK</t>
  </si>
  <si>
    <t>Transfer KPPN (DOK Pelatihan Masyarakat) GSC</t>
  </si>
  <si>
    <t>DOK Pasca Gempa</t>
  </si>
  <si>
    <t>DOK .........................</t>
  </si>
  <si>
    <t>Transfer KPPN (DOK Pasca Gempa)</t>
  </si>
  <si>
    <t>Setoran dana buka Rek</t>
  </si>
  <si>
    <t>Penerimaan Bunga Bank :</t>
  </si>
  <si>
    <t>Bunga Bank BLM PNPM GSC</t>
  </si>
  <si>
    <t>Bunga Bank BLM PNPM Pasca Gempa</t>
  </si>
  <si>
    <t>Bunga Bank BLM PNPM Pasca Krisis</t>
  </si>
  <si>
    <t>Bunga Bank BLM .........................</t>
  </si>
  <si>
    <t>Bunga Bank DOK Perencanaan MP &amp; PPK</t>
  </si>
  <si>
    <t>Bunga Bank DOK Perencanaan GSC</t>
  </si>
  <si>
    <t>Bunga Bank  DOK Pelatihan Masyarakat MP &amp; PPK</t>
  </si>
  <si>
    <t>Bunga Bank  DOK Pelatihan Masyarakat GSC</t>
  </si>
  <si>
    <t>Bunga Bank  DOK Pasca Gempa</t>
  </si>
  <si>
    <t>Penarikan dana buka Rek</t>
  </si>
  <si>
    <t>PENGGUNAAN  DANA</t>
  </si>
  <si>
    <t>Penyaluran Keg. UEP</t>
  </si>
  <si>
    <t>Penyaluran Keg. Peningkatan Kapasitas Kelompok</t>
  </si>
  <si>
    <t>Penggunaan Dana BLM-GSC :</t>
  </si>
  <si>
    <t>Operasional PK</t>
  </si>
  <si>
    <t>Penggunaan BLM DOK :</t>
  </si>
  <si>
    <t>Penyaluran Keg. Perencanaan MP &amp; PPK</t>
  </si>
  <si>
    <t>Total Saldo Akhir</t>
  </si>
  <si>
    <t>Penyaluran Keg. Perencanaan GSC</t>
  </si>
  <si>
    <t>Penyaluran Keg. Pelatihan Masyarakat MP &amp; PPK</t>
  </si>
  <si>
    <t>Penyaluran Keg. Pelatihan Masyarakat GSC</t>
  </si>
  <si>
    <t>Penyaluran Keg. Pasca Gempa</t>
  </si>
  <si>
    <t>Biaya Pajak dan Administrasi Bank :</t>
  </si>
  <si>
    <t>Pjk dan Adm. Bank BLM PNPM-GSC</t>
  </si>
  <si>
    <t>Pjk dan Adm. Bank BLM PNPM Pasca Gempa</t>
  </si>
  <si>
    <t>Pjk dan Adm. Bank BLM PNPM Pasca Krisis</t>
  </si>
  <si>
    <t>Pjk dan Adm. Bank BLM ............................</t>
  </si>
  <si>
    <t>Pjk dan Adm. Bank DOK Perencanaan MP &amp; PPK</t>
  </si>
  <si>
    <t>Pjk dan Adm. Bank DOK Perencanaan GSC</t>
  </si>
  <si>
    <t>Pjk dan Adm. Bank DOK Pelatihan Masyarakat MP &amp; PPK</t>
  </si>
  <si>
    <t>Pjk dan Adm. Bank DOK Pelatihan Masyarakat GSC</t>
  </si>
  <si>
    <t>Pjk dan Adm. Bank DOK Pasca Gempa</t>
  </si>
  <si>
    <t>Total Rincian Saldo Akhir</t>
  </si>
  <si>
    <t>SELISIH DANA SALDO AKHIR</t>
  </si>
  <si>
    <t>Kas BLM PNPM GSC</t>
  </si>
  <si>
    <t>Kas BLM PNPM Pasca Gempa</t>
  </si>
  <si>
    <t>Kas BLM PNPM Pasca Krisis</t>
  </si>
  <si>
    <t>Kas BLM ...........................</t>
  </si>
  <si>
    <t>Kas DOK Perencanaan MP &amp; PPK</t>
  </si>
  <si>
    <t>Kas DOK Perencanaan GSC</t>
  </si>
  <si>
    <t>Kas DOK Pelatihan Masyarakat MP &amp; PPK</t>
  </si>
  <si>
    <t>Kas DOK Pelatihan Masyarakat GSC</t>
  </si>
  <si>
    <t>Kas DOK Pasca Gempa</t>
  </si>
  <si>
    <t>Buka Rekening</t>
  </si>
  <si>
    <t>Bank  BLM  PNPM GSC</t>
  </si>
  <si>
    <t>Bank  BLM  PNPM Pasca Gempa</t>
  </si>
  <si>
    <t>Total Selisih Dana</t>
  </si>
  <si>
    <t>Bank  BLM  PNPM Pasca Krisis</t>
  </si>
  <si>
    <t>Bank  BLM  ..........................</t>
  </si>
  <si>
    <t>Bank DOK Perencanaan MP &amp; PPK</t>
  </si>
  <si>
    <t>Bank DOK Perencanaan GSC</t>
  </si>
  <si>
    <t>Bank  DOK Pelatihan Masyarakat MP &amp; PPK</t>
  </si>
  <si>
    <t>Bank  DOK Pelatihan Masyarakat GSC</t>
  </si>
  <si>
    <t>Bank  DOK Pasca Gempa</t>
  </si>
  <si>
    <t>Selisih  :</t>
  </si>
  <si>
    <t>UNIT PENGELOLA KEGIATAN (UPK)</t>
  </si>
  <si>
    <t>PROGRAM PENGEMBANGAN KECAMATAN / PROGRAM NASIONAL PEMBERDAYAAN MPd</t>
  </si>
  <si>
    <t>URAIAN</t>
  </si>
  <si>
    <t>1).</t>
  </si>
  <si>
    <t>* Jasa Pengembalian UEP</t>
  </si>
  <si>
    <t>* Jasa Pengembalian SPP</t>
  </si>
  <si>
    <t>* Total Pendapatan Operasional</t>
  </si>
  <si>
    <t>2).</t>
  </si>
  <si>
    <t>* Bunga Bank Operasional UPK</t>
  </si>
  <si>
    <t>* Bunga Bank Pengembalian UEP</t>
  </si>
  <si>
    <t>* Bunga Bank Pengembalian SPP</t>
  </si>
  <si>
    <t>* Total Pendapatan Non Operasional</t>
  </si>
  <si>
    <t>3).</t>
  </si>
  <si>
    <t>Pendapatan Lain-lain</t>
  </si>
  <si>
    <t>b.</t>
  </si>
  <si>
    <t>* Honor Pengurus UPK</t>
  </si>
  <si>
    <t>* Administrasi dan Umum</t>
  </si>
  <si>
    <t>* Transport</t>
  </si>
  <si>
    <t>* Sewa Kantor</t>
  </si>
  <si>
    <t>* Penyusutan</t>
  </si>
  <si>
    <t>* Lain-lain</t>
  </si>
  <si>
    <t>* Total Biaya  Operasional</t>
  </si>
  <si>
    <t>* Pajak Bunga Bank Operasional UPK</t>
  </si>
  <si>
    <t>* Pajak Bunga Bank UEP</t>
  </si>
  <si>
    <t>* Adminstrasi Bank Operasional UPK</t>
  </si>
  <si>
    <t>* Administrasi Bank UEP</t>
  </si>
  <si>
    <t>* Administrasi Bank SPP</t>
  </si>
  <si>
    <t>* Lain-lain Biaya Non Operasional</t>
  </si>
  <si>
    <t>* Total Biaya  Non Operasional</t>
  </si>
  <si>
    <t>Surplus / Devisit</t>
  </si>
  <si>
    <t>PROGRAM PENGEMBANGAN KECAMATAN (PPK) / PROGRAM NASIONAL PEMBERDAYAAN MPd</t>
  </si>
  <si>
    <t>LAPORAN NERACA</t>
  </si>
  <si>
    <t>Rp.</t>
  </si>
  <si>
    <t>PASSIVA</t>
  </si>
  <si>
    <t xml:space="preserve">Kas  </t>
  </si>
  <si>
    <t>* Hutang Dana Kelembagaan UPK</t>
  </si>
  <si>
    <t>* Hutang Dana Sosial utk Orang Miskin</t>
  </si>
  <si>
    <t>* Kas Operasional UPK</t>
  </si>
  <si>
    <t>* Hutang Lain-lain</t>
  </si>
  <si>
    <t>* Kas Pengembalian UEP</t>
  </si>
  <si>
    <t>* Kas Pengembalian SPP</t>
  </si>
  <si>
    <t>* Total Kas</t>
  </si>
  <si>
    <t>* Dana Dari KPPN PPK I</t>
  </si>
  <si>
    <t>* Dana Dari KPPN PPK II</t>
  </si>
  <si>
    <t>* Dana Dari KPPN PPK III</t>
  </si>
  <si>
    <t>* Bank Operasional UPK</t>
  </si>
  <si>
    <t>* Dana Dari KPPN PNPM PPK</t>
  </si>
  <si>
    <t>* Bank  Pengembalian UEP</t>
  </si>
  <si>
    <t>* Dari Dari KPPN PNPM MPd</t>
  </si>
  <si>
    <t>* Bank Pengembalian SPP</t>
  </si>
  <si>
    <t>* Dana Matching Grant</t>
  </si>
  <si>
    <t>* Cost Saharing PPK III</t>
  </si>
  <si>
    <t>* Total Bank</t>
  </si>
  <si>
    <t>* Cost Saharing PNPM-PPK</t>
  </si>
  <si>
    <t>* Cost Saharing PNPM-MPd</t>
  </si>
  <si>
    <t>* Pinjaman UEP</t>
  </si>
  <si>
    <t>* Dana Hibah Pihak Ke 3</t>
  </si>
  <si>
    <t>* Pinjaman SPP</t>
  </si>
  <si>
    <t>* Surplus Ditahan</t>
  </si>
  <si>
    <t>* Suprlus Berjalan</t>
  </si>
  <si>
    <t>4).</t>
  </si>
  <si>
    <t>Biaya Dibayar Dimuka</t>
  </si>
  <si>
    <t>* Ak. Amortisasi</t>
  </si>
  <si>
    <t>Keterangan :</t>
  </si>
  <si>
    <t>* Nilai Buku</t>
  </si>
  <si>
    <t>Total Aset Produktif :</t>
  </si>
  <si>
    <t>Aset Produktif UEP :</t>
  </si>
  <si>
    <t>5).</t>
  </si>
  <si>
    <t>Aset Produktif SPP :</t>
  </si>
  <si>
    <t>* Ak. Penyusutan</t>
  </si>
  <si>
    <t>6).</t>
  </si>
  <si>
    <t xml:space="preserve">* Tanah </t>
  </si>
  <si>
    <t>7).</t>
  </si>
  <si>
    <t>* Prasarana</t>
  </si>
  <si>
    <t>* Pendidikan</t>
  </si>
  <si>
    <t>* Kesehatan</t>
  </si>
  <si>
    <t>* Jenis Kegiatan Lain</t>
  </si>
  <si>
    <t>* Operasional Desa</t>
  </si>
  <si>
    <t xml:space="preserve">* Total </t>
  </si>
  <si>
    <t>Alokasi Desa Serahterima</t>
  </si>
  <si>
    <t>8).</t>
  </si>
  <si>
    <t>T0TAL PASIVA</t>
  </si>
  <si>
    <t>LAPORAN PENCAIRAN PENYERAPAN DOK PERENCANAAN PNPM MANDIRI PERDESAAN</t>
  </si>
  <si>
    <t xml:space="preserve">ALOKASI DOK DARI PEMERINTAH PUSAT </t>
  </si>
  <si>
    <t>B</t>
  </si>
  <si>
    <t>Pencairan Tahap III</t>
  </si>
  <si>
    <t>Lain-lain (Pinjaman Buka rekening)</t>
  </si>
  <si>
    <t>CONTOH TAHAPAN DOK PERENCANAAN</t>
  </si>
  <si>
    <t>Honor Tim Verifikasi (6 org)</t>
  </si>
  <si>
    <t>Pembahasan awal di Kec.</t>
  </si>
  <si>
    <t>Pembahasan awal dg KM</t>
  </si>
  <si>
    <t xml:space="preserve">Kunjungan Lapangan </t>
  </si>
  <si>
    <t>Pembahasan Akhir &amp; Rekom</t>
  </si>
  <si>
    <t>Papan Informasi Kecamatan</t>
  </si>
  <si>
    <t>Papan Informasi Desa</t>
  </si>
  <si>
    <t>Bahan Pemetaan Dusun</t>
  </si>
  <si>
    <t>Honor Pendamping Lokal (PL)</t>
  </si>
  <si>
    <t>Honor Fasilitator Desa (FD / KPMD)</t>
  </si>
  <si>
    <t>Pertemuan FD / KPMD</t>
  </si>
  <si>
    <t>Pelatihan KPMD</t>
  </si>
  <si>
    <t>Pelatihan TPK Perencanaan</t>
  </si>
  <si>
    <t>Lain-lain (Pembayaran Buka Rekening)</t>
  </si>
  <si>
    <t>SALDO PENCAIRAN DOK (Pencairan - Penyerapan)</t>
  </si>
  <si>
    <t>SALDO KAS ( (Pencairan+Bunga) - (Penyerapan+Pajak+Adm) )</t>
  </si>
  <si>
    <t>LAPORAN PENCAIRAN PENYERAPAN DOK PELATIHAN PNPM MANDIRI PERDESAAN</t>
  </si>
  <si>
    <t>CONTOH TAHAPAN DOK PELATIHAN</t>
  </si>
  <si>
    <t>Pelatihan KPMD Pelaksanaan</t>
  </si>
  <si>
    <t>Orientasi TPK Pelasanaan</t>
  </si>
  <si>
    <t>B-PPK</t>
  </si>
  <si>
    <t>B-PNPM MPd - UB</t>
  </si>
  <si>
    <t>B-PNPM - TP Pasca Bencana</t>
  </si>
  <si>
    <t>B - GSC</t>
  </si>
  <si>
    <t>PASCA KRISIS</t>
  </si>
  <si>
    <t>DOK - PASCA GEMPA</t>
  </si>
  <si>
    <t>DOK - RPJMDES</t>
  </si>
  <si>
    <t>TAHUN ANGGARAN 2010</t>
  </si>
  <si>
    <t>LAPORAN PENCAIRAN PENYERAPAN DOK PASCA GEMPA</t>
  </si>
  <si>
    <t>LAPORAN PENCAIRAN PENYERAPAN DOK RPJMDES</t>
  </si>
  <si>
    <t>LAPORAN ARUS DANA BLM DAN DOK PNPM-MP,  PNPM-GSC, PASCA GEMPA &amp; PASCA KRISIS</t>
  </si>
  <si>
    <t>Transfer KPPN  (BLM PPK)</t>
  </si>
  <si>
    <t>Transfer Kasda  (BLM PPK)</t>
  </si>
  <si>
    <t>Transfer KPPN  (BLM PNPM MPd)</t>
  </si>
  <si>
    <t>Transfer Kasda  (BLM PNPM MPd)</t>
  </si>
  <si>
    <t>Transfer KPPN (DOK RPJMDES)</t>
  </si>
  <si>
    <t>Penggunaan Dana BLM-PPK :</t>
  </si>
  <si>
    <t>Penggunaan Dana BLM-MP :</t>
  </si>
  <si>
    <t>Penggunaan Dana BLM-PASCA GEMPA :</t>
  </si>
  <si>
    <t>Penggunaan Dana BLM-PASCA KRISIS :</t>
  </si>
  <si>
    <t>Penyaluran Keg. RPJMDES</t>
  </si>
  <si>
    <t>Pjk dan Adm. Bank BLM PPK</t>
  </si>
  <si>
    <t>Pjk dan Adm. Bank BLM PNPM-MP</t>
  </si>
  <si>
    <t>Pjk dan Adm. Bank DOK RPJMDES</t>
  </si>
  <si>
    <t>Bunga Bank BLM PPK</t>
  </si>
  <si>
    <t>Bunga Bank BLM PNPM MP</t>
  </si>
  <si>
    <t>Bunga Bank  DOK RPJMDES</t>
  </si>
  <si>
    <t>Kas BLM PNPM MP</t>
  </si>
  <si>
    <t>Kas BLM PPK</t>
  </si>
  <si>
    <t>Kas DOK RPJMDES</t>
  </si>
  <si>
    <t>Bank  BLM  PPK</t>
  </si>
  <si>
    <t>Bank  BLM  PNPM MP</t>
  </si>
  <si>
    <t>Bank  DOK RPJMDES</t>
  </si>
  <si>
    <t>BLM Kegiatan PPK</t>
  </si>
  <si>
    <t>BLM Kegiatan PNPM MP</t>
  </si>
  <si>
    <t>Penggunaan Dana BLM-...................... :</t>
  </si>
  <si>
    <r>
      <t xml:space="preserve">Bantuan Operasional 2% </t>
    </r>
    <r>
      <rPr>
        <sz val="10"/>
        <rFont val="Arial"/>
        <family val="2"/>
      </rPr>
      <t>SPP</t>
    </r>
  </si>
  <si>
    <t>* Dari Dari KPPN GSC</t>
  </si>
  <si>
    <t>* Dari Dari KPPN PASCA GEMPA</t>
  </si>
  <si>
    <t>* Dari Dari KPPN PASCA KRISIS</t>
  </si>
  <si>
    <t>* Bank  BPPK</t>
  </si>
  <si>
    <t>* Bank BPNPM MPd</t>
  </si>
  <si>
    <t>* Bank  PASCA GEMPA</t>
  </si>
  <si>
    <t>* Bank  PASCA KRISIS</t>
  </si>
  <si>
    <t>* Bank  GSC</t>
  </si>
  <si>
    <t>* Kas BPPK</t>
  </si>
  <si>
    <t>* Kas BPNPM MPd</t>
  </si>
  <si>
    <t>* Kas GSC</t>
  </si>
  <si>
    <t>* Kas PASCA GEMPA</t>
  </si>
  <si>
    <t>* Kas PASCA KRISIS</t>
  </si>
  <si>
    <t>PNPM MPd</t>
  </si>
  <si>
    <t>PNPM GSC</t>
  </si>
  <si>
    <t>PNPM PASCA GEMPA</t>
  </si>
  <si>
    <t>PNPM PASCA KRISIS</t>
  </si>
  <si>
    <t>PPK</t>
  </si>
  <si>
    <t>9).</t>
  </si>
  <si>
    <t>* Bunga Bank BPPK</t>
  </si>
  <si>
    <t>* Bunga Bank BPNPM MPd</t>
  </si>
  <si>
    <t>* Bunga Bank GSC</t>
  </si>
  <si>
    <t>* Bunga Bank PASCA GEMPA</t>
  </si>
  <si>
    <t>* Bunga Bank PASCA KRISIS</t>
  </si>
  <si>
    <t>* Pajak Bunga Bank BPPK</t>
  </si>
  <si>
    <t>* Pajak Bunga Bank BPNPM MPd</t>
  </si>
  <si>
    <t>* Pajak Bunga Bank GSC</t>
  </si>
  <si>
    <t>* Pajak Bunga Bank PASCA GEMPA</t>
  </si>
  <si>
    <t>* Pajak Bunga Bank PASCA KRISIS</t>
  </si>
  <si>
    <t>* Administrasi Bank BPPK</t>
  </si>
  <si>
    <t>* Administrasi Bank BPNPM MPd</t>
  </si>
  <si>
    <t>* Administrasi Bank GSC</t>
  </si>
  <si>
    <t>* Administrasi Bank PASCA GEMPA</t>
  </si>
  <si>
    <t>* Administrasi Bank PASCA KRISIS</t>
  </si>
  <si>
    <t>Tanah (Aktiva Tetap)</t>
  </si>
  <si>
    <t>GEDUNG KANTOR UPK</t>
  </si>
  <si>
    <t>TRANSFER APBD</t>
  </si>
  <si>
    <t>TRANSFER APBN</t>
  </si>
  <si>
    <r>
      <t xml:space="preserve">BUKU BANK DOK PELATIHAN </t>
    </r>
    <r>
      <rPr>
        <b/>
        <sz val="24"/>
        <rFont val="Times New Roman"/>
        <family val="1"/>
      </rPr>
      <t>GSC</t>
    </r>
  </si>
  <si>
    <r>
      <t xml:space="preserve">PELATIHAN </t>
    </r>
    <r>
      <rPr>
        <b/>
        <sz val="24"/>
        <rFont val="Arial"/>
        <family val="2"/>
      </rPr>
      <t>GSC</t>
    </r>
  </si>
  <si>
    <r>
      <t xml:space="preserve">PELATIHAN  </t>
    </r>
    <r>
      <rPr>
        <b/>
        <sz val="24"/>
        <rFont val="Arial"/>
        <family val="2"/>
      </rPr>
      <t>GSC</t>
    </r>
  </si>
  <si>
    <t>MICROFINANCE</t>
  </si>
  <si>
    <t>Kas DOK Microfinance</t>
  </si>
  <si>
    <r>
      <t>1.</t>
    </r>
    <r>
      <rPr>
        <sz val="11"/>
        <rFont val="Times New Roman"/>
        <family val="1"/>
      </rPr>
      <t>   Bonus UPK</t>
    </r>
  </si>
  <si>
    <r>
      <t>2.</t>
    </r>
    <r>
      <rPr>
        <sz val="7"/>
        <rFont val="Times New Roman"/>
        <family val="1"/>
      </rPr>
      <t xml:space="preserve">      </t>
    </r>
    <r>
      <rPr>
        <sz val="11"/>
        <rFont val="Maiandra GD"/>
        <family val="2"/>
      </rPr>
      <t>Pengemb kelembagaan UPK &amp; Kel</t>
    </r>
  </si>
  <si>
    <r>
      <t>3.</t>
    </r>
    <r>
      <rPr>
        <sz val="7"/>
        <rFont val="Times New Roman"/>
        <family val="1"/>
      </rPr>
      <t xml:space="preserve">      </t>
    </r>
    <r>
      <rPr>
        <sz val="11"/>
        <rFont val="Maiandra GD"/>
        <family val="2"/>
      </rPr>
      <t>Dana Sosial bantuan orang miskin</t>
    </r>
  </si>
  <si>
    <t>.............................................................</t>
  </si>
  <si>
    <t>.................................</t>
  </si>
  <si>
    <t>...................</t>
  </si>
  <si>
    <t>OP PK</t>
  </si>
  <si>
    <t>OP-UPK</t>
  </si>
  <si>
    <t>OP-TPK Desa</t>
  </si>
  <si>
    <t>TOTAL NILAI</t>
  </si>
  <si>
    <t>PNPM-MPd</t>
  </si>
  <si>
    <t>GSC</t>
  </si>
  <si>
    <t>SISA KEGIATAN</t>
  </si>
  <si>
    <t>* Pinjaman SPP Pihak ke-3</t>
  </si>
  <si>
    <t>* Kas Pengembalian SPP Pihak Ke-3</t>
  </si>
  <si>
    <t>* Bank Pengembalian SPP Pihak Ke-3</t>
  </si>
  <si>
    <t>BUKU BANK SPP Pihak Ke-3</t>
  </si>
  <si>
    <t>SIMPAN PINJAM PEREMPUAN  ( SPP )  Pihak Ke-3</t>
  </si>
  <si>
    <t>PPK 1</t>
  </si>
  <si>
    <t>PPK 2</t>
  </si>
  <si>
    <t>PPK 3</t>
  </si>
  <si>
    <t>Program</t>
  </si>
  <si>
    <t>Nilai Bantuan</t>
  </si>
  <si>
    <t>APBN</t>
  </si>
  <si>
    <t>APBD</t>
  </si>
  <si>
    <t>PNPM-PPK</t>
  </si>
  <si>
    <t>Tahun</t>
  </si>
  <si>
    <t>BUKU HUTANG DANA KELEMBAGAAN</t>
  </si>
  <si>
    <t>BUKU HUTANG DANA SOSIAL ORANG MISKIN</t>
  </si>
  <si>
    <t>BUKU HUTANG DANA TALANGAN DARI PIHAK LAIN</t>
  </si>
  <si>
    <t>Credit (Terima Hutang)</t>
  </si>
  <si>
    <t>Debet (Bayar Hutang)</t>
  </si>
  <si>
    <t>DAFTAR PENERIMAAN DANA HIBAH PIHAK KE-3</t>
  </si>
  <si>
    <t>Bantuan Hibah Dana Dari Pemda u/ pembelian Komputer</t>
  </si>
  <si>
    <t>Bantuan Hibah Dana Untuk Biaya Sewa Kantor</t>
  </si>
  <si>
    <t>* Bunga Bank Pengembalian SPP Pihak Ke-3</t>
  </si>
  <si>
    <t>Inventaris Yang Hilang atau Dijual</t>
  </si>
  <si>
    <t>Bln Lalu</t>
  </si>
  <si>
    <t>Tahun               Lalu</t>
  </si>
  <si>
    <t>TAHUN 2010</t>
  </si>
  <si>
    <t>RESIKO PINJAMAN UEP</t>
  </si>
  <si>
    <t>RESIKO PINJAMAN SPP</t>
  </si>
  <si>
    <t>TOTAL</t>
  </si>
  <si>
    <r>
      <t xml:space="preserve">OP-UPK alokasi Non SPP </t>
    </r>
    <r>
      <rPr>
        <b/>
        <sz val="10"/>
        <color indexed="40"/>
        <rFont val="Times New Roman"/>
        <family val="1"/>
      </rPr>
      <t>*)</t>
    </r>
  </si>
  <si>
    <r>
      <t xml:space="preserve">*) OP-UPK alokasi non SPP diambil dari </t>
    </r>
    <r>
      <rPr>
        <b/>
        <sz val="10"/>
        <color indexed="30"/>
        <rFont val="Times New Roman"/>
        <family val="1"/>
      </rPr>
      <t>R/L Microfinance</t>
    </r>
    <r>
      <rPr>
        <b/>
        <sz val="10"/>
        <color indexed="40"/>
        <rFont val="Times New Roman"/>
        <family val="1"/>
      </rPr>
      <t xml:space="preserve"> pada pos </t>
    </r>
    <r>
      <rPr>
        <b/>
        <sz val="10"/>
        <color indexed="30"/>
        <rFont val="Times New Roman"/>
        <family val="1"/>
      </rPr>
      <t>Pendapatan Non Operasional Lainnya</t>
    </r>
  </si>
  <si>
    <t>SELISIH LABA-LABA DIBAGI</t>
  </si>
  <si>
    <t>Laba ditahan thn lalu</t>
  </si>
  <si>
    <t>Surplus/Laba Kotor</t>
  </si>
  <si>
    <t>Modal UEP &amp;  SPP</t>
  </si>
  <si>
    <t>Jadi Hutang setelah LPJ Dieksekusi langsung ke Kas OP-UPK</t>
  </si>
  <si>
    <t>Jadi Hutang setelah LPJ Dapat Dieksekusi langsung ke Kas OP-UPK</t>
  </si>
  <si>
    <t>Nilai resiko di atas kertas (hanya sbg faktor pengurang saja)</t>
  </si>
  <si>
    <t>OP 2% NON SPP</t>
  </si>
  <si>
    <t>Pinjaman SPP Pihak ke-3</t>
  </si>
  <si>
    <t>1.3.4</t>
  </si>
  <si>
    <t>4.1.4</t>
  </si>
  <si>
    <t xml:space="preserve">    Jasa Pengembalian SPP Pihak Ke-3</t>
  </si>
  <si>
    <t xml:space="preserve">   Bunga Bank Pengembalian SPP Pihak Ke-3</t>
  </si>
  <si>
    <t>4.2.5</t>
  </si>
  <si>
    <t xml:space="preserve">   Pajak Bunga Bank Pengembalian SPP  Pihak Ke-3</t>
  </si>
  <si>
    <t xml:space="preserve">   Administrasi Bank Pengembalian SPP Pihak Ke-3</t>
  </si>
  <si>
    <t>5.4.8</t>
  </si>
  <si>
    <t>5.4.9</t>
  </si>
  <si>
    <t>* Jasa Pengembalian SPP Pihak Ke-3</t>
  </si>
  <si>
    <t>SPP Pihak Ke-3</t>
  </si>
  <si>
    <t>DOK - PERENCANAAN GSC</t>
  </si>
  <si>
    <t>DOK - PELATIHAN GSC</t>
  </si>
  <si>
    <t>DOK MICROFINANCE</t>
  </si>
  <si>
    <t>DOK PERENCANAAN PPK/PNPM</t>
  </si>
  <si>
    <t>DOK PELATIHAN PPK/PNPM</t>
  </si>
  <si>
    <t>DOK      PELATIHAN             PPK / PNPM</t>
  </si>
  <si>
    <t>DOK         PERENCANAAN              PPK / PNPM</t>
  </si>
  <si>
    <t>DOK           PERENCANAAN              GSC</t>
  </si>
  <si>
    <t>DOK      PELATIHAN             GSC</t>
  </si>
  <si>
    <t>DOK           PASCA GEMPA</t>
  </si>
  <si>
    <t>DOK         RPJMDes</t>
  </si>
  <si>
    <t>Disalurkan ke Desa</t>
  </si>
  <si>
    <t>Sudah MDST</t>
  </si>
  <si>
    <t>Bank Pengembalian SPP Pihak ke-3</t>
  </si>
  <si>
    <t>1.2.4</t>
  </si>
  <si>
    <t>Kas Pengembalian SPP Pihak Ke-3</t>
  </si>
  <si>
    <t>1.1.1</t>
  </si>
  <si>
    <t>PINJMAN BUKA REKENING :</t>
  </si>
  <si>
    <t>BAYAR PINJAMAN BUKA REKENING :</t>
  </si>
  <si>
    <t>Pembayaran Hutang UPK</t>
  </si>
  <si>
    <t>DAFTAR FORM DESA</t>
  </si>
  <si>
    <t>NO.</t>
  </si>
  <si>
    <t>KODE DESA</t>
  </si>
  <si>
    <t>DB LAPORAN NERACA</t>
  </si>
  <si>
    <t xml:space="preserve">KECAMATAN    </t>
  </si>
  <si>
    <t xml:space="preserve">KABUPATEN      </t>
  </si>
  <si>
    <t xml:space="preserve">PROVINSI          </t>
  </si>
  <si>
    <t>KdUPKN</t>
  </si>
  <si>
    <t>KdKec</t>
  </si>
  <si>
    <t>Per2</t>
  </si>
  <si>
    <t>111</t>
  </si>
  <si>
    <t>112</t>
  </si>
  <si>
    <t>113</t>
  </si>
  <si>
    <t>114</t>
  </si>
  <si>
    <t>121</t>
  </si>
  <si>
    <t>122</t>
  </si>
  <si>
    <t>123</t>
  </si>
  <si>
    <t>124</t>
  </si>
  <si>
    <t>131</t>
  </si>
  <si>
    <t>132</t>
  </si>
  <si>
    <t>14a</t>
  </si>
  <si>
    <t>14b</t>
  </si>
  <si>
    <t>15a</t>
  </si>
  <si>
    <t>15b</t>
  </si>
  <si>
    <t>161</t>
  </si>
  <si>
    <t>162</t>
  </si>
  <si>
    <t>163</t>
  </si>
  <si>
    <t>164</t>
  </si>
  <si>
    <t>165</t>
  </si>
  <si>
    <t>171</t>
  </si>
  <si>
    <t>172</t>
  </si>
  <si>
    <t>173</t>
  </si>
  <si>
    <t>174</t>
  </si>
  <si>
    <t>175</t>
  </si>
  <si>
    <t>RA</t>
  </si>
  <si>
    <t>2</t>
  </si>
  <si>
    <t>21</t>
  </si>
  <si>
    <t>22</t>
  </si>
  <si>
    <t>31</t>
  </si>
  <si>
    <t>32</t>
  </si>
  <si>
    <t>33</t>
  </si>
  <si>
    <t>34</t>
  </si>
  <si>
    <t>35</t>
  </si>
  <si>
    <t>36</t>
  </si>
  <si>
    <t>37</t>
  </si>
  <si>
    <t>38</t>
  </si>
  <si>
    <t>39</t>
  </si>
  <si>
    <t>40</t>
  </si>
  <si>
    <t>401</t>
  </si>
  <si>
    <t>391</t>
  </si>
  <si>
    <t>Transfer</t>
  </si>
  <si>
    <t>DB LAPORAN OPERASIONAL</t>
  </si>
  <si>
    <t>IdUPKO</t>
  </si>
  <si>
    <t>411</t>
  </si>
  <si>
    <t>412</t>
  </si>
  <si>
    <t>421</t>
  </si>
  <si>
    <t>422</t>
  </si>
  <si>
    <t>423</t>
  </si>
  <si>
    <t>424</t>
  </si>
  <si>
    <t>43</t>
  </si>
  <si>
    <t>511</t>
  </si>
  <si>
    <t>512</t>
  </si>
  <si>
    <t>513</t>
  </si>
  <si>
    <t>514</t>
  </si>
  <si>
    <t>515</t>
  </si>
  <si>
    <t>516</t>
  </si>
  <si>
    <t>52</t>
  </si>
  <si>
    <t>531</t>
  </si>
  <si>
    <t>532</t>
  </si>
  <si>
    <t>533</t>
  </si>
  <si>
    <t>534</t>
  </si>
  <si>
    <t>535</t>
  </si>
  <si>
    <t>536</t>
  </si>
  <si>
    <t>537</t>
  </si>
  <si>
    <t>538</t>
  </si>
  <si>
    <t>539</t>
  </si>
  <si>
    <t>540</t>
  </si>
  <si>
    <t>DB LAPORAN NERACA MICROFINANCE</t>
  </si>
  <si>
    <t>133</t>
  </si>
  <si>
    <t>16</t>
  </si>
  <si>
    <t>17</t>
  </si>
  <si>
    <t>23</t>
  </si>
  <si>
    <t>DB LAPORAN LABA RUGI</t>
  </si>
  <si>
    <t>413</t>
  </si>
  <si>
    <t>521</t>
  </si>
  <si>
    <t>522</t>
  </si>
  <si>
    <t>523</t>
  </si>
  <si>
    <t>524</t>
  </si>
  <si>
    <t>525</t>
  </si>
  <si>
    <t>526</t>
  </si>
  <si>
    <t>530</t>
  </si>
  <si>
    <t>541</t>
  </si>
  <si>
    <t>542</t>
  </si>
  <si>
    <t>543</t>
  </si>
  <si>
    <t>544</t>
  </si>
  <si>
    <t>545</t>
  </si>
  <si>
    <t>546</t>
  </si>
  <si>
    <t>547</t>
  </si>
  <si>
    <t>548</t>
  </si>
  <si>
    <t>January</t>
  </si>
  <si>
    <t>February</t>
  </si>
  <si>
    <t>March</t>
  </si>
  <si>
    <t>May</t>
  </si>
  <si>
    <t>June</t>
  </si>
  <si>
    <t>July</t>
  </si>
  <si>
    <t>August</t>
  </si>
  <si>
    <t>October</t>
  </si>
  <si>
    <t>November</t>
  </si>
  <si>
    <t>December</t>
  </si>
  <si>
    <t>KdData</t>
  </si>
  <si>
    <t>TransferAPBNx</t>
  </si>
  <si>
    <t>TransferAPBN</t>
  </si>
  <si>
    <t>TransferAPBDx</t>
  </si>
  <si>
    <t>TransferAPBD</t>
  </si>
  <si>
    <t>TransferLainx</t>
  </si>
  <si>
    <t>TransferLain</t>
  </si>
  <si>
    <t>TransferDOKRencanax</t>
  </si>
  <si>
    <t>TransferDOKRencana</t>
  </si>
  <si>
    <t>TransferDOKLatihx</t>
  </si>
  <si>
    <t>TransferDOKLatih</t>
  </si>
  <si>
    <t>TransferDOKMicrox</t>
  </si>
  <si>
    <t>TransferDOKMicro</t>
  </si>
  <si>
    <t>BungaBPNPMx</t>
  </si>
  <si>
    <t>BungaBPNPM</t>
  </si>
  <si>
    <t>BungaBLMPilotx</t>
  </si>
  <si>
    <t>BungaBLMPilot</t>
  </si>
  <si>
    <t>BungaDOKRencanax</t>
  </si>
  <si>
    <t>BungaDOKRencana</t>
  </si>
  <si>
    <t>BungaDOKLatihx</t>
  </si>
  <si>
    <t>BungaDOKLatih</t>
  </si>
  <si>
    <t>BungaDOKMicrox</t>
  </si>
  <si>
    <t>BungaDOKMicro</t>
  </si>
  <si>
    <t>MasukLainx</t>
  </si>
  <si>
    <t>MasukLain</t>
  </si>
  <si>
    <t>OprUPKx</t>
  </si>
  <si>
    <t>OprUPK</t>
  </si>
  <si>
    <t>OprTPKx</t>
  </si>
  <si>
    <t>OprTPK</t>
  </si>
  <si>
    <t>SalurSaranax</t>
  </si>
  <si>
    <t>SalurSarana</t>
  </si>
  <si>
    <t>SalurUEPx</t>
  </si>
  <si>
    <t>SalurUEP</t>
  </si>
  <si>
    <t>SalurSPPx</t>
  </si>
  <si>
    <t>SalurSPP</t>
  </si>
  <si>
    <t>SalurPendidikanx</t>
  </si>
  <si>
    <t>SalurPendidikan</t>
  </si>
  <si>
    <t>SalurKesehatanx</t>
  </si>
  <si>
    <t>SalurKesehatan</t>
  </si>
  <si>
    <t>SalurPeningkatanx</t>
  </si>
  <si>
    <t>SalurPeningkatan</t>
  </si>
  <si>
    <t>SalurPerencanaanx</t>
  </si>
  <si>
    <t>SalurPerencanaan</t>
  </si>
  <si>
    <t>SalurPelatihanx</t>
  </si>
  <si>
    <t>SalurPelatihan</t>
  </si>
  <si>
    <t>SalurMicrox</t>
  </si>
  <si>
    <t>SalurMicro</t>
  </si>
  <si>
    <t>PajakBPNPMx</t>
  </si>
  <si>
    <t>PajakBPNPM</t>
  </si>
  <si>
    <t>PajakPilotx</t>
  </si>
  <si>
    <t>PajakPilot</t>
  </si>
  <si>
    <t>PajakDOKRencanax</t>
  </si>
  <si>
    <t>PajakDOKRencana</t>
  </si>
  <si>
    <t>PajakDOKLatihx</t>
  </si>
  <si>
    <t>PajakDOKLatih</t>
  </si>
  <si>
    <t>PajakDOKMicrox</t>
  </si>
  <si>
    <t>PajakDOKMicro</t>
  </si>
  <si>
    <t>KasBPNPM</t>
  </si>
  <si>
    <t>KasPilot</t>
  </si>
  <si>
    <t>KasDOKRencana</t>
  </si>
  <si>
    <t>KasDOKLatih</t>
  </si>
  <si>
    <t>KasDOKMicro</t>
  </si>
  <si>
    <t>BankBPNPM</t>
  </si>
  <si>
    <t>BankPilot</t>
  </si>
  <si>
    <t>BankDOKRencana</t>
  </si>
  <si>
    <t>BankDOKLatih</t>
  </si>
  <si>
    <t>BankDOKMicro</t>
  </si>
  <si>
    <t>B - PASCA KRISIS</t>
  </si>
  <si>
    <t>Faskab</t>
  </si>
  <si>
    <t>Fastekab</t>
  </si>
  <si>
    <t>Faskeu</t>
  </si>
  <si>
    <t>Faskab GSC</t>
  </si>
  <si>
    <t>PELAKU PNPM LAINNYA</t>
  </si>
  <si>
    <t>Ketua BKAD</t>
  </si>
  <si>
    <t>Matcing Grant</t>
  </si>
  <si>
    <t>REALISASI PENYALURAN DANA PPK 1</t>
  </si>
  <si>
    <t>Kegiatan Lainnya</t>
  </si>
  <si>
    <t>REALISASI PENYALURAN DANA PPK 2</t>
  </si>
  <si>
    <t>REALISASI PENYALURAN DANA PPK 3</t>
  </si>
  <si>
    <t>REALISASI PENYALURAN DANA PPK MANDIRI / MACHING GRANT</t>
  </si>
  <si>
    <t>Matcing Grant / PPK Mandiri</t>
  </si>
  <si>
    <t>REALISASI PENYALURAN DANA PNPM-PPK</t>
  </si>
  <si>
    <t>REALISASI PENYALURAN DANA PNPM-MPd  Tahun Anggaran 2009</t>
  </si>
  <si>
    <t>REALISASI PENYALURAN DANA PNPM-MPd  Tahun Anggaran 2010</t>
  </si>
  <si>
    <t>REALISASI PENYALURAN DANA GSC Tahun Anggaran 2008</t>
  </si>
  <si>
    <t>REALISASI PENYALURAN DANA GSC Tahun Anggaran 2007</t>
  </si>
  <si>
    <t>REALISASI PENYALURAN DANA GSC Tahun Anggaran 2009</t>
  </si>
  <si>
    <t>REALISASI PENYALURAN DANA GSC Tahun Anggaran 2010</t>
  </si>
  <si>
    <t>REALISASI PENYALURAN DANA GSC Tahun Anggaran 2011</t>
  </si>
  <si>
    <t>REALISASI PENYALURAN DANA PASCA GEMPA Tahun Anggaran 2010</t>
  </si>
  <si>
    <t>REALISASI PENYALURAN DANA PASCA KRISIS Tahun Anggaran 2010</t>
  </si>
  <si>
    <t>REALISASI PENYALURAN DANA GSC Tahun Anggaran 2012</t>
  </si>
  <si>
    <t>Kas                    OP-UPK</t>
  </si>
  <si>
    <t>Kas                UEP</t>
  </si>
  <si>
    <t>Kas                  SPP</t>
  </si>
  <si>
    <t>KAS BPPK / BPNPM</t>
  </si>
  <si>
    <t>Bank                     BPPK / BPNPM</t>
  </si>
  <si>
    <t>Bank                OP-UPK</t>
  </si>
  <si>
    <t>Bank                   UEP</t>
  </si>
  <si>
    <t>Bank                 SPP</t>
  </si>
  <si>
    <t>BDD</t>
  </si>
  <si>
    <t>Ak. Amortisasi</t>
  </si>
  <si>
    <t>DALAM PROSES</t>
  </si>
  <si>
    <t>OP-TPK</t>
  </si>
  <si>
    <t>SERAH TERIMA</t>
  </si>
  <si>
    <t>Pinjaman lain</t>
  </si>
  <si>
    <t>Kelembagaan UPK</t>
  </si>
  <si>
    <t>Surplus Ditahan</t>
  </si>
  <si>
    <t>Surplus Berjalan</t>
  </si>
  <si>
    <t>Cost Sharing PPK 3</t>
  </si>
  <si>
    <t>Hibah Pihak            ke 3</t>
  </si>
  <si>
    <t>PNPM PPK</t>
  </si>
  <si>
    <t>Cost Sharing PNPM-MPd</t>
  </si>
  <si>
    <t>Cost Sharing PNPM-PPK</t>
  </si>
  <si>
    <t>Jasa UEP</t>
  </si>
  <si>
    <t>Jasa SPP</t>
  </si>
  <si>
    <t>Pendapatan Opreasional</t>
  </si>
  <si>
    <t>Bunga Bank BPPK / BPNPM</t>
  </si>
  <si>
    <t>Bunga Bank OP-UPK</t>
  </si>
  <si>
    <t>Bunga Bank               OP-UPK</t>
  </si>
  <si>
    <t>Bunga Bank            UEP</t>
  </si>
  <si>
    <t>Bunga Bank                  SPP</t>
  </si>
  <si>
    <t>Pendapatan                   Lain-lain</t>
  </si>
  <si>
    <t>Adm. &amp; Umum</t>
  </si>
  <si>
    <t>Sewa Kantor</t>
  </si>
  <si>
    <t>Peyusutan</t>
  </si>
  <si>
    <t>Pajak Bank BPPK / BPNPM</t>
  </si>
  <si>
    <t>Pajak Bank   OP-UPK</t>
  </si>
  <si>
    <t>Pajak Bank UEP</t>
  </si>
  <si>
    <t>Pajak Bank SPP</t>
  </si>
  <si>
    <t>Adm.                  Bank              BPPK / BPNPM</t>
  </si>
  <si>
    <t>Adm.          Bank                    OP-UPK</t>
  </si>
  <si>
    <t>Adm.              Bank                       UEP</t>
  </si>
  <si>
    <t>Adm.                Bank                    SPP</t>
  </si>
  <si>
    <t>Lain-lain Biaya Non.Oprs</t>
  </si>
  <si>
    <t>Surplus/Defisit</t>
  </si>
  <si>
    <t>KAS</t>
  </si>
  <si>
    <t>BANK</t>
  </si>
  <si>
    <t>SALDO PINJAMAN</t>
  </si>
  <si>
    <t>INVENTARIS</t>
  </si>
  <si>
    <t>Kas                    SPP</t>
  </si>
  <si>
    <t>Bank                                         OP-UPK</t>
  </si>
  <si>
    <t>Bank                             UEP</t>
  </si>
  <si>
    <t>Bank                         SPP</t>
  </si>
  <si>
    <t>Pinjaman            SPP</t>
  </si>
  <si>
    <t>Pinjaman               lain-lain</t>
  </si>
  <si>
    <t>Aktiva Lain-lain</t>
  </si>
  <si>
    <t>Aktiva                 Lain-lain</t>
  </si>
  <si>
    <t>Kelambagaan</t>
  </si>
  <si>
    <t>Pinjaman Lain</t>
  </si>
  <si>
    <t>Modal                  UEP</t>
  </si>
  <si>
    <t>Modal                  SPP</t>
  </si>
  <si>
    <t>BLM OP 2% Non SPP</t>
  </si>
  <si>
    <t>Hibah Pihak Ke 3</t>
  </si>
  <si>
    <t>Jasa             UEP</t>
  </si>
  <si>
    <t>Jasa                 SPP</t>
  </si>
  <si>
    <t>Pend. Opr. Lain-lain</t>
  </si>
  <si>
    <t>Bunga Bank UEP</t>
  </si>
  <si>
    <t>Bunga Bank SPP</t>
  </si>
  <si>
    <t>Pend.                Non Opr.                    Lain-lain</t>
  </si>
  <si>
    <t>Dana                Lain-lain</t>
  </si>
  <si>
    <t>Adm. &amp; umum</t>
  </si>
  <si>
    <t xml:space="preserve"> Biaya Opr.        Lain-lain</t>
  </si>
  <si>
    <t>Biaya Opr.               Lain-lain</t>
  </si>
  <si>
    <t>Pajak Bank OP-UPK</t>
  </si>
  <si>
    <t>Adm. Bank OP-UPK</t>
  </si>
  <si>
    <t>Adm. Bank UEP</t>
  </si>
  <si>
    <t>Adm. Bank SPP</t>
  </si>
  <si>
    <t>Biaya                      Non Ops.                  Lain-lain</t>
  </si>
  <si>
    <t>Surplus / Defisit</t>
  </si>
  <si>
    <t>S/d Bulan Lalu</t>
  </si>
  <si>
    <t>BLM PILOT</t>
  </si>
  <si>
    <t>DOK Perencanaan PPK &amp; PNPM-MPd</t>
  </si>
  <si>
    <t>BLM PPK &amp; PNPM-MPd</t>
  </si>
  <si>
    <t>Cost Sharing PPK &amp; PNPM-MPd</t>
  </si>
  <si>
    <t>DOK Pelatihan PPK &amp; PNPM-MPd</t>
  </si>
  <si>
    <t>DOK Microfinance</t>
  </si>
  <si>
    <t>Bunga Bank PPK &amp; PNPM-MPd</t>
  </si>
  <si>
    <t>Bunga Bank BLM PILOT</t>
  </si>
  <si>
    <t>Bunga Bank DOK Perencanaan PPK &amp; PNPM-MPd</t>
  </si>
  <si>
    <t>Bunga Bank DOK Pelatihan PPK &amp; PNPM-MPd</t>
  </si>
  <si>
    <t>Bunga Bank DOK Microfinance</t>
  </si>
  <si>
    <t>Penerimaan Lain-lain</t>
  </si>
  <si>
    <t>Penyaluran Sarana Prasarana</t>
  </si>
  <si>
    <t>Penyaluran UEP</t>
  </si>
  <si>
    <t>Penyaluran SPP</t>
  </si>
  <si>
    <t>Penyaluran Pendidikan</t>
  </si>
  <si>
    <t>Penyaluran Kesehatan</t>
  </si>
  <si>
    <t>Penyaluran Peningkatan Kapasitas</t>
  </si>
  <si>
    <t>Penyaluran DOK Perencanaan PPK &amp; PNPM-MPd</t>
  </si>
  <si>
    <t>Penyaluran DOK Pelatihan PPK &amp; PNPM-MPd</t>
  </si>
  <si>
    <t>Penyaluran DOK Microfinance</t>
  </si>
  <si>
    <t>Pajak &amp; Adm. Bank BPPK &amp; PNPM-MPd</t>
  </si>
  <si>
    <t>Pajak &amp; Adm. Bank BLM Pilot</t>
  </si>
  <si>
    <t>Pajak &amp; Adm. DOK Pernc. PPK &amp; PNPM-MPd</t>
  </si>
  <si>
    <t>Pajak &amp; Adm. DOK Pelth. PPK &amp; PNPM-MPd</t>
  </si>
  <si>
    <t>Pajak &amp; Adm. DOK Microfinance</t>
  </si>
  <si>
    <t>Kas B PPK &amp; B PNPM-MPd</t>
  </si>
  <si>
    <t>Kas BLM Pilot</t>
  </si>
  <si>
    <t>Kas DOK Perencanaan PPK &amp; PNPM-Mpd</t>
  </si>
  <si>
    <t>Kas DOK Pelatihan PPK &amp; PNPM-Mpd</t>
  </si>
  <si>
    <t>Bank B PPK &amp; B PNPM-MPd</t>
  </si>
  <si>
    <t>Bank BLM Pilot</t>
  </si>
  <si>
    <t>Bank DOK Perencanaan PPK &amp; PNPM-Mpd</t>
  </si>
  <si>
    <t>Bank DOK Pelatihan PPK &amp; PNPM-Mpd</t>
  </si>
  <si>
    <t>Bank DOK Microfinance</t>
  </si>
  <si>
    <t>DB ARUS DANA</t>
  </si>
  <si>
    <t>SALDO KAS</t>
  </si>
  <si>
    <t>SALDO BANK</t>
  </si>
  <si>
    <t>* Pajak Bunga Bank SPP</t>
  </si>
  <si>
    <t>1.7</t>
  </si>
  <si>
    <t>Nilai Buku Aktiva Lain-lain</t>
  </si>
  <si>
    <t>TAHUN ANGGARAN 200... / 200... / 200... / 20...</t>
  </si>
  <si>
    <t>LAPORAN PENCAIRAN PENYERAPAN DOK PERENCANAAN GSC</t>
  </si>
  <si>
    <t>LAPORAN PENCAIRAN PENYERAPAN DOK PELATIHAN GSC</t>
  </si>
  <si>
    <t>Pengembalian UEP (Pokok + bunga)</t>
  </si>
  <si>
    <t>Bunga rekening UEP</t>
  </si>
  <si>
    <t>Kegiatan lain</t>
  </si>
  <si>
    <t>Pajak dan Adm. Rek. UEP</t>
  </si>
  <si>
    <t>Saldo Rekening UEP No. Rek</t>
  </si>
  <si>
    <t>Transfer dari Jasa Pinjaman UEP</t>
  </si>
  <si>
    <t>Hasil Pemeriksaan Dana Bergulir (UEP)</t>
  </si>
  <si>
    <r>
      <t>Total Uang Tunai (</t>
    </r>
    <r>
      <rPr>
        <i/>
        <sz val="12"/>
        <rFont val="Tahoma"/>
        <family val="2"/>
      </rPr>
      <t>Cash on hand</t>
    </r>
    <r>
      <rPr>
        <sz val="12"/>
        <rFont val="Tahoma"/>
        <family val="2"/>
      </rPr>
      <t>) UEP</t>
    </r>
  </si>
  <si>
    <t xml:space="preserve">Saldo Rekening UEP Nomor. Rekening   : </t>
  </si>
  <si>
    <t>Hasil Pemeriksaan Dana Operasional Kegiatan Pelatihan Masyarakat PPK &amp; PNPM MP</t>
  </si>
  <si>
    <t>Hasil Pemeriksaan Dana Operasional Kegiatan Perencanaan GSC</t>
  </si>
  <si>
    <t>Hasil Pemeriksaan Dana Operasional Kegiatan Pelatihan Masyarakat GSC</t>
  </si>
  <si>
    <t>Kegiatan Pelatihan Masyarakat  GSC</t>
  </si>
  <si>
    <t>Pajak dan Adm. Rek. DOK Pelatihan Masyarakat GSC</t>
  </si>
  <si>
    <t>............................</t>
  </si>
  <si>
    <t>Kegiatan Perencanaan GSC</t>
  </si>
  <si>
    <t>Pajak dan Adm. Rek. DOK Perencanaan GSC</t>
  </si>
  <si>
    <t>Saldo Rekening DOK Perencanaan GSC</t>
  </si>
  <si>
    <r>
      <t>Total Uang Tunai (</t>
    </r>
    <r>
      <rPr>
        <i/>
        <sz val="12"/>
        <rFont val="Tahoma"/>
        <family val="2"/>
      </rPr>
      <t>Cash on hand</t>
    </r>
    <r>
      <rPr>
        <sz val="12"/>
        <rFont val="Tahoma"/>
        <family val="2"/>
      </rPr>
      <t>) DOK Perencanaan GSC</t>
    </r>
  </si>
  <si>
    <t>Hasil Pemeriksaan Dana Operasional Kegiatan PASCA GEMPA</t>
  </si>
  <si>
    <t>Bunga rekening DOK Pasca Gempa</t>
  </si>
  <si>
    <t>Kegiatan DOK Pasca Gempa</t>
  </si>
  <si>
    <t>Pajak dan Adm. Rek. DOK Pasca Gempa</t>
  </si>
  <si>
    <t>Saldo Rekening DOK Pasca Gempa</t>
  </si>
  <si>
    <r>
      <t>Total Uang Tunai (</t>
    </r>
    <r>
      <rPr>
        <i/>
        <sz val="12"/>
        <rFont val="Tahoma"/>
        <family val="2"/>
      </rPr>
      <t>Cash on hand</t>
    </r>
    <r>
      <rPr>
        <sz val="12"/>
        <rFont val="Tahoma"/>
        <family val="2"/>
      </rPr>
      <t>) DOK Pasca Gempa</t>
    </r>
  </si>
  <si>
    <t>Hasil Pemeriksaan Dana Operasional Kegiatan RPJMDES</t>
  </si>
  <si>
    <t>Bunga rekening DOK RPJMDES</t>
  </si>
  <si>
    <t>Kegiatan DOK RPJMDES</t>
  </si>
  <si>
    <t>Pajak dan Adm. Rek. DOK RPJMDES</t>
  </si>
  <si>
    <t>Saldo Rekening DOK RPJMDES</t>
  </si>
  <si>
    <r>
      <t>Total Uang Tunai (</t>
    </r>
    <r>
      <rPr>
        <i/>
        <sz val="12"/>
        <rFont val="Tahoma"/>
        <family val="2"/>
      </rPr>
      <t>Cash on hand</t>
    </r>
    <r>
      <rPr>
        <sz val="12"/>
        <rFont val="Tahoma"/>
        <family val="2"/>
      </rPr>
      <t>) DOK RPJMDES</t>
    </r>
  </si>
  <si>
    <t>Hasil Pemeriksaan Dana Operasional Kegiatan MICOFINANCE</t>
  </si>
  <si>
    <t>Bunga rekening DOK MICOFINANCE</t>
  </si>
  <si>
    <t>Kegiatan DOK MICOFINANCE</t>
  </si>
  <si>
    <t>Pajak dan Adm. Rek. DOK MICOFINANCE</t>
  </si>
  <si>
    <t>Saldo Rekening DOK MICOFINANCE</t>
  </si>
  <si>
    <r>
      <t>Total Uang Tunai (</t>
    </r>
    <r>
      <rPr>
        <i/>
        <sz val="12"/>
        <rFont val="Tahoma"/>
        <family val="2"/>
      </rPr>
      <t>Cash on hand</t>
    </r>
    <r>
      <rPr>
        <sz val="12"/>
        <rFont val="Tahoma"/>
        <family val="2"/>
      </rPr>
      <t>) DOK MICOFINANCE</t>
    </r>
  </si>
  <si>
    <t>LAPORAN PENCAIRAN PENYERAPAN DOK MICROFINANCE</t>
  </si>
  <si>
    <t>Laporan Operasional Program</t>
  </si>
  <si>
    <t>DAFTAR ISI PROGRAM PEMBUKUAN &amp; LAPORAN UPK</t>
  </si>
  <si>
    <t>NAMA SHEET</t>
  </si>
  <si>
    <t>NAMA FORMULIR</t>
  </si>
  <si>
    <t>DT</t>
  </si>
  <si>
    <t>DATA BANTUAN</t>
  </si>
  <si>
    <t>TUTUP BUKU</t>
  </si>
  <si>
    <t>PERUBAHAN MODAL</t>
  </si>
  <si>
    <t>LAP. REALISASI SURPLUS</t>
  </si>
  <si>
    <t>BUKU HUTANG &amp; HIBAH</t>
  </si>
  <si>
    <t>KAS B PPK</t>
  </si>
  <si>
    <t>KAS B PNPM-MPd</t>
  </si>
  <si>
    <t>KAS B GSC</t>
  </si>
  <si>
    <t>KAS B PNPM-TP GEMPA</t>
  </si>
  <si>
    <t>KAS B PASCA KRISIS</t>
  </si>
  <si>
    <t>KAS OP-UPK</t>
  </si>
  <si>
    <t>KAS UEP</t>
  </si>
  <si>
    <t>KAS SPP</t>
  </si>
  <si>
    <t>KAS SPP PIHAK KE-3</t>
  </si>
  <si>
    <t>KAS DOK PERNC.</t>
  </si>
  <si>
    <t>KAS DOK PELTH.</t>
  </si>
  <si>
    <t>KAS DOK MICROF</t>
  </si>
  <si>
    <t>KAS DOK PERNC.GSC</t>
  </si>
  <si>
    <t>KAS DOK PELTH.GSC</t>
  </si>
  <si>
    <t>KAS DOK GEMPA</t>
  </si>
  <si>
    <t>KAS DOK RPJMDES</t>
  </si>
  <si>
    <t>BANK B PPK</t>
  </si>
  <si>
    <t>BANK B PNPM-MPd</t>
  </si>
  <si>
    <t>BANK B GSC</t>
  </si>
  <si>
    <t>BANK B PNPM-TP GEMPA</t>
  </si>
  <si>
    <t>BANK B PASCA KRISIS</t>
  </si>
  <si>
    <t>BANK OP-UPK</t>
  </si>
  <si>
    <t>BANK UEP</t>
  </si>
  <si>
    <t>BANK SPP</t>
  </si>
  <si>
    <t>BANK SPP PIHAK KE-3</t>
  </si>
  <si>
    <t>BANK DOK PERNC.</t>
  </si>
  <si>
    <t>BANK DOK PELTH.</t>
  </si>
  <si>
    <t>BANK DOK MICROF</t>
  </si>
  <si>
    <t>BANK DOK PERNC.GSC</t>
  </si>
  <si>
    <t>BANK DOK PELTH.GSC</t>
  </si>
  <si>
    <t>BANK DOK GEMPA</t>
  </si>
  <si>
    <t>BANK DOK RPJMDES</t>
  </si>
  <si>
    <t>PENYALURAN DANA</t>
  </si>
  <si>
    <t>ARUS DANA</t>
  </si>
  <si>
    <t>LAP.OPR.PROGRAM</t>
  </si>
  <si>
    <t>NERACA PROGRAM</t>
  </si>
  <si>
    <t>R/L MICROFINANCE</t>
  </si>
  <si>
    <t>NERACA MICRO</t>
  </si>
  <si>
    <t>REKONSILIASI</t>
  </si>
  <si>
    <t>DOK PERNC.</t>
  </si>
  <si>
    <t>DOK PELT.</t>
  </si>
  <si>
    <t>DOK MICRO</t>
  </si>
  <si>
    <t>DOK PERNC.GSC</t>
  </si>
  <si>
    <t>DOK PELT.GSC</t>
  </si>
  <si>
    <t>DOK GEMPA</t>
  </si>
  <si>
    <t>DOK RPJMDE</t>
  </si>
  <si>
    <t>Data Induk Kecamatan, desa dan Rekening UPK</t>
  </si>
  <si>
    <t>Simulasi cara perhitungan surplus UPK</t>
  </si>
  <si>
    <t>Laporan Realisasi Penggunaan Dana Alokasi Surplus</t>
  </si>
  <si>
    <t>Daftar Biaya Dibayar Dimuka (Sewa Kantor)</t>
  </si>
  <si>
    <t>Daftar Inventaris Kantor</t>
  </si>
  <si>
    <t>Laporan Audit Oleh BP-UPK / FK</t>
  </si>
  <si>
    <t>Buku Kas Bantuan BLM PPK</t>
  </si>
  <si>
    <t>Buku Kas Bantuan BLM PNPM-MPd</t>
  </si>
  <si>
    <t>Buku Kas Bantuan BLM GSC</t>
  </si>
  <si>
    <t>Buku Kas Bantuan BLM PASCA GEMPA</t>
  </si>
  <si>
    <t>Buku Kas Bantuan BLM PASCA KRISIS</t>
  </si>
  <si>
    <t>Buku Kas OP-UPK</t>
  </si>
  <si>
    <t>Buku Kas UEP</t>
  </si>
  <si>
    <t>Buku Kas SPP dari Bantuan Pemda/Swasta</t>
  </si>
  <si>
    <t>Buku Kas SPP dari BLM</t>
  </si>
  <si>
    <t>Buku Kas DOK PERENCANAAN PPK&amp;PNPM MPd</t>
  </si>
  <si>
    <t>Buku Kas DOK PELATIHAN PPK&amp;PNPM MPd</t>
  </si>
  <si>
    <t>Buku Kas DOK MICROFINANCE</t>
  </si>
  <si>
    <t>Buku Kas DOK PERENCANAAN GSC</t>
  </si>
  <si>
    <t>Buku Kas DOK PELATIHAN GSC</t>
  </si>
  <si>
    <t>Buku Kas DOK PASCA GEMPA</t>
  </si>
  <si>
    <t>Buku Bank Bantuan BLM PPK</t>
  </si>
  <si>
    <t>Buku Bank Bantuan BLM PNPM-MPd</t>
  </si>
  <si>
    <t>Buku Bank Bantuan BLM GSC</t>
  </si>
  <si>
    <t>Buku Bank Bantuan BLM PASCA GEMPA</t>
  </si>
  <si>
    <t>Buku Bank Bantuan BLM PASCA KRISIS</t>
  </si>
  <si>
    <t>Buku Bank OP-UPK</t>
  </si>
  <si>
    <t>Buku Bank UEP</t>
  </si>
  <si>
    <t>Buku Bank SPP dari BLM</t>
  </si>
  <si>
    <t>Buku Bank SPP dari Bantuan Pemda/Swasta</t>
  </si>
  <si>
    <t>Buku Bank DOK PERENCANAAN PPK&amp;PNPM MPd</t>
  </si>
  <si>
    <t>Buku Bank DOK PELATIHAN PPK&amp;PNPM MPd</t>
  </si>
  <si>
    <t>Buku Bank DOK MICROFINANCE</t>
  </si>
  <si>
    <t>Buku Bank DOK PERENCANAAN GSC</t>
  </si>
  <si>
    <t>Buku Bank DOK PELATIHAN GSC</t>
  </si>
  <si>
    <t>Buku Bank DOK PASCA GEMPA</t>
  </si>
  <si>
    <t>Buku Kas DOK RPJMDES</t>
  </si>
  <si>
    <t>Buku Bank DOK RPJMDES</t>
  </si>
  <si>
    <t>Laporan Realisasi Penyaluran Dana PPK, PNPM-MPd, GSC, PASCA BENCANA, PASCA KRISIS</t>
  </si>
  <si>
    <t>Laporan Arus Dana BLM Kegiatan &amp; DOK</t>
  </si>
  <si>
    <t>Laporan Neraca Program</t>
  </si>
  <si>
    <t>Laporan Laba / Rugi Microfinance</t>
  </si>
  <si>
    <t>Laporan Neraca Microfinance</t>
  </si>
  <si>
    <t>Rekonsiliasi Rekening</t>
  </si>
  <si>
    <t>Laporan Pencairan &amp; Penyerapan DOK Perencanaan PPK &amp; MPd</t>
  </si>
  <si>
    <t>Laporan Pencairan &amp; Penyerapan DOK Pelatihan PPK &amp; MPd</t>
  </si>
  <si>
    <t>Laporan Pencairan &amp; Penyerapan DOK Microfinance</t>
  </si>
  <si>
    <t>Laporan Pencairan &amp; Penyerapan DOK Perencanaan GSC</t>
  </si>
  <si>
    <t>Laporan Pencairan &amp; Penyerapan DOK Pelatihan GSC</t>
  </si>
  <si>
    <t>Laporan Pencairan &amp; Penyerapan DOK PASCA GEMPA</t>
  </si>
  <si>
    <t>Laporan Pencairan &amp; Penyerapan DOK RPJMDES</t>
  </si>
  <si>
    <t>ISI MANUAL</t>
  </si>
  <si>
    <t>SUDAH LINK</t>
  </si>
  <si>
    <t>ISI MANUAL &amp; SUDAH LINK</t>
  </si>
  <si>
    <t>Data Alokasi BLM Kegiatan dan DOK serta                                                                                                      Data Desa Dalam Proses &amp; Serah Terima</t>
  </si>
  <si>
    <t>Laporan Mutasi Transaksi saat tutup buku &amp;                                                                          Laporan Perubahan Modal UPK</t>
  </si>
  <si>
    <t>LAPORAN PENCAIRAN &amp; PENYERAPAN DOK</t>
  </si>
  <si>
    <t>LAPORAN KEUANGAN UPK</t>
  </si>
  <si>
    <t>BUKU KAS</t>
  </si>
  <si>
    <t>BUKU BANK</t>
  </si>
  <si>
    <t>PANDUAN PELAKSANAAN TUTUP BUKU UPK</t>
  </si>
  <si>
    <t>CATATAN HUTANG &amp; DANA BANTUAN/HIBAH PEMDA &amp; SWASTA</t>
  </si>
  <si>
    <t>DAFTAR SEWA KANTOR &amp; INVENTARIS UPK</t>
  </si>
  <si>
    <t>DI PRINT</t>
  </si>
  <si>
    <t>AUDIT KEUANGAN</t>
  </si>
  <si>
    <t>...........................</t>
  </si>
  <si>
    <t xml:space="preserve"> </t>
  </si>
  <si>
    <t>Dibuat Oleh :</t>
  </si>
  <si>
    <t>Diketahui dan Disetujui Oleh</t>
  </si>
  <si>
    <t>JUMLAH KELOMPOK PEGULIRAN</t>
  </si>
  <si>
    <t>21=(8-16)</t>
  </si>
  <si>
    <t>20=(7-15)</t>
  </si>
  <si>
    <t>19=(15/7)</t>
  </si>
  <si>
    <t>18=(4-15)</t>
  </si>
  <si>
    <t>17=(11+14)</t>
  </si>
  <si>
    <t>16=(10+13)</t>
  </si>
  <si>
    <t>15=(9+12)</t>
  </si>
  <si>
    <t>KOL  V</t>
  </si>
  <si>
    <t>KOL  IV</t>
  </si>
  <si>
    <t>KOL  III</t>
  </si>
  <si>
    <t>KOL  II</t>
  </si>
  <si>
    <t>BUNGA</t>
  </si>
  <si>
    <t>DENDA</t>
  </si>
  <si>
    <t>STATUS</t>
  </si>
  <si>
    <t>NAMA KELOMPOK</t>
  </si>
  <si>
    <r>
      <t>TUNGGAKAN</t>
    </r>
    <r>
      <rPr>
        <b/>
        <sz val="10"/>
        <rFont val="Arial"/>
        <family val="2"/>
      </rPr>
      <t xml:space="preserve"> POKOK                       &gt; 6 KALI ANGSURAN</t>
    </r>
  </si>
  <si>
    <r>
      <t>TUNGGAKAN</t>
    </r>
    <r>
      <rPr>
        <b/>
        <sz val="10"/>
        <rFont val="Arial"/>
        <family val="2"/>
      </rPr>
      <t xml:space="preserve"> POKOK                         5 S/D 6 KALI ANGSURAN</t>
    </r>
  </si>
  <si>
    <r>
      <t>TUNGGAKAN</t>
    </r>
    <r>
      <rPr>
        <b/>
        <sz val="10"/>
        <rFont val="Arial"/>
        <family val="2"/>
      </rPr>
      <t xml:space="preserve"> POKOK               3 S/D 4 KALI ANGSURAN</t>
    </r>
  </si>
  <si>
    <r>
      <t>TUNGGAKAN</t>
    </r>
    <r>
      <rPr>
        <b/>
        <sz val="10"/>
        <rFont val="Arial"/>
        <family val="2"/>
      </rPr>
      <t xml:space="preserve"> POKOK                        1 S/D 2 KALI ANGSURAN</t>
    </r>
  </si>
  <si>
    <t>BULAN            TUNGGAKAN</t>
  </si>
  <si>
    <t>TUNGGAKAN PENGEMBALIAN                            S/D BULAN INI</t>
  </si>
  <si>
    <t>% PENGEM   BALIAN</t>
  </si>
  <si>
    <t>SALDO  PINJAMAN BULAN INI</t>
  </si>
  <si>
    <t>REALISASI PENGEMBALIAN                                            S/D BULAN INI</t>
  </si>
  <si>
    <t>REALISASI PENGEMBALIAN               BULAN INI</t>
  </si>
  <si>
    <t>REALISASI PENGEMBALIAN                                                       S/D BULAN LALU</t>
  </si>
  <si>
    <t>TARGET PENGEMBALIAN KUMULATIF S/D BULAN INI</t>
  </si>
  <si>
    <t>TARGET PENGEMBALIAN                          PER-BULAN</t>
  </si>
  <si>
    <t>ANGSURAN KE</t>
  </si>
  <si>
    <t>LAMA PINJAMAN (BULAN)</t>
  </si>
  <si>
    <t>BUNGA PINJAMAN</t>
  </si>
  <si>
    <t>REALISASI PINJAMAN  (TGL/BLN/THN)</t>
  </si>
  <si>
    <t>ALOKASI PINJAMAN</t>
  </si>
  <si>
    <t>JUMLAH PEMINJAM</t>
  </si>
  <si>
    <t>KELOMPOK /                                                                               TAHUN  KE / PERGULIRAN KE</t>
  </si>
  <si>
    <t xml:space="preserve">PROPINSI        </t>
  </si>
  <si>
    <t xml:space="preserve">KABUPATEN   </t>
  </si>
  <si>
    <t xml:space="preserve">KECAMATAN  </t>
  </si>
  <si>
    <t>DESA</t>
  </si>
  <si>
    <t>PERGULIRAN</t>
  </si>
  <si>
    <t>JUMLAH KELOMPOK</t>
  </si>
  <si>
    <t>DANA AWAL</t>
  </si>
  <si>
    <t>T O T A L</t>
  </si>
  <si>
    <t>TUNGGAKAN POKOK                       &gt; 6 KALI ANGSURAN</t>
  </si>
  <si>
    <t>TUNGGAKAN POKOK                         5 S/D 6 KALI ANGSURAN</t>
  </si>
  <si>
    <t>TUNGGAKAN POKOK               3 S/D 4 KALI ANGSURAN</t>
  </si>
  <si>
    <t>TUNGGAKAN POKOK                        1 S/D 2 KALI ANGSURAN</t>
  </si>
  <si>
    <t>BULAN TUNGGAKAN</t>
  </si>
  <si>
    <t>REALISASI PENGEMBALIAN S/D BULAN LALU</t>
  </si>
  <si>
    <t>TARGET PENGEMBALIAN KUMULATIP S/D BULAN INI</t>
  </si>
  <si>
    <t>D E S A</t>
  </si>
  <si>
    <t>Provinsi</t>
  </si>
  <si>
    <t>REKAP DANA AWAL + PERGULIRAN</t>
  </si>
  <si>
    <t>LAPORAN PERKEMBANGAN PINJAMAN  UEP</t>
  </si>
  <si>
    <t>(TOTAL (3) / TOTAL (2) )</t>
  </si>
  <si>
    <t>RASIO CADANGAN PENGHAPUSAN (%)</t>
  </si>
  <si>
    <t>KOLEKTIBILITAS V</t>
  </si>
  <si>
    <t>KOLEKTIBILITAS IV</t>
  </si>
  <si>
    <t>KOLEKTIBILITAS III</t>
  </si>
  <si>
    <t>KOLEKTIBILITAS II</t>
  </si>
  <si>
    <t>KOLEKTIBILITAS I</t>
  </si>
  <si>
    <t>"(3=1 X 2)</t>
  </si>
  <si>
    <t>(2)</t>
  </si>
  <si>
    <t>(1)</t>
  </si>
  <si>
    <t>Dibuat oleh</t>
  </si>
  <si>
    <t>Diketahui dan disetujui Oleh</t>
  </si>
  <si>
    <t>PENGHAPUSAN</t>
  </si>
  <si>
    <t>KOLEKTIBILITAS</t>
  </si>
  <si>
    <t>JUMLAH CADANGAN</t>
  </si>
  <si>
    <t>JUMLAH PINJAMAN</t>
  </si>
  <si>
    <t>CADANGAN RESIKO</t>
  </si>
  <si>
    <t>TINGKAT</t>
  </si>
  <si>
    <t>HARUS NOL</t>
  </si>
  <si>
    <t>KOLEKTIBILITAS  V</t>
  </si>
  <si>
    <t>KOLEKTIBILITAS  IV</t>
  </si>
  <si>
    <t>KOLEKTIBILITAS  III</t>
  </si>
  <si>
    <t>KOLEKTIBILITAS  II</t>
  </si>
  <si>
    <t>KOLEKTIBILITAS  I</t>
  </si>
  <si>
    <t>PERKEMBANGAN PINJAMAN)</t>
  </si>
  <si>
    <t>CEK</t>
  </si>
  <si>
    <t>ANGSURAN</t>
  </si>
  <si>
    <t>5 S/D 6 KALI ANGSURAN</t>
  </si>
  <si>
    <t>3 S/D 4 KALI ANGSURAN</t>
  </si>
  <si>
    <t>1 S/D 2 KALI ANGSURAN</t>
  </si>
  <si>
    <t>(TANPA TUNGGAKAN)</t>
  </si>
  <si>
    <t>(KOLOM 13 LAPORAN</t>
  </si>
  <si>
    <t>MENUNGGAK DIATAS 6 KALI</t>
  </si>
  <si>
    <t>MENUNGGAK</t>
  </si>
  <si>
    <t>LANCAR</t>
  </si>
  <si>
    <t>BULAN INI</t>
  </si>
  <si>
    <t>ANGSURAN POKOK</t>
  </si>
  <si>
    <t>KELOMPOK/DESA</t>
  </si>
  <si>
    <t>LAPORAN  KOLEKTIBILITAS  PINJAMAN  UEP</t>
  </si>
  <si>
    <t xml:space="preserve">Mengetahui, </t>
  </si>
  <si>
    <t>12=(10+11)</t>
  </si>
  <si>
    <t>15=(14/3)X100%</t>
  </si>
  <si>
    <t>14=(4-3)</t>
  </si>
  <si>
    <t xml:space="preserve">FORCE MAJEURE </t>
  </si>
  <si>
    <t>PENYELEWENGAN</t>
  </si>
  <si>
    <t xml:space="preserve">MICROFINANCE </t>
  </si>
  <si>
    <t>KELEMBAGAAN</t>
  </si>
  <si>
    <t>KOL 5</t>
  </si>
  <si>
    <t>KOL 3 &amp; 4</t>
  </si>
  <si>
    <t>PERIKANAN/KELAUTAN</t>
  </si>
  <si>
    <t>PETERNAKAN</t>
  </si>
  <si>
    <t>PERTANIAN</t>
  </si>
  <si>
    <t>ANEKA INDUSTRI</t>
  </si>
  <si>
    <t>PERDAGANGAN UMUM</t>
  </si>
  <si>
    <t>ANEKA JASA</t>
  </si>
  <si>
    <t>JK</t>
  </si>
  <si>
    <t>CAMPURAN</t>
  </si>
  <si>
    <t>TOTAL JUMLAH PINJAMAN BERMASALAH</t>
  </si>
  <si>
    <t>PENYEBEBAB PERMASALAHAN</t>
  </si>
  <si>
    <t>POSISI DALAM KOLEKTIBILITAS</t>
  </si>
  <si>
    <t>JENIS KELOMPOK USAHA BERSAMA/ANEKA USAHA*)</t>
  </si>
  <si>
    <t>JENIS KELOMPOK SIMPAN PINJAM</t>
  </si>
  <si>
    <t>PENGELOLA (EXECUTING)</t>
  </si>
  <si>
    <t>PENYALUR (CHANELLING)</t>
  </si>
  <si>
    <t>MATANG/SIAP</t>
  </si>
  <si>
    <t>BERKEMBANG</t>
  </si>
  <si>
    <t>PEMULA</t>
  </si>
  <si>
    <t>SIMPAN PINJAM</t>
  </si>
  <si>
    <t>USAHA BERSAMA</t>
  </si>
  <si>
    <t>ANEKA USAHA</t>
  </si>
  <si>
    <t>KOL 3&amp;4</t>
  </si>
  <si>
    <t>VALIDASI</t>
  </si>
  <si>
    <t xml:space="preserve">JUMLAH KELOMPOK BERMASALAH </t>
  </si>
  <si>
    <t>JUMLAH KELP.        DI LOKASI</t>
  </si>
  <si>
    <t>JENIS KEGIATAN/USAHA</t>
  </si>
  <si>
    <t>JML KLMP. YG DILAYANI SAAT INI</t>
  </si>
  <si>
    <t>VALIDASI JUMLAH KELOMPOK</t>
  </si>
  <si>
    <t>PERTUMBUHAN JUMLAH KELOMPOK</t>
  </si>
  <si>
    <t>PENINGKATAN JML KLMP. YG DILAYANI</t>
  </si>
  <si>
    <t>FUNGSI KELOMPOK</t>
  </si>
  <si>
    <t>TINGKAT PERKEMBANGAN KELOMPOK</t>
  </si>
  <si>
    <t>JENIS KELOMPOK</t>
  </si>
  <si>
    <t>JML KEL. AWAL (BERDASARKAN SPC DANA BLM)</t>
  </si>
  <si>
    <t>: JAWA BARAT</t>
  </si>
  <si>
    <t xml:space="preserve">PROPINSI </t>
  </si>
  <si>
    <t xml:space="preserve">PROPINSI           </t>
  </si>
  <si>
    <t>: SUKABUMI</t>
  </si>
  <si>
    <t xml:space="preserve">KABUPATEN </t>
  </si>
  <si>
    <t xml:space="preserve">KABUPATEN       </t>
  </si>
  <si>
    <t>LAPORAN PINJAMAN BERMASALAH UEP</t>
  </si>
  <si>
    <t>LAPORAN JENIS KEGIATAN/USAHA KELOMPOK UEP</t>
  </si>
  <si>
    <t>LAPORAN PERKEMBANGAN KELOMPOK UEP</t>
  </si>
  <si>
    <t xml:space="preserve">UNIT PENGELOLA KEGIATAN </t>
  </si>
  <si>
    <t>UNIT PENGELOLA KEGIATAN KECAMATAN</t>
  </si>
  <si>
    <t>ThPPK</t>
  </si>
  <si>
    <t>RPBIB</t>
  </si>
  <si>
    <t>RPBIP</t>
  </si>
  <si>
    <t>RPBLB</t>
  </si>
  <si>
    <t>RPBLP</t>
  </si>
  <si>
    <t>TPKB</t>
  </si>
  <si>
    <t>TPKP</t>
  </si>
  <si>
    <t>AlokP</t>
  </si>
  <si>
    <t>KdDesa</t>
  </si>
  <si>
    <t>BlnLap</t>
  </si>
  <si>
    <t>TglInput</t>
  </si>
  <si>
    <t>KdPinjaman</t>
  </si>
  <si>
    <t>Bunga</t>
  </si>
  <si>
    <t>Pokok</t>
  </si>
  <si>
    <t>Realisasi Pengembalian Bulan ini</t>
  </si>
  <si>
    <t>Realisasi Pengembalian s/d Bulan Lalu</t>
  </si>
  <si>
    <t>Target Pengembalian</t>
  </si>
  <si>
    <t>Alokasi Pinjaman</t>
  </si>
  <si>
    <t>DB LAPORAN PINJAMAN SPP</t>
  </si>
  <si>
    <t/>
  </si>
  <si>
    <t>K5</t>
  </si>
  <si>
    <t>K4</t>
  </si>
  <si>
    <t>K3</t>
  </si>
  <si>
    <t>K2</t>
  </si>
  <si>
    <t>K1</t>
  </si>
  <si>
    <t>KdBln</t>
  </si>
  <si>
    <t>KdUrut</t>
  </si>
  <si>
    <t>Kolektibilitas 5</t>
  </si>
  <si>
    <t>Kolektibilitas 4</t>
  </si>
  <si>
    <t>Kolektibilitas 3</t>
  </si>
  <si>
    <t>Kolektibilitas 2</t>
  </si>
  <si>
    <t>Kolektibilitas 1</t>
  </si>
  <si>
    <t>Saldo Pinjaman</t>
  </si>
  <si>
    <t>DB LAPORAN KOLEKTIBILITAS SPP</t>
  </si>
  <si>
    <t>LAPORAN PERKEMBANGAN PINJAMAN  SPP</t>
  </si>
  <si>
    <t>LAPORAN  KOLEKTIBILITAS  PINJAMAN  SPP</t>
  </si>
  <si>
    <t>LAPORAN PINJAMAN BERMASALAH SPP</t>
  </si>
  <si>
    <t>LAPORAN JENIS KEGIATAN/USAHA KELOMPOK SPP</t>
  </si>
  <si>
    <t>LAPORAN PERKEMBANGAN KELOMPOK SPP</t>
  </si>
  <si>
    <t>LAPORAN PINJAMAN BERMASALAH  UEP&amp;SPP</t>
  </si>
  <si>
    <t>LAPORAN JENIS KEGIATAN/USAHA KELOMPOK UEP&amp;SPP</t>
  </si>
  <si>
    <t>LAPORAN PERKEMBANGAN KELOMPOK UEP&amp;SPP</t>
  </si>
  <si>
    <t>LAPORAN PERKEMBANGAN PINJAMAN SPP (BLM &amp; PIHAK KE-3)</t>
  </si>
  <si>
    <t>LAPORAN  KOLEKTIBILITAS  PINJAMAN  SPP (BLM &amp; PIHAK KE-3)</t>
  </si>
  <si>
    <t>LAPORAN PERKEMBANGAN PINJAMAN  SPP PIHAK KE-3</t>
  </si>
  <si>
    <t>LAPORAN  KOLEKTIBILITAS  PINJAMAN  SPP PIHAK KE-3</t>
  </si>
  <si>
    <t>LAPORAN PERKEMBANGAN KELOMPOK SPP PIHAK KE-3</t>
  </si>
  <si>
    <t>LAPORAN JENIS KEGIATAN/USAHA KELOMPOK SPP PIHAK KE-3</t>
  </si>
  <si>
    <t>LAPORAN PINJAMAN BERMASALAH SPP PIHAK KE-3</t>
  </si>
  <si>
    <t>SPP PIHAK KE-3</t>
  </si>
  <si>
    <t>UEP - 1</t>
  </si>
  <si>
    <t>SPP - 1</t>
  </si>
  <si>
    <t>SPP K3 - 1</t>
  </si>
  <si>
    <t>UEP - 2</t>
  </si>
  <si>
    <t>UEP - 3</t>
  </si>
  <si>
    <t>UEP - 4</t>
  </si>
  <si>
    <t>UEP - 5</t>
  </si>
  <si>
    <t>UEP - 6</t>
  </si>
  <si>
    <t>UEP - 7</t>
  </si>
  <si>
    <t>UEP - 8</t>
  </si>
  <si>
    <t>UEP - 9</t>
  </si>
  <si>
    <t>UEP - 10</t>
  </si>
  <si>
    <t>UEP - 11</t>
  </si>
  <si>
    <t>UEP - 12</t>
  </si>
  <si>
    <t>UEP - 13</t>
  </si>
  <si>
    <t>UEP - 14</t>
  </si>
  <si>
    <t>UEP - 15</t>
  </si>
  <si>
    <t>UEP - 16</t>
  </si>
  <si>
    <t>SPP - 2</t>
  </si>
  <si>
    <t>SPP - 3</t>
  </si>
  <si>
    <t>SPP - 4</t>
  </si>
  <si>
    <t>SPP - 5</t>
  </si>
  <si>
    <t>SPP - 6</t>
  </si>
  <si>
    <t>SPP - 7</t>
  </si>
  <si>
    <t>SPP - 8</t>
  </si>
  <si>
    <t>SPP - 9</t>
  </si>
  <si>
    <t>SPP - 10</t>
  </si>
  <si>
    <t>SPP - 11</t>
  </si>
  <si>
    <t>SPP - 12</t>
  </si>
  <si>
    <t>SPP - 13</t>
  </si>
  <si>
    <t>SPP - 14</t>
  </si>
  <si>
    <t>SPP - 15</t>
  </si>
  <si>
    <t>SPP - 16</t>
  </si>
  <si>
    <t>SPP K3 - 2</t>
  </si>
  <si>
    <t>SPP K3 - 3</t>
  </si>
  <si>
    <t>SPP K3 - 4</t>
  </si>
  <si>
    <t>SPP K3 - 5</t>
  </si>
  <si>
    <t>SPP K3 - 6</t>
  </si>
  <si>
    <t>SPP K3 - 7</t>
  </si>
  <si>
    <t>SPP K3 - 8</t>
  </si>
  <si>
    <t>SPP K3 - 9</t>
  </si>
  <si>
    <t>SPP K3 - 10</t>
  </si>
  <si>
    <t>SPP K3 - 11</t>
  </si>
  <si>
    <t>SPP K3 - 12</t>
  </si>
  <si>
    <t>SPP K3 - 13</t>
  </si>
  <si>
    <t>SPP K3 - 14</t>
  </si>
  <si>
    <t>SPP K3 - 15</t>
  </si>
  <si>
    <t>SPP K3 - 16</t>
  </si>
  <si>
    <t>LPP-UEP</t>
  </si>
  <si>
    <t>LPP-SPP</t>
  </si>
  <si>
    <t>LPP-SPP PHAK KE-3</t>
  </si>
  <si>
    <t>LPP-SPP(BLM+PIHAK KE3)</t>
  </si>
  <si>
    <t>KOLEKTIBILITAS-UEP</t>
  </si>
  <si>
    <t>KOLEKTIBILITAS-SPP</t>
  </si>
  <si>
    <t>KOLEKTIBILITAS-SPP PIHAK KE-3</t>
  </si>
  <si>
    <t>KOLEKTIBILITAS-SPP (BLM+PHK KE3)</t>
  </si>
  <si>
    <t>84ABC-UEP</t>
  </si>
  <si>
    <t>84ABC-SPP</t>
  </si>
  <si>
    <t>84ABC-SPP PIHAK KE-3</t>
  </si>
  <si>
    <t>84ABC-SPP+UEP</t>
  </si>
  <si>
    <t>LAPORAN KOLEKTIBILITAS</t>
  </si>
  <si>
    <t>LAPORAN PERKEMBANGAN PINJAMAN</t>
  </si>
  <si>
    <t>LAPORAN FORM 84 ABC</t>
  </si>
  <si>
    <t>LPP-SPP dari bantuan APBD / Pihak ke-3</t>
  </si>
  <si>
    <t>LPP-UEP dari dana BLM</t>
  </si>
  <si>
    <t>LPP-SPP dari dana BLM</t>
  </si>
  <si>
    <t>LPP-SPP gabungan dari dana BLM &amp; PIHAK KE3</t>
  </si>
  <si>
    <t>KOLEKTIBILITAS-UEP dari dana BLM</t>
  </si>
  <si>
    <t>KOLEKTIBILITAS-SPP dari dana BLM</t>
  </si>
  <si>
    <t>KOLEKTIBILITAS-SPP dari bantuan APBD / Pihak ke-3</t>
  </si>
  <si>
    <t>KOLEKTIBILITAS-SPP gabungan dari dana BLM &amp; PIHAK KE3</t>
  </si>
  <si>
    <t>Laporan Form 84ABC-UEP</t>
  </si>
  <si>
    <t>Laporan Form 84ABC-SPP</t>
  </si>
  <si>
    <t>Laporan Form 84ABC-SPP PIHAK KE-3</t>
  </si>
  <si>
    <t>Laporan Form 84ABC-gabungan UEP &amp; SPP</t>
  </si>
  <si>
    <t>DAFTAR ISI LAPORAN PINJAMAN UPK</t>
  </si>
  <si>
    <t>* Pajak Bunga Bank SPP Pihak Ke-3</t>
  </si>
  <si>
    <t>* Administrasi Bank SPP Pihak Ke-3</t>
  </si>
  <si>
    <t>* Cost Saharing GSC</t>
  </si>
  <si>
    <t>Kumulatif</t>
  </si>
  <si>
    <t>* Pinjaman Lainnya</t>
  </si>
  <si>
    <t>KODE</t>
  </si>
  <si>
    <t>01</t>
  </si>
  <si>
    <t>02</t>
  </si>
  <si>
    <t>03</t>
  </si>
  <si>
    <t>04</t>
  </si>
  <si>
    <t>08</t>
  </si>
  <si>
    <t>11</t>
  </si>
  <si>
    <t>05</t>
  </si>
  <si>
    <t>06</t>
  </si>
  <si>
    <t>07</t>
  </si>
  <si>
    <t>10</t>
  </si>
  <si>
    <t>13</t>
  </si>
  <si>
    <t>FORMULIR UJI VALIDITAS DATA &amp; ALUR TRANSAKSI - LAPORAN KEUANGAN UPK</t>
  </si>
  <si>
    <t>A. PENGECEKAN DATA PENYETORAN BANK-KAS</t>
  </si>
  <si>
    <t>Buku Bank</t>
  </si>
  <si>
    <t>Buku Kas</t>
  </si>
  <si>
    <t>Setor</t>
  </si>
  <si>
    <t>SELISIH</t>
  </si>
  <si>
    <t>CATATAN</t>
  </si>
  <si>
    <t>B. PENGECEKAN DATA PENARIKAN BANK-KAS</t>
  </si>
  <si>
    <t>Tarik</t>
  </si>
  <si>
    <t>C. PENGECEKAN DANA OPERASIONAL UPK (2%)</t>
  </si>
  <si>
    <t>Kas Opr. UPK</t>
  </si>
  <si>
    <t>Sampai dg Bulan Lalu</t>
  </si>
  <si>
    <t>Bulan Ini</t>
  </si>
  <si>
    <t>D. PENGECEKAN DATA INVENTARIS &amp; BIAYA DIBAYAR DI MUKA</t>
  </si>
  <si>
    <t>Inv. - Biaya Di Muka</t>
  </si>
  <si>
    <t>Pengembalian Pokok (Bulan Ini)</t>
  </si>
  <si>
    <t>Pengembalian Jasa (Bulan Ini)</t>
  </si>
  <si>
    <t>Pengembalian Pokok (Total)</t>
  </si>
  <si>
    <t>Pengembalian Jasa (Total)</t>
  </si>
  <si>
    <t>ThnPKK</t>
  </si>
  <si>
    <t>Jenis</t>
  </si>
  <si>
    <t>NoRek</t>
  </si>
  <si>
    <t>TglSaldo</t>
  </si>
  <si>
    <t>BPA</t>
  </si>
  <si>
    <t>CashOH</t>
  </si>
  <si>
    <t>1</t>
  </si>
  <si>
    <t>Kas BPNPM (PPK+MPd+GSC+             Gempa+Krisis)</t>
  </si>
  <si>
    <t>Sampai dg Tahun Lalu</t>
  </si>
  <si>
    <t>Tambahan OP-UPK dari UEP</t>
  </si>
  <si>
    <t>Kas UEP/SPP</t>
  </si>
  <si>
    <t>E. PENGECEKAN DATA KAS UEP/SPP &amp; KAS OP-UPK</t>
  </si>
  <si>
    <t>Tambahan OP-UPK dari SPP+SPP Phk Ke-3</t>
  </si>
  <si>
    <t>Bantuan Hibah Dana Tambahan Modal SPP dari ............</t>
  </si>
  <si>
    <t>Pengembalian Jasa (Bulan Lalu)</t>
  </si>
  <si>
    <t>Pengembalian Pokok (Bulan Lalu)</t>
  </si>
  <si>
    <t>LPP UEP</t>
  </si>
  <si>
    <t>LPP SPP</t>
  </si>
  <si>
    <t>LPP SPP Pihak Ke-3</t>
  </si>
  <si>
    <t>F. PENGECEKAN DATA KAS - LPP (UEP)</t>
  </si>
  <si>
    <t>G. PENGECEKAN DATA KAS - LPP (SPP)</t>
  </si>
  <si>
    <t>H. PENGECEKAN DATA KAS - LPP (SPP Pihak ke-3)</t>
  </si>
  <si>
    <t>VER 2.0</t>
  </si>
  <si>
    <t>Status</t>
  </si>
  <si>
    <t>8=6*7</t>
  </si>
  <si>
    <t>11=9 / 10</t>
  </si>
  <si>
    <t>19=17+18</t>
  </si>
  <si>
    <t>20=16+19</t>
  </si>
  <si>
    <t>21=8-20</t>
  </si>
  <si>
    <t>DAFTAR PENGHAPUSAN PINJAMAN BERMASALAH</t>
  </si>
  <si>
    <t>Nama Pemanfaat</t>
  </si>
  <si>
    <t>Identitas Pemanfaat</t>
  </si>
  <si>
    <t>Jumlah Kewajiban Yang Dihapus</t>
  </si>
  <si>
    <t>Asal Desa</t>
  </si>
  <si>
    <t>Asal Kelompok</t>
  </si>
  <si>
    <t>Diketahui dan Diperiksa Oleh</t>
  </si>
  <si>
    <t>Faskab Keuangan</t>
  </si>
  <si>
    <t>Untuk penghapusan pokok pinjaman dibebankan sebagai Biaya Penghapusan Pinjaman. Untuk penghapusan bunga pinjaman tidak dibebankan sebagai Biaya Penghapusan Pinjaman. Secara teknis akuntansi, proses penghapusan bunga pinjaman tersebut hanya mengakibatkan terjadinya potential loss (hilangnya potensi pendapatan) dalam kinerja pengelolaan keuangan di UPK</t>
  </si>
  <si>
    <t>DAFTAR PENGHAPUSAN PINJAMAN</t>
  </si>
  <si>
    <t>Daftar Penghapusan Pinjaman Bermasalah</t>
  </si>
  <si>
    <t>Tanggal
Penghapusan Pinjaman</t>
  </si>
  <si>
    <t>Jenis Penghapusan</t>
  </si>
  <si>
    <t>Hapus Buku</t>
  </si>
  <si>
    <t>Hapus Mutlak</t>
  </si>
  <si>
    <t>Alasan Penghapusan Pinjaman</t>
  </si>
  <si>
    <t>Bunga rekening BLM KEGIATAN (TOTAL)</t>
  </si>
  <si>
    <t>Pajak dan Adm. Rek. BLM KEGIATAN (TOTAL)</t>
  </si>
  <si>
    <t>Saldo Rekening BLM KEGIATAN (TOTAL)</t>
  </si>
  <si>
    <r>
      <t>Total Uang Tunai (</t>
    </r>
    <r>
      <rPr>
        <i/>
        <sz val="11"/>
        <rFont val="Tahoma"/>
        <family val="2"/>
      </rPr>
      <t>Cash on hand</t>
    </r>
    <r>
      <rPr>
        <sz val="11"/>
        <rFont val="Tahoma"/>
        <family val="2"/>
      </rPr>
      <t>) BLM KEGIATAN (TOTAL)</t>
    </r>
  </si>
  <si>
    <t xml:space="preserve"> Hasil Pemeriksaan Dana BLM KEGIATAN (TOTAL)</t>
  </si>
  <si>
    <r>
      <t>Total Uang Tunai (</t>
    </r>
    <r>
      <rPr>
        <i/>
        <sz val="12"/>
        <rFont val="Tahoma"/>
        <family val="2"/>
      </rPr>
      <t>Cash on hand</t>
    </r>
    <r>
      <rPr>
        <sz val="12"/>
        <rFont val="Tahoma"/>
        <family val="2"/>
      </rPr>
      <t>) BLM KEGIATAN (TOTAL)</t>
    </r>
  </si>
  <si>
    <t>Hasil Pemeriksaan Dana Operasional Kegiatan Perencanaan PPK &amp; PNPM MP</t>
  </si>
  <si>
    <t>DAFTAR  AKTIVA TETAP &amp; AKTIVA LAIN-LAIN</t>
  </si>
  <si>
    <t>Aktiva Tetap dan</t>
  </si>
  <si>
    <t>AKTIVA TETAP</t>
  </si>
  <si>
    <t>AKTIVA LAIN-LAIN</t>
  </si>
  <si>
    <t>Tanah</t>
  </si>
  <si>
    <t>Hak Paten</t>
  </si>
  <si>
    <t xml:space="preserve">Buku Hutang Dana Kelembagaan                                                                                                                                     </t>
  </si>
  <si>
    <t xml:space="preserve">Buku Hutang Dana Sosial                                                                                                                                                                                                 </t>
  </si>
  <si>
    <t>Buku Hutang Pinjaman ke Pihak ke-3 (Dana Talangan)</t>
  </si>
  <si>
    <t>Buku Hibah Dana Pihak ke-3 (Bantuan Kantor, dll)</t>
  </si>
  <si>
    <t>Daftar Aktiva Tetap &amp; Aktiva Lain-lain</t>
  </si>
  <si>
    <t>AKTIVA TETAP &amp; LAIN-LAIN</t>
  </si>
  <si>
    <t>3202220001</t>
  </si>
  <si>
    <t>CISARUA</t>
  </si>
  <si>
    <t>3202220002</t>
  </si>
  <si>
    <t>BALEKAMBANG</t>
  </si>
  <si>
    <t>3202220003</t>
  </si>
  <si>
    <t>NAGRAK SELATAN</t>
  </si>
  <si>
    <t>3202220004</t>
  </si>
  <si>
    <t>NAGRAK UTARA</t>
  </si>
  <si>
    <t>3202220005</t>
  </si>
  <si>
    <t>KALAPAREA</t>
  </si>
  <si>
    <t>3202220006</t>
  </si>
  <si>
    <t>DARMAREJA</t>
  </si>
  <si>
    <t>3202220007</t>
  </si>
  <si>
    <t>GIRIJAYA</t>
  </si>
  <si>
    <t>3202220008</t>
  </si>
  <si>
    <t>BABAKAN PANJANG</t>
  </si>
  <si>
    <t>3202220009</t>
  </si>
  <si>
    <t>PAWENANG</t>
  </si>
  <si>
    <t>3202220010</t>
  </si>
  <si>
    <t>CIHANYAWAR</t>
  </si>
  <si>
    <t>3202220</t>
  </si>
  <si>
    <t>Nagrak</t>
  </si>
  <si>
    <t>Endang Taryana</t>
  </si>
  <si>
    <t>Arin Yustini, SE</t>
  </si>
  <si>
    <t xml:space="preserve">Nagrak </t>
  </si>
  <si>
    <t>4097-01-003496-53-4</t>
  </si>
  <si>
    <t>4097-01-005388-53-3</t>
  </si>
  <si>
    <t>4097-01-003534-53-6</t>
  </si>
  <si>
    <t>4097-01-002963-53-8</t>
  </si>
  <si>
    <t>4097-01-002964-53-4</t>
  </si>
  <si>
    <t>4097-01-005570-53-8</t>
  </si>
  <si>
    <t>Bantuan Hibah Dana untuk Pembangunan kantor</t>
  </si>
  <si>
    <t>Bantuan Hibah Kantor dan DOK Open menu</t>
  </si>
  <si>
    <t>Lemari Arsip</t>
  </si>
  <si>
    <t>Dispenser</t>
  </si>
  <si>
    <t>Gordeng</t>
  </si>
  <si>
    <t>Stabilizer</t>
  </si>
  <si>
    <t xml:space="preserve">Tralis </t>
  </si>
  <si>
    <t xml:space="preserve">Komputer </t>
  </si>
  <si>
    <t xml:space="preserve">Meja Tulis </t>
  </si>
  <si>
    <t>Kamera</t>
  </si>
  <si>
    <t>Kursi tamu, meja</t>
  </si>
  <si>
    <t>Laptop</t>
  </si>
  <si>
    <t>Mesin Pompa air</t>
  </si>
  <si>
    <t>Torn dan dudukan</t>
  </si>
  <si>
    <t>Meja Tulis, kursi</t>
  </si>
  <si>
    <t>Kipas Angin, TV, Antena</t>
  </si>
  <si>
    <t xml:space="preserve">Speedy &amp; Telepon </t>
  </si>
  <si>
    <t>Kamera digital</t>
  </si>
  <si>
    <t xml:space="preserve">Komputer, Printer </t>
  </si>
  <si>
    <t>ada</t>
  </si>
  <si>
    <t>dijual</t>
  </si>
  <si>
    <t>REALISASI PENYALURAN DANA PNPM-MPd  Tahun Anggaran 2008</t>
  </si>
  <si>
    <t>REALISASI PENYALURAN DANA PNPM-MPd  (OPTIMALISASI) Tahun Anggaran 2010</t>
  </si>
  <si>
    <t>MUNJUL</t>
  </si>
  <si>
    <t>WANGUNJAYA</t>
  </si>
  <si>
    <t>TKD</t>
  </si>
  <si>
    <t>TV</t>
  </si>
  <si>
    <t>Al Hikmah</t>
  </si>
  <si>
    <t>Nurul Huda</t>
  </si>
  <si>
    <t>Al Islah</t>
  </si>
  <si>
    <t>MTs.Al Hidayah</t>
  </si>
  <si>
    <t>Al Istiqomah</t>
  </si>
  <si>
    <t xml:space="preserve">Nurul Falah 1 </t>
  </si>
  <si>
    <t xml:space="preserve">Al Ikhlas </t>
  </si>
  <si>
    <t>Nurul Hikmah</t>
  </si>
  <si>
    <t>Dahlia 3</t>
  </si>
  <si>
    <t>Nurul Ikhwan</t>
  </si>
  <si>
    <t>Dahlia 6</t>
  </si>
  <si>
    <t>At Tauhid</t>
  </si>
  <si>
    <t>Nurul Falah 2</t>
  </si>
  <si>
    <t>Rea</t>
  </si>
  <si>
    <t>Al Huda</t>
  </si>
  <si>
    <t>Nurul Iman</t>
  </si>
  <si>
    <t>Saban Karasa</t>
  </si>
  <si>
    <t>Saban Rasa</t>
  </si>
  <si>
    <t>Sakaduga</t>
  </si>
  <si>
    <t>TA.2008</t>
  </si>
  <si>
    <t>TA. 2008</t>
  </si>
  <si>
    <t>TA. 2009</t>
  </si>
  <si>
    <t>TA.2009</t>
  </si>
  <si>
    <t>TA.2010</t>
  </si>
  <si>
    <t>24/11/2008</t>
  </si>
  <si>
    <t>24/05/2009</t>
  </si>
  <si>
    <t>20/12/2009</t>
  </si>
  <si>
    <t>Al Ulya</t>
  </si>
  <si>
    <t>Gulir 1</t>
  </si>
  <si>
    <t>Dahlia 7</t>
  </si>
  <si>
    <t>MTs. Al Hidayah</t>
  </si>
  <si>
    <t>Gulir 2</t>
  </si>
  <si>
    <t>Nurul Falah 1</t>
  </si>
  <si>
    <t>Istiqomah</t>
  </si>
  <si>
    <t>Gulir 3</t>
  </si>
  <si>
    <t>Gulir 4</t>
  </si>
  <si>
    <t xml:space="preserve">Gulir 4 </t>
  </si>
  <si>
    <t>Al Ikhlas</t>
  </si>
  <si>
    <t>Gulir 5</t>
  </si>
  <si>
    <t>Nurul Falah 2B</t>
  </si>
  <si>
    <t>Sariah</t>
  </si>
  <si>
    <t>Al Islah 1</t>
  </si>
  <si>
    <t>Al Islah 2</t>
  </si>
  <si>
    <t>Gulir 6</t>
  </si>
  <si>
    <t>Al Hidayah</t>
  </si>
  <si>
    <t>Al Barokah Ranti</t>
  </si>
  <si>
    <t>Al Namira</t>
  </si>
  <si>
    <t>Anggrek</t>
  </si>
  <si>
    <t>Pacira</t>
  </si>
  <si>
    <t>Anisa</t>
  </si>
  <si>
    <t>Sedap Malam 1</t>
  </si>
  <si>
    <t>Assifa</t>
  </si>
  <si>
    <t>Delima</t>
  </si>
  <si>
    <t>Tulip</t>
  </si>
  <si>
    <t>Al Barokah</t>
  </si>
  <si>
    <t>Teratai</t>
  </si>
  <si>
    <t>Assydiqiah</t>
  </si>
  <si>
    <t>Dahlia 2</t>
  </si>
  <si>
    <t>Dahlia 1 Posyandu</t>
  </si>
  <si>
    <t>Dahlia</t>
  </si>
  <si>
    <t>Kenanga</t>
  </si>
  <si>
    <t>Pelangi</t>
  </si>
  <si>
    <t>Lembayung</t>
  </si>
  <si>
    <t>Mega</t>
  </si>
  <si>
    <t>Padi</t>
  </si>
  <si>
    <t>Murokobah</t>
  </si>
  <si>
    <t>Posyandu Aster</t>
  </si>
  <si>
    <t>Jamiatul Muslimin</t>
  </si>
  <si>
    <t>Nurul Falah</t>
  </si>
  <si>
    <t>Seruni 1</t>
  </si>
  <si>
    <t>Gelatik</t>
  </si>
  <si>
    <t>Mentari</t>
  </si>
  <si>
    <t>Mawar 13</t>
  </si>
  <si>
    <t>Berdikari</t>
  </si>
  <si>
    <t>Mandiri</t>
  </si>
  <si>
    <t>Bangkit</t>
  </si>
  <si>
    <t>Miftahul Huda</t>
  </si>
  <si>
    <t>Posyandu Cempaka</t>
  </si>
  <si>
    <t>Sedap Malam 2</t>
  </si>
  <si>
    <t>Edelweis</t>
  </si>
  <si>
    <t>Melati</t>
  </si>
  <si>
    <t>Puspita</t>
  </si>
  <si>
    <t>Nurul huda</t>
  </si>
  <si>
    <t>Sedap malam 1</t>
  </si>
  <si>
    <t>Guir 5</t>
  </si>
  <si>
    <t xml:space="preserve">Al Ikhlas &gt;&gt; Iis </t>
  </si>
  <si>
    <t>Assyfa</t>
  </si>
  <si>
    <t>Al Barokah 09</t>
  </si>
  <si>
    <t>Gulir 7</t>
  </si>
  <si>
    <t>Darul Mutaalimin</t>
  </si>
  <si>
    <t>Al Mubarok II</t>
  </si>
  <si>
    <t>Al Ikhlas 1</t>
  </si>
  <si>
    <t>Al Ikhlas 2</t>
  </si>
  <si>
    <t>Mandala Putri</t>
  </si>
  <si>
    <t>Mawar</t>
  </si>
  <si>
    <t>Posyandu Melati</t>
  </si>
  <si>
    <t>Melati 7</t>
  </si>
  <si>
    <t>Mawar Ciawitali</t>
  </si>
  <si>
    <t>Nanas</t>
  </si>
  <si>
    <t>UB 2010</t>
  </si>
  <si>
    <t>Al Ikhlas 3</t>
  </si>
  <si>
    <t>Al Ikhlas 4</t>
  </si>
  <si>
    <t>Al Hidayah Baros</t>
  </si>
  <si>
    <t>Manggis Panagan</t>
  </si>
  <si>
    <t>Al Muminin</t>
  </si>
  <si>
    <t>TP 2010</t>
  </si>
  <si>
    <t>Cempaka Ciawitali</t>
  </si>
  <si>
    <t>14/12/2010</t>
  </si>
  <si>
    <t>15/12/2010</t>
  </si>
  <si>
    <t>Melati 8</t>
  </si>
  <si>
    <t>DarulMutaalimin</t>
  </si>
  <si>
    <t>BaetulMuminin</t>
  </si>
  <si>
    <t>Al ikhlas 2</t>
  </si>
  <si>
    <t>Mekar Jaya</t>
  </si>
  <si>
    <t>Al Ikhlas 5</t>
  </si>
  <si>
    <t>Kopjam Al Barokah</t>
  </si>
  <si>
    <t>Multi Usaha Sedrhan</t>
  </si>
  <si>
    <t>Asadatul Ummah</t>
  </si>
  <si>
    <t>Assalam</t>
  </si>
  <si>
    <t>Miftahul Falah</t>
  </si>
  <si>
    <t>Bambu Kuning</t>
  </si>
  <si>
    <t>Maju</t>
  </si>
  <si>
    <t>Melati Talun</t>
  </si>
  <si>
    <t>Pandai Besi</t>
  </si>
  <si>
    <t>Darul Ulum</t>
  </si>
  <si>
    <t>Berkah</t>
  </si>
  <si>
    <t>Ruku Wargi 2</t>
  </si>
  <si>
    <t>Anturium</t>
  </si>
  <si>
    <t>Rukun Wargi</t>
  </si>
  <si>
    <t>Faturohim</t>
  </si>
  <si>
    <t>Assadatul Ummah</t>
  </si>
  <si>
    <t>Mawar Bodas</t>
  </si>
  <si>
    <t>Mawar Merah</t>
  </si>
  <si>
    <t>Kop. PKK Dasa Wisma</t>
  </si>
  <si>
    <t>Gemah Ripah</t>
  </si>
  <si>
    <t>Baetussalam</t>
  </si>
  <si>
    <t>Darusalam</t>
  </si>
  <si>
    <t>Citra</t>
  </si>
  <si>
    <t>Manggis</t>
  </si>
  <si>
    <t>Nurul Ikhlas</t>
  </si>
  <si>
    <t>Bougenvile</t>
  </si>
  <si>
    <t>Cemara</t>
  </si>
  <si>
    <t>Cilok</t>
  </si>
  <si>
    <t>Lancar</t>
  </si>
  <si>
    <t>Cendrawasih</t>
  </si>
  <si>
    <t>TP2010</t>
  </si>
  <si>
    <t>Duren</t>
  </si>
  <si>
    <t>Anyelir 7</t>
  </si>
  <si>
    <t>Anyelir 8</t>
  </si>
  <si>
    <t>Karya Family</t>
  </si>
  <si>
    <t>Gumbira</t>
  </si>
  <si>
    <t>Baetussalam 2</t>
  </si>
  <si>
    <t>Sinar</t>
  </si>
  <si>
    <t>MAwar</t>
  </si>
  <si>
    <t>BojongHonje</t>
  </si>
  <si>
    <t>Assidik</t>
  </si>
  <si>
    <t>Aster</t>
  </si>
  <si>
    <t>Torikot Saadah</t>
  </si>
  <si>
    <t>Cempaka</t>
  </si>
  <si>
    <t>Mekarsari 2</t>
  </si>
  <si>
    <t>Sri Pohaci</t>
  </si>
  <si>
    <t>Plamboyan</t>
  </si>
  <si>
    <t>Buni Ayu</t>
  </si>
  <si>
    <t>Baitul Mal</t>
  </si>
  <si>
    <t>Ad-Dua</t>
  </si>
  <si>
    <t>Gulir1</t>
  </si>
  <si>
    <t>Mekarsari</t>
  </si>
  <si>
    <t>Aster 5</t>
  </si>
  <si>
    <t>Melati 1</t>
  </si>
  <si>
    <t>Melati 2</t>
  </si>
  <si>
    <t>Sakinah</t>
  </si>
  <si>
    <t>Maju Jaya</t>
  </si>
  <si>
    <t>Dahlia Nam</t>
  </si>
  <si>
    <t>Nurul Qoriah</t>
  </si>
  <si>
    <t>Baetunajah</t>
  </si>
  <si>
    <t>Awalul Huda</t>
  </si>
  <si>
    <t>Babul Ulum</t>
  </si>
  <si>
    <t>Posyandu 8</t>
  </si>
  <si>
    <t>Posyandu 7</t>
  </si>
  <si>
    <t>An Nur</t>
  </si>
  <si>
    <t>Kurnia</t>
  </si>
  <si>
    <t>Kamboja</t>
  </si>
  <si>
    <t>UB2010</t>
  </si>
  <si>
    <t>Rajawali</t>
  </si>
  <si>
    <t>Garuda</t>
  </si>
  <si>
    <t>Babul Ulum 2</t>
  </si>
  <si>
    <t>Gema Insan</t>
  </si>
  <si>
    <t>Al barokah</t>
  </si>
  <si>
    <t>Mawar 05</t>
  </si>
  <si>
    <t>Annida</t>
  </si>
  <si>
    <t>Baetul Hidayah</t>
  </si>
  <si>
    <t>Al Isro</t>
  </si>
  <si>
    <t>Baru Mekar 1</t>
  </si>
  <si>
    <t>Baru Mekar 2</t>
  </si>
  <si>
    <t>Baru Mekar 3</t>
  </si>
  <si>
    <t>Baru Mekar 4</t>
  </si>
  <si>
    <t>Nurul Huda Paw.</t>
  </si>
  <si>
    <t>Teratai 1</t>
  </si>
  <si>
    <t>Teratai 2</t>
  </si>
  <si>
    <t>Nusa Idah</t>
  </si>
  <si>
    <t>Nusa Indah 10%</t>
  </si>
  <si>
    <t>Melati RW.01</t>
  </si>
  <si>
    <t>Mawar Mekar L</t>
  </si>
  <si>
    <t>Nusa Indah</t>
  </si>
  <si>
    <t>Lestari</t>
  </si>
  <si>
    <t>Anyelir</t>
  </si>
  <si>
    <t>Melati RW.06</t>
  </si>
  <si>
    <t>Latulip 2</t>
  </si>
  <si>
    <t>Melati RW.09</t>
  </si>
  <si>
    <t>Nangka</t>
  </si>
  <si>
    <t>Harapan Sejahtera</t>
  </si>
  <si>
    <t>Guna Bakti</t>
  </si>
  <si>
    <t>Bina Usaha W B</t>
  </si>
  <si>
    <t>Tanjung</t>
  </si>
  <si>
    <t>Mawar Mekar L 2</t>
  </si>
  <si>
    <t>Mitra Usaha</t>
  </si>
  <si>
    <t>Nusa Indah 2</t>
  </si>
  <si>
    <t>Merah Delima</t>
  </si>
  <si>
    <t>Karya Bakti</t>
  </si>
  <si>
    <t>Beringin</t>
  </si>
  <si>
    <t>Latulip 1</t>
  </si>
  <si>
    <t>Anyelir 2</t>
  </si>
  <si>
    <t>Matahari</t>
  </si>
  <si>
    <t>Bintang</t>
  </si>
  <si>
    <t xml:space="preserve">Mawar Mekar L </t>
  </si>
  <si>
    <t xml:space="preserve">Nusa Indah </t>
  </si>
  <si>
    <t xml:space="preserve">Anyelir </t>
  </si>
  <si>
    <t>Beringin 2</t>
  </si>
  <si>
    <t>Karya Bakti 1</t>
  </si>
  <si>
    <t>Karya Bakti 2</t>
  </si>
  <si>
    <t>Beringin CSA</t>
  </si>
  <si>
    <t>Mawar 7</t>
  </si>
  <si>
    <t>Arisan Aqilah</t>
  </si>
  <si>
    <t>Bunga Melati</t>
  </si>
  <si>
    <t>Layanglayang</t>
  </si>
  <si>
    <t>Mawar 2</t>
  </si>
  <si>
    <t>Mawar 9</t>
  </si>
  <si>
    <t>Mawar 10</t>
  </si>
  <si>
    <t>Majlis Ikhlas</t>
  </si>
  <si>
    <t>Majlis Hegar</t>
  </si>
  <si>
    <t>Mawar 2 Kbn.Kai</t>
  </si>
  <si>
    <t>UB.2010</t>
  </si>
  <si>
    <t>Citarasa</t>
  </si>
  <si>
    <t>Harapan Baru</t>
  </si>
  <si>
    <t>TP.2010</t>
  </si>
  <si>
    <t>Dahlia 1</t>
  </si>
  <si>
    <t>Mawar 5</t>
  </si>
  <si>
    <t>Mawar 2B</t>
  </si>
  <si>
    <t>Mawar 7B</t>
  </si>
  <si>
    <t>Mawar 4</t>
  </si>
  <si>
    <t>Majun</t>
  </si>
  <si>
    <t>Mawar Biru</t>
  </si>
  <si>
    <t>Cabe Rawit</t>
  </si>
  <si>
    <t>Mawar 3 Palasari</t>
  </si>
  <si>
    <t>Mawar 3B Palasari</t>
  </si>
  <si>
    <t>Majlis al islah 2</t>
  </si>
  <si>
    <t>Kunjungan Lapangan</t>
  </si>
  <si>
    <t>Multi Usaha Sedrhan 2</t>
  </si>
  <si>
    <t>Dasa Wisma</t>
  </si>
  <si>
    <t>Gulir7</t>
  </si>
  <si>
    <t>Ad Dua</t>
  </si>
  <si>
    <t>NUSA indah 2</t>
  </si>
  <si>
    <t xml:space="preserve">BABAKAN PANJANG </t>
  </si>
  <si>
    <t xml:space="preserve">DARMAREJA </t>
  </si>
  <si>
    <t>REALISASI PENYALURAN DANA PASCA BENCANA TA. 2010</t>
  </si>
  <si>
    <t>MAD Prioritas Usulan</t>
  </si>
  <si>
    <t>Honor Tim Verifikasi (6Org)</t>
  </si>
  <si>
    <t>Pembahasan Awal di Kec.</t>
  </si>
  <si>
    <t>Pembahasan Awal dg KM</t>
  </si>
  <si>
    <t>Pembahasan Akhir&amp;Rekom</t>
  </si>
  <si>
    <t>Pamplet, Stiker, Spanduk dll</t>
  </si>
  <si>
    <t>Transport Pendamping Lokal (PL)</t>
  </si>
  <si>
    <t>Transport Fasilitator Desa (FD)</t>
  </si>
  <si>
    <t>Pertemuan FD</t>
  </si>
  <si>
    <t>MAD Sosialisasi</t>
  </si>
  <si>
    <t>Verifikasi Usulan</t>
  </si>
  <si>
    <t>Musdes Sosialisasi</t>
  </si>
  <si>
    <t>Musdes Informasi</t>
  </si>
  <si>
    <t>Penyusunan RPJMDes</t>
  </si>
  <si>
    <t>Musdus</t>
  </si>
  <si>
    <t>Pelatihan Dasar Pendamping Lokal</t>
  </si>
  <si>
    <t>Pelatihan Kader Pemberdayaan Masyarakat Desa</t>
  </si>
  <si>
    <t>Pelatihan Bagi Kepala Desa, LPM dan BPD</t>
  </si>
  <si>
    <t>Pelatihan Unit Pengelola Kegiatan (UPK)</t>
  </si>
  <si>
    <t>Orientasi Tim Pelaksana Kegiatan (TPK)Perencanaan</t>
  </si>
  <si>
    <t>Orientasi Tim Pelaksana Kegiatan (TPK)Pelaksanaan</t>
  </si>
  <si>
    <t>Orientasi Tim Pengawas Desa Bagi Monitoring Desa</t>
  </si>
  <si>
    <t>Pelatihan TKD</t>
  </si>
  <si>
    <t>Pelatihan Kel. SPP</t>
  </si>
  <si>
    <t>Tunjangan Transport TKD</t>
  </si>
  <si>
    <t>MAD Review</t>
  </si>
  <si>
    <t>Kunjungan Lapangan Tim Verifikasi (TV)</t>
  </si>
  <si>
    <t>MAD Sosialisasi PPD</t>
  </si>
  <si>
    <t>Pelatihan Tim Penyusun RPJMDes</t>
  </si>
  <si>
    <t>Penggandaan PERDES tentang RPJMDes dsn RKPDes</t>
  </si>
  <si>
    <t>Rapat Penyusunan RKPDes</t>
  </si>
  <si>
    <t>Terima dr Desa  (OP 2%)</t>
  </si>
  <si>
    <t>Amanah</t>
  </si>
  <si>
    <t>Gulir 8</t>
  </si>
  <si>
    <t>Mekar sari</t>
  </si>
  <si>
    <t>Aster 10</t>
  </si>
  <si>
    <t>Annur Cikopak</t>
  </si>
  <si>
    <t>Sarinande</t>
  </si>
  <si>
    <t>Babul Ulum 1</t>
  </si>
  <si>
    <t>Babul Ulum2</t>
  </si>
  <si>
    <t xml:space="preserve">Al Isro </t>
  </si>
  <si>
    <t>Pelatihan OC</t>
  </si>
  <si>
    <t>Jumbo</t>
  </si>
  <si>
    <t>Pelatihan Tim Lelang</t>
  </si>
  <si>
    <t xml:space="preserve">Tralis Pintu </t>
  </si>
  <si>
    <t>Pelt. Tim 11</t>
  </si>
  <si>
    <t>MD</t>
  </si>
  <si>
    <t>Hasil PKD</t>
  </si>
  <si>
    <t>Pnyusunan RKPDes</t>
  </si>
  <si>
    <t>Pnyusunn RPJMDes</t>
  </si>
  <si>
    <t>Rapat Penyusunan RPJMDes</t>
  </si>
  <si>
    <t>Pisang</t>
  </si>
  <si>
    <t>Silma</t>
  </si>
  <si>
    <t>Al muminin</t>
  </si>
  <si>
    <t>Nurul Falah 2 B</t>
  </si>
  <si>
    <t>Mekar sari 2</t>
  </si>
  <si>
    <t>Pelatihan Kader teknis + IST</t>
  </si>
  <si>
    <t>4097-01-005759-53-0</t>
  </si>
  <si>
    <t>Baitulmal</t>
  </si>
  <si>
    <t>Nurul Falah 2A</t>
  </si>
  <si>
    <t>gulir 8</t>
  </si>
  <si>
    <t>15/11/11 DIBAYAR UANG SISA NURUL QORIAH 421000</t>
  </si>
  <si>
    <t>Kenanga Bumi</t>
  </si>
  <si>
    <t>TA. 2011</t>
  </si>
  <si>
    <t>Tertai 3</t>
  </si>
  <si>
    <t>TA.2011</t>
  </si>
  <si>
    <t>Sakura</t>
  </si>
  <si>
    <t>Sarinande BLM</t>
  </si>
  <si>
    <t>Alhidayah</t>
  </si>
  <si>
    <t>Annur</t>
  </si>
  <si>
    <t>Nila</t>
  </si>
  <si>
    <t>Enye</t>
  </si>
  <si>
    <t>S/D TAHUN 2012</t>
  </si>
  <si>
    <t>S/D TAHUN 2011</t>
  </si>
  <si>
    <t>Bina Usaha WB</t>
  </si>
  <si>
    <t>Rukun Wargi 2</t>
  </si>
  <si>
    <t>Sauyunan</t>
  </si>
  <si>
    <t>Posy. Aster</t>
  </si>
  <si>
    <t>JamiatulMuslimin</t>
  </si>
  <si>
    <t>Dahlia Posy. 1</t>
  </si>
  <si>
    <t>Mawar 17</t>
  </si>
  <si>
    <t>Jumbo Baru</t>
  </si>
  <si>
    <t>Mawar 2 Kbn Kai</t>
  </si>
  <si>
    <t>TA.2012</t>
  </si>
  <si>
    <t>NERACA</t>
  </si>
  <si>
    <t xml:space="preserve">Beringin 2 </t>
  </si>
  <si>
    <t>Gulir 9</t>
  </si>
  <si>
    <t>Majls Ikhlas</t>
  </si>
  <si>
    <t>Al hikmah</t>
  </si>
  <si>
    <t>1 Set Kompouter + Printer</t>
  </si>
  <si>
    <t>Multi usaha sdhn</t>
  </si>
  <si>
    <t>Pel Gempa</t>
  </si>
  <si>
    <t>Review RPJMDes</t>
  </si>
  <si>
    <t>Review RKPDes</t>
  </si>
  <si>
    <t>Rapat Review RPJMDes dan RKPDes</t>
  </si>
  <si>
    <t>Peng. Material</t>
  </si>
  <si>
    <t>Pelatihan Tim Penanganan Bencana</t>
  </si>
  <si>
    <t>Peng. Material&amp;bhn2 pdukung proses pnyusunan RPJMDes&amp;RKPDes</t>
  </si>
  <si>
    <t>Fajar Mekar</t>
  </si>
  <si>
    <t>Alamanda</t>
  </si>
  <si>
    <t>Modem</t>
  </si>
  <si>
    <t>PERINCIAN SALDO AKHIR BANK</t>
  </si>
  <si>
    <t>SALDO AKHIR KAS HITUNG</t>
  </si>
  <si>
    <t>Melati 2 nurhayati</t>
  </si>
  <si>
    <t>Melati Wr.Kawung</t>
  </si>
  <si>
    <t>Addua 2</t>
  </si>
  <si>
    <t>Addua 1</t>
  </si>
  <si>
    <t>DOK BLM</t>
  </si>
  <si>
    <t>Rak</t>
  </si>
  <si>
    <t>Al Hikmah 1</t>
  </si>
  <si>
    <t>Al Hikmah 2</t>
  </si>
  <si>
    <t>Al Ulya 1</t>
  </si>
  <si>
    <t>Al Ulya 2</t>
  </si>
  <si>
    <t>Nanas Cipayung</t>
  </si>
  <si>
    <t>Baetulmuminin</t>
  </si>
  <si>
    <t>Gulir 10</t>
  </si>
  <si>
    <t>Majlis Hegar 2</t>
  </si>
  <si>
    <t>Mawar 2A</t>
  </si>
  <si>
    <t>Mawar 4B</t>
  </si>
  <si>
    <t xml:space="preserve">Bulan </t>
  </si>
  <si>
    <t>Cendana</t>
  </si>
  <si>
    <t>Mekar Sari</t>
  </si>
  <si>
    <t>Mawar 7A</t>
  </si>
  <si>
    <t>Hardisk Eksternal</t>
  </si>
  <si>
    <t>Entin Sumiati</t>
  </si>
  <si>
    <t>BUKU KAS HARIAN DANA OPERASIONAL KEGIATAN (DOK) MANDIRI PERDESAAN</t>
  </si>
  <si>
    <t>KEGIATAN PERENCANAAN &amp; PELATIHAN</t>
  </si>
  <si>
    <t>Setor ke Rek DOK</t>
  </si>
  <si>
    <t>Perencanaan</t>
  </si>
  <si>
    <t>Pelatihan</t>
  </si>
  <si>
    <t>Insentif</t>
  </si>
  <si>
    <t>Diperiksa Oleh :</t>
  </si>
  <si>
    <t>Ketua BP-UPK</t>
  </si>
  <si>
    <t>(.......................................)</t>
  </si>
  <si>
    <t>: Nagrak</t>
  </si>
  <si>
    <t>: Sukabumi</t>
  </si>
  <si>
    <t>: Jawa Barat</t>
  </si>
  <si>
    <t>BUKU BANK DOK PNPM MP</t>
  </si>
  <si>
    <t>:………………………………</t>
  </si>
  <si>
    <t>: 4097-01-007361-53-7</t>
  </si>
  <si>
    <t>Transfer KPPN DOK PNPM MP 2012</t>
  </si>
  <si>
    <t>Bunga Bank  DOK PNPM MP 2012</t>
  </si>
  <si>
    <t>Penyaluran Keg. DOK PNPM MP 2012</t>
  </si>
  <si>
    <t>Pjk dan Adm. Bank DOK PNPM MP 2012</t>
  </si>
  <si>
    <t>Kas DOK PNPM MP 2012</t>
  </si>
  <si>
    <t>Bank  DOK PNPM MP 2012</t>
  </si>
  <si>
    <t>DOK - PNPM MP 2012</t>
  </si>
  <si>
    <t>Papan Nama UPK</t>
  </si>
  <si>
    <t>Rukun Wargi 1</t>
  </si>
  <si>
    <t>Dewi Sartika</t>
  </si>
  <si>
    <t>Gulir 11</t>
  </si>
  <si>
    <t>Sarikaya</t>
  </si>
  <si>
    <t>Posy. Melati</t>
  </si>
  <si>
    <t>Lestari 2</t>
  </si>
  <si>
    <t>Tunas</t>
  </si>
  <si>
    <t>Seroja</t>
  </si>
  <si>
    <t>Al Mumin</t>
  </si>
  <si>
    <t>Peci</t>
  </si>
  <si>
    <t>Rahayu</t>
  </si>
  <si>
    <t>Hanjuang</t>
  </si>
  <si>
    <t>Sari Buni 2</t>
  </si>
  <si>
    <t>Tresna</t>
  </si>
  <si>
    <t>Kenanga 2</t>
  </si>
  <si>
    <t>TA. 2012</t>
  </si>
  <si>
    <t>Rambutan 1</t>
  </si>
  <si>
    <t>Rambutan 2</t>
  </si>
  <si>
    <t>Nuri</t>
  </si>
  <si>
    <t>Kamboja 2</t>
  </si>
  <si>
    <t>Cikopak</t>
  </si>
  <si>
    <t>Teratai 3</t>
  </si>
  <si>
    <t>Nurul Falah 1 Sordog</t>
  </si>
  <si>
    <t>Jasmine</t>
  </si>
  <si>
    <t>Printer</t>
  </si>
  <si>
    <t>Merpati 1</t>
  </si>
  <si>
    <t>TA,2012</t>
  </si>
  <si>
    <t>Merpati 2</t>
  </si>
  <si>
    <t>Merpati 3</t>
  </si>
  <si>
    <t>Dana DOK BLM sisa MAD yang disetor ke rek SPP</t>
  </si>
  <si>
    <t>Gulir 12</t>
  </si>
  <si>
    <t>Melati Rw 09</t>
  </si>
  <si>
    <t xml:space="preserve">Pendapatan Non Operasional Lain-lain </t>
  </si>
  <si>
    <t>Dana kelembagaan 2012</t>
  </si>
  <si>
    <t>Dana RTM tahun 2012</t>
  </si>
  <si>
    <t xml:space="preserve">BUKU HUTANG BONUS UPK </t>
  </si>
  <si>
    <t>2.4</t>
  </si>
  <si>
    <t>Hutang Bonus UPK</t>
  </si>
  <si>
    <t xml:space="preserve">Jumlah Hutang </t>
  </si>
  <si>
    <t xml:space="preserve">* Hutang Bonus UPK </t>
  </si>
  <si>
    <t>Nurul Ikhlas 2</t>
  </si>
  <si>
    <t>Terarai 2</t>
  </si>
  <si>
    <t>Nurul Huda BLM</t>
  </si>
  <si>
    <t>Mawar Mekar L2</t>
  </si>
  <si>
    <t>BojongHonje 2</t>
  </si>
  <si>
    <t>Mawar 09</t>
  </si>
  <si>
    <t>Bayar dana Kelmbagaan ta. 2012</t>
  </si>
  <si>
    <t xml:space="preserve">Pemindah bukuan (kembali ke modal) </t>
  </si>
  <si>
    <t xml:space="preserve">Pemidah bukuan (kembali ke modal) </t>
  </si>
  <si>
    <t>DP Buku kelp. SPP</t>
  </si>
  <si>
    <t>Bayar buku spp</t>
  </si>
  <si>
    <t xml:space="preserve">Pelunasan bku adm spp </t>
  </si>
  <si>
    <t>Bayar kekurangan buku tabungan SPP</t>
  </si>
  <si>
    <t xml:space="preserve">Transport pelatihan BKAD 2 orang </t>
  </si>
  <si>
    <t xml:space="preserve">Iuran bulanan AUPKASI </t>
  </si>
  <si>
    <t>Annisa</t>
  </si>
  <si>
    <t>Dansos ds. Balekambang</t>
  </si>
  <si>
    <t>Dansos ds. Cisarua</t>
  </si>
  <si>
    <t>Dansos ds. Nagrak Utara</t>
  </si>
  <si>
    <t>Dansos ds. Babakan Panjang</t>
  </si>
  <si>
    <t>Dansos ds. Darmareja</t>
  </si>
  <si>
    <t>Dansos ds. Kalaparea</t>
  </si>
  <si>
    <t>Dansos ds. Nagrak Selatan</t>
  </si>
  <si>
    <t>Dansos ds. Pawenang</t>
  </si>
  <si>
    <t>NetBook</t>
  </si>
  <si>
    <t>dansos Ds. Girijaya</t>
  </si>
  <si>
    <t>Dansos ds. Cihayawar</t>
  </si>
  <si>
    <t>Gulir 13</t>
  </si>
  <si>
    <t>Multi Usha Sdhn</t>
  </si>
  <si>
    <t>Monitor</t>
  </si>
  <si>
    <t>Biaya alat tulis</t>
  </si>
  <si>
    <t>Rakor BKAD</t>
  </si>
  <si>
    <t>Rapat Rutin Bulanan BKAD(FEB)</t>
  </si>
  <si>
    <t>Rapat Rutin Bulanan BKAD(JAN)</t>
  </si>
  <si>
    <t>Pembelian Perangkat Aplikasi SMS Gateway</t>
  </si>
  <si>
    <t>Rambutan 3</t>
  </si>
  <si>
    <t>Anggrek Mekar</t>
  </si>
  <si>
    <t>Gulir 14</t>
  </si>
  <si>
    <t>Mangga</t>
  </si>
  <si>
    <t>Karya Bakti 3</t>
  </si>
  <si>
    <t>Merak</t>
  </si>
  <si>
    <t>Merpati</t>
  </si>
  <si>
    <t>Cantik</t>
  </si>
  <si>
    <t>Suci</t>
  </si>
  <si>
    <t>Murni</t>
  </si>
  <si>
    <t>Mawar 2 A</t>
  </si>
  <si>
    <t>Rapat rutin bulanan BKAD (Maret)&amp;biaya pelaporan</t>
  </si>
  <si>
    <t xml:space="preserve">Pelatihan UPK </t>
  </si>
  <si>
    <t>Rapat rutin bulanan BKAD&amp;biaya pelaporan (April)</t>
  </si>
  <si>
    <t>iuran BBGRM Kab</t>
  </si>
  <si>
    <t>Nurulhuda</t>
  </si>
  <si>
    <t>Family</t>
  </si>
  <si>
    <t>Mawar 2 B</t>
  </si>
  <si>
    <t>Mawar 7 A</t>
  </si>
  <si>
    <t>Mawar 7 B</t>
  </si>
  <si>
    <t>Acara UPK @SI</t>
  </si>
  <si>
    <t>Rapat rutin bulanan BKAD&amp;biaya pelaporan (Mei)</t>
  </si>
  <si>
    <t>Mandiiri</t>
  </si>
  <si>
    <t xml:space="preserve">Genting dan Kaso </t>
  </si>
  <si>
    <t xml:space="preserve">Iuran Asosiasi Upk </t>
  </si>
  <si>
    <t xml:space="preserve">Rapat rutin bulanan BKAD&amp;biaya pelaporan Juni </t>
  </si>
  <si>
    <t>Gulir 15</t>
  </si>
  <si>
    <t>Jambu</t>
  </si>
  <si>
    <t>Bunga Mekar</t>
  </si>
  <si>
    <t>Persil</t>
  </si>
  <si>
    <t>Mahkota</t>
  </si>
  <si>
    <t>Pepaya</t>
  </si>
  <si>
    <t>Arimbi</t>
  </si>
  <si>
    <t>Mawar 06</t>
  </si>
  <si>
    <t>Edelweis Cireundeu</t>
  </si>
  <si>
    <t>Cempaka RW.10</t>
  </si>
  <si>
    <t>Cempaka 2</t>
  </si>
  <si>
    <t>Cempaka 3</t>
  </si>
  <si>
    <t>Plamboyan2</t>
  </si>
  <si>
    <t>Bangkit jaya</t>
  </si>
  <si>
    <t>Kartikasari</t>
  </si>
  <si>
    <t>Al Ummah</t>
  </si>
  <si>
    <t>Al Rahayu</t>
  </si>
  <si>
    <t>Bikin buku adm SPP</t>
  </si>
  <si>
    <t>Komputer PC</t>
  </si>
  <si>
    <t>Acara UPK @dampit</t>
  </si>
  <si>
    <t>Kunjungan dan pembinaan kelp. SPP</t>
  </si>
  <si>
    <t xml:space="preserve">Renovasi Kantor </t>
  </si>
  <si>
    <t>Plamboyan3</t>
  </si>
  <si>
    <t>Plamboyan 1</t>
  </si>
  <si>
    <t>Al Huda 2012</t>
  </si>
  <si>
    <t xml:space="preserve">Al Hidayah </t>
  </si>
  <si>
    <t>GULIR 15</t>
  </si>
  <si>
    <t>Al isro</t>
  </si>
  <si>
    <t>Kelembagaan BKAD</t>
  </si>
  <si>
    <t>PENDAMPING LOKAL UPK</t>
  </si>
  <si>
    <t>Meja teller</t>
  </si>
  <si>
    <t>DOK  PL UPK</t>
  </si>
  <si>
    <t>Penghargaan utk kelp SPP trbaik</t>
  </si>
  <si>
    <t>Rapat rutin bulanan BKAD&amp;biaya pelaporan</t>
  </si>
  <si>
    <t>Acara ketua UPK @BPMPD</t>
  </si>
  <si>
    <t>Bunga Bank  DOK PL UPK</t>
  </si>
  <si>
    <t>Transfer KPPN (DOK PL UPK)</t>
  </si>
  <si>
    <t>Penyaluran Keg. UPK PL UPK</t>
  </si>
  <si>
    <t>Pjk dan Adm. Bank DOK PL UPK</t>
  </si>
  <si>
    <t>Kas DOK PL UPK</t>
  </si>
  <si>
    <t>Bank  DOK PL UPK</t>
  </si>
  <si>
    <t>DOK PL UPK</t>
  </si>
  <si>
    <t>BUKU BANK DOK PL UPK</t>
  </si>
  <si>
    <t>Melati talun</t>
  </si>
  <si>
    <t>Mawar ciawitali</t>
  </si>
  <si>
    <t>Arohmah</t>
  </si>
  <si>
    <t>Baitulmall</t>
  </si>
  <si>
    <t>Nurul Iklas</t>
  </si>
  <si>
    <t>AUPKASI</t>
  </si>
  <si>
    <t>Monitoring SPP &amp; Fisik</t>
  </si>
  <si>
    <t>Transport Pelt. PL</t>
  </si>
  <si>
    <t>Rapat Bulanan BKAD</t>
  </si>
  <si>
    <t>Transport Monitoring BKAD</t>
  </si>
  <si>
    <t>Anaconda</t>
  </si>
  <si>
    <t>Gulir 16</t>
  </si>
  <si>
    <t>Bulan 2</t>
  </si>
  <si>
    <t>Baetul Hidayah 2</t>
  </si>
  <si>
    <t>Sari Buni</t>
  </si>
  <si>
    <t xml:space="preserve">Fajar Mekar </t>
  </si>
  <si>
    <t>Nurul Falah 2b</t>
  </si>
  <si>
    <t>Nurul Falah sordog</t>
  </si>
  <si>
    <t>Rakor bulanan BKAD</t>
  </si>
  <si>
    <t>Transport pelatihan UPK, PLUPK, TPK, KPMD, TPU</t>
  </si>
  <si>
    <t>gulir 15</t>
  </si>
  <si>
    <t>Darussalam</t>
  </si>
  <si>
    <t xml:space="preserve">NuurlHuda </t>
  </si>
  <si>
    <t>Teratai Dewi</t>
  </si>
  <si>
    <t>Anggrek Bojong</t>
  </si>
  <si>
    <t xml:space="preserve">BojongHonje </t>
  </si>
  <si>
    <t>Iuran AUPKASI</t>
  </si>
  <si>
    <t>Mahoni</t>
  </si>
  <si>
    <t>Dahlia 2 Kembar</t>
  </si>
  <si>
    <t>Assadatul Umah</t>
  </si>
  <si>
    <t>Nuurl Ikhlas</t>
  </si>
  <si>
    <t>Nuurl falah 2A</t>
  </si>
  <si>
    <t>Al Ikhlas Iis</t>
  </si>
  <si>
    <t>majlis Hegar</t>
  </si>
  <si>
    <t>sakura</t>
  </si>
  <si>
    <t>Transport pelatihan PjOK, FT, TV, BPUPK, KTek, PLUPK, KSPP</t>
  </si>
  <si>
    <t>Transport sekolah lapang ketua UPK ke Gorontalo</t>
  </si>
  <si>
    <t xml:space="preserve">Pengembalian dana ke Modal </t>
  </si>
  <si>
    <t>Dana Kelembagaan 2013</t>
  </si>
  <si>
    <t>Hutang Dana RTM 2013</t>
  </si>
  <si>
    <t xml:space="preserve">Hutang Bonus UPK </t>
  </si>
  <si>
    <t>LAPORAN  RUGI / LABA  MICROFINANCE</t>
  </si>
  <si>
    <t>Gulir 17</t>
  </si>
  <si>
    <t>Jaya Giri</t>
  </si>
  <si>
    <t>Nurani</t>
  </si>
  <si>
    <t>Harmoni</t>
  </si>
  <si>
    <t>Instan</t>
  </si>
  <si>
    <t>Mawar Hohon</t>
  </si>
  <si>
    <t>Al Huda BLM</t>
  </si>
  <si>
    <t xml:space="preserve">Koreksi Kesalahan </t>
  </si>
  <si>
    <t>Rapat rutin bulanan BKAD</t>
  </si>
  <si>
    <t>Baetrusalam</t>
  </si>
  <si>
    <t>Budi Ardianyah</t>
  </si>
  <si>
    <t>Acara ketua UPK @Kadudampit</t>
  </si>
  <si>
    <t>Gulir17</t>
  </si>
  <si>
    <t>Mandiri/bangkit</t>
  </si>
  <si>
    <t>Addua</t>
  </si>
  <si>
    <t>Multi Ush Sdhn</t>
  </si>
  <si>
    <t>Biaya asosiasi UPK+Pemeliharaan server</t>
  </si>
  <si>
    <t>Bayar webhosting triwulan 1</t>
  </si>
  <si>
    <t>Pembuatan buku adm SPP</t>
  </si>
  <si>
    <t>Transport pelt. PL, TPK, TP, KT</t>
  </si>
  <si>
    <t>Dansos ds. Cihanyawar</t>
  </si>
  <si>
    <t>Dansos Ds. Nagrak Selatan</t>
  </si>
  <si>
    <t>Acara UPK</t>
  </si>
  <si>
    <t>Dansos Ds. Balekambang</t>
  </si>
  <si>
    <t xml:space="preserve">Melati </t>
  </si>
  <si>
    <t>Pelt. Kelp. SPP ds. Nagrak Utara</t>
  </si>
  <si>
    <t>Pelt. Kelp. SPP ds. Darmareja</t>
  </si>
  <si>
    <t>Pelt. Kelp. SPP ds. Babakan Panjang</t>
  </si>
  <si>
    <t>Pelt. Kelp. SPP ds. Kalaparea</t>
  </si>
  <si>
    <t>Pelt. Kelp. SPP ds. Nagrak Selatan</t>
  </si>
  <si>
    <t>Pelt. Kelp. SPP ds. Balekambang</t>
  </si>
  <si>
    <t>Pelt. Kelp. SPP ds. Pawenang</t>
  </si>
  <si>
    <t>Pelt. Kelp. SPP ds. Cisarua</t>
  </si>
  <si>
    <t>Pelt. Kelp. SPP ds. Girijaya</t>
  </si>
  <si>
    <t>Bak sampah</t>
  </si>
  <si>
    <t>Pelt. Pemberdayaan @Prima</t>
  </si>
  <si>
    <t>Pelt. Kelp. SPP ds. Cihanyawar</t>
  </si>
  <si>
    <t>Transport pelt. Ketua UPK @taman sari</t>
  </si>
  <si>
    <t>Transport rakor ketua UPK @kadudampit</t>
  </si>
  <si>
    <t xml:space="preserve">Rapat rutin bulanan BKAD </t>
  </si>
  <si>
    <t>Bangkit Jaya</t>
  </si>
  <si>
    <t>Gulir 18</t>
  </si>
  <si>
    <t>Anggrek 10</t>
  </si>
  <si>
    <t xml:space="preserve">Al Hikmah </t>
  </si>
  <si>
    <t>Al Hikmah 3</t>
  </si>
  <si>
    <t>At Atauhid</t>
  </si>
  <si>
    <t>Attauhid 2</t>
  </si>
  <si>
    <t xml:space="preserve">Mawar </t>
  </si>
  <si>
    <t>Melati BPG</t>
  </si>
  <si>
    <t>Cipayung</t>
  </si>
  <si>
    <t>Rapat rutin bulanan BKAD (Mei)</t>
  </si>
  <si>
    <t>MiftahulHuda</t>
  </si>
  <si>
    <t>Mawar Kaum</t>
  </si>
  <si>
    <t>Gukir 18</t>
  </si>
  <si>
    <t>Kursi tamu dan Kursi Tunggu</t>
  </si>
  <si>
    <t>05 Mei 2014</t>
  </si>
  <si>
    <t>06 Mei 2014</t>
  </si>
  <si>
    <t>Transport pelatihan BKAD (2 orang )</t>
  </si>
  <si>
    <t>Bayar Sewa tanah Kantor</t>
  </si>
  <si>
    <t>Bayar web hosting</t>
  </si>
  <si>
    <t>Transport rakor @SI (5 org)</t>
  </si>
  <si>
    <t>Transport pelatihan @SI (5 org)</t>
  </si>
  <si>
    <t>Pelunasan web smt 1</t>
  </si>
  <si>
    <t>Pelunasan web smt 2</t>
  </si>
  <si>
    <t xml:space="preserve">Pembayaran transport rakor (feb-juni) </t>
  </si>
  <si>
    <t xml:space="preserve">Transport pembinaan kelp. Spp </t>
  </si>
  <si>
    <t xml:space="preserve">Pemindah bukuan ke rek kelembangaan </t>
  </si>
  <si>
    <t>Gulir 19</t>
  </si>
  <si>
    <t>sri Pohaci</t>
  </si>
  <si>
    <t>Awalulhuda</t>
  </si>
  <si>
    <t>Kenaga</t>
  </si>
  <si>
    <t>Plamboyan 2</t>
  </si>
  <si>
    <t>Cempaka RW. 10B</t>
  </si>
  <si>
    <t>Cemapaka 3</t>
  </si>
  <si>
    <t>Babul Ulum1</t>
  </si>
  <si>
    <t>Mekar sri 2</t>
  </si>
  <si>
    <t>Glir 19</t>
  </si>
  <si>
    <t xml:space="preserve">Laptop/Komputer </t>
  </si>
  <si>
    <t>motherboard komp</t>
  </si>
  <si>
    <t>Anggrek Iyam</t>
  </si>
  <si>
    <t>Ar Rohmah</t>
  </si>
  <si>
    <t>Beli wireless</t>
  </si>
  <si>
    <t>Baetulhidayah</t>
  </si>
  <si>
    <t>Baetulhidayah 2</t>
  </si>
  <si>
    <t>Dasawisma</t>
  </si>
  <si>
    <t>Nurulfalah Sordog</t>
  </si>
  <si>
    <t>Gulir 20</t>
  </si>
  <si>
    <t xml:space="preserve">Mahoni </t>
  </si>
  <si>
    <t>10/13/14</t>
  </si>
  <si>
    <t>Nuri 2</t>
  </si>
  <si>
    <t>10/14/14</t>
  </si>
  <si>
    <t>Saribuni</t>
  </si>
  <si>
    <t>Mawar Ciparanje</t>
  </si>
  <si>
    <t>Al Hidayah Ciparanje</t>
  </si>
  <si>
    <t>TA.2014</t>
  </si>
  <si>
    <t>Baru Pawenang</t>
  </si>
  <si>
    <t>Ros</t>
  </si>
  <si>
    <t>Mitra Motekar</t>
  </si>
  <si>
    <t>TA. 2014</t>
  </si>
  <si>
    <t>SEP</t>
  </si>
  <si>
    <t>11/15/14</t>
  </si>
  <si>
    <t>Bojonghonje</t>
  </si>
  <si>
    <t>Bojonghonje 2</t>
  </si>
  <si>
    <t>11/17/14</t>
  </si>
  <si>
    <t>Berkah Bersama</t>
  </si>
  <si>
    <t>Dahlia 2 Sikembar</t>
  </si>
  <si>
    <t>11/18/14</t>
  </si>
  <si>
    <t>Anggrek ciereunde</t>
  </si>
  <si>
    <t xml:space="preserve">Nurul Ikhlas </t>
  </si>
  <si>
    <t>11/19/14</t>
  </si>
  <si>
    <t>Apel</t>
  </si>
  <si>
    <t>Mawar mekar L2</t>
  </si>
  <si>
    <t>11/20/14</t>
  </si>
  <si>
    <t xml:space="preserve">Teratai Dewi </t>
  </si>
  <si>
    <t>Ta. 2014</t>
  </si>
  <si>
    <t>Jati</t>
  </si>
  <si>
    <t>Rahayu BLM 14</t>
  </si>
  <si>
    <t>Baru Girijaya</t>
  </si>
  <si>
    <t xml:space="preserve">Dana bunga BLM utk kegiatan Pelatihan </t>
  </si>
  <si>
    <t>Gulir 21</t>
  </si>
  <si>
    <t>Anismata</t>
  </si>
  <si>
    <t>Instans</t>
  </si>
  <si>
    <t>Nurul Huda 2</t>
  </si>
  <si>
    <t>Al Ikhlas IIs</t>
  </si>
  <si>
    <t>Assadatulummah</t>
  </si>
  <si>
    <t>Lancar 2</t>
  </si>
  <si>
    <t xml:space="preserve"> Dansos min</t>
  </si>
  <si>
    <t xml:space="preserve"> Bonus </t>
  </si>
  <si>
    <t xml:space="preserve">Dana Pengemb kelembag </t>
  </si>
  <si>
    <t>Total alokasi laba di bagi kumulatif</t>
  </si>
  <si>
    <t xml:space="preserve">Terima hutang UPK / kelembagaan </t>
  </si>
  <si>
    <t>Kelembagaan (35%)</t>
  </si>
  <si>
    <t>Dana Sosial 2014</t>
  </si>
  <si>
    <t xml:space="preserve">Hutang bonus UPK </t>
  </si>
  <si>
    <t>A. Roedy</t>
  </si>
  <si>
    <t>Dadin</t>
  </si>
  <si>
    <t>Ade S</t>
  </si>
  <si>
    <t xml:space="preserve">Al Islah </t>
  </si>
  <si>
    <t>NurulFalah 2A</t>
  </si>
  <si>
    <t>Multi Usaha Sdhn</t>
  </si>
  <si>
    <t>Sewa tanah kantor 2015</t>
  </si>
  <si>
    <t xml:space="preserve">Pebayaran hutang kelembagaan </t>
  </si>
  <si>
    <t xml:space="preserve">Pembayaran hutang dansos </t>
  </si>
  <si>
    <t xml:space="preserve">Kasie. PMD </t>
  </si>
  <si>
    <t>Kasie. PMD</t>
  </si>
  <si>
    <t>Arin Yustini, SE.</t>
  </si>
  <si>
    <t>Budi Ardiansyah</t>
  </si>
  <si>
    <t>Dadin Maskadi</t>
  </si>
  <si>
    <t>Kasie PMD</t>
  </si>
  <si>
    <t>Dadin Makadi</t>
  </si>
  <si>
    <t>Yudi B</t>
  </si>
  <si>
    <t>Baetusalam</t>
  </si>
  <si>
    <t>Mawar Ipah</t>
  </si>
  <si>
    <t>Cempedak</t>
  </si>
  <si>
    <t>Al Barokah ranti</t>
  </si>
  <si>
    <t>Sedap malam 2</t>
  </si>
  <si>
    <t>Mawar DMR</t>
  </si>
  <si>
    <t>Alpian</t>
  </si>
  <si>
    <t>Manggala</t>
  </si>
  <si>
    <t>Jayagiri</t>
  </si>
  <si>
    <t>Judi Bubimansyah, S.IP</t>
  </si>
  <si>
    <t>NIP.196804031994021003</t>
  </si>
  <si>
    <t>Gulir 22</t>
  </si>
  <si>
    <t>Sayuran</t>
  </si>
  <si>
    <t>Apel 2</t>
  </si>
  <si>
    <t>Maju jaya</t>
  </si>
  <si>
    <t>Jamiatulmuslimin</t>
  </si>
  <si>
    <t>Pembayaran Hutang Kelembagaan</t>
  </si>
  <si>
    <t>Merak 2</t>
  </si>
  <si>
    <t>Miftahulhuda</t>
  </si>
  <si>
    <t>Mawar CSA</t>
  </si>
  <si>
    <t>Cendana GRJ</t>
  </si>
  <si>
    <t>Edeelweeis Cireundeu</t>
  </si>
  <si>
    <t>At Tauhid 2</t>
  </si>
  <si>
    <t>Gulir 23</t>
  </si>
  <si>
    <t>16/06/15</t>
  </si>
  <si>
    <t>Dasa wisma</t>
  </si>
  <si>
    <t>Dasa Wisma 2</t>
  </si>
  <si>
    <t>Nuurl Huda 2</t>
  </si>
  <si>
    <t>Kursi,lemari</t>
  </si>
  <si>
    <t>12 Juni 2015</t>
  </si>
  <si>
    <t>Printer+infus</t>
  </si>
  <si>
    <t>15 Juni 2105</t>
  </si>
  <si>
    <t>Diamond 2</t>
  </si>
  <si>
    <t xml:space="preserve">Diamond </t>
  </si>
  <si>
    <t xml:space="preserve">Plamboyan 2 </t>
  </si>
  <si>
    <t>Diamond 3</t>
  </si>
  <si>
    <t>Buni ayu</t>
  </si>
  <si>
    <t>Arrohmah</t>
  </si>
  <si>
    <t>Gu;lir 23</t>
  </si>
  <si>
    <t>14/07/2015</t>
  </si>
  <si>
    <t>Gu;lir 24</t>
  </si>
  <si>
    <t>07/15/2014</t>
  </si>
  <si>
    <t>Gulir 24</t>
  </si>
  <si>
    <t>11/18/2014</t>
  </si>
  <si>
    <t>Bangkit Gudang</t>
  </si>
  <si>
    <t>Mandiri NGS</t>
  </si>
  <si>
    <t>10/13/2014</t>
  </si>
  <si>
    <t>Babaul Ulum 2</t>
  </si>
  <si>
    <t>Berkah BPG</t>
  </si>
  <si>
    <t>Mawar 2CSA</t>
  </si>
  <si>
    <t>Cempaka 1 (RW.10B)</t>
  </si>
  <si>
    <t>Cemapaka 2</t>
  </si>
  <si>
    <t>Anggrek Iyan</t>
  </si>
  <si>
    <t>Planet Mutiara</t>
  </si>
  <si>
    <t>Jambu Nanas</t>
  </si>
  <si>
    <t>Nurul Falah Sordog</t>
  </si>
  <si>
    <t>Nurul Falah Sordog 2</t>
  </si>
  <si>
    <t>Cempaka Putih</t>
  </si>
  <si>
    <t>Baetul Hidayah 1</t>
  </si>
  <si>
    <t>Kepat</t>
  </si>
  <si>
    <t>Manggis CHY</t>
  </si>
  <si>
    <t>Sikembar (dahlia 2)</t>
  </si>
  <si>
    <t>Pawenang Baru</t>
  </si>
  <si>
    <t>Baru mekar 4</t>
  </si>
  <si>
    <t>Mutiara Planet</t>
  </si>
  <si>
    <t>`</t>
  </si>
  <si>
    <t>Al Husna</t>
  </si>
  <si>
    <t>Gulir 25</t>
  </si>
  <si>
    <t>Rahayu Karajinan</t>
  </si>
  <si>
    <t>Berkah bersama</t>
  </si>
  <si>
    <t>Sari bumi</t>
  </si>
  <si>
    <t>Anggrek Cireundeu</t>
  </si>
  <si>
    <t>Raflesia</t>
  </si>
  <si>
    <t>Majlis Hegar B</t>
  </si>
  <si>
    <t>02/11/20104</t>
  </si>
  <si>
    <t>Teratai dewi</t>
  </si>
  <si>
    <t>Melati RW 09</t>
  </si>
  <si>
    <t>Sewa Tanah Kantor 2016</t>
  </si>
  <si>
    <t>Multi Usaha S</t>
  </si>
  <si>
    <t>Dahlia 7 Ining</t>
  </si>
  <si>
    <t xml:space="preserve">Karya Bakti </t>
  </si>
  <si>
    <t>Majlis Hegar A</t>
  </si>
  <si>
    <t>Mawaar 9</t>
  </si>
  <si>
    <t xml:space="preserve">Dana Kelembagaan pend. UPK ta. 2015 </t>
  </si>
  <si>
    <t xml:space="preserve">Dana Sosial RTM 2015 </t>
  </si>
  <si>
    <t>Bonus UPK tahun  2015</t>
  </si>
  <si>
    <t>Alokasi Laba Dibagi 2014</t>
  </si>
  <si>
    <t xml:space="preserve">Bayar hutang dansos </t>
  </si>
  <si>
    <t xml:space="preserve">Bayar hutang kelembagaan 2015 </t>
  </si>
  <si>
    <t xml:space="preserve">Tanah </t>
  </si>
  <si>
    <t>Februari 2016</t>
  </si>
  <si>
    <t xml:space="preserve">Terima dr </t>
  </si>
  <si>
    <t>Terima dr Al Ikhlas Iis ds. Nagrak Utara</t>
  </si>
  <si>
    <t>Terima dr Jambu (nanas) ds. Darmareja</t>
  </si>
  <si>
    <t>Setor ke rek spp</t>
  </si>
  <si>
    <t>Terima dr Teratai 2 ds. Pawenang</t>
  </si>
  <si>
    <t>Terima dr Mekarsari ds. Kalaparea</t>
  </si>
  <si>
    <t>Terima dr Kepat ds. Cihanyawar</t>
  </si>
  <si>
    <t>Tarik tunai dr rek spp</t>
  </si>
  <si>
    <t>Pinajaman ke klp Hello Kitty ds. Balekambang</t>
  </si>
  <si>
    <t>Setor ke kas op upk</t>
  </si>
  <si>
    <t>Terima dr Awalul Huda ds. Babakan panjang</t>
  </si>
  <si>
    <t>Terima dr Sakinah ds. Nagrak Sealatan</t>
  </si>
  <si>
    <t>Terima dr Harmoni ds. Babakan Panjang</t>
  </si>
  <si>
    <t>Terima dr Instan ds. Babakan Pnajang</t>
  </si>
  <si>
    <t>Terima dr Babaul Ulum 2 ds. Babakan Panjang</t>
  </si>
  <si>
    <t>Terima dr Nurul Falah 2B ds. Cihanayawar</t>
  </si>
  <si>
    <t>Terima dr Kenanga 2 ds. Akalaparea</t>
  </si>
  <si>
    <t>Terima dr Cabe Rawit ds. Girijaya</t>
  </si>
  <si>
    <t>Terima dr Sarinande BLM ds. Kalaparea</t>
  </si>
  <si>
    <t>Pinjaman ke klp Dahlia ds. Darmareja</t>
  </si>
  <si>
    <t>Pinajaman ke klp Padi ds. Nagrak Utara</t>
  </si>
  <si>
    <t>Terima dr Pepaya ds. Balekambang</t>
  </si>
  <si>
    <t>Terima dr Al Barokah ds. Nagrak Selatan</t>
  </si>
  <si>
    <t>Terima dr Lancar ds. Nagrak Selatan</t>
  </si>
  <si>
    <t>Terima dr Cemara ds. Nagrak Selatan</t>
  </si>
  <si>
    <t>Terima dr Mawar 7 ds. Girijaya</t>
  </si>
  <si>
    <t>Terima dr Mawar 7B ds. Girijaya</t>
  </si>
  <si>
    <t>Terima dr Baetussalam ds. Nagrak selatan</t>
  </si>
  <si>
    <t>Pinajaman ke klp Al Barokah ds. Nagrak Selatan</t>
  </si>
  <si>
    <t>Terima dr Al Muminin Desa Darmareja</t>
  </si>
  <si>
    <t>Terima dr Nurul Falah Sordog ds. Cihanyawar</t>
  </si>
  <si>
    <t>Terima dr Nurul Falah Sordog 2 ds. Cihanyawar</t>
  </si>
  <si>
    <t>Terima dr Murokobah ds. Nagrak Utara</t>
  </si>
  <si>
    <t>Terima dr Mawar 7 ds. Kalaparea</t>
  </si>
  <si>
    <t>Terima dr Matahari ds. Balekambang</t>
  </si>
  <si>
    <t>Terima dr Sayur mayur ds. Nagrak Utara</t>
  </si>
  <si>
    <t>Terima dr Kamboja Ds. Babakan Panjang</t>
  </si>
  <si>
    <t>Terima dr Diamond 3 (enung) ds. Darmareja</t>
  </si>
  <si>
    <t>Terima dr Persil ds. Darmareja</t>
  </si>
  <si>
    <t>Terima dr Alamanda ds. Nagrak Utara</t>
  </si>
  <si>
    <t>Pinjaman ke klp Anismata ds. Pawenang</t>
  </si>
  <si>
    <t>Terima dr Gema Insan ds. Babakan Panjang</t>
  </si>
  <si>
    <t>Terima dr Sikembar (Dahlia 2) ds. Nagrak Utara</t>
  </si>
  <si>
    <t>Terima dr Dahlia 1 Posyandu ds. Nagrak Utara</t>
  </si>
  <si>
    <t>Terima dr Nurul Huda BLM ds. Nagrak Utara</t>
  </si>
  <si>
    <t>Terima dr Al Ikhlas ds. Nagrak Utara</t>
  </si>
  <si>
    <t>Terima dr Anggrek ds. Cihanyawar</t>
  </si>
  <si>
    <t>Terima dr Pisang ds. Cihanyawar</t>
  </si>
  <si>
    <t>Terima dr Fajar Mekar ds. Nagrak Utara</t>
  </si>
  <si>
    <t>Terima dr Nurul Huda ds. Nagrak Utara</t>
  </si>
  <si>
    <t>Terima dr Plamboyan 2 ds. Cisarua</t>
  </si>
  <si>
    <t>Terima dr Miftahul Huda ds. Nagrak Utara</t>
  </si>
  <si>
    <t>Terima dr Nurul Huda ds. Pawenang</t>
  </si>
  <si>
    <t>Terima dr Nurul Huda 2 ds. Pawenang</t>
  </si>
  <si>
    <t>Terima dr Pelangi PWG ds. Pawenang</t>
  </si>
  <si>
    <t>Terima dr Ros ds. Kalaparea</t>
  </si>
  <si>
    <t>Terima dr Arisan Aqilah ds. Girijaya</t>
  </si>
  <si>
    <t>Terima dr Saban Rasa ds. Cihanyawar</t>
  </si>
  <si>
    <t>Terima dr Merak ds. Nagrak Utara</t>
  </si>
  <si>
    <t>Terima dr Mawar 2csa ds. Cisarua</t>
  </si>
  <si>
    <t>Terima dr Buni Ayu ds. Kalaparea</t>
  </si>
  <si>
    <t>Pinjaman ke klp Sakinah ds. Nagrak Selatan</t>
  </si>
  <si>
    <t>Pinjaman ke klp Matahari ds. Balekambang</t>
  </si>
  <si>
    <t>Terima dr Sakaduga ds. Cihanyawar</t>
  </si>
  <si>
    <t>Terima dr Assadatul Ummah ds. Balakeambang</t>
  </si>
  <si>
    <t>Terima dr Pacira ds. Nagrak Utara</t>
  </si>
  <si>
    <t>Terima dr Cempaka 3 ds. Cisarua</t>
  </si>
  <si>
    <t>Terima dr Berkah ds. Balekambang</t>
  </si>
  <si>
    <t>Terima dr Anggrek ds. Nagrak Utara</t>
  </si>
  <si>
    <t>Terima dr Ar Rohmah ds. Darmareja</t>
  </si>
  <si>
    <t>Terima dr Mawar Ciawitali ds. Darmareja</t>
  </si>
  <si>
    <t>Terima dr Annisa ds. Nagrak Utara</t>
  </si>
  <si>
    <t>Terima dr Nurul Huda ds. Balekambang</t>
  </si>
  <si>
    <t>Terima dr Campedak ds. Kalaparea</t>
  </si>
  <si>
    <t>Pinjaman ke klp Melati ds. Kalaparea</t>
  </si>
  <si>
    <t>Terima dr Plaboyan 1 ds. Cisarua</t>
  </si>
  <si>
    <t>Terima dr Al Huda ds. Cihanyawar</t>
  </si>
  <si>
    <t>Terima dr Teratai Dewi ds. Pawenang</t>
  </si>
  <si>
    <t>Terima dr Hanjuang ds. Kalaparea</t>
  </si>
  <si>
    <t>Terima dr Nurul Iman ds. Cihanyawar</t>
  </si>
  <si>
    <t>Terima dr Karya Bakti ds. Cisarua</t>
  </si>
  <si>
    <t>Terima dr karya Bakti 3 ds. Cisarua</t>
  </si>
  <si>
    <t>Terima dr Karya Bakti 2 ds. Cisarua</t>
  </si>
  <si>
    <t>Terima dr Al Hidayah baros ds. Darmareja</t>
  </si>
  <si>
    <t>Terima dr Anggrek Bojong ds. Girijaya</t>
  </si>
  <si>
    <t>Terima dr Berkah Bersama ds. Kalaparea</t>
  </si>
  <si>
    <t>Terima dr Bangkit Jaya ds. Nagrak Selatan</t>
  </si>
  <si>
    <t>Terima dr Cikopak ds. Kalaparea</t>
  </si>
  <si>
    <t>Terima dr Dahlia ds. Cisarua</t>
  </si>
  <si>
    <t>Terima dr darul Ulum ds. Balekambang</t>
  </si>
  <si>
    <t>Terima dr Nurul Iklas ds. Girijaya</t>
  </si>
  <si>
    <t>Terima dr Nuri 2 ds. Cisarua</t>
  </si>
  <si>
    <t>Terima dr Nurtul Iman ds. Babakan Panjang</t>
  </si>
  <si>
    <t>Terima dr Sarinande ds. Kalaparea</t>
  </si>
  <si>
    <t>Terima dr Mahoni ds. Darmareja</t>
  </si>
  <si>
    <t>Terima dr Bulan 2 ds. Cisarua</t>
  </si>
  <si>
    <t>Terima dr Amanah ds. Nagrak Utara</t>
  </si>
  <si>
    <t>Terima dr Anggrek 10 ds. Nagrak Utara</t>
  </si>
  <si>
    <t>Terima dr Enye ds. Balekambang</t>
  </si>
  <si>
    <t>Terima dr Mawar Mekar L ds. Cisarua</t>
  </si>
  <si>
    <t>Terima dr Posyandu Melati ds. Darmareja</t>
  </si>
  <si>
    <t>Terima dr Dahlia 3 ds. Cisarua</t>
  </si>
  <si>
    <t>Terima dr Al Ikhlas 5 ds. Darmareja</t>
  </si>
  <si>
    <t>Terima dr Al barokah ranti ds. Nagrak Utara</t>
  </si>
  <si>
    <t>Terima dr Merak 2 ds. Nagrak Utara</t>
  </si>
  <si>
    <t>Terima dr Bintang ds. Cisarua</t>
  </si>
  <si>
    <t>Terima dr Mawar Ciparanje ds. Nagrak Utara</t>
  </si>
  <si>
    <t>Terima dr Al barokah ds. Babakan Panjang</t>
  </si>
  <si>
    <t>Terima dr Saribumi ds. Kalaparea</t>
  </si>
  <si>
    <t>Terima dr Rambutan 3 ds. Pawenang</t>
  </si>
  <si>
    <t>Terima dr Baru Mekar 1 ds. Pawenang</t>
  </si>
  <si>
    <t>Pinjaman ke klp Rahayu ds. Nagrak Utara</t>
  </si>
  <si>
    <t>Pinjaman ke klp Anggrek ds. Nagrak Selatan</t>
  </si>
  <si>
    <t>Terima dr Al Hidayah ds. Darmareja</t>
  </si>
  <si>
    <t>Terima dr Matahari ds. Cisarua</t>
  </si>
  <si>
    <t>Terima dr Al barokah 09 ds. Nagrak Utara</t>
  </si>
  <si>
    <t>Terima dr Multi Usaha S ds. Darmareja</t>
  </si>
  <si>
    <t>Terima dr Dahlia 6 ds. Cisarua</t>
  </si>
  <si>
    <t>Terima dr Cempaka 2 ds. Cisarua</t>
  </si>
  <si>
    <t>Terima dr Delima ds. Nagrak Utara</t>
  </si>
  <si>
    <t>Terima dr Mawar Kaum ds. Nagrak Selatan</t>
  </si>
  <si>
    <t>Terima dr Mawar Merah ds. Cisarua</t>
  </si>
  <si>
    <t>Terima dr Majlis Hegar 2 ds. Girijaya</t>
  </si>
  <si>
    <t>Terima dr Posyandu Aster ds. Nagrak Utara</t>
  </si>
  <si>
    <t>Terima dr Pawenang baru ds. Pawenang</t>
  </si>
  <si>
    <t>Terima dr Sariah ds. Cihanyawar</t>
  </si>
  <si>
    <t>Terima dr Rukun Wargi ds. Balekambang</t>
  </si>
  <si>
    <t>Terima dr Mawar Bodas ds. Balekambang</t>
  </si>
  <si>
    <t>Terima dr Al Husna ds. Nagrak Utara</t>
  </si>
  <si>
    <t>Terima dr Aster 10 ds. Kalaparea</t>
  </si>
  <si>
    <t>Terima dr Darusslam ds. Nagrak Selatan</t>
  </si>
  <si>
    <t>Pinjaman ke klp Al Islah 1 ds. Cihanyawar</t>
  </si>
  <si>
    <t>Terima dr Harapan Baru ds. Girijaya</t>
  </si>
  <si>
    <t>Pinjaman ke klp Al Islah 2 ds. Cihanyawar</t>
  </si>
  <si>
    <t>Terima dr Mekarsari 2 ds. Kalaparea</t>
  </si>
  <si>
    <t>Terima dr Al Hikmah ds. Nagrak Utara</t>
  </si>
  <si>
    <t>Terima dr Tunas ds. Nagrak Utara</t>
  </si>
  <si>
    <t>Terima dr Merah deliam ds. Cisarua</t>
  </si>
  <si>
    <t>Terima dr Kenanga ds. Darmareja</t>
  </si>
  <si>
    <t>Terima dr Rahayu Karajinan ds. Darmareja</t>
  </si>
  <si>
    <t>Terima dr Bulan ds. Nagrak Utara</t>
  </si>
  <si>
    <t>Terima dr Cempaka 21 (RW 10 B) ds. Cisarua</t>
  </si>
  <si>
    <t>Terima dr Assifa ds. Nagrak Utara</t>
  </si>
  <si>
    <t>Terima dr Bulan ds. Cisarua</t>
  </si>
  <si>
    <t>Terima dr Posyandu 7 ds. Babakan Panjang</t>
  </si>
  <si>
    <t>Terima dr Al Mumin ds. Darmareja</t>
  </si>
  <si>
    <t>Terima dr Dahlia 7 Ining ds. Babakan Panjang</t>
  </si>
  <si>
    <t>Terima dr Beringin ds. Cisarua</t>
  </si>
  <si>
    <t>Terima dr Mawar 2A ds. Girijaya</t>
  </si>
  <si>
    <t>Terima dr Mawar 06 GRJ ds. Girijaya</t>
  </si>
  <si>
    <t>Terima dr Al Huda ds. Nagrak Utara</t>
  </si>
  <si>
    <t>Terima dr Cempaka Putih ds. Kalaparea</t>
  </si>
  <si>
    <t>Terima dr Al Istiqomah ds. Kalaparea</t>
  </si>
  <si>
    <t>Terima dr Al Hidayah Ciparanje ds. Nagrak Utara</t>
  </si>
  <si>
    <t>Terima dr Al Hidayah Mts ds. Cihanyawar</t>
  </si>
  <si>
    <t>Terima dr Nurul Ikhwan ds. Cihanyawar</t>
  </si>
  <si>
    <t>Terima dr Tresna ds. Kalaparea</t>
  </si>
  <si>
    <t>Terima dr Kenanga ds. Kalaparea</t>
  </si>
  <si>
    <t>Terima dr Al Hikmah 2 ds. Cihanyawar</t>
  </si>
  <si>
    <t>Terima dr Al Hikmah 3 ds. Cihanyawar</t>
  </si>
  <si>
    <t>Terima dr Baru Mekar 3 ds. Pawenang</t>
  </si>
  <si>
    <t>Terima dr Anggrek Cireundeu ds. Girijaya</t>
  </si>
  <si>
    <t>Terima dr Raflesia ds. Girijaya</t>
  </si>
  <si>
    <t>Terima dr Cendana GRJ ds. Girijaya</t>
  </si>
  <si>
    <t>Terima dr Rambutan 1 ds. Pawenang</t>
  </si>
  <si>
    <t>Terima dr Rambutan 2 ds. Pawenang</t>
  </si>
  <si>
    <t>Terima dr Melati BPG ds. Babakan Pabnjang</t>
  </si>
  <si>
    <t>Terima dr Melati 7 ds. Darmareja</t>
  </si>
  <si>
    <t>Terima dr Mitra Motekar ds. Kalaparea</t>
  </si>
  <si>
    <t>Terima dr Al Hidayah PWG ds. Pawenang</t>
  </si>
  <si>
    <t>Terima dr Tanjung ds. Cisarua</t>
  </si>
  <si>
    <t>Terima dr Baetul Hidayah ds. Pawenang</t>
  </si>
  <si>
    <t>Terima dr Baetul Hidayah 2 ds. Pawenang</t>
  </si>
  <si>
    <t>Terima dr Sedap malam 2 ds. Ngrak Utara</t>
  </si>
  <si>
    <t>Pinjaman ke klp Dahlia 1 Posyandu ds. Nagrak Utara</t>
  </si>
  <si>
    <t>Pinjaman ke klp Nurul Huda BLM ds. Nagrak Utara</t>
  </si>
  <si>
    <t>Terima dr Mawar 7B ds. Kalaparea</t>
  </si>
  <si>
    <t>Terima dr Jati ds. Kalaparea</t>
  </si>
  <si>
    <t>Terima dr Cendrawasih ds. Nagrak Selatan</t>
  </si>
  <si>
    <t>Terima dr Istiqomah ds. Cihanyawar</t>
  </si>
  <si>
    <t>Terima dr Al Istiqomah ds. Cihanyawar</t>
  </si>
  <si>
    <t>Terima dr Mawar Mekar L2 ds. Cisarua</t>
  </si>
  <si>
    <t>Terima dr Addua ds. Kalaparea</t>
  </si>
  <si>
    <t>Terima dr Al Ummah ds. Darmareja</t>
  </si>
  <si>
    <t>Terima dr Mandala Putri ds. Darmareja</t>
  </si>
  <si>
    <t>Terima dr Murni ds. Babakan Panjang</t>
  </si>
  <si>
    <t>Terima dr Sinar ds. Nagrak Selatan</t>
  </si>
  <si>
    <t>Terima dr Manggis ds. Nagrak Selatan</t>
  </si>
  <si>
    <t>Terima dr Cilok ds. Nagrak Selatan</t>
  </si>
  <si>
    <t>Terima dr Mawar Biru ds. Girijaya</t>
  </si>
  <si>
    <t>Terima dr Anisa ds. Darmareja</t>
  </si>
  <si>
    <t>Terima dr Nurul Falah 2A ds. Cihanyawar</t>
  </si>
  <si>
    <t>Terima dr An Nur ds. Babakan Panjang</t>
  </si>
  <si>
    <t>Terima dr Anggrek ds. Darmareja</t>
  </si>
  <si>
    <t>Terima dr Melati RW 09 ds. Cisarua</t>
  </si>
  <si>
    <t>Terima dr Seroja ds. Nagrak Utara</t>
  </si>
  <si>
    <t>Terima dr Sakura ds. Darmareja</t>
  </si>
  <si>
    <t>Terima dr Nurul Ikhlas ds. Nagrak Selatan</t>
  </si>
  <si>
    <t>Terima dr Nurul Ikhlas 2 ds. Nagrak Selatan</t>
  </si>
  <si>
    <t>Terima dr Cempaka ds. Kalaparea</t>
  </si>
  <si>
    <t>Terima dr Silma ds. Cihanyawar</t>
  </si>
  <si>
    <t>Terima dr Lembayung ds. Nagrak Utara</t>
  </si>
  <si>
    <t>Terima dr Mawar 9 ds. Girijaya</t>
  </si>
  <si>
    <t>Terima dr Plamboyan ds. Kalaparea</t>
  </si>
  <si>
    <t>Terima dr Anaconda ds. Babakan Panjang</t>
  </si>
  <si>
    <t>Terima dr Berkah BPG ds. Babakan Panjang</t>
  </si>
  <si>
    <t>Terima dr Manggis CHY ds. Cihanyawar</t>
  </si>
  <si>
    <t>Terima dr Melati Talun ds. Balekambang</t>
  </si>
  <si>
    <t>Pinjaman ke klp Tegar ds. Pawenang</t>
  </si>
  <si>
    <t>Pinjaman ke klp Pelangi PWG ds. Pawenang</t>
  </si>
  <si>
    <t>Pinjaman ke klp Annisa ds. Nagrak Utara</t>
  </si>
  <si>
    <t>Pinjaman ke klp Anggrek ds. Nagrak Utara</t>
  </si>
  <si>
    <t>Terima dr Sedap Malam 1 ds. Nagrak Utara</t>
  </si>
  <si>
    <t>Terima dr Majlis Hegar B ds. Girijaya</t>
  </si>
  <si>
    <t>Terima dr Majlis Hegar A ds. Girijaya</t>
  </si>
  <si>
    <t>Terima dr Suci ds. Babakan Panjang</t>
  </si>
  <si>
    <t>Gulir 26</t>
  </si>
  <si>
    <t>Hello Kitty</t>
  </si>
  <si>
    <t>Tegar</t>
  </si>
  <si>
    <t>Pelangi PWG</t>
  </si>
  <si>
    <t>Terima dr At Tauhid 2 ds. Cihanyawar</t>
  </si>
  <si>
    <t>Terima dr At Tauhid 1 ds. Cihanyawar</t>
  </si>
  <si>
    <t>Terima dr Diamond (Hajar) ds. Darmareja</t>
  </si>
  <si>
    <t>Terima dr Maju ds. Balekambang</t>
  </si>
  <si>
    <t>Terima dr Diamond 2 (Susi) ds. Darmareja</t>
  </si>
  <si>
    <t>Terima dr Mawar 2B ds. Girijaya</t>
  </si>
  <si>
    <t>Terima dr Edelweis Cireundeu ds. Girijaya</t>
  </si>
  <si>
    <t>Terima dr Al Ikhlas ds. Cihanyawar</t>
  </si>
  <si>
    <t>Terima dr Nurul Huda ds. Cihanyawar</t>
  </si>
  <si>
    <t>Terima dr Nurul Huda 2 ds. Cihanyawar</t>
  </si>
  <si>
    <t>Terima dr Bangkit Gudang ds. Balekambang</t>
  </si>
  <si>
    <t>Terima dr Peci ds. Balekambang</t>
  </si>
  <si>
    <t>Terima dr Mega ds. Nagrak Utara</t>
  </si>
  <si>
    <t>Terima dr Mahkota ds. Balekambang</t>
  </si>
  <si>
    <t>Terima dr Maju Jaya ds. Kalaparea</t>
  </si>
  <si>
    <t>Terima dr Cipayung ds. Darmareja</t>
  </si>
  <si>
    <t>Terima dr Manggala ds. Pawenang</t>
  </si>
  <si>
    <t>Terima dr Alpian ds. Pawenang</t>
  </si>
  <si>
    <t>Pinjaman ke kelompok dahlia 3 ds. Cihanyawar</t>
  </si>
  <si>
    <t>Terima dr Jamiatul Muslimin ds. Nagrak Utara</t>
  </si>
  <si>
    <t>Terima dr Mawar DMR ds. Darmareja</t>
  </si>
  <si>
    <t>Terima dr Rukun Wargi ds. balekambang</t>
  </si>
  <si>
    <t>Terima dr Mawar 10 ds. Girijaya</t>
  </si>
  <si>
    <t>Terima dr Dasa Wisma 2 ds. Nagrak Selatan</t>
  </si>
  <si>
    <t>Terima dr dasa Wisma 1 ds. Nagrak Selatan</t>
  </si>
  <si>
    <t>Terima dr Bojong Honje ds. Kalaparea</t>
  </si>
  <si>
    <t>Terima dr Bojong Honje 2 ds. Kalaparea</t>
  </si>
  <si>
    <t>Terima dr Al Huda 2012 ds/ kalaparea</t>
  </si>
  <si>
    <t>Terima dr Anggrek Iyam ds. Girijaya</t>
  </si>
  <si>
    <t>Terima dr Cendana ds. Cisarua</t>
  </si>
  <si>
    <t>Pinjaman ke klp Alpian ds. Pawenang</t>
  </si>
  <si>
    <t>Pinjaman ke klp Manggala ds. Pawenang</t>
  </si>
  <si>
    <t>Pinjaman ke klp Delima ds. Nagrak Utara</t>
  </si>
  <si>
    <t>Pinjaman ke klp Mawar Biru ds. Girijaya</t>
  </si>
  <si>
    <t>Terima dr Mutiara Planet ds. Cisarua</t>
  </si>
  <si>
    <t>Terima dr Family ds. Nagrak Utara</t>
  </si>
  <si>
    <t>Terima dr Al Ulya ds. Cihanyawar</t>
  </si>
  <si>
    <t>Terima dr Edelweis ds. Nagrak Utara</t>
  </si>
  <si>
    <t xml:space="preserve">Terima dr Anyelir 2 ds. Cisarua </t>
  </si>
  <si>
    <t>Bunga bank</t>
  </si>
  <si>
    <t>Setor tunai</t>
  </si>
  <si>
    <t>Tarik tunai</t>
  </si>
  <si>
    <t>Administrasi bank</t>
  </si>
  <si>
    <t>Pajak bank</t>
  </si>
  <si>
    <t>Bayar fotocopy</t>
  </si>
  <si>
    <t>Terima dr kas spp</t>
  </si>
  <si>
    <t>Bayar IPTW</t>
  </si>
  <si>
    <t>Bayar fotocopy + bindex</t>
  </si>
  <si>
    <t>Tarik tunai dr rek op upk</t>
  </si>
  <si>
    <t>Bayar pembelian tanah</t>
  </si>
  <si>
    <t>Bayar hutang upk kelembagaan</t>
  </si>
  <si>
    <t>Beli vit gelas</t>
  </si>
  <si>
    <t>Beli kabel + fiting plafond</t>
  </si>
  <si>
    <t xml:space="preserve">Beli kunci pintu + neon </t>
  </si>
  <si>
    <t>Bayar sewa tanah</t>
  </si>
  <si>
    <t>Transport kunjungan lapangan</t>
  </si>
  <si>
    <t>Beli baygon aer spray</t>
  </si>
  <si>
    <t>Bayar langganan koran</t>
  </si>
  <si>
    <t>Bayar tagihan kartu matrix</t>
  </si>
  <si>
    <t>Beli kantong plastik jumbo</t>
  </si>
  <si>
    <t>Bayar langganan sampah</t>
  </si>
  <si>
    <t>Bayar tagihan listrik</t>
  </si>
  <si>
    <t>Bayar tagihan PDAM</t>
  </si>
  <si>
    <t>Bayar fotocopy + kertas jilid</t>
  </si>
  <si>
    <t>Bayar tagihan Speedy</t>
  </si>
  <si>
    <t>Terima dr Bintang ds. Nagrak Utara</t>
  </si>
  <si>
    <t>Terima dr Kenanga 2 ds. Kalaparea</t>
  </si>
  <si>
    <t>Setor ke rek op upk</t>
  </si>
  <si>
    <t>Terima dr Teratai 3 ds. Pawenang</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</si>
</sst>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2" formatCode="_(&quot;Rp&quot;* #,##0_);_(&quot;Rp&quot;* \(#,##0\);_(&quot;Rp&quot;* &quot;-&quot;_);_(@_)"/>
    <numFmt numFmtId="41" formatCode="_(* #,##0_);_(* \(#,##0\);_(* &quot;-&quot;_);_(@_)"/>
    <numFmt numFmtId="43" formatCode="_(* #,##0.00_);_(* \(#,##0.00\);_(* &quot;-&quot;??_);_(@_)"/>
    <numFmt numFmtId="164" formatCode="[$-421]dd\ mmmm\ yyyy;@"/>
    <numFmt numFmtId="165" formatCode="_(* #,##0_);_(* \(#,##0\);_(* &quot;-&quot;??_);_(@_)"/>
    <numFmt numFmtId="166" formatCode="[$-409]d\-mmm\-yyyy;@"/>
    <numFmt numFmtId="167" formatCode="d\-mmm\-yyyy"/>
    <numFmt numFmtId="168" formatCode="_(* #,##0.00000_);_(* \(#,##0.00000\);_(* &quot;-&quot;_);_(@_)"/>
    <numFmt numFmtId="169" formatCode="_(&quot;Rp.&quot;* #,##0_);_(&quot;Rp.&quot;* \(#,##0\);_(&quot;Rp.&quot;* &quot;-&quot;_);_(@_)"/>
    <numFmt numFmtId="170" formatCode="_(&quot;Rp.&quot;* #,##0.00_);_(&quot;Rp.&quot;* \(#,##0.00\);_(&quot;Rp.&quot;* &quot;-&quot;??_);_(@_)"/>
    <numFmt numFmtId="171" formatCode="_(&quot;Rp.&quot;* #,##0_);_(&quot;Rp.&quot;* \(#,##0\);_(&quot;Rp.&quot;* &quot;-&quot;??_);_(@_)"/>
    <numFmt numFmtId="172" formatCode="[$-F800]dddd\,\ mmmm\ dd\,\ yyyy"/>
    <numFmt numFmtId="173" formatCode="&quot;Rp&quot;#,##0.00;\(&quot;Rp&quot;#,##0.00\)"/>
    <numFmt numFmtId="174" formatCode="_([$Rp-421]* #,##0_);_([$Rp-421]* \(#,##0\);_([$Rp-421]* &quot;-&quot;_);_(@_)"/>
    <numFmt numFmtId="175" formatCode="dd/mm/yy;@"/>
    <numFmt numFmtId="176" formatCode="_(* #,##0.00_);_(* \(#,##0.00\);_(* &quot;-&quot;_);_(@_)"/>
  </numFmts>
  <fonts count="221">
    <font>
      <sz val="10"/>
      <name val="Arial"/>
    </font>
    <font>
      <sz val="10"/>
      <name val="Arial"/>
      <family val="2"/>
    </font>
    <font>
      <b/>
      <sz val="18"/>
      <name val="Times New Roman"/>
      <family val="1"/>
    </font>
    <font>
      <sz val="12"/>
      <name val="Times New Roman"/>
      <family val="1"/>
    </font>
    <font>
      <b/>
      <sz val="12"/>
      <name val="Times New Roman"/>
      <family val="1"/>
    </font>
    <font>
      <b/>
      <sz val="10"/>
      <name val="Times New Roman"/>
      <family val="1"/>
    </font>
    <font>
      <sz val="10"/>
      <name val="Times New Roman"/>
      <family val="1"/>
    </font>
    <font>
      <b/>
      <sz val="8"/>
      <name val="Times New Roman"/>
      <family val="1"/>
    </font>
    <font>
      <u/>
      <sz val="12"/>
      <name val="Times New Roman"/>
      <family val="1"/>
    </font>
    <font>
      <b/>
      <sz val="16"/>
      <name val="Times New Roman"/>
      <family val="1"/>
    </font>
    <font>
      <b/>
      <sz val="14"/>
      <name val="Arial"/>
      <family val="2"/>
    </font>
    <font>
      <b/>
      <sz val="10"/>
      <name val="Arial"/>
      <family val="2"/>
    </font>
    <font>
      <b/>
      <sz val="12"/>
      <name val="Arial"/>
      <family val="2"/>
    </font>
    <font>
      <sz val="10"/>
      <name val="Arial"/>
      <family val="2"/>
    </font>
    <font>
      <b/>
      <sz val="8"/>
      <name val="Arial"/>
      <family val="2"/>
    </font>
    <font>
      <sz val="8"/>
      <name val="Arial"/>
      <family val="2"/>
    </font>
    <font>
      <sz val="16"/>
      <name val="Times New Roman"/>
      <family val="1"/>
    </font>
    <font>
      <u/>
      <sz val="10"/>
      <color indexed="36"/>
      <name val="Arial"/>
      <family val="2"/>
    </font>
    <font>
      <sz val="10"/>
      <name val="Arial"/>
      <family val="2"/>
    </font>
    <font>
      <b/>
      <sz val="16"/>
      <name val="Arial"/>
      <family val="2"/>
    </font>
    <font>
      <sz val="10"/>
      <name val="Courier New"/>
      <family val="3"/>
    </font>
    <font>
      <b/>
      <sz val="14"/>
      <name val="Bedini"/>
      <family val="2"/>
    </font>
    <font>
      <b/>
      <sz val="11"/>
      <name val="Arial"/>
      <family val="2"/>
    </font>
    <font>
      <sz val="11"/>
      <name val="Arial"/>
      <family val="2"/>
    </font>
    <font>
      <sz val="11"/>
      <name val="Courier New"/>
      <family val="3"/>
    </font>
    <font>
      <sz val="14"/>
      <name val="Arial"/>
      <family val="2"/>
    </font>
    <font>
      <sz val="14"/>
      <name val="Courier New"/>
      <family val="3"/>
    </font>
    <font>
      <b/>
      <sz val="10"/>
      <color indexed="10"/>
      <name val="Arial"/>
      <family val="2"/>
    </font>
    <font>
      <sz val="7"/>
      <name val="Arial"/>
      <family val="2"/>
    </font>
    <font>
      <b/>
      <sz val="14"/>
      <name val="Times New Roman"/>
      <family val="1"/>
    </font>
    <font>
      <sz val="12"/>
      <color indexed="8"/>
      <name val="Times New Roman"/>
      <family val="1"/>
    </font>
    <font>
      <sz val="9"/>
      <name val="Times New Roman"/>
      <family val="1"/>
    </font>
    <font>
      <sz val="10"/>
      <color indexed="12"/>
      <name val="Arial"/>
      <family val="2"/>
    </font>
    <font>
      <b/>
      <sz val="10"/>
      <color indexed="12"/>
      <name val="Arial"/>
      <family val="2"/>
    </font>
    <font>
      <b/>
      <sz val="20"/>
      <color indexed="12"/>
      <name val="Arial"/>
      <family val="2"/>
    </font>
    <font>
      <i/>
      <sz val="12"/>
      <name val="Times New Roman"/>
      <family val="1"/>
    </font>
    <font>
      <sz val="18"/>
      <name val="Arial"/>
      <family val="2"/>
    </font>
    <font>
      <sz val="12"/>
      <name val="Arial"/>
      <family val="2"/>
    </font>
    <font>
      <i/>
      <sz val="12"/>
      <name val="Arial"/>
      <family val="2"/>
    </font>
    <font>
      <u/>
      <sz val="12"/>
      <name val="Arial"/>
      <family val="2"/>
    </font>
    <font>
      <sz val="12"/>
      <name val="Courier New"/>
      <family val="3"/>
    </font>
    <font>
      <b/>
      <sz val="12"/>
      <color indexed="10"/>
      <name val="Arial"/>
      <family val="2"/>
    </font>
    <font>
      <b/>
      <i/>
      <sz val="14"/>
      <name val="Arial"/>
      <family val="2"/>
    </font>
    <font>
      <sz val="12"/>
      <color indexed="8"/>
      <name val="Arial"/>
      <family val="2"/>
    </font>
    <font>
      <b/>
      <sz val="12"/>
      <color indexed="8"/>
      <name val="Arial"/>
      <family val="2"/>
    </font>
    <font>
      <sz val="11"/>
      <name val="Times New Roman"/>
      <family val="1"/>
    </font>
    <font>
      <b/>
      <sz val="11"/>
      <name val="Times New Roman"/>
      <family val="1"/>
    </font>
    <font>
      <b/>
      <sz val="22"/>
      <color indexed="12"/>
      <name val="Times New Roman"/>
      <family val="1"/>
    </font>
    <font>
      <b/>
      <sz val="22"/>
      <color indexed="19"/>
      <name val="Times New Roman"/>
      <family val="1"/>
    </font>
    <font>
      <b/>
      <sz val="14"/>
      <color indexed="19"/>
      <name val="Times New Roman"/>
      <family val="1"/>
    </font>
    <font>
      <b/>
      <sz val="12"/>
      <color indexed="12"/>
      <name val="Times New Roman"/>
      <family val="1"/>
    </font>
    <font>
      <sz val="10"/>
      <color indexed="10"/>
      <name val="Times New Roman"/>
      <family val="1"/>
    </font>
    <font>
      <sz val="10"/>
      <color indexed="53"/>
      <name val="Times New Roman"/>
      <family val="1"/>
    </font>
    <font>
      <b/>
      <sz val="9"/>
      <color indexed="10"/>
      <name val="Tahoma"/>
      <family val="2"/>
    </font>
    <font>
      <b/>
      <sz val="9"/>
      <color indexed="81"/>
      <name val="Tahoma"/>
      <family val="2"/>
    </font>
    <font>
      <b/>
      <sz val="11"/>
      <color indexed="12"/>
      <name val="Maiandra GD"/>
      <family val="2"/>
    </font>
    <font>
      <sz val="11"/>
      <name val="Maiandra GD"/>
      <family val="2"/>
    </font>
    <font>
      <b/>
      <sz val="11"/>
      <name val="Maiandra GD"/>
      <family val="2"/>
    </font>
    <font>
      <b/>
      <i/>
      <sz val="11"/>
      <name val="Maiandra GD"/>
      <family val="2"/>
    </font>
    <font>
      <b/>
      <i/>
      <sz val="10"/>
      <name val="Arial"/>
      <family val="2"/>
    </font>
    <font>
      <sz val="8"/>
      <name val="Maiandra GD"/>
      <family val="2"/>
    </font>
    <font>
      <b/>
      <sz val="11"/>
      <color indexed="20"/>
      <name val="Maiandra GD"/>
      <family val="2"/>
    </font>
    <font>
      <u/>
      <sz val="11"/>
      <name val="Maiandra GD"/>
      <family val="2"/>
    </font>
    <font>
      <sz val="7"/>
      <name val="Times New Roman"/>
      <family val="1"/>
    </font>
    <font>
      <b/>
      <sz val="8"/>
      <name val="Maiandra GD"/>
      <family val="2"/>
    </font>
    <font>
      <sz val="14"/>
      <name val="Maiandra GD"/>
      <family val="2"/>
    </font>
    <font>
      <b/>
      <sz val="18"/>
      <name val="Maiandra GD"/>
      <family val="2"/>
    </font>
    <font>
      <sz val="11"/>
      <color indexed="20"/>
      <name val="Arial Narrow"/>
      <family val="2"/>
    </font>
    <font>
      <b/>
      <sz val="11"/>
      <name val="Arial Narrow"/>
      <family val="2"/>
    </font>
    <font>
      <u/>
      <sz val="10"/>
      <name val="Arial"/>
      <family val="2"/>
    </font>
    <font>
      <b/>
      <sz val="16"/>
      <name val="Maiandra GD"/>
      <family val="2"/>
    </font>
    <font>
      <b/>
      <sz val="14"/>
      <color indexed="20"/>
      <name val="Maiandra GD"/>
      <family val="2"/>
    </font>
    <font>
      <b/>
      <sz val="13"/>
      <name val="Arial"/>
      <family val="2"/>
    </font>
    <font>
      <sz val="13"/>
      <name val="Arial"/>
      <family val="2"/>
    </font>
    <font>
      <sz val="22"/>
      <name val="Arial"/>
      <family val="2"/>
    </font>
    <font>
      <sz val="22"/>
      <name val="Courier New"/>
      <family val="3"/>
    </font>
    <font>
      <sz val="10"/>
      <name val="Arial"/>
      <family val="2"/>
    </font>
    <font>
      <sz val="10"/>
      <name val="Trebuchet MS"/>
      <family val="2"/>
    </font>
    <font>
      <sz val="10"/>
      <name val="Arial"/>
      <family val="2"/>
    </font>
    <font>
      <sz val="10"/>
      <name val="Arial"/>
      <family val="2"/>
    </font>
    <font>
      <sz val="10"/>
      <name val="Arial"/>
      <family val="2"/>
    </font>
    <font>
      <b/>
      <sz val="12"/>
      <name val="Tahoma"/>
      <family val="2"/>
    </font>
    <font>
      <sz val="10"/>
      <name val="Tahoma"/>
      <family val="2"/>
    </font>
    <font>
      <b/>
      <sz val="11"/>
      <name val="Tahoma"/>
      <family val="2"/>
    </font>
    <font>
      <sz val="11"/>
      <name val="Tahoma"/>
      <family val="2"/>
    </font>
    <font>
      <i/>
      <sz val="11"/>
      <name val="Tahoma"/>
      <family val="2"/>
    </font>
    <font>
      <sz val="12"/>
      <name val="Tahoma"/>
      <family val="2"/>
    </font>
    <font>
      <b/>
      <sz val="10"/>
      <name val="Tahoma"/>
      <family val="2"/>
    </font>
    <font>
      <u val="singleAccounting"/>
      <sz val="10"/>
      <name val="Tahoma"/>
      <family val="2"/>
    </font>
    <font>
      <u/>
      <sz val="10"/>
      <name val="Tahoma"/>
      <family val="2"/>
    </font>
    <font>
      <u/>
      <sz val="12"/>
      <name val="Tahoma"/>
      <family val="2"/>
    </font>
    <font>
      <i/>
      <sz val="12"/>
      <name val="Tahoma"/>
      <family val="2"/>
    </font>
    <font>
      <sz val="8"/>
      <name val="Times New Roman"/>
      <family val="1"/>
    </font>
    <font>
      <b/>
      <sz val="10"/>
      <color indexed="10"/>
      <name val="Times New Roman"/>
      <family val="1"/>
    </font>
    <font>
      <b/>
      <sz val="20"/>
      <name val="Times New Roman"/>
      <family val="1"/>
    </font>
    <font>
      <b/>
      <sz val="20"/>
      <name val="Arial"/>
      <family val="2"/>
    </font>
    <font>
      <b/>
      <sz val="24"/>
      <name val="Arial"/>
      <family val="2"/>
    </font>
    <font>
      <b/>
      <sz val="24"/>
      <name val="Times New Roman"/>
      <family val="1"/>
    </font>
    <font>
      <b/>
      <i/>
      <u/>
      <sz val="10"/>
      <name val="Arial"/>
      <family val="2"/>
    </font>
    <font>
      <b/>
      <u/>
      <sz val="10"/>
      <name val="Arial"/>
      <family val="2"/>
    </font>
    <font>
      <b/>
      <sz val="9"/>
      <name val="Times New Roman"/>
      <family val="1"/>
    </font>
    <font>
      <i/>
      <sz val="10"/>
      <name val="Times New Roman"/>
      <family val="1"/>
    </font>
    <font>
      <sz val="9"/>
      <color indexed="81"/>
      <name val="Tahoma"/>
      <family val="2"/>
    </font>
    <font>
      <b/>
      <sz val="12"/>
      <name val="Bedini"/>
      <family val="2"/>
    </font>
    <font>
      <b/>
      <sz val="10"/>
      <color indexed="40"/>
      <name val="Times New Roman"/>
      <family val="1"/>
    </font>
    <font>
      <b/>
      <sz val="10"/>
      <color indexed="30"/>
      <name val="Times New Roman"/>
      <family val="1"/>
    </font>
    <font>
      <b/>
      <sz val="12"/>
      <color indexed="81"/>
      <name val="Tahoma"/>
      <family val="2"/>
    </font>
    <font>
      <b/>
      <sz val="11"/>
      <color indexed="10"/>
      <name val="Tahoma"/>
      <family val="2"/>
    </font>
    <font>
      <sz val="10"/>
      <color indexed="8"/>
      <name val="Arial Narrow"/>
      <family val="2"/>
    </font>
    <font>
      <b/>
      <sz val="10"/>
      <color indexed="8"/>
      <name val="Arial Narrow"/>
      <family val="2"/>
    </font>
    <font>
      <sz val="11"/>
      <color indexed="8"/>
      <name val="Calibri"/>
      <family val="2"/>
    </font>
    <font>
      <u/>
      <sz val="7.5"/>
      <color indexed="12"/>
      <name val="Arial"/>
      <family val="2"/>
    </font>
    <font>
      <sz val="10"/>
      <color indexed="8"/>
      <name val="Arial"/>
      <family val="2"/>
    </font>
    <font>
      <sz val="10"/>
      <color indexed="8"/>
      <name val="Arial"/>
      <family val="2"/>
    </font>
    <font>
      <sz val="11"/>
      <color indexed="8"/>
      <name val="Calibri"/>
      <family val="2"/>
    </font>
    <font>
      <sz val="10"/>
      <name val="Arial"/>
      <family val="2"/>
    </font>
    <font>
      <b/>
      <sz val="14"/>
      <color indexed="81"/>
      <name val="Tahoma"/>
      <family val="2"/>
    </font>
    <font>
      <b/>
      <u/>
      <sz val="10"/>
      <name val="Tahoma"/>
      <family val="2"/>
    </font>
    <font>
      <b/>
      <u val="singleAccounting"/>
      <sz val="10"/>
      <name val="Tahoma"/>
      <family val="2"/>
    </font>
    <font>
      <sz val="10"/>
      <color indexed="10"/>
      <name val="Arial"/>
      <family val="2"/>
    </font>
    <font>
      <b/>
      <sz val="9"/>
      <name val="Arial"/>
      <family val="2"/>
    </font>
    <font>
      <sz val="26"/>
      <name val="Times New Roman"/>
      <family val="1"/>
    </font>
    <font>
      <sz val="26"/>
      <name val="Arial"/>
      <family val="2"/>
    </font>
    <font>
      <sz val="16"/>
      <name val="Arial"/>
      <family val="2"/>
    </font>
    <font>
      <b/>
      <sz val="18"/>
      <name val="Arial"/>
      <family val="2"/>
    </font>
    <font>
      <sz val="20"/>
      <name val="Times New Roman"/>
      <family val="1"/>
    </font>
    <font>
      <b/>
      <sz val="28"/>
      <name val="Arial Rounded MT Bold"/>
      <family val="2"/>
    </font>
    <font>
      <b/>
      <sz val="10"/>
      <color indexed="10"/>
      <name val="Tahoma"/>
      <family val="2"/>
    </font>
    <font>
      <b/>
      <sz val="10"/>
      <color indexed="81"/>
      <name val="Tahoma"/>
      <family val="2"/>
    </font>
    <font>
      <sz val="12"/>
      <color indexed="10"/>
      <name val="Arial"/>
      <family val="2"/>
    </font>
    <font>
      <i/>
      <sz val="12"/>
      <color indexed="8"/>
      <name val="Arial"/>
      <family val="2"/>
    </font>
    <font>
      <b/>
      <sz val="12"/>
      <color indexed="8"/>
      <name val="Times New Roman"/>
      <family val="1"/>
    </font>
    <font>
      <sz val="11"/>
      <color indexed="8"/>
      <name val="Arial"/>
      <family val="2"/>
    </font>
    <font>
      <b/>
      <sz val="16"/>
      <color indexed="8"/>
      <name val="Arial"/>
      <family val="2"/>
    </font>
    <font>
      <b/>
      <sz val="28"/>
      <color indexed="8"/>
      <name val="Arial Rounded MT Bold"/>
      <family val="2"/>
    </font>
    <font>
      <u/>
      <sz val="8"/>
      <name val="Arial"/>
      <family val="2"/>
    </font>
    <font>
      <i/>
      <sz val="9"/>
      <name val="Arial"/>
      <family val="2"/>
    </font>
    <font>
      <b/>
      <sz val="18"/>
      <color indexed="81"/>
      <name val="Tahoma"/>
      <family val="2"/>
    </font>
    <font>
      <sz val="10"/>
      <color indexed="8"/>
      <name val="Arial"/>
      <family val="2"/>
    </font>
    <font>
      <b/>
      <sz val="10"/>
      <color indexed="9"/>
      <name val="Tahoma"/>
      <family val="2"/>
    </font>
    <font>
      <sz val="11"/>
      <color indexed="8"/>
      <name val="Calibri"/>
      <family val="2"/>
    </font>
    <font>
      <sz val="11"/>
      <name val="Calibri"/>
      <family val="2"/>
    </font>
    <font>
      <b/>
      <sz val="11"/>
      <color indexed="81"/>
      <name val="Tahoma"/>
      <family val="2"/>
    </font>
    <font>
      <b/>
      <sz val="10"/>
      <color indexed="34"/>
      <name val="Tahoma"/>
      <family val="2"/>
    </font>
    <font>
      <b/>
      <sz val="18"/>
      <name val="Trebuchet MS"/>
      <family val="2"/>
    </font>
    <font>
      <b/>
      <sz val="12"/>
      <name val="Trebuchet MS"/>
      <family val="2"/>
    </font>
    <font>
      <sz val="12"/>
      <name val="Trebuchet MS"/>
      <family val="2"/>
    </font>
    <font>
      <b/>
      <sz val="14"/>
      <name val="Trebuchet MS"/>
      <family val="2"/>
    </font>
    <font>
      <sz val="12"/>
      <color indexed="8"/>
      <name val="Trebuchet MS"/>
      <family val="2"/>
    </font>
    <font>
      <b/>
      <sz val="12"/>
      <color indexed="8"/>
      <name val="Trebuchet MS"/>
      <family val="2"/>
    </font>
    <font>
      <u/>
      <sz val="12"/>
      <name val="Trebuchet MS"/>
      <family val="2"/>
    </font>
    <font>
      <sz val="12"/>
      <color indexed="8"/>
      <name val="Times New Roman"/>
      <family val="2"/>
    </font>
    <font>
      <sz val="11"/>
      <color indexed="8"/>
      <name val="Calibri"/>
      <family val="2"/>
    </font>
    <font>
      <b/>
      <sz val="11"/>
      <color indexed="8"/>
      <name val="Calibri"/>
      <family val="2"/>
    </font>
    <font>
      <sz val="11"/>
      <color indexed="8"/>
      <name val="Calibri"/>
      <family val="2"/>
      <charset val="1"/>
    </font>
    <font>
      <b/>
      <sz val="10"/>
      <color indexed="10"/>
      <name val="Times New Roman"/>
      <family val="1"/>
    </font>
    <font>
      <b/>
      <sz val="11"/>
      <name val="Cambria"/>
      <family val="1"/>
    </font>
    <font>
      <b/>
      <sz val="10"/>
      <color indexed="40"/>
      <name val="Times New Roman"/>
      <family val="1"/>
    </font>
    <font>
      <sz val="10"/>
      <color indexed="10"/>
      <name val="Times New Roman"/>
      <family val="1"/>
    </font>
    <font>
      <b/>
      <sz val="14"/>
      <color indexed="13"/>
      <name val="Times New Roman"/>
      <family val="1"/>
    </font>
    <font>
      <b/>
      <sz val="12"/>
      <name val="Cambria"/>
      <family val="1"/>
    </font>
    <font>
      <b/>
      <sz val="12"/>
      <color indexed="9"/>
      <name val="Cambria"/>
      <family val="1"/>
    </font>
    <font>
      <sz val="10"/>
      <color indexed="8"/>
      <name val="Times New Roman"/>
      <family val="1"/>
    </font>
    <font>
      <sz val="10"/>
      <color indexed="8"/>
      <name val="Times New Roman"/>
      <family val="2"/>
    </font>
    <font>
      <u val="singleAccounting"/>
      <sz val="11"/>
      <color indexed="8"/>
      <name val="Calibri"/>
      <family val="2"/>
      <charset val="1"/>
    </font>
    <font>
      <sz val="10"/>
      <color indexed="18"/>
      <name val="Arial"/>
      <family val="2"/>
    </font>
    <font>
      <b/>
      <sz val="10"/>
      <color indexed="13"/>
      <name val="Arial"/>
      <family val="2"/>
    </font>
    <font>
      <b/>
      <sz val="10"/>
      <color indexed="13"/>
      <name val="Tahoma"/>
      <family val="2"/>
    </font>
    <font>
      <b/>
      <sz val="12"/>
      <color indexed="30"/>
      <name val="Copperplate Gothic Bold"/>
      <family val="2"/>
    </font>
    <font>
      <b/>
      <sz val="12"/>
      <color indexed="9"/>
      <name val="Copperplate Gothic Bold"/>
      <family val="2"/>
    </font>
    <font>
      <b/>
      <sz val="11"/>
      <color indexed="56"/>
      <name val="Arial"/>
      <family val="2"/>
    </font>
    <font>
      <sz val="12"/>
      <color indexed="10"/>
      <name val="Arial"/>
      <family val="2"/>
    </font>
    <font>
      <b/>
      <sz val="12"/>
      <color indexed="10"/>
      <name val="Arial"/>
      <family val="2"/>
    </font>
    <font>
      <b/>
      <sz val="14"/>
      <color indexed="8"/>
      <name val="Calibri"/>
      <family val="2"/>
    </font>
    <font>
      <b/>
      <sz val="10"/>
      <color indexed="9"/>
      <name val="Arial"/>
      <family val="2"/>
    </font>
    <font>
      <b/>
      <sz val="12"/>
      <color indexed="56"/>
      <name val="Arial"/>
      <family val="2"/>
    </font>
    <font>
      <b/>
      <sz val="22"/>
      <color indexed="8"/>
      <name val="Copperplate Gothic Bold"/>
      <family val="2"/>
    </font>
    <font>
      <b/>
      <sz val="18"/>
      <color indexed="8"/>
      <name val="Copperplate Gothic Bold"/>
      <family val="2"/>
    </font>
    <font>
      <b/>
      <sz val="10"/>
      <color indexed="10"/>
      <name val="Arial"/>
      <family val="2"/>
    </font>
    <font>
      <sz val="12"/>
      <color indexed="9"/>
      <name val="Trebuchet MS"/>
      <family val="2"/>
    </font>
    <font>
      <b/>
      <sz val="12"/>
      <color indexed="9"/>
      <name val="Trebuchet MS"/>
      <family val="2"/>
    </font>
    <font>
      <sz val="14"/>
      <color indexed="10"/>
      <name val="Times New Roman"/>
      <family val="1"/>
    </font>
    <font>
      <b/>
      <sz val="28"/>
      <color indexed="13"/>
      <name val="BankGothic Md BT"/>
      <family val="2"/>
    </font>
    <font>
      <b/>
      <sz val="14"/>
      <color indexed="10"/>
      <name val="Arial"/>
      <family val="2"/>
    </font>
    <font>
      <b/>
      <sz val="22"/>
      <color indexed="13"/>
      <name val="Times New Roman"/>
      <family val="1"/>
    </font>
    <font>
      <b/>
      <sz val="14"/>
      <color indexed="9"/>
      <name val="Cambria"/>
      <family val="1"/>
    </font>
    <font>
      <b/>
      <sz val="14"/>
      <name val="Cambria"/>
      <family val="1"/>
    </font>
    <font>
      <sz val="12"/>
      <color indexed="8"/>
      <name val="Times New Roman"/>
      <family val="2"/>
    </font>
    <font>
      <sz val="11"/>
      <color indexed="8"/>
      <name val="Calibri"/>
      <family val="2"/>
    </font>
    <font>
      <sz val="12"/>
      <color theme="1"/>
      <name val="Times New Roman"/>
      <family val="2"/>
    </font>
    <font>
      <u/>
      <sz val="5.5"/>
      <color theme="10"/>
      <name val="Arial"/>
      <family val="2"/>
    </font>
    <font>
      <sz val="20"/>
      <name val="Arial"/>
      <family val="2"/>
    </font>
    <font>
      <b/>
      <sz val="22"/>
      <name val="Arial"/>
      <family val="2"/>
    </font>
    <font>
      <sz val="12"/>
      <color rgb="FFFF0000"/>
      <name val="Arial"/>
      <family val="2"/>
    </font>
    <font>
      <sz val="12"/>
      <color theme="1"/>
      <name val="Arial"/>
      <family val="2"/>
    </font>
    <font>
      <sz val="12"/>
      <color rgb="FFC00000"/>
      <name val="Arial"/>
      <family val="2"/>
    </font>
    <font>
      <sz val="11"/>
      <color theme="0" tint="-0.14999847407452621"/>
      <name val="Arial"/>
      <family val="2"/>
    </font>
    <font>
      <b/>
      <sz val="10"/>
      <color indexed="53"/>
      <name val="Times New Roman"/>
      <family val="1"/>
    </font>
    <font>
      <b/>
      <sz val="11"/>
      <color indexed="10"/>
      <name val="Arial"/>
      <family val="2"/>
    </font>
    <font>
      <b/>
      <sz val="12"/>
      <color indexed="8"/>
      <name val="Calibri"/>
      <family val="2"/>
    </font>
    <font>
      <b/>
      <sz val="11"/>
      <color indexed="8"/>
      <name val="Calibri"/>
      <family val="2"/>
      <charset val="1"/>
    </font>
    <font>
      <b/>
      <sz val="14"/>
      <name val="Tahoma"/>
      <family val="2"/>
    </font>
    <font>
      <sz val="14"/>
      <name val="Tahoma"/>
      <family val="2"/>
    </font>
    <font>
      <sz val="16"/>
      <name val="Tahoma"/>
      <family val="2"/>
    </font>
    <font>
      <b/>
      <sz val="16"/>
      <name val="Tahoma"/>
      <family val="2"/>
    </font>
    <font>
      <i/>
      <sz val="10"/>
      <name val="Calibri"/>
      <family val="2"/>
      <scheme val="minor"/>
    </font>
    <font>
      <b/>
      <u/>
      <sz val="9"/>
      <name val="Tahoma"/>
      <family val="2"/>
    </font>
    <font>
      <b/>
      <sz val="14"/>
      <color rgb="FFFF0000"/>
      <name val="Cambria"/>
      <family val="1"/>
    </font>
    <font>
      <b/>
      <sz val="22"/>
      <name val="Times New Roman"/>
      <family val="1"/>
    </font>
    <font>
      <b/>
      <sz val="10"/>
      <color indexed="8"/>
      <name val="Arial"/>
      <family val="2"/>
    </font>
    <font>
      <sz val="10"/>
      <name val="Calibri"/>
      <family val="2"/>
      <scheme val="minor"/>
    </font>
    <font>
      <sz val="10"/>
      <color theme="0"/>
      <name val="Times New Roman"/>
      <family val="1"/>
    </font>
    <font>
      <b/>
      <sz val="11"/>
      <name val="Arial Rounded MT Bold"/>
      <family val="2"/>
    </font>
    <font>
      <sz val="8"/>
      <color indexed="81"/>
      <name val="Tahoma"/>
      <family val="2"/>
    </font>
    <font>
      <b/>
      <sz val="8"/>
      <color indexed="81"/>
      <name val="Tahoma"/>
      <family val="2"/>
    </font>
    <font>
      <sz val="11"/>
      <color rgb="FFFF0000"/>
      <name val="Maiandra GD"/>
      <family val="2"/>
    </font>
    <font>
      <sz val="12"/>
      <color rgb="FFFF0000"/>
      <name val="Times New Roman"/>
      <family val="1"/>
    </font>
    <font>
      <sz val="12"/>
      <color theme="0"/>
      <name val="Times New Roman"/>
      <family val="1"/>
    </font>
    <font>
      <sz val="9"/>
      <name val="Arial"/>
      <family val="2"/>
    </font>
    <font>
      <b/>
      <sz val="10"/>
      <name val="Arial"/>
      <family val="2"/>
    </font>
    <font>
      <b/>
      <sz val="10"/>
      <name val="Arial"/>
      <family val="2"/>
    </font>
  </fonts>
  <fills count="42">
    <fill>
      <patternFill patternType="none"/>
    </fill>
    <fill>
      <patternFill patternType="gray125"/>
    </fill>
    <fill>
      <patternFill patternType="solid">
        <fgColor indexed="42"/>
        <bgColor indexed="64"/>
      </patternFill>
    </fill>
    <fill>
      <patternFill patternType="solid">
        <fgColor indexed="22"/>
        <bgColor indexed="64"/>
      </patternFill>
    </fill>
    <fill>
      <patternFill patternType="solid">
        <fgColor indexed="43"/>
        <bgColor indexed="64"/>
      </patternFill>
    </fill>
    <fill>
      <patternFill patternType="solid">
        <fgColor indexed="9"/>
        <bgColor indexed="64"/>
      </patternFill>
    </fill>
    <fill>
      <patternFill patternType="solid">
        <fgColor indexed="23"/>
        <bgColor indexed="64"/>
      </patternFill>
    </fill>
    <fill>
      <patternFill patternType="solid">
        <fgColor indexed="55"/>
        <bgColor indexed="64"/>
      </patternFill>
    </fill>
    <fill>
      <patternFill patternType="solid">
        <fgColor indexed="13"/>
        <bgColor indexed="64"/>
      </patternFill>
    </fill>
    <fill>
      <patternFill patternType="solid">
        <fgColor indexed="11"/>
        <bgColor indexed="64"/>
      </patternFill>
    </fill>
    <fill>
      <patternFill patternType="solid">
        <fgColor indexed="44"/>
        <bgColor indexed="64"/>
      </patternFill>
    </fill>
    <fill>
      <patternFill patternType="solid">
        <fgColor indexed="51"/>
        <bgColor indexed="64"/>
      </patternFill>
    </fill>
    <fill>
      <patternFill patternType="solid">
        <fgColor indexed="46"/>
        <bgColor indexed="64"/>
      </patternFill>
    </fill>
    <fill>
      <patternFill patternType="solid">
        <fgColor indexed="36"/>
        <bgColor indexed="64"/>
      </patternFill>
    </fill>
    <fill>
      <patternFill patternType="solid">
        <fgColor indexed="29"/>
        <bgColor indexed="64"/>
      </patternFill>
    </fill>
    <fill>
      <patternFill patternType="solid">
        <fgColor indexed="10"/>
        <bgColor indexed="64"/>
      </patternFill>
    </fill>
    <fill>
      <patternFill patternType="solid">
        <fgColor indexed="63"/>
        <bgColor indexed="64"/>
      </patternFill>
    </fill>
    <fill>
      <patternFill patternType="solid">
        <fgColor indexed="27"/>
        <bgColor indexed="64"/>
      </patternFill>
    </fill>
    <fill>
      <patternFill patternType="solid">
        <fgColor indexed="47"/>
        <bgColor indexed="64"/>
      </patternFill>
    </fill>
    <fill>
      <patternFill patternType="solid">
        <fgColor indexed="26"/>
        <bgColor indexed="64"/>
      </patternFill>
    </fill>
    <fill>
      <patternFill patternType="solid">
        <fgColor indexed="56"/>
        <bgColor indexed="64"/>
      </patternFill>
    </fill>
    <fill>
      <patternFill patternType="solid">
        <fgColor indexed="17"/>
        <bgColor indexed="64"/>
      </patternFill>
    </fill>
    <fill>
      <patternFill patternType="solid">
        <fgColor indexed="57"/>
        <bgColor indexed="64"/>
      </patternFill>
    </fill>
    <fill>
      <patternFill patternType="solid">
        <fgColor indexed="60"/>
        <bgColor indexed="64"/>
      </patternFill>
    </fill>
    <fill>
      <patternFill patternType="solid">
        <fgColor indexed="59"/>
        <bgColor indexed="64"/>
      </patternFill>
    </fill>
    <fill>
      <patternFill patternType="solid">
        <fgColor indexed="40"/>
        <bgColor indexed="64"/>
      </patternFill>
    </fill>
    <fill>
      <patternFill patternType="solid">
        <fgColor indexed="22"/>
        <bgColor indexed="0"/>
      </patternFill>
    </fill>
    <fill>
      <patternFill patternType="solid">
        <fgColor indexed="14"/>
        <bgColor indexed="64"/>
      </patternFill>
    </fill>
    <fill>
      <patternFill patternType="solid">
        <fgColor indexed="8"/>
        <bgColor indexed="64"/>
      </patternFill>
    </fill>
    <fill>
      <patternFill patternType="solid">
        <fgColor indexed="45"/>
        <bgColor indexed="64"/>
      </patternFill>
    </fill>
    <fill>
      <patternFill patternType="solid">
        <fgColor indexed="52"/>
        <bgColor indexed="64"/>
      </patternFill>
    </fill>
    <fill>
      <patternFill patternType="solid">
        <fgColor indexed="30"/>
        <bgColor indexed="64"/>
      </patternFill>
    </fill>
    <fill>
      <patternFill patternType="solid">
        <fgColor indexed="53"/>
        <bgColor indexed="64"/>
      </patternFill>
    </fill>
    <fill>
      <patternFill patternType="solid">
        <fgColor rgb="FFFFFF00"/>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theme="0"/>
        <bgColor indexed="64"/>
      </patternFill>
    </fill>
    <fill>
      <patternFill patternType="solid">
        <fgColor rgb="FFEFFFFF"/>
        <bgColor indexed="64"/>
      </patternFill>
    </fill>
    <fill>
      <patternFill patternType="solid">
        <fgColor rgb="FF92D050"/>
        <bgColor indexed="64"/>
      </patternFill>
    </fill>
    <fill>
      <patternFill patternType="solid">
        <fgColor theme="3" tint="0.79998168889431442"/>
        <bgColor indexed="64"/>
      </patternFill>
    </fill>
  </fills>
  <borders count="301">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style="thin">
        <color indexed="64"/>
      </left>
      <right style="thin">
        <color indexed="64"/>
      </right>
      <top style="thick">
        <color indexed="10"/>
      </top>
      <bottom style="thin">
        <color indexed="64"/>
      </bottom>
      <diagonal/>
    </border>
    <border>
      <left style="thin">
        <color indexed="64"/>
      </left>
      <right style="thick">
        <color indexed="10"/>
      </right>
      <top style="thick">
        <color indexed="10"/>
      </top>
      <bottom style="thin">
        <color indexed="64"/>
      </bottom>
      <diagonal/>
    </border>
    <border>
      <left style="thin">
        <color indexed="64"/>
      </left>
      <right style="thick">
        <color indexed="10"/>
      </right>
      <top style="thin">
        <color indexed="64"/>
      </top>
      <bottom style="thin">
        <color indexed="64"/>
      </bottom>
      <diagonal/>
    </border>
    <border>
      <left style="thin">
        <color indexed="64"/>
      </left>
      <right style="thin">
        <color indexed="64"/>
      </right>
      <top style="thin">
        <color indexed="64"/>
      </top>
      <bottom style="thick">
        <color indexed="10"/>
      </bottom>
      <diagonal/>
    </border>
    <border>
      <left style="thin">
        <color indexed="64"/>
      </left>
      <right style="thick">
        <color indexed="10"/>
      </right>
      <top style="thin">
        <color indexed="64"/>
      </top>
      <bottom style="thick">
        <color indexed="10"/>
      </bottom>
      <diagonal/>
    </border>
    <border>
      <left style="thick">
        <color indexed="10"/>
      </left>
      <right style="thin">
        <color indexed="64"/>
      </right>
      <top style="thick">
        <color indexed="10"/>
      </top>
      <bottom style="double">
        <color indexed="64"/>
      </bottom>
      <diagonal/>
    </border>
    <border>
      <left style="thin">
        <color indexed="64"/>
      </left>
      <right style="thin">
        <color indexed="64"/>
      </right>
      <top style="thick">
        <color indexed="10"/>
      </top>
      <bottom style="double">
        <color indexed="64"/>
      </bottom>
      <diagonal/>
    </border>
    <border>
      <left style="thin">
        <color indexed="64"/>
      </left>
      <right style="thick">
        <color indexed="10"/>
      </right>
      <top style="thick">
        <color indexed="10"/>
      </top>
      <bottom style="double">
        <color indexed="64"/>
      </bottom>
      <diagonal/>
    </border>
    <border>
      <left style="thick">
        <color indexed="10"/>
      </left>
      <right style="thin">
        <color indexed="64"/>
      </right>
      <top/>
      <bottom style="thin">
        <color indexed="64"/>
      </bottom>
      <diagonal/>
    </border>
    <border>
      <left style="thin">
        <color indexed="64"/>
      </left>
      <right style="thick">
        <color indexed="10"/>
      </right>
      <top/>
      <bottom style="thin">
        <color indexed="64"/>
      </bottom>
      <diagonal/>
    </border>
    <border>
      <left style="thick">
        <color indexed="10"/>
      </left>
      <right style="thin">
        <color indexed="64"/>
      </right>
      <top style="thin">
        <color indexed="64"/>
      </top>
      <bottom style="thin">
        <color indexed="64"/>
      </bottom>
      <diagonal/>
    </border>
    <border>
      <left style="thick">
        <color indexed="10"/>
      </left>
      <right style="thin">
        <color indexed="64"/>
      </right>
      <top style="thin">
        <color indexed="64"/>
      </top>
      <bottom style="thick">
        <color indexed="10"/>
      </bottom>
      <diagonal/>
    </border>
    <border>
      <left style="thick">
        <color indexed="10"/>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ck">
        <color indexed="10"/>
      </right>
      <top style="thin">
        <color indexed="64"/>
      </top>
      <bottom/>
      <diagonal/>
    </border>
    <border>
      <left style="thin">
        <color indexed="64"/>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double">
        <color indexed="64"/>
      </top>
      <bottom style="double">
        <color indexed="64"/>
      </bottom>
      <diagonal/>
    </border>
    <border>
      <left/>
      <right style="thin">
        <color indexed="64"/>
      </right>
      <top style="double">
        <color indexed="64"/>
      </top>
      <bottom style="double">
        <color indexed="64"/>
      </bottom>
      <diagonal/>
    </border>
    <border>
      <left style="medium">
        <color indexed="64"/>
      </left>
      <right/>
      <top/>
      <bottom style="medium">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medium">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style="thin">
        <color indexed="64"/>
      </left>
      <right style="thick">
        <color indexed="64"/>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style="thick">
        <color indexed="64"/>
      </right>
      <top style="medium">
        <color indexed="64"/>
      </top>
      <bottom/>
      <diagonal/>
    </border>
    <border>
      <left style="medium">
        <color indexed="64"/>
      </left>
      <right style="thick">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ck">
        <color indexed="64"/>
      </right>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thin">
        <color indexed="64"/>
      </left>
      <right style="thin">
        <color indexed="64"/>
      </right>
      <top/>
      <bottom style="double">
        <color indexed="64"/>
      </bottom>
      <diagonal/>
    </border>
    <border>
      <left style="thin">
        <color indexed="64"/>
      </left>
      <right style="double">
        <color indexed="64"/>
      </right>
      <top/>
      <bottom style="double">
        <color indexed="64"/>
      </bottom>
      <diagonal/>
    </border>
    <border>
      <left/>
      <right/>
      <top style="double">
        <color indexed="64"/>
      </top>
      <bottom/>
      <diagonal/>
    </border>
    <border>
      <left style="thin">
        <color indexed="64"/>
      </left>
      <right/>
      <top/>
      <bottom style="thin">
        <color indexed="64"/>
      </bottom>
      <diagonal/>
    </border>
    <border>
      <left/>
      <right/>
      <top style="thin">
        <color indexed="64"/>
      </top>
      <bottom style="thin">
        <color indexed="64"/>
      </bottom>
      <diagonal/>
    </border>
    <border>
      <left style="double">
        <color indexed="64"/>
      </left>
      <right style="thin">
        <color indexed="64"/>
      </right>
      <top/>
      <bottom style="thin">
        <color indexed="64"/>
      </bottom>
      <diagonal/>
    </border>
    <border>
      <left style="double">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double">
        <color indexed="64"/>
      </top>
      <bottom style="double">
        <color indexed="64"/>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right style="thin">
        <color indexed="64"/>
      </right>
      <top style="double">
        <color indexed="64"/>
      </top>
      <bottom style="medium">
        <color indexed="64"/>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diagonal/>
    </border>
    <border>
      <left style="thin">
        <color indexed="64"/>
      </left>
      <right/>
      <top style="medium">
        <color indexed="64"/>
      </top>
      <bottom style="medium">
        <color indexed="64"/>
      </bottom>
      <diagonal/>
    </border>
    <border>
      <left style="thin">
        <color indexed="64"/>
      </left>
      <right style="medium">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top/>
      <bottom style="thin">
        <color indexed="64"/>
      </bottom>
      <diagonal/>
    </border>
    <border>
      <left/>
      <right style="thin">
        <color indexed="64"/>
      </right>
      <top/>
      <bottom style="thin">
        <color indexed="64"/>
      </bottom>
      <diagonal/>
    </border>
    <border>
      <left/>
      <right style="thin">
        <color indexed="64"/>
      </right>
      <top/>
      <bottom style="medium">
        <color indexed="64"/>
      </bottom>
      <diagonal/>
    </border>
    <border>
      <left/>
      <right/>
      <top/>
      <bottom style="medium">
        <color indexed="64"/>
      </bottom>
      <diagonal/>
    </border>
    <border>
      <left/>
      <right/>
      <top style="thin">
        <color indexed="64"/>
      </top>
      <bottom/>
      <diagonal/>
    </border>
    <border>
      <left style="thin">
        <color indexed="64"/>
      </left>
      <right style="thick">
        <color indexed="64"/>
      </right>
      <top/>
      <bottom/>
      <diagonal/>
    </border>
    <border>
      <left style="medium">
        <color indexed="64"/>
      </left>
      <right style="medium">
        <color indexed="64"/>
      </right>
      <top/>
      <bottom style="thin">
        <color indexed="64"/>
      </bottom>
      <diagonal/>
    </border>
    <border>
      <left style="thin">
        <color indexed="64"/>
      </left>
      <right style="thick">
        <color indexed="64"/>
      </right>
      <top/>
      <bottom style="thin">
        <color indexed="64"/>
      </bottom>
      <diagonal/>
    </border>
    <border>
      <left style="thick">
        <color indexed="64"/>
      </left>
      <right style="thin">
        <color indexed="64"/>
      </right>
      <top style="thin">
        <color indexed="64"/>
      </top>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ck">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ck">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style="thin">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thin">
        <color indexed="64"/>
      </left>
      <right style="medium">
        <color indexed="64"/>
      </right>
      <top style="thin">
        <color indexed="64"/>
      </top>
      <bottom style="double">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thin">
        <color indexed="64"/>
      </top>
      <bottom style="double">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medium">
        <color indexed="64"/>
      </left>
      <right style="thin">
        <color indexed="64"/>
      </right>
      <top/>
      <bottom/>
      <diagonal/>
    </border>
    <border>
      <left style="medium">
        <color indexed="64"/>
      </left>
      <right style="medium">
        <color indexed="64"/>
      </right>
      <top style="thin">
        <color indexed="64"/>
      </top>
      <bottom/>
      <diagonal/>
    </border>
    <border>
      <left/>
      <right style="medium">
        <color indexed="64"/>
      </right>
      <top style="thin">
        <color indexed="64"/>
      </top>
      <bottom/>
      <diagonal/>
    </border>
    <border>
      <left/>
      <right style="medium">
        <color indexed="64"/>
      </right>
      <top style="thin">
        <color indexed="64"/>
      </top>
      <bottom style="thin">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style="double">
        <color indexed="64"/>
      </top>
      <bottom style="hair">
        <color indexed="64"/>
      </bottom>
      <diagonal/>
    </border>
    <border>
      <left style="thin">
        <color indexed="64"/>
      </left>
      <right style="thin">
        <color indexed="64"/>
      </right>
      <top style="double">
        <color indexed="64"/>
      </top>
      <bottom style="hair">
        <color indexed="64"/>
      </bottom>
      <diagonal/>
    </border>
    <border>
      <left/>
      <right/>
      <top style="double">
        <color indexed="64"/>
      </top>
      <bottom style="hair">
        <color indexed="64"/>
      </bottom>
      <diagonal/>
    </border>
    <border>
      <left style="thin">
        <color indexed="64"/>
      </left>
      <right style="thick">
        <color indexed="64"/>
      </right>
      <top style="double">
        <color indexed="64"/>
      </top>
      <bottom style="hair">
        <color indexed="64"/>
      </bottom>
      <diagonal/>
    </border>
    <border>
      <left/>
      <right style="thin">
        <color indexed="64"/>
      </right>
      <top style="double">
        <color indexed="64"/>
      </top>
      <bottom style="hair">
        <color indexed="64"/>
      </bottom>
      <diagonal/>
    </border>
    <border>
      <left style="thin">
        <color indexed="64"/>
      </left>
      <right style="medium">
        <color indexed="64"/>
      </right>
      <top style="double">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ck">
        <color indexed="64"/>
      </right>
      <top style="hair">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ck">
        <color indexed="64"/>
      </left>
      <right style="thin">
        <color indexed="64"/>
      </right>
      <top style="hair">
        <color indexed="64"/>
      </top>
      <bottom style="hair">
        <color indexed="64"/>
      </bottom>
      <diagonal/>
    </border>
    <border>
      <left/>
      <right style="thick">
        <color indexed="64"/>
      </right>
      <top style="hair">
        <color indexed="64"/>
      </top>
      <bottom style="hair">
        <color indexed="64"/>
      </bottom>
      <diagonal/>
    </border>
    <border>
      <left/>
      <right style="thin">
        <color indexed="64"/>
      </right>
      <top style="hair">
        <color indexed="64"/>
      </top>
      <bottom style="hair">
        <color indexed="64"/>
      </bottom>
      <diagonal/>
    </border>
    <border>
      <left style="medium">
        <color indexed="64"/>
      </left>
      <right style="thin">
        <color indexed="64"/>
      </right>
      <top style="hair">
        <color indexed="64"/>
      </top>
      <bottom style="double">
        <color indexed="64"/>
      </bottom>
      <diagonal/>
    </border>
    <border>
      <left style="thin">
        <color indexed="64"/>
      </left>
      <right style="thin">
        <color indexed="64"/>
      </right>
      <top style="hair">
        <color indexed="64"/>
      </top>
      <bottom style="double">
        <color indexed="64"/>
      </bottom>
      <diagonal/>
    </border>
    <border>
      <left style="thin">
        <color indexed="64"/>
      </left>
      <right style="thick">
        <color indexed="64"/>
      </right>
      <top style="hair">
        <color indexed="64"/>
      </top>
      <bottom style="double">
        <color indexed="64"/>
      </bottom>
      <diagonal/>
    </border>
    <border>
      <left/>
      <right style="thin">
        <color indexed="64"/>
      </right>
      <top style="hair">
        <color indexed="64"/>
      </top>
      <bottom style="double">
        <color indexed="64"/>
      </bottom>
      <diagonal/>
    </border>
    <border>
      <left style="thin">
        <color indexed="64"/>
      </left>
      <right style="medium">
        <color indexed="64"/>
      </right>
      <top style="hair">
        <color indexed="64"/>
      </top>
      <bottom style="double">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right/>
      <top/>
      <bottom style="hair">
        <color indexed="64"/>
      </bottom>
      <diagonal/>
    </border>
    <border>
      <left style="thin">
        <color indexed="64"/>
      </left>
      <right/>
      <top style="hair">
        <color indexed="64"/>
      </top>
      <bottom/>
      <diagonal/>
    </border>
    <border>
      <left/>
      <right/>
      <top style="hair">
        <color indexed="64"/>
      </top>
      <bottom/>
      <diagonal/>
    </border>
    <border>
      <left style="thin">
        <color indexed="64"/>
      </left>
      <right style="thin">
        <color indexed="64"/>
      </right>
      <top style="double">
        <color indexed="64"/>
      </top>
      <bottom/>
      <diagonal/>
    </border>
    <border>
      <left style="thin">
        <color indexed="64"/>
      </left>
      <right style="double">
        <color indexed="64"/>
      </right>
      <top style="thin">
        <color indexed="64"/>
      </top>
      <bottom style="double">
        <color indexed="64"/>
      </bottom>
      <diagonal/>
    </border>
    <border>
      <left style="thin">
        <color indexed="64"/>
      </left>
      <right style="double">
        <color indexed="64"/>
      </right>
      <top/>
      <bottom style="thin">
        <color indexed="64"/>
      </bottom>
      <diagonal/>
    </border>
    <border>
      <left style="double">
        <color indexed="64"/>
      </left>
      <right style="thin">
        <color indexed="64"/>
      </right>
      <top/>
      <bottom style="double">
        <color indexed="64"/>
      </bottom>
      <diagonal/>
    </border>
    <border>
      <left/>
      <right/>
      <top style="medium">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
      <left style="thin">
        <color indexed="64"/>
      </left>
      <right style="thick">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thin">
        <color indexed="64"/>
      </top>
      <bottom style="hair">
        <color indexed="64"/>
      </bottom>
      <diagonal/>
    </border>
    <border>
      <left/>
      <right style="thin">
        <color indexed="64"/>
      </right>
      <top style="hair">
        <color indexed="64"/>
      </top>
      <bottom/>
      <diagonal/>
    </border>
    <border>
      <left style="thin">
        <color indexed="64"/>
      </left>
      <right/>
      <top style="thin">
        <color indexed="64"/>
      </top>
      <bottom style="hair">
        <color indexed="64"/>
      </bottom>
      <diagonal/>
    </border>
    <border>
      <left style="medium">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double">
        <color indexed="64"/>
      </top>
      <bottom style="double">
        <color indexed="64"/>
      </bottom>
      <diagonal/>
    </border>
    <border>
      <left style="thin">
        <color indexed="64"/>
      </left>
      <right style="medium">
        <color indexed="64"/>
      </right>
      <top style="double">
        <color indexed="64"/>
      </top>
      <bottom style="medium">
        <color indexed="64"/>
      </bottom>
      <diagonal/>
    </border>
    <border>
      <left style="thin">
        <color indexed="64"/>
      </left>
      <right style="thin">
        <color indexed="64"/>
      </right>
      <top style="double">
        <color indexed="64"/>
      </top>
      <bottom style="double">
        <color indexed="64"/>
      </bottom>
      <diagonal/>
    </border>
    <border>
      <left style="thin">
        <color indexed="64"/>
      </left>
      <right style="thick">
        <color indexed="64"/>
      </right>
      <top style="double">
        <color indexed="64"/>
      </top>
      <bottom style="double">
        <color indexed="64"/>
      </bottom>
      <diagonal/>
    </border>
    <border>
      <left style="thin">
        <color indexed="64"/>
      </left>
      <right style="thin">
        <color indexed="64"/>
      </right>
      <top style="double">
        <color indexed="64"/>
      </top>
      <bottom style="medium">
        <color indexed="64"/>
      </bottom>
      <diagonal/>
    </border>
    <border>
      <left style="thin">
        <color indexed="64"/>
      </left>
      <right style="thick">
        <color indexed="64"/>
      </right>
      <top style="double">
        <color indexed="64"/>
      </top>
      <bottom style="medium">
        <color indexed="64"/>
      </bottom>
      <diagonal/>
    </border>
    <border>
      <left style="medium">
        <color indexed="64"/>
      </left>
      <right style="thin">
        <color indexed="64"/>
      </right>
      <top style="thin">
        <color indexed="64"/>
      </top>
      <bottom style="double">
        <color indexed="64"/>
      </bottom>
      <diagonal/>
    </border>
    <border>
      <left style="thin">
        <color indexed="64"/>
      </left>
      <right style="medium">
        <color indexed="64"/>
      </right>
      <top/>
      <bottom style="double">
        <color indexed="64"/>
      </bottom>
      <diagonal/>
    </border>
    <border>
      <left/>
      <right style="medium">
        <color indexed="64"/>
      </right>
      <top style="thin">
        <color indexed="64"/>
      </top>
      <bottom style="double">
        <color indexed="64"/>
      </bottom>
      <diagonal/>
    </border>
    <border>
      <left/>
      <right style="medium">
        <color indexed="64"/>
      </right>
      <top style="double">
        <color indexed="64"/>
      </top>
      <bottom style="double">
        <color indexed="64"/>
      </bottom>
      <diagonal/>
    </border>
    <border>
      <left/>
      <right style="medium">
        <color indexed="64"/>
      </right>
      <top style="double">
        <color indexed="64"/>
      </top>
      <bottom style="medium">
        <color indexed="64"/>
      </bottom>
      <diagonal/>
    </border>
    <border>
      <left style="thin">
        <color indexed="64"/>
      </left>
      <right/>
      <top style="double">
        <color indexed="64"/>
      </top>
      <bottom style="double">
        <color indexed="64"/>
      </bottom>
      <diagonal/>
    </border>
    <border>
      <left style="thin">
        <color indexed="64"/>
      </left>
      <right/>
      <top style="double">
        <color indexed="64"/>
      </top>
      <bottom style="medium">
        <color indexed="64"/>
      </bottom>
      <diagonal/>
    </border>
    <border>
      <left/>
      <right/>
      <top style="double">
        <color indexed="64"/>
      </top>
      <bottom style="thin">
        <color indexed="64"/>
      </bottom>
      <diagonal/>
    </border>
    <border>
      <left/>
      <right/>
      <top style="thin">
        <color indexed="64"/>
      </top>
      <bottom style="double">
        <color indexed="64"/>
      </bottom>
      <diagonal/>
    </border>
    <border>
      <left/>
      <right/>
      <top style="medium">
        <color indexed="64"/>
      </top>
      <bottom style="medium">
        <color indexed="64"/>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style="thick">
        <color indexed="64"/>
      </left>
      <right style="medium">
        <color indexed="64"/>
      </right>
      <top style="medium">
        <color indexed="64"/>
      </top>
      <bottom/>
      <diagonal/>
    </border>
    <border>
      <left style="thick">
        <color indexed="64"/>
      </left>
      <right style="medium">
        <color indexed="64"/>
      </right>
      <top/>
      <bottom/>
      <diagonal/>
    </border>
    <border>
      <left style="thick">
        <color indexed="64"/>
      </left>
      <right style="medium">
        <color indexed="64"/>
      </right>
      <top/>
      <bottom style="thick">
        <color indexed="64"/>
      </bottom>
      <diagonal/>
    </border>
    <border>
      <left style="medium">
        <color indexed="64"/>
      </left>
      <right style="thick">
        <color indexed="64"/>
      </right>
      <top/>
      <bottom style="thick">
        <color indexed="64"/>
      </bottom>
      <diagonal/>
    </border>
    <border>
      <left style="thin">
        <color indexed="64"/>
      </left>
      <right style="thick">
        <color indexed="10"/>
      </right>
      <top style="thin">
        <color indexed="64"/>
      </top>
      <bottom style="double">
        <color indexed="64"/>
      </bottom>
      <diagonal/>
    </border>
    <border>
      <left style="thin">
        <color indexed="64"/>
      </left>
      <right style="thick">
        <color indexed="10"/>
      </right>
      <top style="thin">
        <color indexed="64"/>
      </top>
      <bottom style="medium">
        <color indexed="64"/>
      </bottom>
      <diagonal/>
    </border>
    <border>
      <left style="thick">
        <color indexed="10"/>
      </left>
      <right/>
      <top style="medium">
        <color indexed="64"/>
      </top>
      <bottom style="thick">
        <color indexed="10"/>
      </bottom>
      <diagonal/>
    </border>
    <border>
      <left style="thin">
        <color indexed="64"/>
      </left>
      <right style="thin">
        <color indexed="64"/>
      </right>
      <top style="medium">
        <color indexed="64"/>
      </top>
      <bottom style="thick">
        <color indexed="10"/>
      </bottom>
      <diagonal/>
    </border>
    <border>
      <left style="thin">
        <color indexed="64"/>
      </left>
      <right style="thick">
        <color indexed="10"/>
      </right>
      <top style="medium">
        <color indexed="64"/>
      </top>
      <bottom style="thick">
        <color indexed="10"/>
      </bottom>
      <diagonal/>
    </border>
    <border>
      <left/>
      <right/>
      <top style="medium">
        <color indexed="64"/>
      </top>
      <bottom style="thick">
        <color indexed="10"/>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double">
        <color indexed="64"/>
      </left>
      <right style="double">
        <color indexed="64"/>
      </right>
      <top style="double">
        <color indexed="64"/>
      </top>
      <bottom style="double">
        <color indexed="64"/>
      </bottom>
      <diagonal/>
    </border>
    <border>
      <left/>
      <right style="thin">
        <color indexed="64"/>
      </right>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double">
        <color indexed="64"/>
      </left>
      <right/>
      <top style="double">
        <color indexed="64"/>
      </top>
      <bottom style="double">
        <color indexed="64"/>
      </bottom>
      <diagonal/>
    </border>
    <border>
      <left style="thin">
        <color indexed="64"/>
      </left>
      <right style="double">
        <color indexed="64"/>
      </right>
      <top style="thin">
        <color indexed="64"/>
      </top>
      <bottom/>
      <diagonal/>
    </border>
    <border>
      <left style="double">
        <color indexed="64"/>
      </left>
      <right style="thin">
        <color indexed="64"/>
      </right>
      <top style="thin">
        <color indexed="64"/>
      </top>
      <bottom/>
      <diagonal/>
    </border>
    <border>
      <left style="thin">
        <color indexed="64"/>
      </left>
      <right style="double">
        <color indexed="64"/>
      </right>
      <top style="medium">
        <color indexed="64"/>
      </top>
      <bottom style="double">
        <color indexed="64"/>
      </bottom>
      <diagonal/>
    </border>
    <border>
      <left/>
      <right style="thin">
        <color indexed="64"/>
      </right>
      <top style="medium">
        <color indexed="64"/>
      </top>
      <bottom style="double">
        <color indexed="64"/>
      </bottom>
      <diagonal/>
    </border>
    <border>
      <left style="double">
        <color indexed="64"/>
      </left>
      <right style="thin">
        <color indexed="64"/>
      </right>
      <top style="medium">
        <color indexed="64"/>
      </top>
      <bottom style="double">
        <color indexed="64"/>
      </bottom>
      <diagonal/>
    </border>
    <border>
      <left style="double">
        <color indexed="64"/>
      </left>
      <right/>
      <top style="medium">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double">
        <color indexed="64"/>
      </bottom>
      <diagonal/>
    </border>
    <border>
      <left style="thin">
        <color indexed="64"/>
      </left>
      <right style="double">
        <color indexed="64"/>
      </right>
      <top/>
      <bottom/>
      <diagonal/>
    </border>
    <border>
      <left style="double">
        <color indexed="64"/>
      </left>
      <right style="thin">
        <color indexed="64"/>
      </right>
      <top/>
      <bottom/>
      <diagonal/>
    </border>
    <border>
      <left style="medium">
        <color indexed="64"/>
      </left>
      <right style="thin">
        <color indexed="64"/>
      </right>
      <top style="medium">
        <color indexed="64"/>
      </top>
      <bottom/>
      <diagonal/>
    </border>
    <border>
      <left style="hair">
        <color indexed="64"/>
      </left>
      <right style="hair">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diagonal/>
    </border>
    <border>
      <left style="hair">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top style="thin">
        <color indexed="8"/>
      </top>
      <bottom/>
      <diagonal/>
    </border>
    <border>
      <left/>
      <right/>
      <top style="thin">
        <color indexed="22"/>
      </top>
      <bottom/>
      <diagonal/>
    </border>
    <border>
      <left style="thick">
        <color indexed="10"/>
      </left>
      <right/>
      <top/>
      <bottom/>
      <diagonal/>
    </border>
    <border>
      <left/>
      <right style="thick">
        <color indexed="10"/>
      </right>
      <top/>
      <bottom/>
      <diagonal/>
    </border>
    <border>
      <left style="thick">
        <color indexed="10"/>
      </left>
      <right/>
      <top/>
      <bottom style="thick">
        <color indexed="10"/>
      </bottom>
      <diagonal/>
    </border>
    <border>
      <left/>
      <right/>
      <top/>
      <bottom style="thick">
        <color indexed="10"/>
      </bottom>
      <diagonal/>
    </border>
    <border>
      <left/>
      <right style="thick">
        <color indexed="10"/>
      </right>
      <top/>
      <bottom style="thick">
        <color indexed="10"/>
      </bottom>
      <diagonal/>
    </border>
    <border>
      <left style="thick">
        <color indexed="53"/>
      </left>
      <right/>
      <top/>
      <bottom/>
      <diagonal/>
    </border>
    <border>
      <left/>
      <right style="thick">
        <color indexed="53"/>
      </right>
      <top/>
      <bottom/>
      <diagonal/>
    </border>
    <border>
      <left style="thick">
        <color indexed="53"/>
      </left>
      <right/>
      <top/>
      <bottom style="thick">
        <color indexed="10"/>
      </bottom>
      <diagonal/>
    </border>
    <border>
      <left/>
      <right style="thick">
        <color indexed="53"/>
      </right>
      <top/>
      <bottom style="thick">
        <color indexed="10"/>
      </bottom>
      <diagonal/>
    </border>
    <border>
      <left/>
      <right/>
      <top style="thin">
        <color indexed="64"/>
      </top>
      <bottom style="hair">
        <color indexed="64"/>
      </bottom>
      <diagonal/>
    </border>
    <border>
      <left/>
      <right/>
      <top style="hair">
        <color indexed="64"/>
      </top>
      <bottom style="thin">
        <color indexed="64"/>
      </bottom>
      <diagonal/>
    </border>
    <border>
      <left/>
      <right style="thin">
        <color indexed="64"/>
      </right>
      <top style="thick">
        <color indexed="10"/>
      </top>
      <bottom style="double">
        <color indexed="64"/>
      </bottom>
      <diagonal/>
    </border>
    <border>
      <left/>
      <right style="thin">
        <color indexed="64"/>
      </right>
      <top style="thin">
        <color indexed="64"/>
      </top>
      <bottom style="thick">
        <color indexed="10"/>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style="medium">
        <color indexed="64"/>
      </bottom>
      <diagonal/>
    </border>
    <border>
      <left style="thick">
        <color indexed="53"/>
      </left>
      <right/>
      <top style="thick">
        <color indexed="53"/>
      </top>
      <bottom/>
      <diagonal/>
    </border>
    <border>
      <left/>
      <right/>
      <top style="thick">
        <color indexed="53"/>
      </top>
      <bottom/>
      <diagonal/>
    </border>
    <border>
      <left/>
      <right style="thick">
        <color indexed="53"/>
      </right>
      <top style="thick">
        <color indexed="53"/>
      </top>
      <bottom/>
      <diagonal/>
    </border>
    <border>
      <left style="thick">
        <color indexed="10"/>
      </left>
      <right/>
      <top style="thick">
        <color indexed="10"/>
      </top>
      <bottom style="thick">
        <color indexed="10"/>
      </bottom>
      <diagonal/>
    </border>
    <border>
      <left/>
      <right/>
      <top style="thick">
        <color indexed="10"/>
      </top>
      <bottom style="thick">
        <color indexed="10"/>
      </bottom>
      <diagonal/>
    </border>
    <border>
      <left/>
      <right style="thick">
        <color indexed="10"/>
      </right>
      <top style="thick">
        <color indexed="10"/>
      </top>
      <bottom style="thick">
        <color indexed="10"/>
      </bottom>
      <diagonal/>
    </border>
    <border>
      <left style="thick">
        <color indexed="10"/>
      </left>
      <right/>
      <top style="thick">
        <color indexed="10"/>
      </top>
      <bottom/>
      <diagonal/>
    </border>
    <border>
      <left/>
      <right style="thin">
        <color indexed="64"/>
      </right>
      <top style="thick">
        <color indexed="10"/>
      </top>
      <bottom/>
      <diagonal/>
    </border>
    <border>
      <left/>
      <right style="thin">
        <color indexed="64"/>
      </right>
      <top/>
      <bottom style="thick">
        <color indexed="10"/>
      </bottom>
      <diagonal/>
    </border>
    <border>
      <left style="medium">
        <color indexed="64"/>
      </left>
      <right style="thin">
        <color indexed="64"/>
      </right>
      <top/>
      <bottom style="medium">
        <color indexed="64"/>
      </bottom>
      <diagonal/>
    </border>
    <border>
      <left style="thick">
        <color indexed="10"/>
      </left>
      <right/>
      <top style="thin">
        <color indexed="64"/>
      </top>
      <bottom style="medium">
        <color indexed="64"/>
      </bottom>
      <diagonal/>
    </border>
    <border>
      <left style="thick">
        <color indexed="10"/>
      </left>
      <right/>
      <top style="thin">
        <color indexed="64"/>
      </top>
      <bottom style="thin">
        <color indexed="64"/>
      </bottom>
      <diagonal/>
    </border>
    <border>
      <left/>
      <right style="thin">
        <color indexed="64"/>
      </right>
      <top style="medium">
        <color indexed="64"/>
      </top>
      <bottom/>
      <diagonal/>
    </border>
    <border>
      <left style="medium">
        <color indexed="64"/>
      </left>
      <right/>
      <top/>
      <bottom style="double">
        <color indexed="64"/>
      </bottom>
      <diagonal/>
    </border>
    <border>
      <left style="medium">
        <color indexed="64"/>
      </left>
      <right/>
      <top style="double">
        <color indexed="64"/>
      </top>
      <bottom style="thin">
        <color indexed="64"/>
      </bottom>
      <diagonal/>
    </border>
    <border>
      <left style="thick">
        <color indexed="10"/>
      </left>
      <right/>
      <top/>
      <bottom style="double">
        <color indexed="64"/>
      </bottom>
      <diagonal/>
    </border>
    <border>
      <left style="thick">
        <color indexed="10"/>
      </left>
      <right/>
      <top style="double">
        <color indexed="64"/>
      </top>
      <bottom style="thin">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right style="thick">
        <color indexed="64"/>
      </right>
      <top style="medium">
        <color indexed="64"/>
      </top>
      <bottom style="medium">
        <color indexed="64"/>
      </bottom>
      <diagonal/>
    </border>
    <border>
      <left style="thin">
        <color indexed="64"/>
      </left>
      <right style="thick">
        <color indexed="64"/>
      </right>
      <top style="medium">
        <color indexed="64"/>
      </top>
      <bottom/>
      <diagonal/>
    </border>
    <border>
      <left style="thin">
        <color indexed="64"/>
      </left>
      <right/>
      <top/>
      <bottom style="medium">
        <color indexed="64"/>
      </bottom>
      <diagonal/>
    </border>
    <border>
      <left style="medium">
        <color indexed="64"/>
      </left>
      <right/>
      <top style="thin">
        <color indexed="64"/>
      </top>
      <bottom style="double">
        <color indexed="64"/>
      </bottom>
      <diagonal/>
    </border>
    <border>
      <left style="medium">
        <color indexed="64"/>
      </left>
      <right style="medium">
        <color indexed="64"/>
      </right>
      <top/>
      <bottom style="double">
        <color indexed="64"/>
      </bottom>
      <diagonal/>
    </border>
    <border>
      <left style="thin">
        <color indexed="64"/>
      </left>
      <right/>
      <top/>
      <bottom style="double">
        <color indexed="64"/>
      </bottom>
      <diagonal/>
    </border>
    <border>
      <left/>
      <right style="medium">
        <color indexed="64"/>
      </right>
      <top/>
      <bottom style="double">
        <color indexed="64"/>
      </bottom>
      <diagonal/>
    </border>
    <border>
      <left style="medium">
        <color indexed="64"/>
      </left>
      <right style="thin">
        <color indexed="64"/>
      </right>
      <top/>
      <bottom style="double">
        <color indexed="64"/>
      </bottom>
      <diagonal/>
    </border>
    <border>
      <left style="medium">
        <color indexed="64"/>
      </left>
      <right/>
      <top/>
      <bottom style="thin">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medium">
        <color indexed="64"/>
      </left>
      <right style="thin">
        <color indexed="64"/>
      </right>
      <top style="double">
        <color indexed="64"/>
      </top>
      <bottom style="medium">
        <color indexed="64"/>
      </bottom>
      <diagonal/>
    </border>
    <border>
      <left style="medium">
        <color indexed="64"/>
      </left>
      <right/>
      <top style="thin">
        <color indexed="64"/>
      </top>
      <bottom/>
      <diagonal/>
    </border>
    <border>
      <left style="medium">
        <color indexed="64"/>
      </left>
      <right/>
      <top style="double">
        <color indexed="64"/>
      </top>
      <bottom/>
      <diagonal/>
    </border>
    <border>
      <left/>
      <right style="thin">
        <color indexed="64"/>
      </right>
      <top style="double">
        <color indexed="64"/>
      </top>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style="double">
        <color indexed="64"/>
      </top>
      <bottom style="thin">
        <color indexed="64"/>
      </bottom>
      <diagonal/>
    </border>
    <border>
      <left/>
      <right style="double">
        <color indexed="64"/>
      </right>
      <top style="double">
        <color indexed="64"/>
      </top>
      <bottom style="thin">
        <color indexed="64"/>
      </bottom>
      <diagonal/>
    </border>
    <border>
      <left style="double">
        <color indexed="64"/>
      </left>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thin">
        <color indexed="64"/>
      </bottom>
      <diagonal/>
    </border>
    <border>
      <left style="medium">
        <color indexed="64"/>
      </left>
      <right style="thin">
        <color indexed="64"/>
      </right>
      <top style="double">
        <color indexed="64"/>
      </top>
      <bottom style="double">
        <color indexed="64"/>
      </bottom>
      <diagonal/>
    </border>
    <border>
      <left style="medium">
        <color indexed="64"/>
      </left>
      <right style="medium">
        <color indexed="64"/>
      </right>
      <top style="double">
        <color indexed="64"/>
      </top>
      <bottom style="double">
        <color indexed="64"/>
      </bottom>
      <diagonal/>
    </border>
    <border>
      <left style="medium">
        <color indexed="64"/>
      </left>
      <right style="medium">
        <color indexed="64"/>
      </right>
      <top style="double">
        <color indexed="64"/>
      </top>
      <bottom style="medium">
        <color indexed="64"/>
      </bottom>
      <diagonal/>
    </border>
    <border>
      <left style="thin">
        <color indexed="64"/>
      </left>
      <right/>
      <top style="medium">
        <color indexed="64"/>
      </top>
      <bottom/>
      <diagonal/>
    </border>
    <border>
      <left style="thick">
        <color indexed="64"/>
      </left>
      <right style="thin">
        <color indexed="64"/>
      </right>
      <top style="thin">
        <color indexed="64"/>
      </top>
      <bottom style="medium">
        <color indexed="64"/>
      </bottom>
      <diagonal/>
    </border>
  </borders>
  <cellStyleXfs count="1347">
    <xf numFmtId="0" fontId="0" fillId="0" borderId="0"/>
    <xf numFmtId="43" fontId="1" fillId="0" borderId="0" applyFont="0" applyFill="0" applyBorder="0" applyAlignment="0" applyProtection="0"/>
    <xf numFmtId="41" fontId="1" fillId="0" borderId="0" applyFont="0" applyFill="0" applyBorder="0" applyAlignment="0" applyProtection="0"/>
    <xf numFmtId="41" fontId="13"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78"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80"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51"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87" fillId="0" borderId="0" applyFont="0" applyFill="0" applyBorder="0" applyAlignment="0" applyProtection="0"/>
    <xf numFmtId="41" fontId="115"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51"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52"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52"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52"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52"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87" fillId="0" borderId="0" applyFont="0" applyFill="0" applyBorder="0" applyAlignment="0" applyProtection="0"/>
    <xf numFmtId="43" fontId="152" fillId="0" borderId="0" applyFont="0" applyFill="0" applyBorder="0" applyAlignment="0" applyProtection="0"/>
    <xf numFmtId="43" fontId="1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80" fillId="0" borderId="0" applyFont="0" applyFill="0" applyBorder="0" applyAlignment="0" applyProtection="0"/>
    <xf numFmtId="170" fontId="80" fillId="0" borderId="0" applyFont="0" applyFill="0" applyBorder="0" applyAlignment="0" applyProtection="0"/>
    <xf numFmtId="0" fontId="17" fillId="0" borderId="0" applyFill="0" applyBorder="0" applyAlignment="0" applyProtection="0">
      <alignment vertical="top"/>
      <protection locked="0"/>
    </xf>
    <xf numFmtId="0" fontId="19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12" fillId="0" borderId="0"/>
    <xf numFmtId="0" fontId="112" fillId="0" borderId="0"/>
    <xf numFmtId="0" fontId="138" fillId="0" borderId="0"/>
    <xf numFmtId="0" fontId="112" fillId="0" borderId="0"/>
    <xf numFmtId="0" fontId="18" fillId="0" borderId="0"/>
    <xf numFmtId="0" fontId="1" fillId="0" borderId="0"/>
    <xf numFmtId="0" fontId="18" fillId="0" borderId="0"/>
    <xf numFmtId="0" fontId="1" fillId="0" borderId="0"/>
    <xf numFmtId="0" fontId="3" fillId="0" borderId="0"/>
    <xf numFmtId="0" fontId="112" fillId="0" borderId="0"/>
    <xf numFmtId="0" fontId="113" fillId="0" borderId="0"/>
    <xf numFmtId="0" fontId="112" fillId="0" borderId="0"/>
    <xf numFmtId="0" fontId="113" fillId="0" borderId="0"/>
    <xf numFmtId="0" fontId="112" fillId="0" borderId="0"/>
    <xf numFmtId="9" fontId="115" fillId="0" borderId="0" applyFont="0" applyFill="0" applyBorder="0" applyAlignment="0" applyProtection="0"/>
    <xf numFmtId="9" fontId="13"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0"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cellStyleXfs>
  <cellXfs count="3772">
    <xf numFmtId="0" fontId="0" fillId="0" borderId="0" xfId="0"/>
    <xf numFmtId="0" fontId="3" fillId="0" borderId="0" xfId="0" applyFont="1" applyFill="1" applyAlignment="1">
      <alignment vertical="center"/>
    </xf>
    <xf numFmtId="0" fontId="4" fillId="0" borderId="0" xfId="0" applyFont="1" applyFill="1" applyAlignment="1">
      <alignment horizontal="center" vertical="center"/>
    </xf>
    <xf numFmtId="41" fontId="4" fillId="0" borderId="0" xfId="0" applyNumberFormat="1" applyFont="1" applyFill="1" applyAlignment="1">
      <alignment horizontal="center" vertical="center"/>
    </xf>
    <xf numFmtId="0" fontId="4" fillId="0" borderId="0" xfId="0" applyFont="1" applyFill="1" applyAlignment="1">
      <alignment horizontal="left" vertical="center"/>
    </xf>
    <xf numFmtId="41" fontId="4" fillId="0" borderId="0" xfId="0" applyNumberFormat="1" applyFont="1" applyFill="1" applyAlignment="1">
      <alignment vertical="center"/>
    </xf>
    <xf numFmtId="41" fontId="4" fillId="0" borderId="0" xfId="0" applyNumberFormat="1" applyFont="1" applyFill="1" applyAlignment="1">
      <alignment horizontal="left" vertical="center"/>
    </xf>
    <xf numFmtId="41" fontId="3" fillId="0" borderId="0" xfId="0" applyNumberFormat="1" applyFont="1" applyFill="1" applyAlignment="1">
      <alignment vertical="center"/>
    </xf>
    <xf numFmtId="164" fontId="4" fillId="0" borderId="0" xfId="0" applyNumberFormat="1" applyFont="1" applyFill="1" applyAlignment="1">
      <alignment vertical="center"/>
    </xf>
    <xf numFmtId="41" fontId="3" fillId="0" borderId="2" xfId="0" applyNumberFormat="1" applyFont="1" applyFill="1" applyBorder="1" applyAlignment="1">
      <alignment vertical="center"/>
    </xf>
    <xf numFmtId="164" fontId="3" fillId="0" borderId="0" xfId="0" applyNumberFormat="1" applyFont="1" applyFill="1" applyAlignment="1">
      <alignment vertical="center"/>
    </xf>
    <xf numFmtId="0" fontId="3" fillId="0" borderId="0" xfId="0" applyFont="1" applyFill="1" applyAlignment="1">
      <alignment horizontal="center" vertical="center"/>
    </xf>
    <xf numFmtId="0" fontId="8" fillId="0" borderId="0" xfId="0" applyFont="1" applyFill="1" applyAlignment="1">
      <alignment horizontal="center" vertical="center"/>
    </xf>
    <xf numFmtId="41" fontId="8" fillId="0" borderId="0" xfId="0" applyNumberFormat="1" applyFont="1" applyFill="1" applyAlignment="1">
      <alignment horizontal="center" vertical="center"/>
    </xf>
    <xf numFmtId="41" fontId="3" fillId="0" borderId="0" xfId="0" applyNumberFormat="1" applyFont="1" applyFill="1" applyAlignment="1">
      <alignment horizontal="center" vertical="center"/>
    </xf>
    <xf numFmtId="0" fontId="6" fillId="0" borderId="0" xfId="0" applyFont="1" applyFill="1" applyAlignment="1">
      <alignment vertical="center"/>
    </xf>
    <xf numFmtId="164" fontId="5" fillId="0" borderId="0" xfId="0" applyNumberFormat="1" applyFont="1" applyFill="1" applyAlignment="1">
      <alignment horizontal="center" vertical="center"/>
    </xf>
    <xf numFmtId="0" fontId="5" fillId="0" borderId="0" xfId="0" applyFont="1" applyFill="1" applyAlignment="1">
      <alignment horizontal="center" vertical="center"/>
    </xf>
    <xf numFmtId="41" fontId="4" fillId="0" borderId="0" xfId="0" applyNumberFormat="1" applyFont="1" applyFill="1" applyAlignment="1">
      <alignment horizontal="right" vertical="center"/>
    </xf>
    <xf numFmtId="164" fontId="6" fillId="0" borderId="0" xfId="0" applyNumberFormat="1" applyFont="1" applyFill="1" applyAlignment="1">
      <alignment vertical="center"/>
    </xf>
    <xf numFmtId="41" fontId="6" fillId="0" borderId="0" xfId="0" applyNumberFormat="1" applyFont="1" applyFill="1" applyAlignment="1">
      <alignment vertical="center"/>
    </xf>
    <xf numFmtId="0" fontId="3" fillId="0" borderId="0" xfId="0" applyFont="1" applyFill="1" applyAlignment="1">
      <alignment horizontal="right" vertical="center"/>
    </xf>
    <xf numFmtId="0" fontId="0" fillId="0" borderId="0" xfId="0" applyFill="1" applyAlignment="1">
      <alignment vertical="center"/>
    </xf>
    <xf numFmtId="0" fontId="4" fillId="0" borderId="0" xfId="0" applyFont="1" applyFill="1" applyAlignment="1">
      <alignment vertical="center"/>
    </xf>
    <xf numFmtId="0" fontId="16" fillId="0" borderId="0" xfId="0" applyFont="1" applyFill="1" applyAlignment="1">
      <alignment vertical="center"/>
    </xf>
    <xf numFmtId="0" fontId="4" fillId="0" borderId="0" xfId="0" applyFont="1" applyFill="1" applyAlignment="1">
      <alignment horizontal="right" vertical="center"/>
    </xf>
    <xf numFmtId="0" fontId="15" fillId="0" borderId="0" xfId="1172" applyFont="1" applyAlignment="1">
      <alignment vertical="center"/>
    </xf>
    <xf numFmtId="0" fontId="18" fillId="0" borderId="0" xfId="1172" applyAlignment="1">
      <alignment vertical="center"/>
    </xf>
    <xf numFmtId="0" fontId="14" fillId="0" borderId="0" xfId="1172" applyFont="1" applyAlignment="1">
      <alignment vertical="center"/>
    </xf>
    <xf numFmtId="41" fontId="14" fillId="0" borderId="0" xfId="1172" applyNumberFormat="1" applyFont="1" applyAlignment="1">
      <alignment vertical="center"/>
    </xf>
    <xf numFmtId="41" fontId="4" fillId="0" borderId="0" xfId="1172" applyNumberFormat="1" applyFont="1" applyFill="1" applyAlignment="1">
      <alignment vertical="center"/>
    </xf>
    <xf numFmtId="0" fontId="11" fillId="0" borderId="0" xfId="1172" applyFont="1" applyAlignment="1">
      <alignment vertical="center"/>
    </xf>
    <xf numFmtId="41" fontId="11" fillId="0" borderId="0" xfId="1172" applyNumberFormat="1" applyFont="1" applyAlignment="1">
      <alignment vertical="center"/>
    </xf>
    <xf numFmtId="0" fontId="11" fillId="0" borderId="3" xfId="1172" applyFont="1" applyBorder="1" applyAlignment="1">
      <alignment vertical="center"/>
    </xf>
    <xf numFmtId="41" fontId="18" fillId="0" borderId="0" xfId="1172" applyNumberFormat="1" applyAlignment="1">
      <alignment vertical="center"/>
    </xf>
    <xf numFmtId="41" fontId="15" fillId="0" borderId="0" xfId="1172" applyNumberFormat="1" applyFont="1" applyAlignment="1">
      <alignment vertical="center"/>
    </xf>
    <xf numFmtId="0" fontId="18" fillId="0" borderId="0" xfId="1174" applyAlignment="1">
      <alignment vertical="center"/>
    </xf>
    <xf numFmtId="0" fontId="21" fillId="0" borderId="0" xfId="1174" applyFont="1" applyAlignment="1">
      <alignment vertical="center"/>
    </xf>
    <xf numFmtId="0" fontId="11" fillId="0" borderId="0" xfId="1174" applyFont="1" applyAlignment="1">
      <alignment vertical="center"/>
    </xf>
    <xf numFmtId="41" fontId="28" fillId="0" borderId="0" xfId="1174" applyNumberFormat="1" applyFont="1" applyAlignment="1">
      <alignment horizontal="center" vertical="center"/>
    </xf>
    <xf numFmtId="0" fontId="13" fillId="0" borderId="0" xfId="0" applyFont="1" applyFill="1" applyAlignment="1">
      <alignment vertical="center"/>
    </xf>
    <xf numFmtId="0" fontId="11" fillId="0" borderId="0" xfId="0" applyFont="1" applyFill="1" applyAlignment="1" applyProtection="1">
      <alignment horizontal="centerContinuous" vertical="center"/>
      <protection locked="0"/>
    </xf>
    <xf numFmtId="0" fontId="13" fillId="0" borderId="0" xfId="0" applyFont="1" applyFill="1" applyAlignment="1" applyProtection="1">
      <alignment horizontal="centerContinuous" vertical="center"/>
      <protection locked="0"/>
    </xf>
    <xf numFmtId="0" fontId="11" fillId="0" borderId="4" xfId="0" applyFont="1" applyFill="1" applyBorder="1" applyAlignment="1" applyProtection="1">
      <alignment vertical="center"/>
    </xf>
    <xf numFmtId="0" fontId="33" fillId="0" borderId="5" xfId="0" applyFont="1" applyFill="1" applyBorder="1" applyAlignment="1" applyProtection="1">
      <alignment vertical="center"/>
      <protection locked="0"/>
    </xf>
    <xf numFmtId="0" fontId="11" fillId="0" borderId="2" xfId="0" applyFont="1" applyFill="1" applyBorder="1" applyAlignment="1" applyProtection="1">
      <alignment vertical="center"/>
    </xf>
    <xf numFmtId="0" fontId="33" fillId="0" borderId="6" xfId="0" applyFont="1" applyFill="1" applyBorder="1" applyAlignment="1" applyProtection="1">
      <alignment vertical="center"/>
      <protection locked="0"/>
    </xf>
    <xf numFmtId="0" fontId="11" fillId="0" borderId="7" xfId="0" applyFont="1" applyFill="1" applyBorder="1" applyAlignment="1" applyProtection="1">
      <alignment vertical="center"/>
    </xf>
    <xf numFmtId="0" fontId="33" fillId="0" borderId="8" xfId="0" applyFont="1" applyFill="1" applyBorder="1" applyAlignment="1" applyProtection="1">
      <alignment vertical="center"/>
      <protection locked="0"/>
    </xf>
    <xf numFmtId="0" fontId="33" fillId="0" borderId="0" xfId="0" applyFont="1" applyFill="1" applyBorder="1" applyAlignment="1" applyProtection="1">
      <alignment vertical="center"/>
      <protection locked="0"/>
    </xf>
    <xf numFmtId="0" fontId="11" fillId="0" borderId="0" xfId="0" applyFont="1" applyAlignment="1" applyProtection="1">
      <alignment vertical="center"/>
      <protection locked="0"/>
    </xf>
    <xf numFmtId="0" fontId="11" fillId="0" borderId="0" xfId="0" applyFont="1" applyFill="1" applyAlignment="1" applyProtection="1">
      <alignment vertical="center"/>
      <protection locked="0"/>
    </xf>
    <xf numFmtId="0" fontId="13" fillId="0" borderId="0" xfId="0" applyFont="1" applyAlignment="1" applyProtection="1">
      <alignment vertical="center"/>
      <protection locked="0"/>
    </xf>
    <xf numFmtId="0" fontId="13" fillId="0" borderId="0" xfId="0" applyFont="1" applyFill="1" applyAlignment="1" applyProtection="1">
      <alignment vertical="center"/>
      <protection locked="0"/>
    </xf>
    <xf numFmtId="0" fontId="11" fillId="0" borderId="0" xfId="0" applyFont="1" applyBorder="1" applyAlignment="1" applyProtection="1">
      <alignment horizontal="center" vertical="center" wrapText="1"/>
      <protection locked="0"/>
    </xf>
    <xf numFmtId="0" fontId="11" fillId="0" borderId="0" xfId="0" applyFont="1" applyFill="1" applyBorder="1" applyAlignment="1" applyProtection="1">
      <alignment vertical="center"/>
      <protection locked="0"/>
    </xf>
    <xf numFmtId="0" fontId="11" fillId="0" borderId="8" xfId="0" applyNumberFormat="1" applyFont="1" applyFill="1" applyBorder="1" applyAlignment="1" applyProtection="1">
      <alignment horizontal="left" vertical="center"/>
    </xf>
    <xf numFmtId="0" fontId="13" fillId="0" borderId="0" xfId="0" applyFont="1" applyFill="1" applyBorder="1" applyAlignment="1" applyProtection="1">
      <alignment vertical="center"/>
      <protection locked="0"/>
    </xf>
    <xf numFmtId="0" fontId="11" fillId="0" borderId="9" xfId="0" applyFont="1" applyBorder="1" applyAlignment="1" applyProtection="1">
      <alignment horizontal="center" vertical="center"/>
    </xf>
    <xf numFmtId="0" fontId="11" fillId="0" borderId="10" xfId="0" applyFont="1" applyFill="1" applyBorder="1" applyAlignment="1" applyProtection="1">
      <alignment horizontal="center" vertical="center"/>
    </xf>
    <xf numFmtId="0" fontId="11" fillId="0" borderId="11" xfId="0" applyNumberFormat="1" applyFont="1" applyFill="1" applyBorder="1" applyAlignment="1" applyProtection="1">
      <alignment horizontal="center" vertical="center"/>
    </xf>
    <xf numFmtId="0" fontId="11" fillId="0" borderId="12" xfId="0" applyFont="1" applyBorder="1" applyAlignment="1" applyProtection="1">
      <alignment horizontal="center" vertical="center"/>
    </xf>
    <xf numFmtId="3" fontId="33" fillId="0" borderId="13" xfId="0" applyNumberFormat="1" applyFont="1" applyFill="1" applyBorder="1" applyAlignment="1" applyProtection="1">
      <alignment horizontal="center" vertical="center"/>
      <protection locked="0"/>
    </xf>
    <xf numFmtId="0" fontId="11" fillId="0" borderId="14" xfId="0" applyFont="1" applyBorder="1" applyAlignment="1" applyProtection="1">
      <alignment horizontal="center" vertical="center"/>
    </xf>
    <xf numFmtId="0" fontId="33" fillId="0" borderId="2" xfId="0" applyFont="1" applyFill="1" applyBorder="1" applyAlignment="1" applyProtection="1">
      <alignment horizontal="center" vertical="center"/>
      <protection locked="0"/>
    </xf>
    <xf numFmtId="0" fontId="33" fillId="0" borderId="6" xfId="0" applyNumberFormat="1" applyFont="1" applyFill="1" applyBorder="1" applyAlignment="1" applyProtection="1">
      <alignment horizontal="center" vertical="center"/>
      <protection locked="0"/>
    </xf>
    <xf numFmtId="0" fontId="11" fillId="0" borderId="15" xfId="0" applyFont="1" applyBorder="1" applyAlignment="1" applyProtection="1">
      <alignment horizontal="center" vertical="center"/>
    </xf>
    <xf numFmtId="0" fontId="33" fillId="0" borderId="7" xfId="0" applyFont="1" applyFill="1" applyBorder="1" applyAlignment="1" applyProtection="1">
      <alignment horizontal="center" vertical="center"/>
      <protection locked="0"/>
    </xf>
    <xf numFmtId="0" fontId="33" fillId="0" borderId="8" xfId="0" applyNumberFormat="1" applyFont="1" applyFill="1" applyBorder="1" applyAlignment="1" applyProtection="1">
      <alignment horizontal="center" vertical="center"/>
      <protection locked="0"/>
    </xf>
    <xf numFmtId="0" fontId="27" fillId="0" borderId="0" xfId="0" applyNumberFormat="1" applyFont="1" applyFill="1" applyBorder="1" applyAlignment="1" applyProtection="1">
      <alignment horizontal="left" vertical="center"/>
      <protection locked="0"/>
    </xf>
    <xf numFmtId="165" fontId="3" fillId="0" borderId="0" xfId="1" applyNumberFormat="1" applyFont="1" applyFill="1" applyAlignment="1">
      <alignment horizontal="left" vertical="center"/>
    </xf>
    <xf numFmtId="0" fontId="3" fillId="0" borderId="2" xfId="0" applyFont="1" applyFill="1" applyBorder="1" applyAlignment="1">
      <alignment vertical="center"/>
    </xf>
    <xf numFmtId="0" fontId="6" fillId="0" borderId="0" xfId="0" applyFont="1" applyFill="1" applyAlignment="1">
      <alignment vertical="center" wrapText="1"/>
    </xf>
    <xf numFmtId="41" fontId="6" fillId="0" borderId="0" xfId="0" applyNumberFormat="1" applyFont="1" applyFill="1" applyAlignment="1">
      <alignment vertical="center" wrapText="1"/>
    </xf>
    <xf numFmtId="0" fontId="12" fillId="0" borderId="0" xfId="0" applyFont="1" applyFill="1" applyAlignment="1">
      <alignment vertical="center"/>
    </xf>
    <xf numFmtId="164" fontId="13" fillId="0" borderId="0" xfId="0" applyNumberFormat="1" applyFont="1" applyFill="1" applyAlignment="1">
      <alignment vertical="center"/>
    </xf>
    <xf numFmtId="0" fontId="11" fillId="0" borderId="0" xfId="0" applyFont="1" applyBorder="1" applyAlignment="1" applyProtection="1">
      <alignment horizontal="center" vertical="center"/>
    </xf>
    <xf numFmtId="0" fontId="11" fillId="0" borderId="16" xfId="0" applyFont="1" applyBorder="1" applyAlignment="1" applyProtection="1">
      <alignment horizontal="center" vertical="center"/>
    </xf>
    <xf numFmtId="0" fontId="33" fillId="0" borderId="17" xfId="0" applyFont="1" applyFill="1" applyBorder="1" applyAlignment="1" applyProtection="1">
      <alignment horizontal="center" vertical="center"/>
      <protection locked="0"/>
    </xf>
    <xf numFmtId="0" fontId="33" fillId="0" borderId="18" xfId="0" applyNumberFormat="1" applyFont="1" applyFill="1" applyBorder="1" applyAlignment="1" applyProtection="1">
      <alignment horizontal="center" vertical="center"/>
      <protection locked="0"/>
    </xf>
    <xf numFmtId="41" fontId="3" fillId="0" borderId="19" xfId="0" applyNumberFormat="1" applyFont="1" applyFill="1" applyBorder="1" applyAlignment="1">
      <alignment vertical="center"/>
    </xf>
    <xf numFmtId="41" fontId="3" fillId="0" borderId="20" xfId="0" applyNumberFormat="1" applyFont="1" applyFill="1" applyBorder="1" applyAlignment="1">
      <alignment vertical="center"/>
    </xf>
    <xf numFmtId="0" fontId="4" fillId="0" borderId="21" xfId="0" applyFont="1" applyFill="1" applyBorder="1" applyAlignment="1">
      <alignment horizontal="center" vertical="center"/>
    </xf>
    <xf numFmtId="0" fontId="4" fillId="0" borderId="22" xfId="0" applyFont="1" applyFill="1" applyBorder="1" applyAlignment="1">
      <alignment horizontal="center" vertical="center"/>
    </xf>
    <xf numFmtId="164" fontId="4" fillId="0" borderId="23" xfId="0" applyNumberFormat="1" applyFont="1" applyFill="1" applyBorder="1" applyAlignment="1">
      <alignment horizontal="center" vertical="center"/>
    </xf>
    <xf numFmtId="41" fontId="3" fillId="0" borderId="0" xfId="0" applyNumberFormat="1" applyFont="1" applyFill="1" applyBorder="1" applyAlignment="1">
      <alignment horizontal="center" vertical="center"/>
    </xf>
    <xf numFmtId="14" fontId="3" fillId="0" borderId="20" xfId="0" applyNumberFormat="1" applyFont="1" applyFill="1" applyBorder="1" applyAlignment="1">
      <alignment vertical="center"/>
    </xf>
    <xf numFmtId="41" fontId="3" fillId="0" borderId="24" xfId="0" applyNumberFormat="1" applyFont="1" applyFill="1" applyBorder="1" applyAlignment="1">
      <alignment vertical="center"/>
    </xf>
    <xf numFmtId="164" fontId="4" fillId="0" borderId="25" xfId="0" applyNumberFormat="1" applyFont="1" applyFill="1" applyBorder="1" applyAlignment="1">
      <alignment horizontal="center" vertical="center"/>
    </xf>
    <xf numFmtId="0" fontId="4" fillId="0" borderId="26" xfId="0" applyFont="1" applyFill="1" applyBorder="1" applyAlignment="1">
      <alignment horizontal="center" vertical="center"/>
    </xf>
    <xf numFmtId="164" fontId="4" fillId="0" borderId="27" xfId="0" applyNumberFormat="1" applyFont="1" applyFill="1" applyBorder="1" applyAlignment="1">
      <alignment horizontal="center" vertical="center"/>
    </xf>
    <xf numFmtId="0" fontId="4" fillId="0" borderId="28" xfId="0" applyFont="1" applyFill="1" applyBorder="1" applyAlignment="1">
      <alignment horizontal="center" vertical="center"/>
    </xf>
    <xf numFmtId="41" fontId="4" fillId="0" borderId="28" xfId="0" applyNumberFormat="1" applyFont="1" applyFill="1" applyBorder="1" applyAlignment="1">
      <alignment horizontal="center" vertical="center"/>
    </xf>
    <xf numFmtId="41" fontId="4" fillId="0" borderId="26" xfId="0" applyNumberFormat="1" applyFont="1" applyFill="1" applyBorder="1" applyAlignment="1">
      <alignment horizontal="center" vertical="center"/>
    </xf>
    <xf numFmtId="41" fontId="4" fillId="0" borderId="29" xfId="0" applyNumberFormat="1" applyFont="1" applyFill="1" applyBorder="1" applyAlignment="1">
      <alignment horizontal="center" vertical="center"/>
    </xf>
    <xf numFmtId="0" fontId="4" fillId="0" borderId="30" xfId="0" applyFont="1" applyFill="1" applyBorder="1" applyAlignment="1">
      <alignment horizontal="center" vertical="center"/>
    </xf>
    <xf numFmtId="41" fontId="4" fillId="0" borderId="30" xfId="0" applyNumberFormat="1" applyFont="1" applyFill="1" applyBorder="1" applyAlignment="1">
      <alignment horizontal="center" vertical="center"/>
    </xf>
    <xf numFmtId="0" fontId="3" fillId="0" borderId="17" xfId="0" applyFont="1" applyFill="1" applyBorder="1" applyAlignment="1">
      <alignment vertical="center"/>
    </xf>
    <xf numFmtId="41" fontId="3" fillId="0" borderId="17" xfId="1" applyNumberFormat="1" applyFont="1" applyFill="1" applyBorder="1" applyAlignment="1">
      <alignment vertical="center"/>
    </xf>
    <xf numFmtId="41" fontId="3" fillId="0" borderId="31" xfId="1" applyNumberFormat="1" applyFont="1" applyFill="1" applyBorder="1" applyAlignment="1">
      <alignment vertical="center"/>
    </xf>
    <xf numFmtId="41" fontId="3" fillId="0" borderId="32" xfId="1" applyNumberFormat="1" applyFont="1" applyFill="1" applyBorder="1" applyAlignment="1">
      <alignment vertical="center"/>
    </xf>
    <xf numFmtId="41" fontId="3" fillId="0" borderId="33" xfId="1" applyNumberFormat="1" applyFont="1" applyFill="1" applyBorder="1" applyAlignment="1">
      <alignment vertical="center"/>
    </xf>
    <xf numFmtId="41" fontId="3" fillId="0" borderId="0" xfId="0" applyNumberFormat="1" applyFont="1" applyFill="1" applyAlignment="1"/>
    <xf numFmtId="164" fontId="3" fillId="0" borderId="0" xfId="0" applyNumberFormat="1" applyFont="1" applyFill="1" applyAlignment="1">
      <alignment vertical="center" wrapText="1"/>
    </xf>
    <xf numFmtId="0" fontId="3" fillId="0" borderId="0" xfId="0" applyFont="1" applyFill="1" applyAlignment="1">
      <alignment vertical="center" wrapText="1"/>
    </xf>
    <xf numFmtId="41" fontId="3" fillId="0" borderId="0" xfId="0" applyNumberFormat="1" applyFont="1" applyFill="1" applyAlignment="1">
      <alignment vertical="center" wrapText="1"/>
    </xf>
    <xf numFmtId="41" fontId="4" fillId="0" borderId="0" xfId="0" applyNumberFormat="1" applyFont="1" applyFill="1" applyAlignment="1">
      <alignment vertical="center" wrapText="1"/>
    </xf>
    <xf numFmtId="41" fontId="4" fillId="0" borderId="0" xfId="0" applyNumberFormat="1" applyFont="1" applyFill="1" applyAlignment="1">
      <alignment horizontal="right" vertical="center" wrapText="1"/>
    </xf>
    <xf numFmtId="41" fontId="4" fillId="0" borderId="0" xfId="0" applyNumberFormat="1" applyFont="1" applyFill="1" applyAlignment="1">
      <alignment horizontal="left" vertical="center" wrapText="1"/>
    </xf>
    <xf numFmtId="0" fontId="4" fillId="0" borderId="0" xfId="0" applyFont="1" applyFill="1" applyAlignment="1">
      <alignment vertical="center" wrapText="1"/>
    </xf>
    <xf numFmtId="15" fontId="3" fillId="0" borderId="17" xfId="0" applyNumberFormat="1" applyFont="1" applyFill="1" applyBorder="1" applyAlignment="1">
      <alignment vertical="center" wrapText="1"/>
    </xf>
    <xf numFmtId="41" fontId="3" fillId="0" borderId="17" xfId="0" applyNumberFormat="1" applyFont="1" applyFill="1" applyBorder="1" applyAlignment="1">
      <alignment vertical="center" wrapText="1"/>
    </xf>
    <xf numFmtId="41" fontId="3" fillId="0" borderId="17" xfId="1" applyNumberFormat="1" applyFont="1" applyFill="1" applyBorder="1" applyAlignment="1">
      <alignment vertical="center" wrapText="1"/>
    </xf>
    <xf numFmtId="41" fontId="3" fillId="0" borderId="31" xfId="1" applyNumberFormat="1" applyFont="1" applyFill="1" applyBorder="1" applyAlignment="1">
      <alignment vertical="center" wrapText="1"/>
    </xf>
    <xf numFmtId="41" fontId="3" fillId="0" borderId="32" xfId="1" applyNumberFormat="1" applyFont="1" applyFill="1" applyBorder="1" applyAlignment="1">
      <alignment vertical="center" wrapText="1"/>
    </xf>
    <xf numFmtId="41" fontId="3" fillId="0" borderId="33" xfId="0" applyNumberFormat="1" applyFont="1" applyFill="1" applyBorder="1" applyAlignment="1">
      <alignment vertical="center" wrapText="1"/>
    </xf>
    <xf numFmtId="41" fontId="3" fillId="0" borderId="0" xfId="0" applyNumberFormat="1" applyFont="1" applyFill="1" applyAlignment="1">
      <alignment wrapText="1"/>
    </xf>
    <xf numFmtId="0" fontId="3" fillId="0" borderId="0" xfId="0" applyFont="1" applyFill="1" applyAlignment="1">
      <alignment horizontal="center" vertical="center" wrapText="1"/>
    </xf>
    <xf numFmtId="41" fontId="3" fillId="0" borderId="0" xfId="0" applyNumberFormat="1" applyFont="1" applyFill="1" applyAlignment="1">
      <alignment horizontal="center" vertical="center" wrapText="1"/>
    </xf>
    <xf numFmtId="41" fontId="8" fillId="0" borderId="0" xfId="0" applyNumberFormat="1" applyFont="1" applyFill="1" applyAlignment="1">
      <alignment horizontal="center" vertical="center" wrapText="1"/>
    </xf>
    <xf numFmtId="0" fontId="36" fillId="0" borderId="0" xfId="0" applyFont="1" applyFill="1" applyAlignment="1">
      <alignment vertical="center"/>
    </xf>
    <xf numFmtId="0" fontId="12" fillId="0" borderId="0" xfId="0" applyFont="1" applyFill="1" applyAlignment="1">
      <alignment horizontal="center" vertical="center"/>
    </xf>
    <xf numFmtId="164" fontId="12" fillId="0" borderId="0" xfId="0" applyNumberFormat="1" applyFont="1" applyFill="1" applyAlignment="1">
      <alignment horizontal="center" vertical="center"/>
    </xf>
    <xf numFmtId="0" fontId="37" fillId="0" borderId="0" xfId="0" applyFont="1" applyFill="1" applyAlignment="1">
      <alignment vertical="center"/>
    </xf>
    <xf numFmtId="0" fontId="12" fillId="0" borderId="34" xfId="0" applyFont="1" applyFill="1" applyBorder="1" applyAlignment="1">
      <alignment horizontal="center" vertical="center"/>
    </xf>
    <xf numFmtId="164" fontId="12" fillId="0" borderId="35" xfId="0" applyNumberFormat="1" applyFont="1" applyFill="1" applyBorder="1" applyAlignment="1">
      <alignment horizontal="center" vertical="center"/>
    </xf>
    <xf numFmtId="0" fontId="12" fillId="0" borderId="25" xfId="0" applyFont="1" applyFill="1" applyBorder="1" applyAlignment="1">
      <alignment horizontal="center" vertical="center"/>
    </xf>
    <xf numFmtId="0" fontId="12" fillId="0" borderId="36" xfId="0" applyFont="1" applyFill="1" applyBorder="1" applyAlignment="1">
      <alignment horizontal="center" vertical="center"/>
    </xf>
    <xf numFmtId="164" fontId="12" fillId="0" borderId="37" xfId="0" applyNumberFormat="1" applyFont="1" applyFill="1" applyBorder="1" applyAlignment="1">
      <alignment horizontal="center" vertical="center"/>
    </xf>
    <xf numFmtId="0" fontId="12" fillId="0" borderId="27" xfId="0" applyFont="1" applyFill="1" applyBorder="1" applyAlignment="1">
      <alignment horizontal="center" vertical="center"/>
    </xf>
    <xf numFmtId="0" fontId="12" fillId="0" borderId="38" xfId="0" applyFont="1" applyFill="1" applyBorder="1" applyAlignment="1">
      <alignment horizontal="center" vertical="center"/>
    </xf>
    <xf numFmtId="0" fontId="12" fillId="0" borderId="39" xfId="0" applyFont="1" applyFill="1" applyBorder="1" applyAlignment="1">
      <alignment horizontal="center" vertical="center"/>
    </xf>
    <xf numFmtId="164" fontId="12" fillId="0" borderId="40" xfId="0" applyNumberFormat="1" applyFont="1" applyFill="1" applyBorder="1" applyAlignment="1">
      <alignment horizontal="center" vertical="center"/>
    </xf>
    <xf numFmtId="0" fontId="12" fillId="0" borderId="41" xfId="0" applyFont="1" applyFill="1" applyBorder="1" applyAlignment="1">
      <alignment horizontal="center" vertical="center"/>
    </xf>
    <xf numFmtId="0" fontId="12" fillId="0" borderId="23" xfId="0" applyFont="1" applyFill="1" applyBorder="1" applyAlignment="1">
      <alignment horizontal="center" vertical="center"/>
    </xf>
    <xf numFmtId="0" fontId="12" fillId="0" borderId="42" xfId="0" applyFont="1" applyFill="1" applyBorder="1" applyAlignment="1">
      <alignment horizontal="center" vertical="center"/>
    </xf>
    <xf numFmtId="0" fontId="37" fillId="0" borderId="17" xfId="0" applyFont="1" applyFill="1" applyBorder="1" applyAlignment="1">
      <alignment vertical="center"/>
    </xf>
    <xf numFmtId="0" fontId="37" fillId="0" borderId="2" xfId="0" applyFont="1" applyFill="1" applyBorder="1" applyAlignment="1">
      <alignment vertical="center"/>
    </xf>
    <xf numFmtId="164" fontId="37" fillId="0" borderId="0" xfId="0" applyNumberFormat="1" applyFont="1" applyFill="1" applyAlignment="1">
      <alignment vertical="center"/>
    </xf>
    <xf numFmtId="0" fontId="38" fillId="0" borderId="0" xfId="0" applyFont="1" applyFill="1" applyAlignment="1">
      <alignment vertical="center"/>
    </xf>
    <xf numFmtId="41" fontId="37" fillId="0" borderId="0" xfId="0" applyNumberFormat="1" applyFont="1" applyFill="1" applyAlignment="1">
      <alignment vertical="center"/>
    </xf>
    <xf numFmtId="0" fontId="12" fillId="0" borderId="44" xfId="0" applyFont="1" applyFill="1" applyBorder="1" applyAlignment="1">
      <alignment vertical="center"/>
    </xf>
    <xf numFmtId="0" fontId="37" fillId="0" borderId="45" xfId="0" applyFont="1" applyFill="1" applyBorder="1" applyAlignment="1">
      <alignment vertical="center"/>
    </xf>
    <xf numFmtId="0" fontId="37" fillId="0" borderId="46" xfId="0" applyFont="1" applyFill="1" applyBorder="1" applyAlignment="1">
      <alignment vertical="center"/>
    </xf>
    <xf numFmtId="41" fontId="3" fillId="0" borderId="19" xfId="1" applyNumberFormat="1" applyFont="1" applyFill="1" applyBorder="1" applyAlignment="1">
      <alignment horizontal="left" vertical="center"/>
    </xf>
    <xf numFmtId="41" fontId="3" fillId="0" borderId="20" xfId="1" applyNumberFormat="1" applyFont="1" applyFill="1" applyBorder="1" applyAlignment="1">
      <alignment horizontal="left" vertical="center"/>
    </xf>
    <xf numFmtId="41" fontId="3" fillId="0" borderId="2" xfId="1" applyNumberFormat="1" applyFont="1" applyFill="1" applyBorder="1" applyAlignment="1">
      <alignment horizontal="left" vertical="center"/>
    </xf>
    <xf numFmtId="0" fontId="35" fillId="0" borderId="0" xfId="0" applyFont="1" applyFill="1" applyAlignment="1">
      <alignment vertical="center"/>
    </xf>
    <xf numFmtId="0" fontId="37" fillId="0" borderId="0" xfId="0" applyFont="1" applyFill="1" applyAlignment="1">
      <alignment horizontal="center" vertical="center"/>
    </xf>
    <xf numFmtId="41" fontId="37" fillId="0" borderId="0" xfId="0" applyNumberFormat="1" applyFont="1" applyFill="1" applyAlignment="1">
      <alignment horizontal="center" vertical="center"/>
    </xf>
    <xf numFmtId="0" fontId="39" fillId="0" borderId="0" xfId="0" applyFont="1" applyFill="1" applyAlignment="1">
      <alignment horizontal="center" vertical="center"/>
    </xf>
    <xf numFmtId="41" fontId="39" fillId="0" borderId="0" xfId="0" applyNumberFormat="1" applyFont="1" applyFill="1" applyAlignment="1">
      <alignment horizontal="center" vertical="center"/>
    </xf>
    <xf numFmtId="0" fontId="37" fillId="0" borderId="49" xfId="0" applyFont="1" applyFill="1" applyBorder="1" applyAlignment="1">
      <alignment horizontal="center" vertical="center"/>
    </xf>
    <xf numFmtId="0" fontId="37" fillId="0" borderId="44" xfId="0" applyFont="1" applyFill="1" applyBorder="1" applyAlignment="1">
      <alignment horizontal="center" vertical="center"/>
    </xf>
    <xf numFmtId="0" fontId="37" fillId="0" borderId="50" xfId="0" applyFont="1" applyFill="1" applyBorder="1" applyAlignment="1">
      <alignment horizontal="center" vertical="center"/>
    </xf>
    <xf numFmtId="0" fontId="37" fillId="0" borderId="51" xfId="0" applyFont="1" applyFill="1" applyBorder="1" applyAlignment="1">
      <alignment horizontal="center" vertical="center"/>
    </xf>
    <xf numFmtId="165" fontId="37" fillId="0" borderId="51" xfId="1" applyNumberFormat="1" applyFont="1" applyFill="1" applyBorder="1" applyAlignment="1">
      <alignment vertical="center"/>
    </xf>
    <xf numFmtId="165" fontId="37" fillId="0" borderId="52" xfId="1" applyNumberFormat="1" applyFont="1" applyFill="1" applyBorder="1" applyAlignment="1">
      <alignment vertical="center"/>
    </xf>
    <xf numFmtId="0" fontId="37" fillId="0" borderId="2" xfId="0" applyFont="1" applyFill="1" applyBorder="1" applyAlignment="1">
      <alignment horizontal="center" vertical="center"/>
    </xf>
    <xf numFmtId="164" fontId="37" fillId="0" borderId="2" xfId="0" applyNumberFormat="1" applyFont="1" applyFill="1" applyBorder="1" applyAlignment="1">
      <alignment horizontal="center" vertical="center"/>
    </xf>
    <xf numFmtId="0" fontId="37" fillId="0" borderId="53" xfId="0" applyFont="1" applyFill="1" applyBorder="1" applyAlignment="1">
      <alignment vertical="center"/>
    </xf>
    <xf numFmtId="165" fontId="37" fillId="0" borderId="53" xfId="1" applyNumberFormat="1" applyFont="1" applyFill="1" applyBorder="1" applyAlignment="1">
      <alignment vertical="center"/>
    </xf>
    <xf numFmtId="165" fontId="37" fillId="0" borderId="17" xfId="1" applyNumberFormat="1" applyFont="1" applyFill="1" applyBorder="1" applyAlignment="1">
      <alignment vertical="center"/>
    </xf>
    <xf numFmtId="165" fontId="12" fillId="0" borderId="44" xfId="1" applyNumberFormat="1" applyFont="1" applyFill="1" applyBorder="1" applyAlignment="1">
      <alignment vertical="center"/>
    </xf>
    <xf numFmtId="165" fontId="12" fillId="0" borderId="50" xfId="1" applyNumberFormat="1" applyFont="1" applyFill="1" applyBorder="1" applyAlignment="1">
      <alignment vertical="center"/>
    </xf>
    <xf numFmtId="41" fontId="12" fillId="0" borderId="54" xfId="0" applyNumberFormat="1" applyFont="1" applyFill="1" applyBorder="1" applyAlignment="1">
      <alignment vertical="center"/>
    </xf>
    <xf numFmtId="165" fontId="37" fillId="0" borderId="0" xfId="0" applyNumberFormat="1" applyFont="1" applyFill="1" applyAlignment="1">
      <alignment vertical="center"/>
    </xf>
    <xf numFmtId="0" fontId="12" fillId="0" borderId="0" xfId="1172" applyFont="1" applyAlignment="1">
      <alignment vertical="center"/>
    </xf>
    <xf numFmtId="0" fontId="37" fillId="0" borderId="0" xfId="1172" applyFont="1" applyAlignment="1">
      <alignment vertical="center"/>
    </xf>
    <xf numFmtId="0" fontId="3" fillId="0" borderId="0" xfId="1172" applyFont="1" applyFill="1" applyBorder="1" applyAlignment="1">
      <alignment vertical="center"/>
    </xf>
    <xf numFmtId="41" fontId="3" fillId="0" borderId="0" xfId="1" applyNumberFormat="1" applyFont="1" applyFill="1" applyBorder="1" applyAlignment="1">
      <alignment vertical="center"/>
    </xf>
    <xf numFmtId="0" fontId="12" fillId="2" borderId="0" xfId="1172" applyFont="1" applyFill="1" applyAlignment="1">
      <alignment horizontal="center" vertical="center"/>
    </xf>
    <xf numFmtId="0" fontId="12" fillId="0" borderId="55" xfId="1172" applyFont="1" applyBorder="1" applyAlignment="1">
      <alignment horizontal="center" vertical="center"/>
    </xf>
    <xf numFmtId="41" fontId="12" fillId="0" borderId="55" xfId="1172" applyNumberFormat="1" applyFont="1" applyBorder="1" applyAlignment="1">
      <alignment horizontal="center" vertical="center"/>
    </xf>
    <xf numFmtId="41" fontId="43" fillId="3" borderId="56" xfId="1" applyNumberFormat="1" applyFont="1" applyFill="1" applyBorder="1" applyAlignment="1">
      <alignment vertical="center"/>
    </xf>
    <xf numFmtId="9" fontId="43" fillId="3" borderId="57" xfId="1" applyNumberFormat="1" applyFont="1" applyFill="1" applyBorder="1" applyAlignment="1">
      <alignment vertical="center"/>
    </xf>
    <xf numFmtId="41" fontId="3" fillId="4" borderId="0" xfId="1172" applyNumberFormat="1" applyFont="1" applyFill="1" applyAlignment="1">
      <alignment vertical="center"/>
    </xf>
    <xf numFmtId="41" fontId="43" fillId="3" borderId="2" xfId="1" applyNumberFormat="1" applyFont="1" applyFill="1" applyBorder="1" applyAlignment="1">
      <alignment vertical="center"/>
    </xf>
    <xf numFmtId="9" fontId="43" fillId="3" borderId="58" xfId="1" applyNumberFormat="1" applyFont="1" applyFill="1" applyBorder="1" applyAlignment="1">
      <alignment vertical="center"/>
    </xf>
    <xf numFmtId="0" fontId="37" fillId="0" borderId="59" xfId="1172" applyFont="1" applyBorder="1" applyAlignment="1">
      <alignment vertical="center"/>
    </xf>
    <xf numFmtId="0" fontId="37" fillId="0" borderId="55" xfId="1172" applyFont="1" applyBorder="1" applyAlignment="1">
      <alignment horizontal="center" vertical="center"/>
    </xf>
    <xf numFmtId="41" fontId="43" fillId="0" borderId="60" xfId="1" applyNumberFormat="1" applyFont="1" applyBorder="1" applyAlignment="1">
      <alignment vertical="center"/>
    </xf>
    <xf numFmtId="41" fontId="43" fillId="0" borderId="55" xfId="1" applyNumberFormat="1" applyFont="1" applyBorder="1" applyAlignment="1">
      <alignment vertical="center"/>
    </xf>
    <xf numFmtId="41" fontId="43" fillId="0" borderId="61" xfId="1" applyNumberFormat="1" applyFont="1" applyBorder="1" applyAlignment="1">
      <alignment vertical="center"/>
    </xf>
    <xf numFmtId="41" fontId="3" fillId="0" borderId="0" xfId="1172" applyNumberFormat="1" applyFont="1" applyAlignment="1">
      <alignment vertical="center"/>
    </xf>
    <xf numFmtId="41" fontId="44" fillId="0" borderId="62" xfId="1" applyNumberFormat="1" applyFont="1" applyBorder="1" applyAlignment="1">
      <alignment vertical="center"/>
    </xf>
    <xf numFmtId="9" fontId="44" fillId="0" borderId="63" xfId="1" applyNumberFormat="1" applyFont="1" applyBorder="1" applyAlignment="1">
      <alignment vertical="center"/>
    </xf>
    <xf numFmtId="41" fontId="37" fillId="0" borderId="0" xfId="1172" applyNumberFormat="1" applyFont="1" applyAlignment="1">
      <alignment horizontal="center" vertical="center"/>
    </xf>
    <xf numFmtId="0" fontId="38" fillId="0" borderId="0" xfId="1172" applyFont="1" applyAlignment="1">
      <alignment vertical="center"/>
    </xf>
    <xf numFmtId="0" fontId="37" fillId="0" borderId="64" xfId="1172" applyFont="1" applyBorder="1" applyAlignment="1">
      <alignment vertical="center"/>
    </xf>
    <xf numFmtId="41" fontId="37" fillId="0" borderId="0" xfId="1172" applyNumberFormat="1" applyFont="1" applyAlignment="1">
      <alignment vertical="center"/>
    </xf>
    <xf numFmtId="0" fontId="37" fillId="0" borderId="0" xfId="1172" applyFont="1" applyAlignment="1">
      <alignment horizontal="center" vertical="center"/>
    </xf>
    <xf numFmtId="0" fontId="39" fillId="0" borderId="0" xfId="1172" applyFont="1" applyAlignment="1">
      <alignment horizontal="center" vertical="center"/>
    </xf>
    <xf numFmtId="0" fontId="39" fillId="0" borderId="0" xfId="1172" applyFont="1" applyAlignment="1">
      <alignment vertical="center"/>
    </xf>
    <xf numFmtId="41" fontId="39" fillId="0" borderId="0" xfId="1172" applyNumberFormat="1" applyFont="1" applyAlignment="1">
      <alignment horizontal="center" vertical="center"/>
    </xf>
    <xf numFmtId="41" fontId="3" fillId="0" borderId="65" xfId="0" applyNumberFormat="1" applyFont="1" applyFill="1" applyBorder="1" applyAlignment="1">
      <alignment vertical="center"/>
    </xf>
    <xf numFmtId="164" fontId="4" fillId="0" borderId="0" xfId="0" applyNumberFormat="1" applyFont="1" applyFill="1" applyAlignment="1">
      <alignment horizontal="right" vertical="center"/>
    </xf>
    <xf numFmtId="164" fontId="3" fillId="0" borderId="0" xfId="0" applyNumberFormat="1" applyFont="1" applyFill="1" applyAlignment="1">
      <alignment horizontal="right" vertical="center"/>
    </xf>
    <xf numFmtId="164" fontId="35" fillId="0" borderId="0" xfId="0" applyNumberFormat="1" applyFont="1" applyFill="1" applyAlignment="1">
      <alignment horizontal="right" vertical="center"/>
    </xf>
    <xf numFmtId="164" fontId="3" fillId="0" borderId="66" xfId="0" applyNumberFormat="1" applyFont="1" applyFill="1" applyBorder="1" applyAlignment="1">
      <alignment vertical="center"/>
    </xf>
    <xf numFmtId="3" fontId="3" fillId="0" borderId="20" xfId="0" applyNumberFormat="1" applyFont="1" applyFill="1" applyBorder="1" applyAlignment="1">
      <alignment vertical="center"/>
    </xf>
    <xf numFmtId="0" fontId="37" fillId="0" borderId="67" xfId="1172" applyFont="1" applyBorder="1" applyAlignment="1">
      <alignment vertical="center"/>
    </xf>
    <xf numFmtId="0" fontId="37" fillId="0" borderId="51" xfId="1172" applyFont="1" applyBorder="1" applyAlignment="1">
      <alignment vertical="center"/>
    </xf>
    <xf numFmtId="41" fontId="37" fillId="0" borderId="51" xfId="2" applyFont="1" applyBorder="1" applyAlignment="1">
      <alignment vertical="center"/>
    </xf>
    <xf numFmtId="0" fontId="37" fillId="0" borderId="68" xfId="1172" applyFont="1" applyBorder="1" applyAlignment="1">
      <alignment vertical="center"/>
    </xf>
    <xf numFmtId="41" fontId="37" fillId="0" borderId="2" xfId="2" applyFont="1" applyBorder="1" applyAlignment="1">
      <alignment vertical="center"/>
    </xf>
    <xf numFmtId="41" fontId="37" fillId="0" borderId="17" xfId="2" applyFont="1" applyBorder="1" applyAlignment="1">
      <alignment vertical="center"/>
    </xf>
    <xf numFmtId="41" fontId="37" fillId="0" borderId="33" xfId="2" applyFont="1" applyBorder="1" applyAlignment="1">
      <alignment vertical="center"/>
    </xf>
    <xf numFmtId="164" fontId="3" fillId="0" borderId="69" xfId="0" applyNumberFormat="1" applyFont="1" applyFill="1" applyBorder="1" applyAlignment="1">
      <alignment horizontal="center" vertical="center"/>
    </xf>
    <xf numFmtId="41" fontId="45" fillId="0" borderId="0" xfId="0" applyNumberFormat="1" applyFont="1" applyFill="1" applyAlignment="1">
      <alignment vertical="center" wrapText="1"/>
    </xf>
    <xf numFmtId="41" fontId="45" fillId="0" borderId="31" xfId="1" applyNumberFormat="1" applyFont="1" applyFill="1" applyBorder="1" applyAlignment="1">
      <alignment vertical="center" wrapText="1"/>
    </xf>
    <xf numFmtId="0" fontId="45" fillId="0" borderId="0" xfId="0" applyFont="1" applyFill="1" applyAlignment="1">
      <alignment vertical="center" wrapText="1"/>
    </xf>
    <xf numFmtId="164" fontId="45" fillId="0" borderId="43" xfId="0" applyNumberFormat="1" applyFont="1" applyFill="1" applyBorder="1" applyAlignment="1">
      <alignment vertical="center"/>
    </xf>
    <xf numFmtId="0" fontId="8" fillId="0" borderId="0" xfId="0" applyFont="1" applyFill="1" applyAlignment="1">
      <alignment horizontal="center" wrapText="1"/>
    </xf>
    <xf numFmtId="164" fontId="4" fillId="0" borderId="70" xfId="0" applyNumberFormat="1" applyFont="1" applyFill="1" applyBorder="1" applyAlignment="1">
      <alignment horizontal="center" vertical="center"/>
    </xf>
    <xf numFmtId="164" fontId="4" fillId="0" borderId="71" xfId="0" applyNumberFormat="1" applyFont="1" applyFill="1" applyBorder="1" applyAlignment="1">
      <alignment horizontal="center" vertical="center"/>
    </xf>
    <xf numFmtId="0" fontId="4" fillId="0" borderId="72" xfId="0" applyFont="1" applyFill="1" applyBorder="1" applyAlignment="1">
      <alignment horizontal="center" vertical="center"/>
    </xf>
    <xf numFmtId="0" fontId="4" fillId="0" borderId="73" xfId="0" applyFont="1" applyFill="1" applyBorder="1" applyAlignment="1">
      <alignment horizontal="center" vertical="center"/>
    </xf>
    <xf numFmtId="0" fontId="4" fillId="0" borderId="21" xfId="0" applyFont="1" applyFill="1" applyBorder="1" applyAlignment="1">
      <alignment horizontal="left" vertical="center"/>
    </xf>
    <xf numFmtId="0" fontId="4" fillId="0" borderId="72" xfId="0" applyFont="1" applyFill="1" applyBorder="1" applyAlignment="1">
      <alignment horizontal="left" vertical="center"/>
    </xf>
    <xf numFmtId="41" fontId="4" fillId="0" borderId="22" xfId="0" applyNumberFormat="1" applyFont="1" applyFill="1" applyBorder="1" applyAlignment="1">
      <alignment vertical="center"/>
    </xf>
    <xf numFmtId="41" fontId="4" fillId="0" borderId="73" xfId="0" applyNumberFormat="1" applyFont="1" applyFill="1" applyBorder="1" applyAlignment="1">
      <alignment vertical="center"/>
    </xf>
    <xf numFmtId="41" fontId="57" fillId="0" borderId="40" xfId="2" applyFont="1" applyBorder="1" applyAlignment="1">
      <alignment horizontal="justify" vertical="center" wrapText="1"/>
    </xf>
    <xf numFmtId="41" fontId="57" fillId="0" borderId="74" xfId="2" applyFont="1" applyBorder="1" applyAlignment="1">
      <alignment vertical="center" wrapText="1"/>
    </xf>
    <xf numFmtId="41" fontId="56" fillId="0" borderId="75" xfId="2" applyFont="1" applyBorder="1" applyAlignment="1">
      <alignment vertical="center" wrapText="1"/>
    </xf>
    <xf numFmtId="41" fontId="56" fillId="0" borderId="69" xfId="2" applyFont="1" applyBorder="1" applyAlignment="1">
      <alignment vertical="center" wrapText="1"/>
    </xf>
    <xf numFmtId="41" fontId="56" fillId="0" borderId="76" xfId="2" applyFont="1" applyBorder="1" applyAlignment="1">
      <alignment vertical="center" wrapText="1"/>
    </xf>
    <xf numFmtId="41" fontId="57" fillId="0" borderId="40" xfId="2" applyFont="1" applyBorder="1" applyAlignment="1">
      <alignment horizontal="right" vertical="center" wrapText="1"/>
    </xf>
    <xf numFmtId="41" fontId="57" fillId="0" borderId="40" xfId="2" applyFont="1" applyBorder="1" applyAlignment="1">
      <alignment horizontal="left" vertical="center" wrapText="1"/>
    </xf>
    <xf numFmtId="0" fontId="3" fillId="0" borderId="51" xfId="0" applyFont="1" applyFill="1" applyBorder="1" applyAlignment="1">
      <alignment vertical="center"/>
    </xf>
    <xf numFmtId="0" fontId="37" fillId="0" borderId="78" xfId="0" applyFont="1" applyFill="1" applyBorder="1" applyAlignment="1">
      <alignment horizontal="center" vertical="center"/>
    </xf>
    <xf numFmtId="165" fontId="37" fillId="0" borderId="65" xfId="1" applyNumberFormat="1" applyFont="1" applyFill="1" applyBorder="1" applyAlignment="1">
      <alignment vertical="center"/>
    </xf>
    <xf numFmtId="41" fontId="3" fillId="0" borderId="2" xfId="1" applyNumberFormat="1" applyFont="1" applyFill="1" applyBorder="1" applyAlignment="1">
      <alignment vertical="center" wrapText="1"/>
    </xf>
    <xf numFmtId="41" fontId="3" fillId="0" borderId="0" xfId="0" applyNumberFormat="1" applyFont="1" applyFill="1" applyAlignment="1">
      <alignment horizontal="center"/>
    </xf>
    <xf numFmtId="0" fontId="13" fillId="0" borderId="0" xfId="0" applyFont="1" applyAlignment="1" applyProtection="1">
      <alignment horizontal="centerContinuous" vertical="center"/>
      <protection locked="0"/>
    </xf>
    <xf numFmtId="0" fontId="13" fillId="0" borderId="0" xfId="0" applyFont="1" applyAlignment="1" applyProtection="1">
      <alignment vertical="center"/>
    </xf>
    <xf numFmtId="0" fontId="34" fillId="0" borderId="0" xfId="0" applyFont="1" applyAlignment="1" applyProtection="1">
      <alignment horizontal="centerContinuous" vertical="center"/>
    </xf>
    <xf numFmtId="0" fontId="32" fillId="0" borderId="0" xfId="0" applyFont="1" applyFill="1" applyAlignment="1" applyProtection="1">
      <alignment horizontal="centerContinuous" vertical="center"/>
    </xf>
    <xf numFmtId="0" fontId="11" fillId="0" borderId="0" xfId="0" applyFont="1" applyFill="1" applyAlignment="1" applyProtection="1">
      <alignment horizontal="centerContinuous" vertical="center"/>
    </xf>
    <xf numFmtId="0" fontId="11" fillId="0" borderId="0" xfId="0" applyFont="1" applyFill="1" applyAlignment="1" applyProtection="1">
      <alignment vertical="center"/>
    </xf>
    <xf numFmtId="0" fontId="13" fillId="0" borderId="0" xfId="0" applyFont="1" applyFill="1" applyAlignment="1" applyProtection="1">
      <alignment vertical="center"/>
    </xf>
    <xf numFmtId="0" fontId="33" fillId="0" borderId="0" xfId="0" applyFont="1" applyFill="1" applyBorder="1" applyAlignment="1" applyProtection="1">
      <alignment horizontal="center" vertical="center"/>
    </xf>
    <xf numFmtId="0" fontId="33" fillId="0" borderId="0" xfId="0" applyNumberFormat="1" applyFont="1" applyFill="1" applyBorder="1" applyAlignment="1" applyProtection="1">
      <alignment horizontal="center" vertical="center"/>
    </xf>
    <xf numFmtId="165" fontId="13" fillId="0" borderId="0" xfId="439" applyNumberFormat="1" applyFont="1" applyFill="1" applyAlignment="1">
      <alignment vertical="center"/>
    </xf>
    <xf numFmtId="165" fontId="12" fillId="0" borderId="0" xfId="439" applyNumberFormat="1" applyFont="1" applyFill="1" applyAlignment="1">
      <alignment vertical="center"/>
    </xf>
    <xf numFmtId="165" fontId="4" fillId="0" borderId="0" xfId="439" applyNumberFormat="1" applyFont="1" applyFill="1" applyAlignment="1">
      <alignment vertical="center"/>
    </xf>
    <xf numFmtId="165" fontId="3" fillId="0" borderId="0" xfId="439" applyNumberFormat="1" applyFont="1" applyFill="1" applyAlignment="1">
      <alignment vertical="center"/>
    </xf>
    <xf numFmtId="165" fontId="37" fillId="0" borderId="0" xfId="439" applyNumberFormat="1" applyFont="1" applyFill="1" applyAlignment="1">
      <alignment vertical="center"/>
    </xf>
    <xf numFmtId="165" fontId="12" fillId="0" borderId="26" xfId="439" applyNumberFormat="1" applyFont="1" applyFill="1" applyBorder="1" applyAlignment="1">
      <alignment horizontal="center" vertical="center"/>
    </xf>
    <xf numFmtId="165" fontId="12" fillId="0" borderId="47" xfId="439" applyNumberFormat="1" applyFont="1" applyFill="1" applyBorder="1" applyAlignment="1">
      <alignment horizontal="center" vertical="center"/>
    </xf>
    <xf numFmtId="165" fontId="12" fillId="0" borderId="48" xfId="439" applyNumberFormat="1" applyFont="1" applyFill="1" applyBorder="1" applyAlignment="1">
      <alignment horizontal="center" vertical="center"/>
    </xf>
    <xf numFmtId="165" fontId="12" fillId="0" borderId="28" xfId="439" applyNumberFormat="1" applyFont="1" applyFill="1" applyBorder="1" applyAlignment="1">
      <alignment horizontal="center" vertical="center"/>
    </xf>
    <xf numFmtId="165" fontId="12" fillId="0" borderId="0" xfId="439" applyNumberFormat="1" applyFont="1" applyFill="1" applyBorder="1" applyAlignment="1">
      <alignment horizontal="center" vertical="center"/>
    </xf>
    <xf numFmtId="165" fontId="12" fillId="0" borderId="79" xfId="439" applyNumberFormat="1" applyFont="1" applyFill="1" applyBorder="1" applyAlignment="1">
      <alignment horizontal="center" vertical="center"/>
    </xf>
    <xf numFmtId="165" fontId="12" fillId="0" borderId="30" xfId="439" applyNumberFormat="1" applyFont="1" applyFill="1" applyBorder="1" applyAlignment="1">
      <alignment horizontal="center" vertical="center"/>
    </xf>
    <xf numFmtId="0" fontId="37" fillId="0" borderId="49" xfId="439" applyNumberFormat="1" applyFont="1" applyFill="1" applyBorder="1" applyAlignment="1">
      <alignment horizontal="center" vertical="center"/>
    </xf>
    <xf numFmtId="0" fontId="37" fillId="0" borderId="44" xfId="439" applyNumberFormat="1" applyFont="1" applyFill="1" applyBorder="1" applyAlignment="1">
      <alignment horizontal="center" vertical="center"/>
    </xf>
    <xf numFmtId="0" fontId="37" fillId="0" borderId="50" xfId="439" applyNumberFormat="1" applyFont="1" applyFill="1" applyBorder="1" applyAlignment="1">
      <alignment horizontal="center" vertical="center"/>
    </xf>
    <xf numFmtId="0" fontId="37" fillId="0" borderId="0" xfId="439" applyNumberFormat="1" applyFont="1" applyFill="1" applyAlignment="1">
      <alignment horizontal="center" vertical="center"/>
    </xf>
    <xf numFmtId="165" fontId="37" fillId="0" borderId="45" xfId="439" applyNumberFormat="1" applyFont="1" applyFill="1" applyBorder="1" applyAlignment="1">
      <alignment vertical="center"/>
    </xf>
    <xf numFmtId="165" fontId="37" fillId="0" borderId="51" xfId="439" applyNumberFormat="1" applyFont="1" applyFill="1" applyBorder="1" applyAlignment="1">
      <alignment vertical="center"/>
    </xf>
    <xf numFmtId="166" fontId="37" fillId="0" borderId="51" xfId="439" applyNumberFormat="1" applyFont="1" applyFill="1" applyBorder="1" applyAlignment="1">
      <alignment vertical="center"/>
    </xf>
    <xf numFmtId="165" fontId="37" fillId="0" borderId="51" xfId="439" applyNumberFormat="1" applyFont="1" applyFill="1" applyBorder="1" applyAlignment="1">
      <alignment horizontal="center" vertical="center"/>
    </xf>
    <xf numFmtId="165" fontId="37" fillId="0" borderId="52" xfId="439" applyNumberFormat="1" applyFont="1" applyFill="1" applyBorder="1" applyAlignment="1">
      <alignment vertical="center"/>
    </xf>
    <xf numFmtId="165" fontId="37" fillId="0" borderId="46" xfId="439" applyNumberFormat="1" applyFont="1" applyFill="1" applyBorder="1" applyAlignment="1">
      <alignment vertical="center"/>
    </xf>
    <xf numFmtId="165" fontId="37" fillId="0" borderId="2" xfId="439" applyNumberFormat="1" applyFont="1" applyFill="1" applyBorder="1" applyAlignment="1">
      <alignment vertical="center"/>
    </xf>
    <xf numFmtId="166" fontId="37" fillId="0" borderId="2" xfId="439" applyNumberFormat="1" applyFont="1" applyFill="1" applyBorder="1" applyAlignment="1">
      <alignment vertical="center"/>
    </xf>
    <xf numFmtId="165" fontId="37" fillId="0" borderId="2" xfId="439" applyNumberFormat="1" applyFont="1" applyFill="1" applyBorder="1" applyAlignment="1">
      <alignment horizontal="center" vertical="center"/>
    </xf>
    <xf numFmtId="165" fontId="37" fillId="0" borderId="80" xfId="439" applyNumberFormat="1" applyFont="1" applyFill="1" applyBorder="1" applyAlignment="1">
      <alignment vertical="center"/>
    </xf>
    <xf numFmtId="165" fontId="37" fillId="0" borderId="43" xfId="439" applyNumberFormat="1" applyFont="1" applyFill="1" applyBorder="1" applyAlignment="1">
      <alignment vertical="center"/>
    </xf>
    <xf numFmtId="165" fontId="37" fillId="0" borderId="17" xfId="439" applyNumberFormat="1" applyFont="1" applyFill="1" applyBorder="1" applyAlignment="1">
      <alignment vertical="center"/>
    </xf>
    <xf numFmtId="166" fontId="37" fillId="0" borderId="17" xfId="439" applyNumberFormat="1" applyFont="1" applyFill="1" applyBorder="1" applyAlignment="1">
      <alignment vertical="center"/>
    </xf>
    <xf numFmtId="165" fontId="37" fillId="0" borderId="17" xfId="439" applyNumberFormat="1" applyFont="1" applyFill="1" applyBorder="1" applyAlignment="1">
      <alignment horizontal="center" vertical="center"/>
    </xf>
    <xf numFmtId="165" fontId="37" fillId="0" borderId="81" xfId="439" applyNumberFormat="1" applyFont="1" applyFill="1" applyBorder="1" applyAlignment="1">
      <alignment vertical="center"/>
    </xf>
    <xf numFmtId="165" fontId="12" fillId="0" borderId="49" xfId="439" applyNumberFormat="1" applyFont="1" applyFill="1" applyBorder="1" applyAlignment="1">
      <alignment vertical="center"/>
    </xf>
    <xf numFmtId="165" fontId="12" fillId="0" borderId="44" xfId="439" applyNumberFormat="1" applyFont="1" applyFill="1" applyBorder="1" applyAlignment="1">
      <alignment horizontal="center" vertical="center"/>
    </xf>
    <xf numFmtId="165" fontId="12" fillId="0" borderId="44" xfId="439" applyNumberFormat="1" applyFont="1" applyFill="1" applyBorder="1" applyAlignment="1">
      <alignment vertical="center"/>
    </xf>
    <xf numFmtId="165" fontId="12" fillId="0" borderId="50" xfId="439" applyNumberFormat="1" applyFont="1" applyFill="1" applyBorder="1" applyAlignment="1">
      <alignment vertical="center"/>
    </xf>
    <xf numFmtId="165" fontId="12" fillId="0" borderId="65" xfId="439" applyNumberFormat="1" applyFont="1" applyFill="1" applyBorder="1" applyAlignment="1">
      <alignment vertical="center"/>
    </xf>
    <xf numFmtId="165" fontId="12" fillId="0" borderId="82" xfId="439" applyNumberFormat="1" applyFont="1" applyFill="1" applyBorder="1" applyAlignment="1">
      <alignment horizontal="center" vertical="center"/>
    </xf>
    <xf numFmtId="165" fontId="12" fillId="0" borderId="83" xfId="439" applyNumberFormat="1" applyFont="1" applyFill="1" applyBorder="1" applyAlignment="1">
      <alignment vertical="center"/>
    </xf>
    <xf numFmtId="165" fontId="12" fillId="0" borderId="0" xfId="439" applyNumberFormat="1" applyFont="1" applyFill="1" applyBorder="1" applyAlignment="1">
      <alignment vertical="center"/>
    </xf>
    <xf numFmtId="165" fontId="12" fillId="0" borderId="51" xfId="439" applyNumberFormat="1" applyFont="1" applyFill="1" applyBorder="1" applyAlignment="1">
      <alignment vertical="center"/>
    </xf>
    <xf numFmtId="165" fontId="38" fillId="0" borderId="0" xfId="439" applyNumberFormat="1" applyFont="1" applyFill="1" applyAlignment="1">
      <alignment vertical="center"/>
    </xf>
    <xf numFmtId="165" fontId="37" fillId="0" borderId="0" xfId="439" applyNumberFormat="1" applyFont="1" applyFill="1" applyAlignment="1">
      <alignment horizontal="center" vertical="center"/>
    </xf>
    <xf numFmtId="165" fontId="39" fillId="0" borderId="0" xfId="439" applyNumberFormat="1" applyFont="1" applyFill="1" applyAlignment="1">
      <alignment horizontal="center" vertical="center"/>
    </xf>
    <xf numFmtId="0" fontId="82" fillId="0" borderId="0" xfId="1069" applyFont="1"/>
    <xf numFmtId="49" fontId="81" fillId="5" borderId="0" xfId="1069" applyNumberFormat="1" applyFont="1" applyFill="1" applyAlignment="1">
      <alignment horizontal="center" vertical="center"/>
    </xf>
    <xf numFmtId="49" fontId="81" fillId="5" borderId="0" xfId="1069" applyNumberFormat="1" applyFont="1" applyFill="1" applyAlignment="1">
      <alignment horizontal="left" vertical="center"/>
    </xf>
    <xf numFmtId="49" fontId="83" fillId="5" borderId="0" xfId="1069" applyNumberFormat="1" applyFont="1" applyFill="1" applyAlignment="1">
      <alignment horizontal="left" vertical="center"/>
    </xf>
    <xf numFmtId="0" fontId="83" fillId="6" borderId="2" xfId="1069" applyFont="1" applyFill="1" applyBorder="1" applyAlignment="1">
      <alignment horizontal="center" vertical="center"/>
    </xf>
    <xf numFmtId="165" fontId="83" fillId="6" borderId="2" xfId="601" applyNumberFormat="1" applyFont="1" applyFill="1" applyBorder="1" applyAlignment="1">
      <alignment horizontal="center"/>
    </xf>
    <xf numFmtId="0" fontId="84" fillId="0" borderId="0" xfId="1069" applyFont="1"/>
    <xf numFmtId="0" fontId="84" fillId="5" borderId="0" xfId="1069" applyFont="1" applyFill="1" applyAlignment="1">
      <alignment horizontal="left" vertical="center"/>
    </xf>
    <xf numFmtId="0" fontId="83" fillId="5" borderId="24" xfId="1069" applyFont="1" applyFill="1" applyBorder="1" applyAlignment="1">
      <alignment horizontal="left" vertical="center"/>
    </xf>
    <xf numFmtId="0" fontId="83" fillId="5" borderId="20" xfId="1069" applyFont="1" applyFill="1" applyBorder="1" applyAlignment="1">
      <alignment vertical="center"/>
    </xf>
    <xf numFmtId="165" fontId="83" fillId="5" borderId="2" xfId="601" applyNumberFormat="1" applyFont="1" applyFill="1" applyBorder="1" applyAlignment="1">
      <alignment vertical="center"/>
    </xf>
    <xf numFmtId="169" fontId="84" fillId="5" borderId="24" xfId="845" applyFont="1" applyFill="1" applyBorder="1" applyAlignment="1">
      <alignment vertical="center"/>
    </xf>
    <xf numFmtId="0" fontId="84" fillId="5" borderId="24" xfId="1069" applyFont="1" applyFill="1" applyBorder="1" applyAlignment="1">
      <alignment horizontal="left" vertical="center"/>
    </xf>
    <xf numFmtId="0" fontId="84" fillId="5" borderId="20" xfId="1069" applyFont="1" applyFill="1" applyBorder="1" applyAlignment="1">
      <alignment vertical="center"/>
    </xf>
    <xf numFmtId="171" fontId="84" fillId="5" borderId="24" xfId="846" applyNumberFormat="1" applyFont="1" applyFill="1" applyBorder="1" applyAlignment="1">
      <alignment horizontal="center" vertical="center"/>
    </xf>
    <xf numFmtId="171" fontId="83" fillId="6" borderId="2" xfId="846" applyNumberFormat="1" applyFont="1" applyFill="1" applyBorder="1" applyAlignment="1">
      <alignment horizontal="center" vertical="center"/>
    </xf>
    <xf numFmtId="171" fontId="83" fillId="5" borderId="2" xfId="846" applyNumberFormat="1" applyFont="1" applyFill="1" applyBorder="1" applyAlignment="1">
      <alignment horizontal="center" vertical="center"/>
    </xf>
    <xf numFmtId="0" fontId="83" fillId="5" borderId="0" xfId="1069" applyFont="1" applyFill="1" applyAlignment="1">
      <alignment horizontal="left" vertical="center"/>
    </xf>
    <xf numFmtId="0" fontId="83" fillId="5" borderId="0" xfId="1069" applyFont="1" applyFill="1" applyAlignment="1">
      <alignment vertical="center"/>
    </xf>
    <xf numFmtId="165" fontId="83" fillId="5" borderId="0" xfId="601" applyNumberFormat="1" applyFont="1" applyFill="1" applyAlignment="1">
      <alignment horizontal="center" vertical="center"/>
    </xf>
    <xf numFmtId="165" fontId="84" fillId="5" borderId="0" xfId="601" applyNumberFormat="1" applyFont="1" applyFill="1"/>
    <xf numFmtId="165" fontId="84" fillId="5" borderId="2" xfId="601" applyNumberFormat="1" applyFont="1" applyFill="1" applyBorder="1"/>
    <xf numFmtId="0" fontId="84" fillId="5" borderId="24" xfId="1069" applyFont="1" applyFill="1" applyBorder="1" applyAlignment="1">
      <alignment vertical="center"/>
    </xf>
    <xf numFmtId="165" fontId="83" fillId="5" borderId="2" xfId="601" applyNumberFormat="1" applyFont="1" applyFill="1" applyBorder="1"/>
    <xf numFmtId="0" fontId="84" fillId="5" borderId="0" xfId="1069" applyFont="1" applyFill="1" applyBorder="1" applyAlignment="1">
      <alignment horizontal="left" vertical="center"/>
    </xf>
    <xf numFmtId="0" fontId="84" fillId="5" borderId="0" xfId="1069" applyFont="1" applyFill="1" applyBorder="1" applyAlignment="1">
      <alignment vertical="center"/>
    </xf>
    <xf numFmtId="165" fontId="84" fillId="5" borderId="0" xfId="601" applyNumberFormat="1" applyFont="1" applyFill="1" applyBorder="1" applyAlignment="1">
      <alignment vertical="center"/>
    </xf>
    <xf numFmtId="0" fontId="83" fillId="5" borderId="20" xfId="1069" applyFont="1" applyFill="1" applyBorder="1" applyAlignment="1">
      <alignment horizontal="left" vertical="center"/>
    </xf>
    <xf numFmtId="171" fontId="83" fillId="5" borderId="2" xfId="1069" applyNumberFormat="1" applyFont="1" applyFill="1" applyBorder="1" applyAlignment="1">
      <alignment horizontal="right" vertical="center"/>
    </xf>
    <xf numFmtId="0" fontId="83" fillId="5" borderId="66" xfId="1069" applyFont="1" applyFill="1" applyBorder="1" applyAlignment="1">
      <alignment horizontal="left" vertical="center"/>
    </xf>
    <xf numFmtId="171" fontId="84" fillId="5" borderId="51" xfId="846" applyNumberFormat="1" applyFont="1" applyFill="1" applyBorder="1" applyAlignment="1">
      <alignment horizontal="left" vertical="center"/>
    </xf>
    <xf numFmtId="0" fontId="84" fillId="5" borderId="65" xfId="1069" applyFont="1" applyFill="1" applyBorder="1" applyAlignment="1">
      <alignment horizontal="left" vertical="center"/>
    </xf>
    <xf numFmtId="0" fontId="84" fillId="5" borderId="83" xfId="1069" applyFont="1" applyFill="1" applyBorder="1" applyAlignment="1">
      <alignment horizontal="left" vertical="center"/>
    </xf>
    <xf numFmtId="0" fontId="83" fillId="5" borderId="20" xfId="1069" applyFont="1" applyFill="1" applyBorder="1" applyAlignment="1">
      <alignment horizontal="right" vertical="center"/>
    </xf>
    <xf numFmtId="171" fontId="83" fillId="6" borderId="2" xfId="1069" applyNumberFormat="1" applyFont="1" applyFill="1" applyBorder="1" applyAlignment="1">
      <alignment horizontal="right" vertical="center"/>
    </xf>
    <xf numFmtId="0" fontId="84" fillId="5" borderId="0" xfId="1069" applyFont="1" applyFill="1" applyBorder="1" applyAlignment="1">
      <alignment horizontal="justify" vertical="center"/>
    </xf>
    <xf numFmtId="0" fontId="83" fillId="5" borderId="24" xfId="1069" applyFont="1" applyFill="1" applyBorder="1" applyAlignment="1">
      <alignment horizontal="right" vertical="center"/>
    </xf>
    <xf numFmtId="171" fontId="84" fillId="5" borderId="20" xfId="1069" applyNumberFormat="1" applyFont="1" applyFill="1" applyBorder="1" applyAlignment="1">
      <alignment vertical="center"/>
    </xf>
    <xf numFmtId="171" fontId="83" fillId="6" borderId="2" xfId="1069" applyNumberFormat="1" applyFont="1" applyFill="1" applyBorder="1" applyAlignment="1">
      <alignment vertical="center"/>
    </xf>
    <xf numFmtId="171" fontId="83" fillId="5" borderId="2" xfId="1069" applyNumberFormat="1" applyFont="1" applyFill="1" applyBorder="1" applyAlignment="1">
      <alignment vertical="center"/>
    </xf>
    <xf numFmtId="0" fontId="86" fillId="5" borderId="0" xfId="1069" applyFont="1" applyFill="1" applyAlignment="1">
      <alignment horizontal="left" vertical="center"/>
    </xf>
    <xf numFmtId="0" fontId="86" fillId="5" borderId="0" xfId="1069" applyFont="1" applyFill="1" applyBorder="1" applyAlignment="1">
      <alignment horizontal="left" vertical="center"/>
    </xf>
    <xf numFmtId="0" fontId="82" fillId="0" borderId="0" xfId="1069" applyFont="1" applyBorder="1"/>
    <xf numFmtId="0" fontId="82" fillId="5" borderId="77" xfId="1069" applyFont="1" applyFill="1" applyBorder="1" applyAlignment="1">
      <alignment horizontal="left" vertical="center"/>
    </xf>
    <xf numFmtId="171" fontId="82" fillId="5" borderId="0" xfId="1069" applyNumberFormat="1" applyFont="1" applyFill="1" applyBorder="1" applyAlignment="1">
      <alignment horizontal="center" vertical="center"/>
    </xf>
    <xf numFmtId="0" fontId="82" fillId="5" borderId="0" xfId="1069" applyFont="1" applyFill="1" applyBorder="1" applyAlignment="1">
      <alignment vertical="center"/>
    </xf>
    <xf numFmtId="0" fontId="82" fillId="5" borderId="65" xfId="1069" applyFont="1" applyFill="1" applyBorder="1" applyAlignment="1">
      <alignment horizontal="center" vertical="center"/>
    </xf>
    <xf numFmtId="171" fontId="82" fillId="5" borderId="82" xfId="1069" applyNumberFormat="1" applyFont="1" applyFill="1" applyBorder="1" applyAlignment="1">
      <alignment horizontal="center" vertical="center"/>
    </xf>
    <xf numFmtId="0" fontId="82" fillId="5" borderId="0" xfId="1069" applyFont="1" applyFill="1" applyBorder="1" applyAlignment="1">
      <alignment horizontal="center" vertical="center"/>
    </xf>
    <xf numFmtId="0" fontId="87" fillId="5" borderId="0" xfId="1069" applyFont="1" applyFill="1" applyBorder="1" applyAlignment="1">
      <alignment horizontal="right" vertical="center"/>
    </xf>
    <xf numFmtId="171" fontId="82" fillId="5" borderId="0" xfId="1069" applyNumberFormat="1" applyFont="1" applyFill="1" applyBorder="1" applyAlignment="1">
      <alignment vertical="center"/>
    </xf>
    <xf numFmtId="0" fontId="81" fillId="5" borderId="0" xfId="1069" applyFont="1" applyFill="1" applyBorder="1" applyAlignment="1">
      <alignment horizontal="right" vertical="center"/>
    </xf>
    <xf numFmtId="171" fontId="86" fillId="5" borderId="0" xfId="1069" applyNumberFormat="1" applyFont="1" applyFill="1" applyBorder="1" applyAlignment="1">
      <alignment vertical="center"/>
    </xf>
    <xf numFmtId="0" fontId="86" fillId="5" borderId="0" xfId="1069" applyFont="1" applyFill="1" applyBorder="1" applyAlignment="1">
      <alignment vertical="center"/>
    </xf>
    <xf numFmtId="0" fontId="87" fillId="5" borderId="0" xfId="1069" applyFont="1" applyFill="1" applyBorder="1" applyAlignment="1">
      <alignment horizontal="center" vertical="center"/>
    </xf>
    <xf numFmtId="0" fontId="81" fillId="5" borderId="0" xfId="1069" applyFont="1" applyFill="1" applyBorder="1" applyAlignment="1">
      <alignment horizontal="center" vertical="center"/>
    </xf>
    <xf numFmtId="171" fontId="86" fillId="5" borderId="0" xfId="1069" applyNumberFormat="1" applyFont="1" applyFill="1" applyBorder="1" applyAlignment="1">
      <alignment horizontal="center" vertical="center"/>
    </xf>
    <xf numFmtId="0" fontId="86" fillId="5" borderId="0" xfId="1069" applyFont="1" applyFill="1" applyBorder="1" applyAlignment="1">
      <alignment horizontal="center" vertical="center"/>
    </xf>
    <xf numFmtId="0" fontId="90" fillId="5" borderId="0" xfId="1069" applyFont="1" applyFill="1" applyBorder="1" applyAlignment="1">
      <alignment vertical="center"/>
    </xf>
    <xf numFmtId="0" fontId="86" fillId="0" borderId="0" xfId="1069" applyFont="1"/>
    <xf numFmtId="0" fontId="86" fillId="0" borderId="0" xfId="1069" applyFont="1" applyAlignment="1">
      <alignment horizontal="left" vertical="center"/>
    </xf>
    <xf numFmtId="0" fontId="81" fillId="0" borderId="0" xfId="1069" applyFont="1" applyAlignment="1">
      <alignment horizontal="center" vertical="center"/>
    </xf>
    <xf numFmtId="0" fontId="81" fillId="5" borderId="0" xfId="1069" applyFont="1" applyFill="1" applyAlignment="1">
      <alignment horizontal="center" vertical="center"/>
    </xf>
    <xf numFmtId="0" fontId="81" fillId="6" borderId="2" xfId="1069" applyFont="1" applyFill="1" applyBorder="1" applyAlignment="1">
      <alignment horizontal="center" vertical="center"/>
    </xf>
    <xf numFmtId="165" fontId="81" fillId="6" borderId="2" xfId="601" applyNumberFormat="1" applyFont="1" applyFill="1" applyBorder="1" applyAlignment="1">
      <alignment horizontal="center"/>
    </xf>
    <xf numFmtId="0" fontId="81" fillId="0" borderId="24" xfId="1069" applyFont="1" applyBorder="1" applyAlignment="1">
      <alignment horizontal="left" vertical="center"/>
    </xf>
    <xf numFmtId="0" fontId="81" fillId="0" borderId="20" xfId="1069" applyFont="1" applyBorder="1" applyAlignment="1">
      <alignment vertical="center"/>
    </xf>
    <xf numFmtId="0" fontId="86" fillId="5" borderId="2" xfId="1069" applyFont="1" applyFill="1" applyBorder="1" applyAlignment="1">
      <alignment vertical="center"/>
    </xf>
    <xf numFmtId="0" fontId="86" fillId="0" borderId="65" xfId="1069" applyFont="1" applyBorder="1" applyAlignment="1">
      <alignment horizontal="left" vertical="center"/>
    </xf>
    <xf numFmtId="0" fontId="86" fillId="0" borderId="83" xfId="1069" applyFont="1" applyBorder="1" applyAlignment="1">
      <alignment vertical="center"/>
    </xf>
    <xf numFmtId="171" fontId="86" fillId="5" borderId="2" xfId="846" applyNumberFormat="1" applyFont="1" applyFill="1" applyBorder="1" applyAlignment="1">
      <alignment horizontal="left" vertical="center"/>
    </xf>
    <xf numFmtId="165" fontId="86" fillId="5" borderId="2" xfId="601" applyNumberFormat="1" applyFont="1" applyFill="1" applyBorder="1" applyAlignment="1">
      <alignment vertical="center"/>
    </xf>
    <xf numFmtId="165" fontId="86" fillId="5" borderId="2" xfId="1069" applyNumberFormat="1" applyFont="1" applyFill="1" applyBorder="1" applyAlignment="1">
      <alignment vertical="center"/>
    </xf>
    <xf numFmtId="0" fontId="81" fillId="0" borderId="65" xfId="1069" applyFont="1" applyBorder="1" applyAlignment="1">
      <alignment horizontal="left" vertical="center"/>
    </xf>
    <xf numFmtId="0" fontId="81" fillId="0" borderId="83" xfId="1069" applyFont="1" applyBorder="1" applyAlignment="1">
      <alignment vertical="center"/>
    </xf>
    <xf numFmtId="171" fontId="81" fillId="6" borderId="2" xfId="846" applyNumberFormat="1" applyFont="1" applyFill="1" applyBorder="1" applyAlignment="1">
      <alignment horizontal="left" vertical="center"/>
    </xf>
    <xf numFmtId="171" fontId="81" fillId="5" borderId="2" xfId="846" applyNumberFormat="1" applyFont="1" applyFill="1" applyBorder="1" applyAlignment="1">
      <alignment horizontal="left" vertical="center"/>
    </xf>
    <xf numFmtId="0" fontId="81" fillId="0" borderId="0" xfId="1069" applyFont="1" applyAlignment="1">
      <alignment horizontal="left" vertical="center"/>
    </xf>
    <xf numFmtId="0" fontId="86" fillId="0" borderId="0" xfId="1069" applyFont="1" applyAlignment="1">
      <alignment vertical="center"/>
    </xf>
    <xf numFmtId="0" fontId="86" fillId="5" borderId="0" xfId="1069" applyFont="1" applyFill="1" applyAlignment="1">
      <alignment horizontal="center" vertical="center"/>
    </xf>
    <xf numFmtId="171" fontId="86" fillId="5" borderId="0" xfId="846" applyNumberFormat="1" applyFont="1" applyFill="1" applyBorder="1" applyAlignment="1">
      <alignment horizontal="left" vertical="center"/>
    </xf>
    <xf numFmtId="0" fontId="83" fillId="7" borderId="2" xfId="1069" applyFont="1" applyFill="1" applyBorder="1" applyAlignment="1">
      <alignment horizontal="center" vertical="center"/>
    </xf>
    <xf numFmtId="165" fontId="83" fillId="7" borderId="2" xfId="601" applyNumberFormat="1" applyFont="1" applyFill="1" applyBorder="1" applyAlignment="1">
      <alignment horizontal="center"/>
    </xf>
    <xf numFmtId="0" fontId="86" fillId="0" borderId="24" xfId="1069" applyFont="1" applyBorder="1" applyAlignment="1">
      <alignment horizontal="left" vertical="center"/>
    </xf>
    <xf numFmtId="0" fontId="86" fillId="0" borderId="20" xfId="1069" applyFont="1" applyBorder="1" applyAlignment="1">
      <alignment vertical="center"/>
    </xf>
    <xf numFmtId="0" fontId="86" fillId="5" borderId="2" xfId="1069" applyFont="1" applyFill="1" applyBorder="1" applyAlignment="1">
      <alignment horizontal="center" vertical="center"/>
    </xf>
    <xf numFmtId="171" fontId="81" fillId="7" borderId="2" xfId="1069" applyNumberFormat="1" applyFont="1" applyFill="1" applyBorder="1" applyAlignment="1">
      <alignment vertical="center"/>
    </xf>
    <xf numFmtId="0" fontId="86" fillId="5" borderId="0" xfId="1069" applyFont="1" applyFill="1" applyAlignment="1">
      <alignment vertical="center"/>
    </xf>
    <xf numFmtId="0" fontId="81" fillId="5" borderId="24" xfId="1069" applyFont="1" applyFill="1" applyBorder="1" applyAlignment="1">
      <alignment horizontal="left" vertical="center"/>
    </xf>
    <xf numFmtId="0" fontId="81" fillId="5" borderId="20" xfId="1069" applyFont="1" applyFill="1" applyBorder="1" applyAlignment="1">
      <alignment horizontal="left" vertical="center"/>
    </xf>
    <xf numFmtId="171" fontId="81" fillId="5" borderId="2" xfId="1069" applyNumberFormat="1" applyFont="1" applyFill="1" applyBorder="1" applyAlignment="1">
      <alignment horizontal="right" vertical="center"/>
    </xf>
    <xf numFmtId="0" fontId="86" fillId="0" borderId="0" xfId="1069" applyFont="1" applyBorder="1" applyAlignment="1">
      <alignment horizontal="left" vertical="center"/>
    </xf>
    <xf numFmtId="0" fontId="86" fillId="0" borderId="20" xfId="1069" applyFont="1" applyBorder="1" applyAlignment="1">
      <alignment horizontal="left" vertical="center"/>
    </xf>
    <xf numFmtId="0" fontId="81" fillId="0" borderId="20" xfId="1069" applyFont="1" applyBorder="1" applyAlignment="1">
      <alignment horizontal="right" vertical="center"/>
    </xf>
    <xf numFmtId="0" fontId="86" fillId="7" borderId="2" xfId="1069" applyFont="1" applyFill="1" applyBorder="1" applyAlignment="1">
      <alignment vertical="center"/>
    </xf>
    <xf numFmtId="171" fontId="86" fillId="5" borderId="2" xfId="1069" applyNumberFormat="1" applyFont="1" applyFill="1" applyBorder="1" applyAlignment="1">
      <alignment horizontal="center" vertical="center"/>
    </xf>
    <xf numFmtId="0" fontId="81" fillId="0" borderId="0" xfId="1069" applyFont="1" applyBorder="1" applyAlignment="1">
      <alignment horizontal="left" vertical="center"/>
    </xf>
    <xf numFmtId="0" fontId="86" fillId="0" borderId="0" xfId="1069" applyFont="1" applyBorder="1" applyAlignment="1">
      <alignment vertical="center"/>
    </xf>
    <xf numFmtId="0" fontId="81" fillId="5" borderId="24" xfId="1069" applyFont="1" applyFill="1" applyBorder="1" applyAlignment="1">
      <alignment horizontal="right" vertical="center"/>
    </xf>
    <xf numFmtId="171" fontId="86" fillId="5" borderId="20" xfId="1069" applyNumberFormat="1" applyFont="1" applyFill="1" applyBorder="1" applyAlignment="1">
      <alignment vertical="center"/>
    </xf>
    <xf numFmtId="171" fontId="81" fillId="5" borderId="2" xfId="1069" applyNumberFormat="1" applyFont="1" applyFill="1" applyBorder="1" applyAlignment="1">
      <alignment vertical="center"/>
    </xf>
    <xf numFmtId="0" fontId="81" fillId="0" borderId="0" xfId="1069" applyFont="1" applyAlignment="1">
      <alignment horizontal="justify" vertical="center"/>
    </xf>
    <xf numFmtId="0" fontId="81" fillId="0" borderId="0" xfId="1069" applyFont="1" applyBorder="1" applyAlignment="1">
      <alignment horizontal="justify" vertical="center"/>
    </xf>
    <xf numFmtId="0" fontId="89" fillId="5" borderId="0" xfId="1069" applyFont="1" applyFill="1" applyBorder="1" applyAlignment="1">
      <alignment horizontal="center" vertical="center"/>
    </xf>
    <xf numFmtId="171" fontId="88" fillId="5" borderId="0" xfId="1069" applyNumberFormat="1" applyFont="1" applyFill="1" applyBorder="1" applyAlignment="1">
      <alignment vertical="center"/>
    </xf>
    <xf numFmtId="0" fontId="89" fillId="5" borderId="0" xfId="1069" applyFont="1" applyFill="1" applyBorder="1" applyAlignment="1">
      <alignment vertical="center"/>
    </xf>
    <xf numFmtId="0" fontId="81" fillId="5" borderId="0" xfId="1069" applyFont="1" applyFill="1" applyAlignment="1">
      <alignment horizontal="justify" vertical="center"/>
    </xf>
    <xf numFmtId="0" fontId="82" fillId="5" borderId="0" xfId="1069" applyFont="1" applyFill="1"/>
    <xf numFmtId="0" fontId="81" fillId="5" borderId="66" xfId="1069" applyFont="1" applyFill="1" applyBorder="1" applyAlignment="1">
      <alignment vertical="center"/>
    </xf>
    <xf numFmtId="165" fontId="81" fillId="5" borderId="2" xfId="601" applyNumberFormat="1" applyFont="1" applyFill="1" applyBorder="1" applyAlignment="1">
      <alignment vertical="center"/>
    </xf>
    <xf numFmtId="165" fontId="81" fillId="5" borderId="2" xfId="601" applyNumberFormat="1" applyFont="1" applyFill="1" applyBorder="1"/>
    <xf numFmtId="41" fontId="86" fillId="0" borderId="20" xfId="1069" applyNumberFormat="1" applyFont="1" applyBorder="1" applyAlignment="1">
      <alignment vertical="center"/>
    </xf>
    <xf numFmtId="171" fontId="81" fillId="7" borderId="2" xfId="1069" applyNumberFormat="1" applyFont="1" applyFill="1" applyBorder="1" applyAlignment="1">
      <alignment horizontal="center" vertical="center"/>
    </xf>
    <xf numFmtId="171" fontId="81" fillId="5" borderId="2" xfId="1069" applyNumberFormat="1" applyFont="1" applyFill="1" applyBorder="1" applyAlignment="1">
      <alignment horizontal="center" vertical="center"/>
    </xf>
    <xf numFmtId="171" fontId="86" fillId="0" borderId="0" xfId="1069" applyNumberFormat="1" applyFont="1"/>
    <xf numFmtId="0" fontId="81" fillId="7" borderId="2" xfId="1069" applyFont="1" applyFill="1" applyBorder="1" applyAlignment="1">
      <alignment horizontal="center" vertical="center"/>
    </xf>
    <xf numFmtId="165" fontId="81" fillId="7" borderId="2" xfId="601" applyNumberFormat="1" applyFont="1" applyFill="1" applyBorder="1" applyAlignment="1">
      <alignment horizontal="center"/>
    </xf>
    <xf numFmtId="171" fontId="81" fillId="7" borderId="2" xfId="846" applyNumberFormat="1" applyFont="1" applyFill="1" applyBorder="1" applyAlignment="1">
      <alignment horizontal="left" vertical="center"/>
    </xf>
    <xf numFmtId="165" fontId="81" fillId="5" borderId="2" xfId="601" applyNumberFormat="1" applyFont="1" applyFill="1" applyBorder="1" applyAlignment="1">
      <alignment horizontal="left" vertical="center"/>
    </xf>
    <xf numFmtId="165" fontId="86" fillId="5" borderId="0" xfId="601" applyNumberFormat="1" applyFont="1" applyFill="1" applyBorder="1" applyAlignment="1">
      <alignment horizontal="left" vertical="center"/>
    </xf>
    <xf numFmtId="0" fontId="86" fillId="0" borderId="82" xfId="1069" applyFont="1" applyBorder="1" applyAlignment="1">
      <alignment vertical="center"/>
    </xf>
    <xf numFmtId="0" fontId="81" fillId="0" borderId="82" xfId="1069" applyFont="1" applyBorder="1" applyAlignment="1">
      <alignment vertical="center"/>
    </xf>
    <xf numFmtId="0" fontId="82" fillId="5" borderId="0" xfId="1069" applyFont="1" applyFill="1" applyBorder="1"/>
    <xf numFmtId="0" fontId="87" fillId="0" borderId="0" xfId="1069" applyFont="1" applyAlignment="1">
      <alignment horizontal="left"/>
    </xf>
    <xf numFmtId="0" fontId="83" fillId="5" borderId="24" xfId="1069" applyFont="1" applyFill="1" applyBorder="1" applyAlignment="1">
      <alignment horizontal="center" vertical="center"/>
    </xf>
    <xf numFmtId="0" fontId="13" fillId="0" borderId="17" xfId="0" applyFont="1" applyFill="1" applyBorder="1" applyAlignment="1">
      <alignment vertical="center"/>
    </xf>
    <xf numFmtId="41" fontId="4" fillId="0" borderId="0" xfId="1172" applyNumberFormat="1" applyFont="1" applyAlignment="1">
      <alignment horizontal="right" vertical="center"/>
    </xf>
    <xf numFmtId="0" fontId="4" fillId="0" borderId="0" xfId="1172" applyFont="1" applyFill="1" applyAlignment="1">
      <alignment horizontal="left" vertical="center" indent="4"/>
    </xf>
    <xf numFmtId="0" fontId="82" fillId="5" borderId="86" xfId="1069" applyFont="1" applyFill="1" applyBorder="1" applyAlignment="1">
      <alignment vertical="center"/>
    </xf>
    <xf numFmtId="0" fontId="83" fillId="5" borderId="20" xfId="1069" applyFont="1" applyFill="1" applyBorder="1" applyAlignment="1">
      <alignment horizontal="center" vertical="center"/>
    </xf>
    <xf numFmtId="0" fontId="82" fillId="5" borderId="29" xfId="1069" applyFont="1" applyFill="1" applyBorder="1" applyAlignment="1">
      <alignment vertical="center"/>
    </xf>
    <xf numFmtId="0" fontId="82" fillId="5" borderId="83" xfId="1069" applyFont="1" applyFill="1" applyBorder="1" applyAlignment="1">
      <alignment vertical="center"/>
    </xf>
    <xf numFmtId="0" fontId="86" fillId="0" borderId="66" xfId="1069" applyFont="1" applyBorder="1" applyAlignment="1">
      <alignment vertical="center"/>
    </xf>
    <xf numFmtId="0" fontId="86" fillId="5" borderId="66" xfId="1069" applyFont="1" applyFill="1" applyBorder="1" applyAlignment="1">
      <alignment vertical="center"/>
    </xf>
    <xf numFmtId="165" fontId="86" fillId="5" borderId="66" xfId="601" applyNumberFormat="1" applyFont="1" applyFill="1" applyBorder="1" applyAlignment="1">
      <alignment horizontal="center" vertical="center"/>
    </xf>
    <xf numFmtId="3" fontId="84" fillId="5" borderId="20" xfId="1069" applyNumberFormat="1" applyFont="1" applyFill="1" applyBorder="1" applyAlignment="1">
      <alignment horizontal="left" vertical="center"/>
    </xf>
    <xf numFmtId="0" fontId="84" fillId="0" borderId="24" xfId="1069" applyFont="1" applyBorder="1" applyAlignment="1">
      <alignment horizontal="left" vertical="center"/>
    </xf>
    <xf numFmtId="41" fontId="45" fillId="0" borderId="31" xfId="1" applyNumberFormat="1" applyFont="1" applyFill="1" applyBorder="1" applyAlignment="1">
      <alignment vertical="center"/>
    </xf>
    <xf numFmtId="41" fontId="45" fillId="0" borderId="33" xfId="1" applyNumberFormat="1" applyFont="1" applyFill="1" applyBorder="1" applyAlignment="1">
      <alignment vertical="center"/>
    </xf>
    <xf numFmtId="41" fontId="45" fillId="0" borderId="17" xfId="1" applyNumberFormat="1" applyFont="1" applyFill="1" applyBorder="1" applyAlignment="1">
      <alignment vertical="center"/>
    </xf>
    <xf numFmtId="41" fontId="92" fillId="0" borderId="0" xfId="0" applyNumberFormat="1" applyFont="1" applyFill="1" applyAlignment="1">
      <alignment vertical="center"/>
    </xf>
    <xf numFmtId="41" fontId="82" fillId="0" borderId="0" xfId="1069" applyNumberFormat="1" applyFont="1"/>
    <xf numFmtId="164" fontId="3" fillId="0" borderId="88" xfId="0" applyNumberFormat="1" applyFont="1" applyFill="1" applyBorder="1" applyAlignment="1">
      <alignment horizontal="center" vertical="center"/>
    </xf>
    <xf numFmtId="14" fontId="3" fillId="0" borderId="83" xfId="0" applyNumberFormat="1" applyFont="1" applyFill="1" applyBorder="1" applyAlignment="1">
      <alignment vertical="center"/>
    </xf>
    <xf numFmtId="41" fontId="3" fillId="0" borderId="51" xfId="0" applyNumberFormat="1" applyFont="1" applyFill="1" applyBorder="1" applyAlignment="1">
      <alignment vertical="center"/>
    </xf>
    <xf numFmtId="41" fontId="3" fillId="0" borderId="89" xfId="0" applyNumberFormat="1" applyFont="1" applyFill="1" applyBorder="1" applyAlignment="1">
      <alignment vertical="center"/>
    </xf>
    <xf numFmtId="41" fontId="3" fillId="0" borderId="83" xfId="0" applyNumberFormat="1" applyFont="1" applyFill="1" applyBorder="1" applyAlignment="1">
      <alignment vertical="center"/>
    </xf>
    <xf numFmtId="0" fontId="12" fillId="0" borderId="21" xfId="0" applyFont="1" applyFill="1" applyBorder="1" applyAlignment="1">
      <alignment horizontal="center" vertical="center"/>
    </xf>
    <xf numFmtId="41" fontId="12" fillId="0" borderId="22" xfId="0" applyNumberFormat="1" applyFont="1" applyFill="1" applyBorder="1" applyAlignment="1">
      <alignment vertical="center"/>
    </xf>
    <xf numFmtId="0" fontId="12" fillId="0" borderId="72" xfId="0" applyFont="1" applyFill="1" applyBorder="1" applyAlignment="1">
      <alignment horizontal="center" vertical="center"/>
    </xf>
    <xf numFmtId="41" fontId="12" fillId="0" borderId="73" xfId="0" applyNumberFormat="1" applyFont="1" applyFill="1" applyBorder="1" applyAlignment="1">
      <alignment vertical="center"/>
    </xf>
    <xf numFmtId="164" fontId="13" fillId="0" borderId="2" xfId="0" applyNumberFormat="1" applyFont="1" applyFill="1" applyBorder="1" applyAlignment="1">
      <alignment horizontal="left" vertical="center"/>
    </xf>
    <xf numFmtId="164" fontId="13" fillId="0" borderId="17" xfId="0" applyNumberFormat="1" applyFont="1" applyFill="1" applyBorder="1" applyAlignment="1">
      <alignment horizontal="left" vertical="center"/>
    </xf>
    <xf numFmtId="0" fontId="13" fillId="0" borderId="45" xfId="0" applyFont="1" applyFill="1" applyBorder="1" applyAlignment="1">
      <alignment horizontal="center" vertical="center"/>
    </xf>
    <xf numFmtId="0" fontId="13" fillId="0" borderId="43" xfId="0" applyFont="1" applyFill="1" applyBorder="1" applyAlignment="1">
      <alignment horizontal="center" vertical="center"/>
    </xf>
    <xf numFmtId="0" fontId="13" fillId="0" borderId="2" xfId="0" applyFont="1" applyFill="1" applyBorder="1" applyAlignment="1">
      <alignment vertical="center"/>
    </xf>
    <xf numFmtId="41" fontId="13" fillId="0" borderId="2" xfId="0" applyNumberFormat="1" applyFont="1" applyFill="1" applyBorder="1" applyAlignment="1">
      <alignment vertical="center"/>
    </xf>
    <xf numFmtId="41" fontId="13" fillId="0" borderId="32" xfId="0" applyNumberFormat="1" applyFont="1" applyFill="1" applyBorder="1" applyAlignment="1">
      <alignment vertical="center"/>
    </xf>
    <xf numFmtId="41" fontId="13" fillId="0" borderId="90" xfId="0" applyNumberFormat="1" applyFont="1" applyFill="1" applyBorder="1" applyAlignment="1">
      <alignment vertical="center"/>
    </xf>
    <xf numFmtId="41" fontId="13" fillId="0" borderId="17" xfId="0" applyNumberFormat="1" applyFont="1" applyFill="1" applyBorder="1" applyAlignment="1">
      <alignment vertical="center"/>
    </xf>
    <xf numFmtId="41" fontId="13" fillId="0" borderId="31" xfId="0" applyNumberFormat="1" applyFont="1" applyFill="1" applyBorder="1" applyAlignment="1">
      <alignment vertical="center"/>
    </xf>
    <xf numFmtId="41" fontId="13" fillId="0" borderId="81" xfId="0" applyNumberFormat="1" applyFont="1" applyFill="1" applyBorder="1" applyAlignment="1">
      <alignment vertical="center"/>
    </xf>
    <xf numFmtId="41" fontId="13" fillId="0" borderId="19" xfId="0" applyNumberFormat="1" applyFont="1" applyFill="1" applyBorder="1" applyAlignment="1">
      <alignment vertical="center"/>
    </xf>
    <xf numFmtId="41" fontId="13" fillId="0" borderId="91" xfId="0" applyNumberFormat="1" applyFont="1" applyFill="1" applyBorder="1" applyAlignment="1">
      <alignment vertical="center"/>
    </xf>
    <xf numFmtId="41" fontId="13" fillId="0" borderId="24" xfId="0" applyNumberFormat="1" applyFont="1" applyFill="1" applyBorder="1" applyAlignment="1">
      <alignment vertical="center"/>
    </xf>
    <xf numFmtId="41" fontId="13" fillId="0" borderId="80" xfId="0" applyNumberFormat="1" applyFont="1" applyFill="1" applyBorder="1" applyAlignment="1">
      <alignment vertical="center"/>
    </xf>
    <xf numFmtId="41" fontId="13" fillId="0" borderId="55" xfId="0" applyNumberFormat="1" applyFont="1" applyFill="1" applyBorder="1" applyAlignment="1">
      <alignment vertical="center"/>
    </xf>
    <xf numFmtId="0" fontId="13" fillId="0" borderId="17" xfId="0" applyFont="1" applyFill="1" applyBorder="1" applyAlignment="1">
      <alignment horizontal="center" vertical="center"/>
    </xf>
    <xf numFmtId="41" fontId="13" fillId="0" borderId="33" xfId="0" applyNumberFormat="1" applyFont="1" applyFill="1" applyBorder="1" applyAlignment="1">
      <alignment vertical="center"/>
    </xf>
    <xf numFmtId="164" fontId="3" fillId="0" borderId="0" xfId="0" applyNumberFormat="1" applyFont="1" applyFill="1" applyAlignment="1">
      <alignment horizontal="center" vertical="center"/>
    </xf>
    <xf numFmtId="0" fontId="4" fillId="0" borderId="53" xfId="0" applyNumberFormat="1" applyFont="1" applyFill="1" applyBorder="1" applyAlignment="1">
      <alignment horizontal="center" vertical="center" wrapText="1"/>
    </xf>
    <xf numFmtId="41" fontId="3" fillId="0" borderId="56" xfId="1" applyNumberFormat="1" applyFont="1" applyFill="1" applyBorder="1" applyAlignment="1">
      <alignment horizontal="left" vertical="center"/>
    </xf>
    <xf numFmtId="41" fontId="3" fillId="0" borderId="92" xfId="1" applyNumberFormat="1" applyFont="1" applyFill="1" applyBorder="1" applyAlignment="1">
      <alignment horizontal="left" vertical="center"/>
    </xf>
    <xf numFmtId="41" fontId="3" fillId="0" borderId="93" xfId="1" applyNumberFormat="1" applyFont="1" applyFill="1" applyBorder="1" applyAlignment="1">
      <alignment horizontal="left" vertical="center"/>
    </xf>
    <xf numFmtId="41" fontId="3" fillId="0" borderId="55" xfId="1" applyNumberFormat="1" applyFont="1" applyFill="1" applyBorder="1" applyAlignment="1">
      <alignment horizontal="left" vertical="center"/>
    </xf>
    <xf numFmtId="41" fontId="3" fillId="0" borderId="94" xfId="1" applyNumberFormat="1" applyFont="1" applyFill="1" applyBorder="1" applyAlignment="1">
      <alignment horizontal="left" vertical="center"/>
    </xf>
    <xf numFmtId="41" fontId="3" fillId="0" borderId="60" xfId="1" applyNumberFormat="1" applyFont="1" applyFill="1" applyBorder="1" applyAlignment="1">
      <alignment horizontal="left" vertical="center"/>
    </xf>
    <xf numFmtId="164" fontId="45" fillId="0" borderId="95" xfId="0" applyNumberFormat="1" applyFont="1" applyFill="1" applyBorder="1" applyAlignment="1">
      <alignment vertical="center"/>
    </xf>
    <xf numFmtId="0" fontId="3" fillId="0" borderId="54" xfId="0" applyFont="1" applyFill="1" applyBorder="1" applyAlignment="1">
      <alignment vertical="center"/>
    </xf>
    <xf numFmtId="41" fontId="3" fillId="0" borderId="54" xfId="1" applyNumberFormat="1" applyFont="1" applyFill="1" applyBorder="1" applyAlignment="1">
      <alignment vertical="center"/>
    </xf>
    <xf numFmtId="41" fontId="3" fillId="0" borderId="96" xfId="1" applyNumberFormat="1" applyFont="1" applyFill="1" applyBorder="1" applyAlignment="1">
      <alignment vertical="center"/>
    </xf>
    <xf numFmtId="41" fontId="3" fillId="0" borderId="97" xfId="1" applyNumberFormat="1" applyFont="1" applyFill="1" applyBorder="1" applyAlignment="1">
      <alignment vertical="center"/>
    </xf>
    <xf numFmtId="41" fontId="45" fillId="0" borderId="98" xfId="1" applyNumberFormat="1" applyFont="1" applyFill="1" applyBorder="1" applyAlignment="1">
      <alignment vertical="center"/>
    </xf>
    <xf numFmtId="41" fontId="45" fillId="0" borderId="54" xfId="1" applyNumberFormat="1" applyFont="1" applyFill="1" applyBorder="1" applyAlignment="1">
      <alignment vertical="center"/>
    </xf>
    <xf numFmtId="41" fontId="45" fillId="0" borderId="96" xfId="1" applyNumberFormat="1" applyFont="1" applyFill="1" applyBorder="1" applyAlignment="1">
      <alignment vertical="center"/>
    </xf>
    <xf numFmtId="164" fontId="45" fillId="0" borderId="46" xfId="0" applyNumberFormat="1" applyFont="1" applyFill="1" applyBorder="1" applyAlignment="1">
      <alignment vertical="center"/>
    </xf>
    <xf numFmtId="41" fontId="3" fillId="0" borderId="2" xfId="1" applyNumberFormat="1" applyFont="1" applyFill="1" applyBorder="1" applyAlignment="1">
      <alignment vertical="center"/>
    </xf>
    <xf numFmtId="41" fontId="3" fillId="0" borderId="24" xfId="1" applyNumberFormat="1" applyFont="1" applyFill="1" applyBorder="1" applyAlignment="1">
      <alignment vertical="center"/>
    </xf>
    <xf numFmtId="41" fontId="3" fillId="0" borderId="19" xfId="1" applyNumberFormat="1" applyFont="1" applyFill="1" applyBorder="1" applyAlignment="1">
      <alignment vertical="center"/>
    </xf>
    <xf numFmtId="41" fontId="45" fillId="0" borderId="20" xfId="1" applyNumberFormat="1" applyFont="1" applyFill="1" applyBorder="1" applyAlignment="1">
      <alignment vertical="center"/>
    </xf>
    <xf numFmtId="41" fontId="45" fillId="0" borderId="2" xfId="1" applyNumberFormat="1" applyFont="1" applyFill="1" applyBorder="1" applyAlignment="1">
      <alignment vertical="center"/>
    </xf>
    <xf numFmtId="41" fontId="45" fillId="0" borderId="24" xfId="1" applyNumberFormat="1" applyFont="1" applyFill="1" applyBorder="1" applyAlignment="1">
      <alignment vertical="center"/>
    </xf>
    <xf numFmtId="164" fontId="45" fillId="0" borderId="45" xfId="0" applyNumberFormat="1" applyFont="1" applyFill="1" applyBorder="1" applyAlignment="1">
      <alignment vertical="center"/>
    </xf>
    <xf numFmtId="41" fontId="3" fillId="0" borderId="51" xfId="1" applyNumberFormat="1" applyFont="1" applyFill="1" applyBorder="1" applyAlignment="1">
      <alignment vertical="center"/>
    </xf>
    <xf numFmtId="41" fontId="3" fillId="0" borderId="65" xfId="1" applyNumberFormat="1" applyFont="1" applyFill="1" applyBorder="1" applyAlignment="1">
      <alignment vertical="center"/>
    </xf>
    <xf numFmtId="41" fontId="3" fillId="0" borderId="89" xfId="1" applyNumberFormat="1" applyFont="1" applyFill="1" applyBorder="1" applyAlignment="1">
      <alignment vertical="center"/>
    </xf>
    <xf numFmtId="41" fontId="45" fillId="0" borderId="83" xfId="1" applyNumberFormat="1" applyFont="1" applyFill="1" applyBorder="1" applyAlignment="1">
      <alignment vertical="center"/>
    </xf>
    <xf numFmtId="41" fontId="45" fillId="0" borderId="51" xfId="1" applyNumberFormat="1" applyFont="1" applyFill="1" applyBorder="1" applyAlignment="1">
      <alignment vertical="center"/>
    </xf>
    <xf numFmtId="41" fontId="45" fillId="0" borderId="65" xfId="1" applyNumberFormat="1" applyFont="1" applyFill="1" applyBorder="1" applyAlignment="1">
      <alignment vertical="center"/>
    </xf>
    <xf numFmtId="0" fontId="13" fillId="0" borderId="46" xfId="0" applyFont="1" applyFill="1" applyBorder="1" applyAlignment="1">
      <alignment horizontal="center" vertical="center"/>
    </xf>
    <xf numFmtId="0" fontId="13" fillId="0" borderId="2" xfId="0" applyFont="1" applyFill="1" applyBorder="1" applyAlignment="1">
      <alignment horizontal="center" vertical="center"/>
    </xf>
    <xf numFmtId="41" fontId="13" fillId="0" borderId="20" xfId="0" applyNumberFormat="1" applyFont="1" applyFill="1" applyBorder="1" applyAlignment="1">
      <alignment vertical="center"/>
    </xf>
    <xf numFmtId="0" fontId="6" fillId="0" borderId="0" xfId="0" applyFont="1" applyFill="1" applyAlignment="1">
      <alignment horizontal="center" vertical="center"/>
    </xf>
    <xf numFmtId="0" fontId="4" fillId="0" borderId="99" xfId="0" applyFont="1" applyFill="1" applyBorder="1" applyAlignment="1">
      <alignment horizontal="center" vertical="center"/>
    </xf>
    <xf numFmtId="0" fontId="4" fillId="0" borderId="41" xfId="0" applyFont="1" applyFill="1" applyBorder="1" applyAlignment="1">
      <alignment horizontal="center" vertical="center"/>
    </xf>
    <xf numFmtId="0" fontId="1" fillId="0" borderId="0" xfId="0" applyFont="1" applyFill="1" applyAlignment="1">
      <alignment vertical="center"/>
    </xf>
    <xf numFmtId="165" fontId="37" fillId="0" borderId="2" xfId="0" applyNumberFormat="1" applyFont="1" applyFill="1" applyBorder="1" applyAlignment="1">
      <alignment horizontal="center" vertical="center"/>
    </xf>
    <xf numFmtId="0" fontId="37" fillId="0" borderId="2" xfId="0" applyFont="1" applyFill="1" applyBorder="1" applyAlignment="1">
      <alignment vertical="center" wrapText="1"/>
    </xf>
    <xf numFmtId="165" fontId="37" fillId="0" borderId="28" xfId="1" applyNumberFormat="1" applyFont="1" applyFill="1" applyBorder="1" applyAlignment="1">
      <alignment vertical="center"/>
    </xf>
    <xf numFmtId="41" fontId="12" fillId="0" borderId="0" xfId="0" applyNumberFormat="1" applyFont="1" applyFill="1" applyBorder="1" applyAlignment="1">
      <alignment vertical="center"/>
    </xf>
    <xf numFmtId="167" fontId="37" fillId="0" borderId="0" xfId="0" applyNumberFormat="1" applyFont="1" applyFill="1" applyAlignment="1">
      <alignment vertical="center"/>
    </xf>
    <xf numFmtId="22" fontId="37" fillId="0" borderId="0" xfId="0" applyNumberFormat="1" applyFont="1" applyFill="1" applyAlignment="1">
      <alignment vertical="center"/>
    </xf>
    <xf numFmtId="41" fontId="45" fillId="0" borderId="86" xfId="1" applyNumberFormat="1" applyFont="1" applyFill="1" applyBorder="1" applyAlignment="1">
      <alignment vertical="center"/>
    </xf>
    <xf numFmtId="0" fontId="37" fillId="0" borderId="0" xfId="0" applyFont="1" applyFill="1" applyBorder="1" applyAlignment="1">
      <alignment vertical="center"/>
    </xf>
    <xf numFmtId="0" fontId="13" fillId="0" borderId="95" xfId="0" applyFont="1" applyFill="1" applyBorder="1" applyAlignment="1">
      <alignment horizontal="center" vertical="center"/>
    </xf>
    <xf numFmtId="0" fontId="13" fillId="0" borderId="54" xfId="0" applyFont="1" applyFill="1" applyBorder="1" applyAlignment="1">
      <alignment horizontal="center" vertical="center"/>
    </xf>
    <xf numFmtId="41" fontId="13" fillId="0" borderId="54" xfId="0" applyNumberFormat="1" applyFont="1" applyFill="1" applyBorder="1" applyAlignment="1">
      <alignment vertical="center"/>
    </xf>
    <xf numFmtId="41" fontId="13" fillId="0" borderId="97" xfId="0" applyNumberFormat="1" applyFont="1" applyFill="1" applyBorder="1" applyAlignment="1">
      <alignment vertical="center"/>
    </xf>
    <xf numFmtId="41" fontId="13" fillId="0" borderId="98" xfId="0" applyNumberFormat="1" applyFont="1" applyFill="1" applyBorder="1" applyAlignment="1">
      <alignment vertical="center"/>
    </xf>
    <xf numFmtId="41" fontId="13" fillId="0" borderId="96" xfId="0" applyNumberFormat="1" applyFont="1" applyFill="1" applyBorder="1" applyAlignment="1">
      <alignment vertical="center"/>
    </xf>
    <xf numFmtId="164" fontId="4" fillId="8" borderId="100" xfId="0" applyNumberFormat="1" applyFont="1" applyFill="1" applyBorder="1" applyAlignment="1">
      <alignment horizontal="center" vertical="center"/>
    </xf>
    <xf numFmtId="0" fontId="4" fillId="8" borderId="56" xfId="0" applyFont="1" applyFill="1" applyBorder="1" applyAlignment="1">
      <alignment horizontal="center" vertical="center"/>
    </xf>
    <xf numFmtId="41" fontId="4" fillId="8" borderId="56" xfId="0" applyNumberFormat="1" applyFont="1" applyFill="1" applyBorder="1" applyAlignment="1">
      <alignment vertical="center"/>
    </xf>
    <xf numFmtId="41" fontId="4" fillId="8" borderId="92" xfId="0" applyNumberFormat="1" applyFont="1" applyFill="1" applyBorder="1" applyAlignment="1">
      <alignment vertical="center"/>
    </xf>
    <xf numFmtId="41" fontId="4" fillId="8" borderId="93" xfId="0" applyNumberFormat="1" applyFont="1" applyFill="1" applyBorder="1" applyAlignment="1">
      <alignment vertical="center"/>
    </xf>
    <xf numFmtId="41" fontId="46" fillId="8" borderId="56" xfId="0" applyNumberFormat="1" applyFont="1" applyFill="1" applyBorder="1" applyAlignment="1">
      <alignment vertical="center"/>
    </xf>
    <xf numFmtId="41" fontId="4" fillId="8" borderId="101" xfId="0" applyNumberFormat="1" applyFont="1" applyFill="1" applyBorder="1" applyAlignment="1">
      <alignment vertical="center"/>
    </xf>
    <xf numFmtId="0" fontId="4" fillId="8" borderId="56" xfId="0" applyFont="1" applyFill="1" applyBorder="1" applyAlignment="1">
      <alignment horizontal="left" vertical="center"/>
    </xf>
    <xf numFmtId="0" fontId="12" fillId="8" borderId="56" xfId="0" applyFont="1" applyFill="1" applyBorder="1" applyAlignment="1">
      <alignment horizontal="center" vertical="center"/>
    </xf>
    <xf numFmtId="41" fontId="12" fillId="8" borderId="56" xfId="0" applyNumberFormat="1" applyFont="1" applyFill="1" applyBorder="1" applyAlignment="1">
      <alignment vertical="center"/>
    </xf>
    <xf numFmtId="41" fontId="12" fillId="8" borderId="92" xfId="0" applyNumberFormat="1" applyFont="1" applyFill="1" applyBorder="1" applyAlignment="1">
      <alignment vertical="center"/>
    </xf>
    <xf numFmtId="41" fontId="12" fillId="8" borderId="93" xfId="0" applyNumberFormat="1" applyFont="1" applyFill="1" applyBorder="1" applyAlignment="1">
      <alignment vertical="center"/>
    </xf>
    <xf numFmtId="41" fontId="37" fillId="8" borderId="101" xfId="0" applyNumberFormat="1" applyFont="1" applyFill="1" applyBorder="1" applyAlignment="1">
      <alignment vertical="center"/>
    </xf>
    <xf numFmtId="41" fontId="4" fillId="8" borderId="102" xfId="0" applyNumberFormat="1" applyFont="1" applyFill="1" applyBorder="1" applyAlignment="1">
      <alignment vertical="center"/>
    </xf>
    <xf numFmtId="41" fontId="3" fillId="0" borderId="102" xfId="1" applyNumberFormat="1" applyFont="1" applyFill="1" applyBorder="1" applyAlignment="1">
      <alignment horizontal="left" vertical="center"/>
    </xf>
    <xf numFmtId="41" fontId="3" fillId="0" borderId="24" xfId="1" applyNumberFormat="1" applyFont="1" applyFill="1" applyBorder="1" applyAlignment="1">
      <alignment horizontal="left" vertical="center"/>
    </xf>
    <xf numFmtId="41" fontId="3" fillId="0" borderId="61" xfId="1" applyNumberFormat="1" applyFont="1" applyFill="1" applyBorder="1" applyAlignment="1">
      <alignment horizontal="left" vertical="center"/>
    </xf>
    <xf numFmtId="41" fontId="37" fillId="8" borderId="103" xfId="0" applyNumberFormat="1" applyFont="1" applyFill="1" applyBorder="1" applyAlignment="1">
      <alignment vertical="center"/>
    </xf>
    <xf numFmtId="41" fontId="3" fillId="0" borderId="101" xfId="1" applyNumberFormat="1" applyFont="1" applyFill="1" applyBorder="1" applyAlignment="1">
      <alignment horizontal="left" vertical="center"/>
    </xf>
    <xf numFmtId="41" fontId="3" fillId="0" borderId="80" xfId="1" applyNumberFormat="1" applyFont="1" applyFill="1" applyBorder="1" applyAlignment="1">
      <alignment horizontal="left" vertical="center"/>
    </xf>
    <xf numFmtId="41" fontId="3" fillId="0" borderId="104" xfId="1" applyNumberFormat="1" applyFont="1" applyFill="1" applyBorder="1" applyAlignment="1">
      <alignment horizontal="left" vertical="center"/>
    </xf>
    <xf numFmtId="0" fontId="4" fillId="0" borderId="105" xfId="0" applyFont="1" applyFill="1" applyBorder="1" applyAlignment="1">
      <alignment horizontal="center" vertical="center"/>
    </xf>
    <xf numFmtId="164" fontId="4" fillId="8" borderId="75" xfId="0" applyNumberFormat="1" applyFont="1" applyFill="1" applyBorder="1" applyAlignment="1">
      <alignment horizontal="center" vertical="center"/>
    </xf>
    <xf numFmtId="0" fontId="4" fillId="8" borderId="75" xfId="0" applyFont="1" applyFill="1" applyBorder="1" applyAlignment="1">
      <alignment horizontal="left" vertical="center"/>
    </xf>
    <xf numFmtId="0" fontId="4" fillId="8" borderId="75" xfId="0" applyFont="1" applyFill="1" applyBorder="1" applyAlignment="1">
      <alignment horizontal="center" vertical="center"/>
    </xf>
    <xf numFmtId="41" fontId="4" fillId="8" borderId="75" xfId="0" applyNumberFormat="1" applyFont="1" applyFill="1" applyBorder="1" applyAlignment="1">
      <alignment vertical="center"/>
    </xf>
    <xf numFmtId="1" fontId="3" fillId="0" borderId="75" xfId="0" applyNumberFormat="1" applyFont="1" applyFill="1" applyBorder="1" applyAlignment="1">
      <alignment vertical="center"/>
    </xf>
    <xf numFmtId="164" fontId="3" fillId="0" borderId="75" xfId="0" applyNumberFormat="1" applyFont="1" applyFill="1" applyBorder="1" applyAlignment="1">
      <alignment vertical="center"/>
    </xf>
    <xf numFmtId="0" fontId="3" fillId="0" borderId="75" xfId="0" applyFont="1" applyFill="1" applyBorder="1" applyAlignment="1">
      <alignment vertical="center"/>
    </xf>
    <xf numFmtId="1" fontId="3" fillId="0" borderId="69" xfId="0" applyNumberFormat="1" applyFont="1" applyFill="1" applyBorder="1" applyAlignment="1">
      <alignment vertical="center"/>
    </xf>
    <xf numFmtId="164" fontId="3" fillId="0" borderId="69" xfId="0" applyNumberFormat="1" applyFont="1" applyFill="1" applyBorder="1" applyAlignment="1">
      <alignment vertical="center"/>
    </xf>
    <xf numFmtId="0" fontId="3" fillId="0" borderId="69" xfId="0" applyFont="1" applyFill="1" applyBorder="1" applyAlignment="1">
      <alignment vertical="center"/>
    </xf>
    <xf numFmtId="1" fontId="3" fillId="0" borderId="106" xfId="0" applyNumberFormat="1" applyFont="1" applyFill="1" applyBorder="1" applyAlignment="1">
      <alignment vertical="center"/>
    </xf>
    <xf numFmtId="164" fontId="3" fillId="0" borderId="106" xfId="0" applyNumberFormat="1" applyFont="1" applyFill="1" applyBorder="1" applyAlignment="1">
      <alignment vertical="center"/>
    </xf>
    <xf numFmtId="0" fontId="3" fillId="0" borderId="106" xfId="0" applyFont="1" applyFill="1" applyBorder="1" applyAlignment="1">
      <alignment vertical="center"/>
    </xf>
    <xf numFmtId="0" fontId="12" fillId="0" borderId="0" xfId="0" applyFont="1" applyFill="1" applyAlignment="1">
      <alignment horizontal="right" vertical="center"/>
    </xf>
    <xf numFmtId="0" fontId="4" fillId="0" borderId="0" xfId="0" applyFont="1" applyFill="1" applyAlignment="1">
      <alignment horizontal="left" vertical="center" indent="4"/>
    </xf>
    <xf numFmtId="165" fontId="1" fillId="0" borderId="107" xfId="368" applyNumberFormat="1" applyFont="1" applyBorder="1" applyAlignment="1">
      <alignment vertical="center"/>
    </xf>
    <xf numFmtId="165" fontId="1" fillId="0" borderId="108" xfId="368" applyNumberFormat="1" applyFont="1" applyBorder="1" applyAlignment="1">
      <alignment vertical="center"/>
    </xf>
    <xf numFmtId="165" fontId="1" fillId="0" borderId="109" xfId="368" applyNumberFormat="1" applyFont="1" applyBorder="1" applyAlignment="1">
      <alignment vertical="center"/>
    </xf>
    <xf numFmtId="165" fontId="1" fillId="0" borderId="0" xfId="368" applyNumberFormat="1" applyFont="1" applyAlignment="1">
      <alignment vertical="center"/>
    </xf>
    <xf numFmtId="165" fontId="1" fillId="0" borderId="110" xfId="368" applyNumberFormat="1" applyFont="1" applyBorder="1" applyAlignment="1">
      <alignment vertical="center"/>
    </xf>
    <xf numFmtId="165" fontId="1" fillId="0" borderId="111" xfId="368" applyNumberFormat="1" applyFont="1" applyBorder="1" applyAlignment="1">
      <alignment vertical="center"/>
    </xf>
    <xf numFmtId="165" fontId="1" fillId="0" borderId="0" xfId="368" applyNumberFormat="1" applyFont="1" applyBorder="1" applyAlignment="1">
      <alignment vertical="center"/>
    </xf>
    <xf numFmtId="165" fontId="11" fillId="0" borderId="0" xfId="368" applyNumberFormat="1" applyFont="1" applyBorder="1" applyAlignment="1">
      <alignment vertical="center"/>
    </xf>
    <xf numFmtId="165" fontId="21" fillId="0" borderId="0" xfId="368" applyNumberFormat="1" applyFont="1" applyBorder="1" applyAlignment="1">
      <alignment horizontal="left" vertical="center" indent="9"/>
    </xf>
    <xf numFmtId="165" fontId="21" fillId="0" borderId="0" xfId="368" applyNumberFormat="1" applyFont="1" applyBorder="1" applyAlignment="1">
      <alignment vertical="center"/>
    </xf>
    <xf numFmtId="165" fontId="21" fillId="0" borderId="0" xfId="368" quotePrefix="1" applyNumberFormat="1" applyFont="1" applyBorder="1" applyAlignment="1">
      <alignment vertical="center"/>
    </xf>
    <xf numFmtId="165" fontId="72" fillId="0" borderId="112" xfId="368" applyNumberFormat="1" applyFont="1" applyFill="1" applyBorder="1" applyAlignment="1">
      <alignment horizontal="center" vertical="center"/>
    </xf>
    <xf numFmtId="165" fontId="72" fillId="0" borderId="77" xfId="368" applyNumberFormat="1" applyFont="1" applyFill="1" applyBorder="1" applyAlignment="1">
      <alignment horizontal="center" vertical="center"/>
    </xf>
    <xf numFmtId="165" fontId="72" fillId="0" borderId="36" xfId="368" applyNumberFormat="1" applyFont="1" applyFill="1" applyBorder="1" applyAlignment="1">
      <alignment horizontal="center" vertical="center"/>
    </xf>
    <xf numFmtId="165" fontId="72" fillId="0" borderId="79" xfId="368" applyNumberFormat="1" applyFont="1" applyFill="1" applyBorder="1" applyAlignment="1">
      <alignment horizontal="center" vertical="center"/>
    </xf>
    <xf numFmtId="165" fontId="72" fillId="0" borderId="37" xfId="368" applyNumberFormat="1" applyFont="1" applyFill="1" applyBorder="1" applyAlignment="1">
      <alignment horizontal="center" vertical="center" wrapText="1"/>
    </xf>
    <xf numFmtId="165" fontId="37" fillId="0" borderId="110" xfId="368" applyNumberFormat="1" applyFont="1" applyBorder="1" applyAlignment="1">
      <alignment vertical="center"/>
    </xf>
    <xf numFmtId="165" fontId="37" fillId="0" borderId="111" xfId="368" applyNumberFormat="1" applyFont="1" applyBorder="1" applyAlignment="1">
      <alignment vertical="center"/>
    </xf>
    <xf numFmtId="165" fontId="37" fillId="0" borderId="0" xfId="368" applyNumberFormat="1" applyFont="1" applyAlignment="1">
      <alignment vertical="center"/>
    </xf>
    <xf numFmtId="165" fontId="73" fillId="0" borderId="110" xfId="368" applyNumberFormat="1" applyFont="1" applyBorder="1" applyAlignment="1">
      <alignment vertical="center"/>
    </xf>
    <xf numFmtId="165" fontId="73" fillId="0" borderId="45" xfId="368" applyNumberFormat="1" applyFont="1" applyBorder="1" applyAlignment="1">
      <alignment horizontal="left" vertical="center"/>
    </xf>
    <xf numFmtId="165" fontId="73" fillId="0" borderId="65" xfId="368" applyNumberFormat="1" applyFont="1" applyBorder="1" applyAlignment="1">
      <alignment vertical="center"/>
    </xf>
    <xf numFmtId="165" fontId="72" fillId="0" borderId="88" xfId="368" applyNumberFormat="1" applyFont="1" applyFill="1" applyBorder="1" applyAlignment="1">
      <alignment vertical="center"/>
    </xf>
    <xf numFmtId="165" fontId="72" fillId="0" borderId="45" xfId="368" applyNumberFormat="1" applyFont="1" applyFill="1" applyBorder="1" applyAlignment="1">
      <alignment vertical="center"/>
    </xf>
    <xf numFmtId="165" fontId="73" fillId="0" borderId="111" xfId="368" applyNumberFormat="1" applyFont="1" applyBorder="1" applyAlignment="1">
      <alignment vertical="center"/>
    </xf>
    <xf numFmtId="165" fontId="73" fillId="0" borderId="0" xfId="368" applyNumberFormat="1" applyFont="1" applyAlignment="1">
      <alignment vertical="center"/>
    </xf>
    <xf numFmtId="165" fontId="73" fillId="0" borderId="24" xfId="368" applyNumberFormat="1" applyFont="1" applyBorder="1" applyAlignment="1">
      <alignment vertical="center"/>
    </xf>
    <xf numFmtId="165" fontId="72" fillId="0" borderId="69" xfId="368" applyNumberFormat="1" applyFont="1" applyFill="1" applyBorder="1" applyAlignment="1">
      <alignment vertical="center"/>
    </xf>
    <xf numFmtId="165" fontId="72" fillId="0" borderId="46" xfId="368" applyNumberFormat="1" applyFont="1" applyFill="1" applyBorder="1" applyAlignment="1">
      <alignment vertical="center"/>
    </xf>
    <xf numFmtId="165" fontId="72" fillId="0" borderId="2" xfId="368" applyNumberFormat="1" applyFont="1" applyFill="1" applyBorder="1" applyAlignment="1">
      <alignment vertical="center"/>
    </xf>
    <xf numFmtId="165" fontId="73" fillId="0" borderId="43" xfId="368" applyNumberFormat="1" applyFont="1" applyBorder="1" applyAlignment="1">
      <alignment vertical="center"/>
    </xf>
    <xf numFmtId="165" fontId="73" fillId="0" borderId="31" xfId="368" applyNumberFormat="1" applyFont="1" applyBorder="1" applyAlignment="1">
      <alignment vertical="center"/>
    </xf>
    <xf numFmtId="165" fontId="73" fillId="0" borderId="36" xfId="368" applyNumberFormat="1" applyFont="1" applyBorder="1" applyAlignment="1">
      <alignment vertical="center"/>
    </xf>
    <xf numFmtId="165" fontId="73" fillId="0" borderId="112" xfId="368" applyNumberFormat="1" applyFont="1" applyBorder="1" applyAlignment="1">
      <alignment vertical="center"/>
    </xf>
    <xf numFmtId="165" fontId="73" fillId="0" borderId="79" xfId="368" applyNumberFormat="1" applyFont="1" applyBorder="1" applyAlignment="1">
      <alignment vertical="center"/>
    </xf>
    <xf numFmtId="165" fontId="73" fillId="0" borderId="37" xfId="368" applyNumberFormat="1" applyFont="1" applyBorder="1" applyAlignment="1">
      <alignment vertical="center"/>
    </xf>
    <xf numFmtId="165" fontId="73" fillId="0" borderId="46" xfId="368" applyNumberFormat="1" applyFont="1" applyBorder="1" applyAlignment="1">
      <alignment horizontal="left" vertical="center"/>
    </xf>
    <xf numFmtId="165" fontId="41" fillId="0" borderId="0" xfId="368" applyNumberFormat="1" applyFont="1" applyBorder="1" applyAlignment="1">
      <alignment vertical="center"/>
    </xf>
    <xf numFmtId="165" fontId="72" fillId="0" borderId="43" xfId="368" applyNumberFormat="1" applyFont="1" applyFill="1" applyBorder="1" applyAlignment="1">
      <alignment vertical="center"/>
    </xf>
    <xf numFmtId="165" fontId="72" fillId="0" borderId="17" xfId="368" applyNumberFormat="1" applyFont="1" applyFill="1" applyBorder="1" applyAlignment="1">
      <alignment vertical="center"/>
    </xf>
    <xf numFmtId="165" fontId="73" fillId="0" borderId="113" xfId="368" applyNumberFormat="1" applyFont="1" applyBorder="1" applyAlignment="1">
      <alignment vertical="center"/>
    </xf>
    <xf numFmtId="165" fontId="73" fillId="0" borderId="81" xfId="368" applyNumberFormat="1" applyFont="1" applyBorder="1" applyAlignment="1">
      <alignment vertical="center"/>
    </xf>
    <xf numFmtId="165" fontId="73" fillId="0" borderId="114" xfId="368" applyNumberFormat="1" applyFont="1" applyBorder="1" applyAlignment="1">
      <alignment vertical="center"/>
    </xf>
    <xf numFmtId="165" fontId="72" fillId="0" borderId="24" xfId="368" applyNumberFormat="1" applyFont="1" applyBorder="1" applyAlignment="1">
      <alignment horizontal="center" vertical="center"/>
    </xf>
    <xf numFmtId="165" fontId="1" fillId="0" borderId="46" xfId="368" applyNumberFormat="1" applyFont="1" applyBorder="1" applyAlignment="1">
      <alignment horizontal="left" vertical="center"/>
    </xf>
    <xf numFmtId="165" fontId="1" fillId="0" borderId="24" xfId="368" applyNumberFormat="1" applyFont="1" applyBorder="1" applyAlignment="1">
      <alignment vertical="center"/>
    </xf>
    <xf numFmtId="165" fontId="1" fillId="0" borderId="88" xfId="368" applyNumberFormat="1" applyFont="1" applyBorder="1" applyAlignment="1">
      <alignment vertical="center"/>
    </xf>
    <xf numFmtId="165" fontId="1" fillId="0" borderId="46" xfId="368" applyNumberFormat="1" applyFont="1" applyBorder="1" applyAlignment="1">
      <alignment vertical="center"/>
    </xf>
    <xf numFmtId="165" fontId="1" fillId="0" borderId="80" xfId="368" applyNumberFormat="1" applyFont="1" applyBorder="1" applyAlignment="1">
      <alignment vertical="center"/>
    </xf>
    <xf numFmtId="165" fontId="1" fillId="0" borderId="115" xfId="368" applyNumberFormat="1" applyFont="1" applyBorder="1" applyAlignment="1">
      <alignment vertical="center"/>
    </xf>
    <xf numFmtId="165" fontId="72" fillId="0" borderId="43" xfId="368" applyNumberFormat="1" applyFont="1" applyBorder="1" applyAlignment="1">
      <alignment horizontal="left" vertical="center"/>
    </xf>
    <xf numFmtId="165" fontId="10" fillId="0" borderId="31" xfId="368" applyNumberFormat="1" applyFont="1" applyBorder="1" applyAlignment="1">
      <alignment horizontal="center" vertical="center"/>
    </xf>
    <xf numFmtId="165" fontId="10" fillId="0" borderId="113" xfId="368" applyNumberFormat="1" applyFont="1" applyBorder="1" applyAlignment="1">
      <alignment horizontal="center" vertical="center"/>
    </xf>
    <xf numFmtId="165" fontId="1" fillId="0" borderId="43" xfId="368" applyNumberFormat="1" applyFont="1" applyBorder="1" applyAlignment="1">
      <alignment vertical="center"/>
    </xf>
    <xf numFmtId="165" fontId="1" fillId="0" borderId="81" xfId="368" applyNumberFormat="1" applyFont="1" applyBorder="1" applyAlignment="1">
      <alignment vertical="center"/>
    </xf>
    <xf numFmtId="165" fontId="1" fillId="0" borderId="114" xfId="368" applyNumberFormat="1" applyFont="1" applyBorder="1" applyAlignment="1">
      <alignment vertical="center"/>
    </xf>
    <xf numFmtId="165" fontId="73" fillId="0" borderId="65" xfId="368" applyNumberFormat="1" applyFont="1" applyBorder="1" applyAlignment="1">
      <alignment horizontal="left" vertical="center" indent="1"/>
    </xf>
    <xf numFmtId="165" fontId="73" fillId="0" borderId="24" xfId="368" applyNumberFormat="1" applyFont="1" applyBorder="1" applyAlignment="1">
      <alignment horizontal="left" vertical="center" indent="1"/>
    </xf>
    <xf numFmtId="165" fontId="73" fillId="0" borderId="112" xfId="368" applyNumberFormat="1" applyFont="1" applyBorder="1" applyAlignment="1">
      <alignment horizontal="left" vertical="center"/>
    </xf>
    <xf numFmtId="165" fontId="73" fillId="0" borderId="77" xfId="368" applyNumberFormat="1" applyFont="1" applyBorder="1" applyAlignment="1">
      <alignment vertical="center"/>
    </xf>
    <xf numFmtId="165" fontId="72" fillId="0" borderId="36" xfId="368" applyNumberFormat="1" applyFont="1" applyFill="1" applyBorder="1" applyAlignment="1">
      <alignment vertical="center"/>
    </xf>
    <xf numFmtId="165" fontId="72" fillId="0" borderId="112" xfId="368" applyNumberFormat="1" applyFont="1" applyFill="1" applyBorder="1" applyAlignment="1">
      <alignment vertical="center"/>
    </xf>
    <xf numFmtId="165" fontId="73" fillId="0" borderId="24" xfId="368" applyNumberFormat="1" applyFont="1" applyFill="1" applyBorder="1" applyAlignment="1">
      <alignment vertical="center"/>
    </xf>
    <xf numFmtId="165" fontId="73" fillId="0" borderId="43" xfId="368" applyNumberFormat="1" applyFont="1" applyBorder="1" applyAlignment="1">
      <alignment horizontal="left" vertical="center"/>
    </xf>
    <xf numFmtId="165" fontId="1" fillId="0" borderId="110" xfId="368" applyNumberFormat="1" applyFont="1" applyFill="1" applyBorder="1" applyAlignment="1">
      <alignment vertical="center"/>
    </xf>
    <xf numFmtId="165" fontId="1" fillId="0" borderId="46" xfId="368" applyNumberFormat="1" applyFont="1" applyFill="1" applyBorder="1" applyAlignment="1">
      <alignment horizontal="left" vertical="center"/>
    </xf>
    <xf numFmtId="165" fontId="1" fillId="0" borderId="24" xfId="368" applyNumberFormat="1" applyFont="1" applyFill="1" applyBorder="1" applyAlignment="1">
      <alignment vertical="center"/>
    </xf>
    <xf numFmtId="165" fontId="11" fillId="0" borderId="36" xfId="368" applyNumberFormat="1" applyFont="1" applyFill="1" applyBorder="1" applyAlignment="1">
      <alignment vertical="center"/>
    </xf>
    <xf numFmtId="165" fontId="11" fillId="0" borderId="112" xfId="368" applyNumberFormat="1" applyFont="1" applyFill="1" applyBorder="1" applyAlignment="1">
      <alignment vertical="center"/>
    </xf>
    <xf numFmtId="165" fontId="11" fillId="0" borderId="79" xfId="368" applyNumberFormat="1" applyFont="1" applyFill="1" applyBorder="1" applyAlignment="1">
      <alignment vertical="center"/>
    </xf>
    <xf numFmtId="165" fontId="11" fillId="0" borderId="37" xfId="368" applyNumberFormat="1" applyFont="1" applyFill="1" applyBorder="1" applyAlignment="1">
      <alignment vertical="center"/>
    </xf>
    <xf numFmtId="165" fontId="1" fillId="0" borderId="111" xfId="368" applyNumberFormat="1" applyFont="1" applyFill="1" applyBorder="1" applyAlignment="1">
      <alignment vertical="center"/>
    </xf>
    <xf numFmtId="165" fontId="1" fillId="0" borderId="0" xfId="368" applyNumberFormat="1" applyFont="1" applyFill="1" applyAlignment="1">
      <alignment vertical="center"/>
    </xf>
    <xf numFmtId="165" fontId="73" fillId="0" borderId="46" xfId="368" applyNumberFormat="1" applyFont="1" applyBorder="1" applyAlignment="1">
      <alignment vertical="center"/>
    </xf>
    <xf numFmtId="165" fontId="1" fillId="0" borderId="31" xfId="368" applyNumberFormat="1" applyFont="1" applyBorder="1" applyAlignment="1">
      <alignment vertical="center"/>
    </xf>
    <xf numFmtId="165" fontId="37" fillId="0" borderId="36" xfId="368" applyNumberFormat="1" applyFont="1" applyBorder="1" applyAlignment="1">
      <alignment vertical="center"/>
    </xf>
    <xf numFmtId="165" fontId="37" fillId="0" borderId="112" xfId="368" applyNumberFormat="1" applyFont="1" applyBorder="1" applyAlignment="1">
      <alignment vertical="center"/>
    </xf>
    <xf numFmtId="165" fontId="37" fillId="0" borderId="79" xfId="368" applyNumberFormat="1" applyFont="1" applyBorder="1" applyAlignment="1">
      <alignment vertical="center"/>
    </xf>
    <xf numFmtId="165" fontId="37" fillId="0" borderId="37" xfId="368" applyNumberFormat="1" applyFont="1" applyBorder="1" applyAlignment="1">
      <alignment vertical="center"/>
    </xf>
    <xf numFmtId="165" fontId="37" fillId="0" borderId="47" xfId="368" applyNumberFormat="1" applyFont="1" applyBorder="1" applyAlignment="1">
      <alignment vertical="center"/>
    </xf>
    <xf numFmtId="165" fontId="37" fillId="0" borderId="0" xfId="368" applyNumberFormat="1" applyFont="1" applyBorder="1" applyAlignment="1">
      <alignment vertical="center"/>
    </xf>
    <xf numFmtId="165" fontId="1" fillId="0" borderId="116" xfId="368" applyNumberFormat="1" applyFont="1" applyBorder="1" applyAlignment="1">
      <alignment horizontal="center" vertical="center"/>
    </xf>
    <xf numFmtId="165" fontId="1" fillId="0" borderId="117" xfId="368" applyNumberFormat="1" applyFont="1" applyBorder="1" applyAlignment="1">
      <alignment horizontal="center" vertical="center"/>
    </xf>
    <xf numFmtId="165" fontId="11" fillId="0" borderId="118" xfId="368" applyNumberFormat="1" applyFont="1" applyBorder="1" applyAlignment="1">
      <alignment horizontal="center" vertical="center"/>
    </xf>
    <xf numFmtId="165" fontId="1" fillId="0" borderId="0" xfId="368" applyNumberFormat="1" applyFont="1" applyAlignment="1">
      <alignment horizontal="center" vertical="center"/>
    </xf>
    <xf numFmtId="165" fontId="11" fillId="0" borderId="0" xfId="368" applyNumberFormat="1" applyFont="1" applyAlignment="1">
      <alignment horizontal="center" vertical="center"/>
    </xf>
    <xf numFmtId="41" fontId="1" fillId="0" borderId="107" xfId="1175" applyNumberFormat="1" applyBorder="1" applyAlignment="1">
      <alignment vertical="center"/>
    </xf>
    <xf numFmtId="41" fontId="1" fillId="0" borderId="108" xfId="1175" applyNumberFormat="1" applyBorder="1" applyAlignment="1">
      <alignment vertical="center"/>
    </xf>
    <xf numFmtId="41" fontId="11" fillId="0" borderId="108" xfId="1175" applyNumberFormat="1" applyFont="1" applyBorder="1" applyAlignment="1">
      <alignment vertical="center"/>
    </xf>
    <xf numFmtId="41" fontId="1" fillId="0" borderId="109" xfId="1175" applyNumberFormat="1" applyBorder="1" applyAlignment="1">
      <alignment vertical="center"/>
    </xf>
    <xf numFmtId="41" fontId="1" fillId="0" borderId="0" xfId="1175" applyNumberFormat="1" applyAlignment="1">
      <alignment vertical="center"/>
    </xf>
    <xf numFmtId="41" fontId="74" fillId="0" borderId="110" xfId="1175" applyNumberFormat="1" applyFont="1" applyBorder="1" applyAlignment="1">
      <alignment vertical="center"/>
    </xf>
    <xf numFmtId="41" fontId="74" fillId="0" borderId="111" xfId="1175" applyNumberFormat="1" applyFont="1" applyBorder="1" applyAlignment="1">
      <alignment vertical="center"/>
    </xf>
    <xf numFmtId="41" fontId="74" fillId="0" borderId="0" xfId="1175" applyNumberFormat="1" applyFont="1" applyAlignment="1">
      <alignment vertical="center"/>
    </xf>
    <xf numFmtId="41" fontId="75" fillId="0" borderId="0" xfId="1175" applyNumberFormat="1" applyFont="1" applyAlignment="1">
      <alignment vertical="center"/>
    </xf>
    <xf numFmtId="41" fontId="1" fillId="0" borderId="110" xfId="1175" applyNumberFormat="1" applyBorder="1" applyAlignment="1">
      <alignment vertical="center"/>
    </xf>
    <xf numFmtId="41" fontId="1" fillId="0" borderId="0" xfId="1175" applyNumberFormat="1" applyFont="1" applyBorder="1" applyAlignment="1">
      <alignment vertical="center"/>
    </xf>
    <xf numFmtId="41" fontId="11" fillId="0" borderId="0" xfId="1175" applyNumberFormat="1" applyFont="1" applyBorder="1" applyAlignment="1">
      <alignment vertical="center"/>
    </xf>
    <xf numFmtId="41" fontId="1" fillId="0" borderId="111" xfId="1175" applyNumberFormat="1" applyFont="1" applyBorder="1" applyAlignment="1">
      <alignment vertical="center"/>
    </xf>
    <xf numFmtId="41" fontId="1" fillId="0" borderId="0" xfId="1175" applyNumberFormat="1" applyFont="1" applyAlignment="1">
      <alignment vertical="center"/>
    </xf>
    <xf numFmtId="41" fontId="20" fillId="0" borderId="0" xfId="1175" applyNumberFormat="1" applyFont="1" applyAlignment="1">
      <alignment vertical="center"/>
    </xf>
    <xf numFmtId="41" fontId="1" fillId="0" borderId="0" xfId="1175" applyNumberFormat="1" applyBorder="1" applyAlignment="1">
      <alignment vertical="center"/>
    </xf>
    <xf numFmtId="41" fontId="21" fillId="0" borderId="0" xfId="1175" applyNumberFormat="1" applyFont="1" applyBorder="1" applyAlignment="1">
      <alignment horizontal="left" vertical="center" indent="5"/>
    </xf>
    <xf numFmtId="41" fontId="22" fillId="0" borderId="0" xfId="1175" applyNumberFormat="1" applyFont="1" applyBorder="1" applyAlignment="1">
      <alignment vertical="center"/>
    </xf>
    <xf numFmtId="41" fontId="23" fillId="0" borderId="0" xfId="1175" applyNumberFormat="1" applyFont="1" applyBorder="1" applyAlignment="1">
      <alignment vertical="center"/>
    </xf>
    <xf numFmtId="41" fontId="23" fillId="0" borderId="111" xfId="1175" applyNumberFormat="1" applyFont="1" applyBorder="1" applyAlignment="1">
      <alignment vertical="center"/>
    </xf>
    <xf numFmtId="41" fontId="23" fillId="0" borderId="0" xfId="1175" applyNumberFormat="1" applyFont="1" applyAlignment="1">
      <alignment vertical="center"/>
    </xf>
    <xf numFmtId="41" fontId="24" fillId="0" borderId="0" xfId="1175" applyNumberFormat="1" applyFont="1" applyAlignment="1">
      <alignment vertical="center"/>
    </xf>
    <xf numFmtId="41" fontId="25" fillId="0" borderId="110" xfId="1175" applyNumberFormat="1" applyFont="1" applyBorder="1" applyAlignment="1">
      <alignment vertical="center"/>
    </xf>
    <xf numFmtId="41" fontId="25" fillId="0" borderId="111" xfId="1175" applyNumberFormat="1" applyFont="1" applyBorder="1" applyAlignment="1">
      <alignment vertical="center"/>
    </xf>
    <xf numFmtId="41" fontId="25" fillId="0" borderId="0" xfId="1175" applyNumberFormat="1" applyFont="1" applyAlignment="1">
      <alignment vertical="center"/>
    </xf>
    <xf numFmtId="41" fontId="26" fillId="0" borderId="0" xfId="1175" applyNumberFormat="1" applyFont="1" applyAlignment="1">
      <alignment vertical="center"/>
    </xf>
    <xf numFmtId="41" fontId="37" fillId="0" borderId="110" xfId="1175" applyNumberFormat="1" applyFont="1" applyBorder="1" applyAlignment="1">
      <alignment vertical="center"/>
    </xf>
    <xf numFmtId="43" fontId="12" fillId="0" borderId="119" xfId="368" applyFont="1" applyBorder="1" applyAlignment="1">
      <alignment horizontal="left" vertical="center"/>
    </xf>
    <xf numFmtId="41" fontId="10" fillId="0" borderId="120" xfId="1175" applyNumberFormat="1" applyFont="1" applyBorder="1" applyAlignment="1">
      <alignment vertical="center"/>
    </xf>
    <xf numFmtId="41" fontId="12" fillId="0" borderId="121" xfId="368" applyNumberFormat="1" applyFont="1" applyBorder="1" applyAlignment="1">
      <alignment vertical="center"/>
    </xf>
    <xf numFmtId="41" fontId="12" fillId="0" borderId="122" xfId="368" applyNumberFormat="1" applyFont="1" applyBorder="1" applyAlignment="1">
      <alignment vertical="center"/>
    </xf>
    <xf numFmtId="43" fontId="12" fillId="0" borderId="123" xfId="368" applyFont="1" applyBorder="1" applyAlignment="1">
      <alignment horizontal="left" vertical="center"/>
    </xf>
    <xf numFmtId="41" fontId="12" fillId="0" borderId="124" xfId="368" applyNumberFormat="1" applyFont="1" applyFill="1" applyBorder="1" applyAlignment="1">
      <alignment vertical="center"/>
    </xf>
    <xf numFmtId="41" fontId="37" fillId="0" borderId="111" xfId="1175" applyNumberFormat="1" applyFont="1" applyBorder="1" applyAlignment="1">
      <alignment vertical="center"/>
    </xf>
    <xf numFmtId="41" fontId="37" fillId="0" borderId="0" xfId="1175" applyNumberFormat="1" applyFont="1" applyAlignment="1">
      <alignment vertical="center"/>
    </xf>
    <xf numFmtId="41" fontId="40" fillId="0" borderId="0" xfId="1175" applyNumberFormat="1" applyFont="1" applyAlignment="1">
      <alignment vertical="center"/>
    </xf>
    <xf numFmtId="41" fontId="37" fillId="0" borderId="125" xfId="1175" applyNumberFormat="1" applyFont="1" applyBorder="1" applyAlignment="1">
      <alignment horizontal="left" vertical="center"/>
    </xf>
    <xf numFmtId="41" fontId="42" fillId="0" borderId="126" xfId="1175" applyNumberFormat="1" applyFont="1" applyBorder="1" applyAlignment="1">
      <alignment vertical="center"/>
    </xf>
    <xf numFmtId="41" fontId="12" fillId="0" borderId="126" xfId="368" applyNumberFormat="1" applyFont="1" applyBorder="1" applyAlignment="1">
      <alignment vertical="center"/>
    </xf>
    <xf numFmtId="41" fontId="12" fillId="0" borderId="127" xfId="368" applyNumberFormat="1" applyFont="1" applyBorder="1" applyAlignment="1">
      <alignment vertical="center"/>
    </xf>
    <xf numFmtId="41" fontId="37" fillId="0" borderId="128" xfId="1175" applyNumberFormat="1" applyFont="1" applyBorder="1" applyAlignment="1">
      <alignment vertical="center"/>
    </xf>
    <xf numFmtId="41" fontId="37" fillId="0" borderId="126" xfId="1175" applyNumberFormat="1" applyFont="1" applyBorder="1" applyAlignment="1">
      <alignment vertical="center"/>
    </xf>
    <xf numFmtId="41" fontId="12" fillId="0" borderId="129" xfId="368" applyNumberFormat="1" applyFont="1" applyFill="1" applyBorder="1" applyAlignment="1">
      <alignment vertical="center"/>
    </xf>
    <xf numFmtId="41" fontId="10" fillId="0" borderId="126" xfId="1175" applyNumberFormat="1" applyFont="1" applyBorder="1" applyAlignment="1">
      <alignment horizontal="center" vertical="center"/>
    </xf>
    <xf numFmtId="41" fontId="37" fillId="0" borderId="128" xfId="1175" applyNumberFormat="1" applyFont="1" applyFill="1" applyBorder="1" applyAlignment="1">
      <alignment vertical="center"/>
    </xf>
    <xf numFmtId="41" fontId="23" fillId="0" borderId="126" xfId="1175" applyNumberFormat="1" applyFont="1" applyFill="1" applyBorder="1" applyAlignment="1">
      <alignment vertical="center"/>
    </xf>
    <xf numFmtId="41" fontId="37" fillId="0" borderId="130" xfId="1175" applyNumberFormat="1" applyFont="1" applyFill="1" applyBorder="1" applyAlignment="1">
      <alignment vertical="center"/>
    </xf>
    <xf numFmtId="41" fontId="37" fillId="0" borderId="126" xfId="1175" applyNumberFormat="1" applyFont="1" applyFill="1" applyBorder="1" applyAlignment="1">
      <alignment vertical="center"/>
    </xf>
    <xf numFmtId="41" fontId="12" fillId="0" borderId="131" xfId="1175" applyNumberFormat="1" applyFont="1" applyBorder="1" applyAlignment="1">
      <alignment vertical="center"/>
    </xf>
    <xf numFmtId="43" fontId="12" fillId="0" borderId="130" xfId="368" applyFont="1" applyBorder="1" applyAlignment="1">
      <alignment horizontal="left" vertical="center"/>
    </xf>
    <xf numFmtId="41" fontId="10" fillId="0" borderId="126" xfId="1175" applyNumberFormat="1" applyFont="1" applyBorder="1" applyAlignment="1">
      <alignment vertical="center"/>
    </xf>
    <xf numFmtId="41" fontId="12" fillId="0" borderId="129" xfId="368" applyNumberFormat="1" applyFont="1" applyBorder="1" applyAlignment="1">
      <alignment vertical="center"/>
    </xf>
    <xf numFmtId="41" fontId="37" fillId="0" borderId="130" xfId="1175" applyNumberFormat="1" applyFont="1" applyBorder="1" applyAlignment="1">
      <alignment horizontal="left" vertical="center"/>
    </xf>
    <xf numFmtId="41" fontId="37" fillId="0" borderId="125" xfId="1175" applyNumberFormat="1" applyFont="1" applyBorder="1" applyAlignment="1">
      <alignment vertical="center"/>
    </xf>
    <xf numFmtId="41" fontId="12" fillId="0" borderId="128" xfId="1175" applyNumberFormat="1" applyFont="1" applyBorder="1" applyAlignment="1">
      <alignment vertical="center"/>
    </xf>
    <xf numFmtId="41" fontId="37" fillId="0" borderId="130" xfId="1175" applyNumberFormat="1" applyFont="1" applyBorder="1" applyAlignment="1">
      <alignment vertical="center"/>
    </xf>
    <xf numFmtId="41" fontId="37" fillId="0" borderId="129" xfId="1175" applyNumberFormat="1" applyFont="1" applyBorder="1" applyAlignment="1">
      <alignment vertical="center"/>
    </xf>
    <xf numFmtId="41" fontId="12" fillId="0" borderId="130" xfId="1175" applyNumberFormat="1" applyFont="1" applyBorder="1" applyAlignment="1">
      <alignment horizontal="left" vertical="center"/>
    </xf>
    <xf numFmtId="41" fontId="37" fillId="0" borderId="132" xfId="1175" applyNumberFormat="1" applyFont="1" applyBorder="1" applyAlignment="1">
      <alignment vertical="center"/>
    </xf>
    <xf numFmtId="168" fontId="12" fillId="0" borderId="129" xfId="368" applyNumberFormat="1" applyFont="1" applyBorder="1" applyAlignment="1">
      <alignment vertical="center"/>
    </xf>
    <xf numFmtId="41" fontId="37" fillId="0" borderId="125" xfId="861" applyNumberFormat="1" applyFont="1" applyFill="1" applyBorder="1" applyAlignment="1">
      <alignment horizontal="left" vertical="center"/>
    </xf>
    <xf numFmtId="41" fontId="10" fillId="0" borderId="126" xfId="861" applyNumberFormat="1" applyFont="1" applyFill="1" applyBorder="1" applyAlignment="1">
      <alignment vertical="center"/>
    </xf>
    <xf numFmtId="41" fontId="12" fillId="0" borderId="126" xfId="96" applyNumberFormat="1" applyFont="1" applyFill="1" applyBorder="1" applyAlignment="1">
      <alignment horizontal="right"/>
    </xf>
    <xf numFmtId="41" fontId="37" fillId="0" borderId="133" xfId="1175" applyNumberFormat="1" applyFont="1" applyBorder="1" applyAlignment="1">
      <alignment vertical="center"/>
    </xf>
    <xf numFmtId="41" fontId="37" fillId="0" borderId="134" xfId="1175" applyNumberFormat="1" applyFont="1" applyBorder="1" applyAlignment="1">
      <alignment vertical="center"/>
    </xf>
    <xf numFmtId="41" fontId="12" fillId="0" borderId="134" xfId="368" applyNumberFormat="1" applyFont="1" applyBorder="1" applyAlignment="1">
      <alignment vertical="center"/>
    </xf>
    <xf numFmtId="41" fontId="12" fillId="5" borderId="135" xfId="368" applyNumberFormat="1" applyFont="1" applyFill="1" applyBorder="1" applyAlignment="1">
      <alignment vertical="center"/>
    </xf>
    <xf numFmtId="41" fontId="37" fillId="0" borderId="136" xfId="1175" applyNumberFormat="1" applyFont="1" applyBorder="1" applyAlignment="1">
      <alignment vertical="center"/>
    </xf>
    <xf numFmtId="41" fontId="12" fillId="0" borderId="137" xfId="368" applyNumberFormat="1" applyFont="1" applyBorder="1" applyAlignment="1">
      <alignment vertical="center"/>
    </xf>
    <xf numFmtId="41" fontId="1" fillId="0" borderId="116" xfId="1175" applyNumberFormat="1" applyBorder="1" applyAlignment="1">
      <alignment vertical="center"/>
    </xf>
    <xf numFmtId="41" fontId="1" fillId="0" borderId="117" xfId="1175" applyNumberFormat="1" applyBorder="1" applyAlignment="1">
      <alignment vertical="center"/>
    </xf>
    <xf numFmtId="41" fontId="11" fillId="0" borderId="117" xfId="1175" applyNumberFormat="1" applyFont="1" applyBorder="1" applyAlignment="1">
      <alignment vertical="center"/>
    </xf>
    <xf numFmtId="41" fontId="1" fillId="0" borderId="118" xfId="1175" applyNumberFormat="1" applyBorder="1" applyAlignment="1">
      <alignment vertical="center"/>
    </xf>
    <xf numFmtId="41" fontId="11" fillId="0" borderId="0" xfId="1175" applyNumberFormat="1" applyFont="1" applyAlignment="1">
      <alignment vertical="center"/>
    </xf>
    <xf numFmtId="0" fontId="59" fillId="0" borderId="0" xfId="861" applyFont="1"/>
    <xf numFmtId="0" fontId="1" fillId="0" borderId="0" xfId="861"/>
    <xf numFmtId="0" fontId="4" fillId="0" borderId="0" xfId="861" applyFont="1" applyBorder="1" applyAlignment="1">
      <alignment horizontal="center" vertical="center"/>
    </xf>
    <xf numFmtId="0" fontId="45" fillId="0" borderId="0" xfId="861" applyFont="1" applyBorder="1" applyAlignment="1">
      <alignment horizontal="center" vertical="center"/>
    </xf>
    <xf numFmtId="0" fontId="45" fillId="0" borderId="0" xfId="861" applyFont="1" applyBorder="1" applyAlignment="1">
      <alignment horizontal="center"/>
    </xf>
    <xf numFmtId="0" fontId="1" fillId="0" borderId="0" xfId="861" applyBorder="1"/>
    <xf numFmtId="0" fontId="5" fillId="0" borderId="2" xfId="861" applyFont="1" applyBorder="1" applyAlignment="1">
      <alignment vertical="center"/>
    </xf>
    <xf numFmtId="0" fontId="6" fillId="0" borderId="2" xfId="861" applyFont="1" applyBorder="1"/>
    <xf numFmtId="0" fontId="77" fillId="0" borderId="0" xfId="861" applyFont="1" applyBorder="1"/>
    <xf numFmtId="9" fontId="5" fillId="0" borderId="0" xfId="1194" applyFont="1" applyFill="1" applyBorder="1" applyAlignment="1">
      <alignment horizontal="center"/>
    </xf>
    <xf numFmtId="0" fontId="6" fillId="0" borderId="0" xfId="861" applyFont="1"/>
    <xf numFmtId="0" fontId="5" fillId="0" borderId="82" xfId="861" applyFont="1" applyBorder="1"/>
    <xf numFmtId="0" fontId="6" fillId="0" borderId="82" xfId="861" applyFont="1" applyBorder="1"/>
    <xf numFmtId="0" fontId="6" fillId="0" borderId="138" xfId="861" applyFont="1" applyBorder="1"/>
    <xf numFmtId="0" fontId="6" fillId="0" borderId="132" xfId="861" applyFont="1" applyBorder="1" applyAlignment="1">
      <alignment vertical="center"/>
    </xf>
    <xf numFmtId="0" fontId="1" fillId="9" borderId="2" xfId="861" applyFont="1" applyFill="1" applyBorder="1"/>
    <xf numFmtId="0" fontId="1" fillId="9" borderId="2" xfId="861" applyFill="1" applyBorder="1"/>
    <xf numFmtId="165" fontId="1" fillId="0" borderId="0" xfId="682" applyNumberFormat="1" applyFont="1"/>
    <xf numFmtId="0" fontId="6" fillId="0" borderId="128" xfId="861" applyFont="1" applyBorder="1" applyAlignment="1">
      <alignment vertical="center"/>
    </xf>
    <xf numFmtId="0" fontId="1" fillId="10" borderId="2" xfId="861" applyFont="1" applyFill="1" applyBorder="1"/>
    <xf numFmtId="0" fontId="1" fillId="10" borderId="2" xfId="861" applyFill="1" applyBorder="1"/>
    <xf numFmtId="0" fontId="6" fillId="0" borderId="77" xfId="861" applyFont="1" applyBorder="1"/>
    <xf numFmtId="0" fontId="6" fillId="0" borderId="0" xfId="861" applyFont="1" applyBorder="1"/>
    <xf numFmtId="0" fontId="6" fillId="0" borderId="86" xfId="861" applyFont="1" applyBorder="1"/>
    <xf numFmtId="9" fontId="5" fillId="0" borderId="0" xfId="1194" applyFont="1" applyFill="1" applyBorder="1" applyAlignment="1">
      <alignment horizontal="center" vertical="center"/>
    </xf>
    <xf numFmtId="0" fontId="101" fillId="0" borderId="132" xfId="861" applyFont="1" applyBorder="1" applyAlignment="1">
      <alignment vertical="center"/>
    </xf>
    <xf numFmtId="0" fontId="1" fillId="11" borderId="2" xfId="861" applyFont="1" applyFill="1" applyBorder="1"/>
    <xf numFmtId="0" fontId="1" fillId="11" borderId="2" xfId="861" applyFill="1" applyBorder="1"/>
    <xf numFmtId="0" fontId="1" fillId="0" borderId="2" xfId="861" applyBorder="1"/>
    <xf numFmtId="0" fontId="11" fillId="11" borderId="2" xfId="861" applyFont="1" applyFill="1" applyBorder="1" applyAlignment="1">
      <alignment vertical="center"/>
    </xf>
    <xf numFmtId="0" fontId="6" fillId="0" borderId="139" xfId="861" applyFont="1" applyBorder="1"/>
    <xf numFmtId="0" fontId="6" fillId="0" borderId="140" xfId="861" applyFont="1" applyBorder="1" applyAlignment="1">
      <alignment vertical="center"/>
    </xf>
    <xf numFmtId="0" fontId="6" fillId="0" borderId="31" xfId="861" applyFont="1" applyBorder="1"/>
    <xf numFmtId="0" fontId="5" fillId="0" borderId="24" xfId="861" applyFont="1" applyBorder="1"/>
    <xf numFmtId="0" fontId="6" fillId="0" borderId="66" xfId="861" applyFont="1" applyBorder="1"/>
    <xf numFmtId="0" fontId="5" fillId="0" borderId="77" xfId="861" applyNumberFormat="1" applyFont="1" applyFill="1" applyBorder="1" applyAlignment="1">
      <alignment horizontal="center"/>
    </xf>
    <xf numFmtId="0" fontId="1" fillId="14" borderId="2" xfId="861" applyFont="1" applyFill="1" applyBorder="1"/>
    <xf numFmtId="0" fontId="1" fillId="14" borderId="2" xfId="861" applyFill="1" applyBorder="1"/>
    <xf numFmtId="0" fontId="11" fillId="15" borderId="2" xfId="861" applyFont="1" applyFill="1" applyBorder="1" applyAlignment="1">
      <alignment vertical="center"/>
    </xf>
    <xf numFmtId="0" fontId="6" fillId="0" borderId="141" xfId="861" applyFont="1" applyBorder="1" applyAlignment="1">
      <alignment vertical="center"/>
    </xf>
    <xf numFmtId="0" fontId="6" fillId="0" borderId="142" xfId="861" applyFont="1" applyBorder="1"/>
    <xf numFmtId="0" fontId="6" fillId="0" borderId="143" xfId="861" applyFont="1" applyBorder="1"/>
    <xf numFmtId="0" fontId="6" fillId="0" borderId="24" xfId="861" applyFont="1" applyBorder="1" applyAlignment="1">
      <alignment vertical="center"/>
    </xf>
    <xf numFmtId="0" fontId="5" fillId="0" borderId="66" xfId="861" applyFont="1" applyBorder="1" applyAlignment="1">
      <alignment vertical="center"/>
    </xf>
    <xf numFmtId="0" fontId="6" fillId="0" borderId="0" xfId="861" applyFont="1" applyAlignment="1">
      <alignment vertical="center"/>
    </xf>
    <xf numFmtId="0" fontId="77" fillId="0" borderId="0" xfId="861" applyFont="1"/>
    <xf numFmtId="165" fontId="151" fillId="0" borderId="0" xfId="693" applyNumberFormat="1" applyFont="1" applyFill="1" applyAlignment="1">
      <alignment vertical="center"/>
    </xf>
    <xf numFmtId="41" fontId="153" fillId="0" borderId="0" xfId="249" applyFont="1" applyAlignment="1">
      <alignment vertical="center"/>
    </xf>
    <xf numFmtId="41" fontId="154" fillId="0" borderId="0" xfId="249" applyFont="1" applyAlignment="1">
      <alignment vertical="center"/>
    </xf>
    <xf numFmtId="41" fontId="154" fillId="0" borderId="0" xfId="249" applyFont="1" applyAlignment="1">
      <alignment horizontal="right" vertical="center"/>
    </xf>
    <xf numFmtId="17" fontId="154" fillId="0" borderId="0" xfId="249" quotePrefix="1" applyNumberFormat="1" applyFont="1" applyAlignment="1">
      <alignment horizontal="right" vertical="center"/>
    </xf>
    <xf numFmtId="41" fontId="154" fillId="5" borderId="77" xfId="249" applyFont="1" applyFill="1" applyBorder="1" applyAlignment="1">
      <alignment vertical="center"/>
    </xf>
    <xf numFmtId="41" fontId="153" fillId="5" borderId="0" xfId="249" applyFont="1" applyFill="1" applyBorder="1" applyAlignment="1">
      <alignment vertical="center"/>
    </xf>
    <xf numFmtId="41" fontId="154" fillId="5" borderId="0" xfId="249" applyFont="1" applyFill="1" applyBorder="1" applyAlignment="1">
      <alignment vertical="center"/>
    </xf>
    <xf numFmtId="41" fontId="154" fillId="5" borderId="28" xfId="249" applyFont="1" applyFill="1" applyBorder="1" applyAlignment="1">
      <alignment vertical="center"/>
    </xf>
    <xf numFmtId="41" fontId="154" fillId="5" borderId="17" xfId="249" applyFont="1" applyFill="1" applyBorder="1" applyAlignment="1">
      <alignment vertical="center"/>
    </xf>
    <xf numFmtId="41" fontId="153" fillId="5" borderId="2" xfId="249" applyFont="1" applyFill="1" applyBorder="1" applyAlignment="1">
      <alignment vertical="center"/>
    </xf>
    <xf numFmtId="41" fontId="154" fillId="5" borderId="83" xfId="249" applyFont="1" applyFill="1" applyBorder="1" applyAlignment="1">
      <alignment vertical="center"/>
    </xf>
    <xf numFmtId="41" fontId="154" fillId="5" borderId="31" xfId="249" applyFont="1" applyFill="1" applyBorder="1" applyAlignment="1">
      <alignment vertical="center"/>
    </xf>
    <xf numFmtId="41" fontId="154" fillId="5" borderId="86" xfId="249" applyFont="1" applyFill="1" applyBorder="1" applyAlignment="1">
      <alignment vertical="center"/>
    </xf>
    <xf numFmtId="41" fontId="153" fillId="5" borderId="77" xfId="249" applyFont="1" applyFill="1" applyBorder="1" applyAlignment="1">
      <alignment vertical="center"/>
    </xf>
    <xf numFmtId="41" fontId="154" fillId="0" borderId="2" xfId="249" applyFont="1" applyBorder="1" applyAlignment="1">
      <alignment vertical="center"/>
    </xf>
    <xf numFmtId="0" fontId="189" fillId="0" borderId="0" xfId="1150" applyFill="1" applyAlignment="1">
      <alignment vertical="center"/>
    </xf>
    <xf numFmtId="0" fontId="189" fillId="0" borderId="0" xfId="1150" applyAlignment="1">
      <alignment vertical="center"/>
    </xf>
    <xf numFmtId="0" fontId="2" fillId="0" borderId="0" xfId="1176" applyFont="1" applyAlignment="1">
      <alignment vertical="center"/>
    </xf>
    <xf numFmtId="0" fontId="29" fillId="0" borderId="0" xfId="1176" applyFont="1" applyAlignment="1">
      <alignment vertical="center"/>
    </xf>
    <xf numFmtId="41" fontId="29" fillId="0" borderId="0" xfId="1176" applyNumberFormat="1" applyFont="1" applyAlignment="1">
      <alignment vertical="center"/>
    </xf>
    <xf numFmtId="41" fontId="29" fillId="0" borderId="0" xfId="1176" applyNumberFormat="1" applyFont="1" applyFill="1" applyAlignment="1">
      <alignment vertical="center"/>
    </xf>
    <xf numFmtId="41" fontId="3" fillId="0" borderId="0" xfId="1176" applyNumberFormat="1" applyFill="1" applyAlignment="1">
      <alignment horizontal="center" vertical="center"/>
    </xf>
    <xf numFmtId="0" fontId="3" fillId="0" borderId="0" xfId="1176" applyAlignment="1">
      <alignment vertical="center"/>
    </xf>
    <xf numFmtId="41" fontId="3" fillId="0" borderId="0" xfId="1176" applyNumberFormat="1" applyAlignment="1">
      <alignment vertical="center"/>
    </xf>
    <xf numFmtId="0" fontId="4" fillId="0" borderId="0" xfId="1176" applyFont="1" applyAlignment="1">
      <alignment vertical="center"/>
    </xf>
    <xf numFmtId="0" fontId="4" fillId="0" borderId="0" xfId="1176" applyFont="1" applyBorder="1" applyAlignment="1">
      <alignment horizontal="center" vertical="center"/>
    </xf>
    <xf numFmtId="0" fontId="7" fillId="0" borderId="0" xfId="1176" applyFont="1" applyAlignment="1">
      <alignment horizontal="center" vertical="center"/>
    </xf>
    <xf numFmtId="41" fontId="4" fillId="0" borderId="67" xfId="1176" applyNumberFormat="1" applyFont="1" applyFill="1" applyBorder="1" applyAlignment="1">
      <alignment vertical="center"/>
    </xf>
    <xf numFmtId="41" fontId="3" fillId="0" borderId="51" xfId="1176" applyNumberFormat="1" applyFont="1" applyFill="1" applyBorder="1" applyAlignment="1">
      <alignment horizontal="center" vertical="center"/>
    </xf>
    <xf numFmtId="164" fontId="3" fillId="0" borderId="51" xfId="1176" applyNumberFormat="1" applyFont="1" applyFill="1" applyBorder="1" applyAlignment="1">
      <alignment horizontal="center" vertical="center"/>
    </xf>
    <xf numFmtId="41" fontId="3" fillId="0" borderId="51" xfId="1176" applyNumberFormat="1" applyFont="1" applyFill="1" applyBorder="1" applyAlignment="1">
      <alignment vertical="center"/>
    </xf>
    <xf numFmtId="41" fontId="30" fillId="0" borderId="51" xfId="1176" applyNumberFormat="1" applyFont="1" applyFill="1" applyBorder="1" applyAlignment="1">
      <alignment vertical="center"/>
    </xf>
    <xf numFmtId="41" fontId="3" fillId="0" borderId="2" xfId="1176" applyNumberFormat="1" applyFont="1" applyFill="1" applyBorder="1" applyAlignment="1">
      <alignment vertical="center"/>
    </xf>
    <xf numFmtId="41" fontId="31" fillId="0" borderId="146" xfId="1176" applyNumberFormat="1" applyFont="1" applyFill="1" applyBorder="1" applyAlignment="1" applyProtection="1">
      <alignment horizontal="center" vertical="center" wrapText="1"/>
      <protection locked="0"/>
    </xf>
    <xf numFmtId="41" fontId="4" fillId="0" borderId="68" xfId="1176" applyNumberFormat="1" applyFont="1" applyFill="1" applyBorder="1" applyAlignment="1">
      <alignment vertical="center"/>
    </xf>
    <xf numFmtId="164" fontId="3" fillId="0" borderId="2" xfId="1176" applyNumberFormat="1" applyFont="1" applyFill="1" applyBorder="1" applyAlignment="1">
      <alignment horizontal="center" vertical="center"/>
    </xf>
    <xf numFmtId="41" fontId="31" fillId="0" borderId="58" xfId="1176" applyNumberFormat="1" applyFont="1" applyFill="1" applyBorder="1" applyAlignment="1" applyProtection="1">
      <alignment horizontal="center" vertical="center" wrapText="1"/>
      <protection locked="0"/>
    </xf>
    <xf numFmtId="41" fontId="4" fillId="0" borderId="0" xfId="1176" applyNumberFormat="1" applyFont="1" applyAlignment="1">
      <alignment vertical="center"/>
    </xf>
    <xf numFmtId="41" fontId="4" fillId="0" borderId="147" xfId="1176" applyNumberFormat="1" applyFont="1" applyFill="1" applyBorder="1" applyAlignment="1">
      <alignment vertical="center"/>
    </xf>
    <xf numFmtId="41" fontId="3" fillId="0" borderId="62" xfId="1176" applyNumberFormat="1" applyFill="1" applyBorder="1" applyAlignment="1">
      <alignment horizontal="center" vertical="center"/>
    </xf>
    <xf numFmtId="15" fontId="3" fillId="0" borderId="62" xfId="1176" applyNumberFormat="1" applyFill="1" applyBorder="1" applyAlignment="1">
      <alignment horizontal="center" vertical="center"/>
    </xf>
    <xf numFmtId="41" fontId="3" fillId="0" borderId="63" xfId="1176" applyNumberFormat="1" applyFont="1" applyFill="1" applyBorder="1" applyAlignment="1">
      <alignment vertical="center"/>
    </xf>
    <xf numFmtId="41" fontId="3" fillId="0" borderId="63" xfId="1176" applyNumberFormat="1" applyBorder="1" applyAlignment="1">
      <alignment vertical="center"/>
    </xf>
    <xf numFmtId="0" fontId="3" fillId="0" borderId="0" xfId="1176" applyAlignment="1">
      <alignment horizontal="center" vertical="center"/>
    </xf>
    <xf numFmtId="0" fontId="8" fillId="0" borderId="0" xfId="1176" applyFont="1" applyAlignment="1">
      <alignment horizontal="center" vertical="center"/>
    </xf>
    <xf numFmtId="0" fontId="3" fillId="0" borderId="0" xfId="1176" applyFont="1" applyAlignment="1">
      <alignment horizontal="center" vertical="center"/>
    </xf>
    <xf numFmtId="41" fontId="3" fillId="0" borderId="0" xfId="1176" applyNumberFormat="1" applyAlignment="1">
      <alignment horizontal="center" vertical="center"/>
    </xf>
    <xf numFmtId="167" fontId="3" fillId="0" borderId="0" xfId="1176" applyNumberFormat="1" applyAlignment="1">
      <alignment horizontal="left" vertical="center"/>
    </xf>
    <xf numFmtId="0" fontId="3" fillId="0" borderId="0" xfId="1176" applyAlignment="1">
      <alignment horizontal="left" vertical="center"/>
    </xf>
    <xf numFmtId="167" fontId="3" fillId="0" borderId="0" xfId="1176" applyNumberFormat="1" applyAlignment="1">
      <alignment vertical="center"/>
    </xf>
    <xf numFmtId="0" fontId="6" fillId="0" borderId="0" xfId="872" applyFont="1" applyAlignment="1">
      <alignment vertical="center"/>
    </xf>
    <xf numFmtId="41" fontId="6" fillId="0" borderId="0" xfId="872" applyNumberFormat="1" applyFont="1" applyAlignment="1">
      <alignment vertical="center"/>
    </xf>
    <xf numFmtId="0" fontId="5" fillId="0" borderId="0" xfId="872" applyFont="1" applyAlignment="1">
      <alignment vertical="center"/>
    </xf>
    <xf numFmtId="0" fontId="2" fillId="0" borderId="44" xfId="872" applyNumberFormat="1" applyFont="1" applyBorder="1" applyAlignment="1">
      <alignment horizontal="center" vertical="center"/>
    </xf>
    <xf numFmtId="0" fontId="2" fillId="0" borderId="148" xfId="872" applyNumberFormat="1" applyFont="1" applyFill="1" applyBorder="1" applyAlignment="1">
      <alignment horizontal="center" vertical="center"/>
    </xf>
    <xf numFmtId="42" fontId="5" fillId="0" borderId="51" xfId="872" applyNumberFormat="1" applyFont="1" applyBorder="1" applyAlignment="1">
      <alignment vertical="center"/>
    </xf>
    <xf numFmtId="0" fontId="6" fillId="0" borderId="0" xfId="872" applyFont="1" applyFill="1" applyAlignment="1">
      <alignment vertical="center"/>
    </xf>
    <xf numFmtId="42" fontId="6" fillId="0" borderId="0" xfId="872" applyNumberFormat="1" applyFont="1" applyFill="1" applyBorder="1" applyAlignment="1">
      <alignment vertical="center"/>
    </xf>
    <xf numFmtId="0" fontId="46" fillId="0" borderId="82" xfId="872" applyNumberFormat="1" applyFont="1" applyFill="1" applyBorder="1" applyAlignment="1">
      <alignment horizontal="center" vertical="center"/>
    </xf>
    <xf numFmtId="0" fontId="5" fillId="0" borderId="2" xfId="872" applyFont="1" applyBorder="1" applyAlignment="1">
      <alignment horizontal="center" vertical="center"/>
    </xf>
    <xf numFmtId="0" fontId="5" fillId="0" borderId="2" xfId="872" applyFont="1" applyFill="1" applyBorder="1" applyAlignment="1">
      <alignment horizontal="center" vertical="center"/>
    </xf>
    <xf numFmtId="41" fontId="5" fillId="0" borderId="2" xfId="872" applyNumberFormat="1" applyFont="1" applyFill="1" applyBorder="1" applyAlignment="1">
      <alignment horizontal="center" vertical="center"/>
    </xf>
    <xf numFmtId="0" fontId="6" fillId="0" borderId="149" xfId="872" applyFont="1" applyBorder="1" applyAlignment="1">
      <alignment vertical="center"/>
    </xf>
    <xf numFmtId="41" fontId="6" fillId="0" borderId="149" xfId="872" applyNumberFormat="1" applyFont="1" applyBorder="1" applyAlignment="1">
      <alignment vertical="center"/>
    </xf>
    <xf numFmtId="0" fontId="6" fillId="0" borderId="126" xfId="872" applyFont="1" applyBorder="1" applyAlignment="1">
      <alignment vertical="center"/>
    </xf>
    <xf numFmtId="41" fontId="6" fillId="0" borderId="126" xfId="872" applyNumberFormat="1" applyFont="1" applyBorder="1" applyAlignment="1">
      <alignment vertical="center"/>
    </xf>
    <xf numFmtId="0" fontId="6" fillId="0" borderId="150" xfId="872" applyFont="1" applyBorder="1" applyAlignment="1">
      <alignment vertical="center"/>
    </xf>
    <xf numFmtId="14" fontId="6" fillId="0" borderId="150" xfId="872" quotePrefix="1" applyNumberFormat="1" applyFont="1" applyBorder="1" applyAlignment="1">
      <alignment horizontal="right" vertical="center"/>
    </xf>
    <xf numFmtId="43" fontId="5" fillId="0" borderId="2" xfId="872" applyNumberFormat="1" applyFont="1" applyBorder="1" applyAlignment="1">
      <alignment horizontal="right" vertical="center"/>
    </xf>
    <xf numFmtId="41" fontId="6" fillId="0" borderId="0" xfId="872" applyNumberFormat="1" applyFont="1" applyFill="1" applyAlignment="1">
      <alignment vertical="center"/>
    </xf>
    <xf numFmtId="0" fontId="6" fillId="0" borderId="0" xfId="872" applyNumberFormat="1" applyFont="1" applyAlignment="1">
      <alignment vertical="center"/>
    </xf>
    <xf numFmtId="0" fontId="5" fillId="16" borderId="31" xfId="872" applyFont="1" applyFill="1" applyBorder="1" applyAlignment="1">
      <alignment horizontal="center" vertical="center"/>
    </xf>
    <xf numFmtId="0" fontId="5" fillId="16" borderId="86" xfId="872" applyFont="1" applyFill="1" applyBorder="1" applyAlignment="1">
      <alignment horizontal="center" vertical="center"/>
    </xf>
    <xf numFmtId="0" fontId="5" fillId="16" borderId="33" xfId="872" applyFont="1" applyFill="1" applyBorder="1" applyAlignment="1">
      <alignment horizontal="center" vertical="center"/>
    </xf>
    <xf numFmtId="0" fontId="6" fillId="16" borderId="77" xfId="872" applyFont="1" applyFill="1" applyBorder="1" applyAlignment="1">
      <alignment vertical="center"/>
    </xf>
    <xf numFmtId="0" fontId="6" fillId="16" borderId="0" xfId="872" applyFont="1" applyFill="1" applyBorder="1" applyAlignment="1">
      <alignment vertical="center"/>
    </xf>
    <xf numFmtId="0" fontId="6" fillId="16" borderId="29" xfId="872" applyFont="1" applyFill="1" applyBorder="1" applyAlignment="1">
      <alignment vertical="center"/>
    </xf>
    <xf numFmtId="41" fontId="5" fillId="16" borderId="65" xfId="872" applyNumberFormat="1" applyFont="1" applyFill="1" applyBorder="1" applyAlignment="1">
      <alignment vertical="center"/>
    </xf>
    <xf numFmtId="41" fontId="5" fillId="16" borderId="82" xfId="872" applyNumberFormat="1" applyFont="1" applyFill="1" applyBorder="1" applyAlignment="1">
      <alignment vertical="center"/>
    </xf>
    <xf numFmtId="41" fontId="5" fillId="16" borderId="83" xfId="872" applyNumberFormat="1" applyFont="1" applyFill="1" applyBorder="1" applyAlignment="1">
      <alignment vertical="center"/>
    </xf>
    <xf numFmtId="0" fontId="6" fillId="0" borderId="149" xfId="872" applyFont="1" applyBorder="1" applyAlignment="1">
      <alignment horizontal="left" vertical="center" wrapText="1"/>
    </xf>
    <xf numFmtId="165" fontId="6" fillId="0" borderId="149" xfId="682" applyNumberFormat="1" applyFont="1" applyBorder="1" applyAlignment="1">
      <alignment vertical="center"/>
    </xf>
    <xf numFmtId="165" fontId="6" fillId="0" borderId="149" xfId="682" applyNumberFormat="1" applyFont="1" applyBorder="1" applyAlignment="1">
      <alignment horizontal="right" vertical="center"/>
    </xf>
    <xf numFmtId="0" fontId="155" fillId="0" borderId="0" xfId="872" applyNumberFormat="1" applyFont="1" applyAlignment="1">
      <alignment vertical="center"/>
    </xf>
    <xf numFmtId="0" fontId="6" fillId="0" borderId="126" xfId="872" applyFont="1" applyBorder="1" applyAlignment="1">
      <alignment horizontal="left" vertical="center" wrapText="1"/>
    </xf>
    <xf numFmtId="165" fontId="6" fillId="0" borderId="126" xfId="682" applyNumberFormat="1" applyFont="1" applyBorder="1" applyAlignment="1">
      <alignment vertical="center"/>
    </xf>
    <xf numFmtId="165" fontId="6" fillId="0" borderId="126" xfId="682" applyNumberFormat="1" applyFont="1" applyBorder="1" applyAlignment="1">
      <alignment horizontal="right" vertical="center"/>
    </xf>
    <xf numFmtId="0" fontId="6" fillId="0" borderId="0" xfId="872" applyNumberFormat="1" applyFont="1" applyAlignment="1">
      <alignment horizontal="left" vertical="center"/>
    </xf>
    <xf numFmtId="165" fontId="6" fillId="0" borderId="126" xfId="682" quotePrefix="1" applyNumberFormat="1" applyFont="1" applyBorder="1" applyAlignment="1">
      <alignment horizontal="right" vertical="center"/>
    </xf>
    <xf numFmtId="0" fontId="6" fillId="0" borderId="151" xfId="872" applyFont="1" applyBorder="1" applyAlignment="1">
      <alignment horizontal="left" vertical="center" wrapText="1"/>
    </xf>
    <xf numFmtId="165" fontId="6" fillId="0" borderId="151" xfId="682" applyNumberFormat="1" applyFont="1" applyBorder="1" applyAlignment="1">
      <alignment vertical="center"/>
    </xf>
    <xf numFmtId="165" fontId="6" fillId="0" borderId="151" xfId="682" applyNumberFormat="1" applyFont="1" applyBorder="1" applyAlignment="1">
      <alignment horizontal="right" vertical="center"/>
    </xf>
    <xf numFmtId="0" fontId="6" fillId="0" borderId="150" xfId="872" applyFont="1" applyBorder="1" applyAlignment="1">
      <alignment horizontal="left" vertical="center" wrapText="1"/>
    </xf>
    <xf numFmtId="165" fontId="6" fillId="0" borderId="150" xfId="682" applyNumberFormat="1" applyFont="1" applyBorder="1" applyAlignment="1">
      <alignment vertical="center"/>
    </xf>
    <xf numFmtId="41" fontId="5" fillId="0" borderId="2" xfId="872" applyNumberFormat="1" applyFont="1" applyBorder="1" applyAlignment="1">
      <alignment horizontal="right" vertical="center"/>
    </xf>
    <xf numFmtId="0" fontId="6" fillId="0" borderId="151" xfId="872" applyFont="1" applyBorder="1" applyAlignment="1">
      <alignment vertical="center"/>
    </xf>
    <xf numFmtId="0" fontId="5" fillId="16" borderId="65" xfId="872" applyFont="1" applyFill="1" applyBorder="1" applyAlignment="1">
      <alignment horizontal="right" vertical="center"/>
    </xf>
    <xf numFmtId="0" fontId="5" fillId="16" borderId="82" xfId="872" applyFont="1" applyFill="1" applyBorder="1" applyAlignment="1">
      <alignment horizontal="right" vertical="center"/>
    </xf>
    <xf numFmtId="0" fontId="5" fillId="16" borderId="83" xfId="872" applyFont="1" applyFill="1" applyBorder="1" applyAlignment="1">
      <alignment horizontal="right" vertical="center"/>
    </xf>
    <xf numFmtId="41" fontId="5" fillId="0" borderId="2" xfId="872" applyNumberFormat="1" applyFont="1" applyBorder="1" applyAlignment="1">
      <alignment horizontal="left" vertical="center"/>
    </xf>
    <xf numFmtId="0" fontId="92" fillId="0" borderId="0" xfId="872" applyFont="1" applyAlignment="1">
      <alignment vertical="center"/>
    </xf>
    <xf numFmtId="41" fontId="5" fillId="0" borderId="0" xfId="872" applyNumberFormat="1" applyFont="1" applyFill="1" applyAlignment="1">
      <alignment vertical="center"/>
    </xf>
    <xf numFmtId="41" fontId="5" fillId="16" borderId="24" xfId="872" applyNumberFormat="1" applyFont="1" applyFill="1" applyBorder="1" applyAlignment="1">
      <alignment vertical="center"/>
    </xf>
    <xf numFmtId="41" fontId="5" fillId="16" borderId="66" xfId="872" applyNumberFormat="1" applyFont="1" applyFill="1" applyBorder="1" applyAlignment="1">
      <alignment vertical="center"/>
    </xf>
    <xf numFmtId="41" fontId="5" fillId="16" borderId="20" xfId="872" applyNumberFormat="1" applyFont="1" applyFill="1" applyBorder="1" applyAlignment="1">
      <alignment vertical="center"/>
    </xf>
    <xf numFmtId="165" fontId="72" fillId="0" borderId="0" xfId="368" applyNumberFormat="1" applyFont="1" applyFill="1" applyBorder="1" applyAlignment="1">
      <alignment horizontal="right" vertical="center"/>
    </xf>
    <xf numFmtId="165" fontId="37" fillId="0" borderId="0" xfId="368" applyNumberFormat="1" applyFont="1" applyFill="1" applyBorder="1" applyAlignment="1">
      <alignment vertical="center"/>
    </xf>
    <xf numFmtId="165" fontId="72" fillId="17" borderId="152" xfId="368" applyNumberFormat="1" applyFont="1" applyFill="1" applyBorder="1" applyAlignment="1">
      <alignment horizontal="center" vertical="center"/>
    </xf>
    <xf numFmtId="165" fontId="72" fillId="17" borderId="49" xfId="368" applyNumberFormat="1" applyFont="1" applyFill="1" applyBorder="1" applyAlignment="1">
      <alignment horizontal="center" vertical="center"/>
    </xf>
    <xf numFmtId="165" fontId="72" fillId="17" borderId="44" xfId="368" applyNumberFormat="1" applyFont="1" applyFill="1" applyBorder="1" applyAlignment="1">
      <alignment horizontal="center" vertical="center"/>
    </xf>
    <xf numFmtId="165" fontId="72" fillId="17" borderId="50" xfId="368" applyNumberFormat="1" applyFont="1" applyFill="1" applyBorder="1" applyAlignment="1">
      <alignment horizontal="center" vertical="center"/>
    </xf>
    <xf numFmtId="165" fontId="72" fillId="17" borderId="153" xfId="368" applyNumberFormat="1" applyFont="1" applyFill="1" applyBorder="1" applyAlignment="1">
      <alignment horizontal="center" vertical="center"/>
    </xf>
    <xf numFmtId="165" fontId="72" fillId="17" borderId="52" xfId="368" applyNumberFormat="1" applyFont="1" applyFill="1" applyBorder="1" applyAlignment="1">
      <alignment vertical="center"/>
    </xf>
    <xf numFmtId="165" fontId="72" fillId="17" borderId="154" xfId="368" applyNumberFormat="1" applyFont="1" applyFill="1" applyBorder="1" applyAlignment="1">
      <alignment vertical="center"/>
    </xf>
    <xf numFmtId="165" fontId="72" fillId="17" borderId="49" xfId="368" quotePrefix="1" applyNumberFormat="1" applyFont="1" applyFill="1" applyBorder="1" applyAlignment="1">
      <alignment horizontal="left" vertical="center"/>
    </xf>
    <xf numFmtId="165" fontId="72" fillId="17" borderId="78" xfId="368" applyNumberFormat="1" applyFont="1" applyFill="1" applyBorder="1" applyAlignment="1">
      <alignment vertical="center"/>
    </xf>
    <xf numFmtId="165" fontId="72" fillId="17" borderId="153" xfId="368" applyNumberFormat="1" applyFont="1" applyFill="1" applyBorder="1" applyAlignment="1">
      <alignment vertical="center"/>
    </xf>
    <xf numFmtId="165" fontId="72" fillId="17" borderId="49" xfId="368" applyNumberFormat="1" applyFont="1" applyFill="1" applyBorder="1" applyAlignment="1">
      <alignment vertical="center"/>
    </xf>
    <xf numFmtId="165" fontId="72" fillId="17" borderId="50" xfId="368" applyNumberFormat="1" applyFont="1" applyFill="1" applyBorder="1" applyAlignment="1">
      <alignment vertical="center"/>
    </xf>
    <xf numFmtId="165" fontId="72" fillId="17" borderId="105" xfId="368" applyNumberFormat="1" applyFont="1" applyFill="1" applyBorder="1" applyAlignment="1">
      <alignment vertical="center"/>
    </xf>
    <xf numFmtId="165" fontId="72" fillId="17" borderId="79" xfId="368" applyNumberFormat="1" applyFont="1" applyFill="1" applyBorder="1" applyAlignment="1">
      <alignment vertical="center"/>
    </xf>
    <xf numFmtId="165" fontId="72" fillId="17" borderId="37" xfId="368" applyNumberFormat="1" applyFont="1" applyFill="1" applyBorder="1" applyAlignment="1">
      <alignment vertical="center"/>
    </xf>
    <xf numFmtId="165" fontId="72" fillId="17" borderId="49" xfId="368" applyNumberFormat="1" applyFont="1" applyFill="1" applyBorder="1" applyAlignment="1">
      <alignment horizontal="left" vertical="center"/>
    </xf>
    <xf numFmtId="41" fontId="12" fillId="17" borderId="126" xfId="368" applyNumberFormat="1" applyFont="1" applyFill="1" applyBorder="1" applyAlignment="1">
      <alignment vertical="center"/>
    </xf>
    <xf numFmtId="41" fontId="12" fillId="17" borderId="127" xfId="368" applyNumberFormat="1" applyFont="1" applyFill="1" applyBorder="1" applyAlignment="1">
      <alignment vertical="center"/>
    </xf>
    <xf numFmtId="41" fontId="12" fillId="17" borderId="129" xfId="368" applyNumberFormat="1" applyFont="1" applyFill="1" applyBorder="1" applyAlignment="1">
      <alignment vertical="center"/>
    </xf>
    <xf numFmtId="41" fontId="12" fillId="17" borderId="127" xfId="96" applyNumberFormat="1" applyFont="1" applyFill="1" applyBorder="1" applyAlignment="1">
      <alignment horizontal="right"/>
    </xf>
    <xf numFmtId="41" fontId="154" fillId="17" borderId="28" xfId="249" applyFont="1" applyFill="1" applyBorder="1" applyAlignment="1">
      <alignment vertical="center"/>
    </xf>
    <xf numFmtId="41" fontId="153" fillId="17" borderId="2" xfId="249" applyFont="1" applyFill="1" applyBorder="1" applyAlignment="1">
      <alignment vertical="center"/>
    </xf>
    <xf numFmtId="41" fontId="154" fillId="17" borderId="2" xfId="249" applyFont="1" applyFill="1" applyBorder="1" applyAlignment="1">
      <alignment vertical="center"/>
    </xf>
    <xf numFmtId="41" fontId="154" fillId="5" borderId="2" xfId="249" applyFont="1" applyFill="1" applyBorder="1" applyAlignment="1">
      <alignment vertical="center"/>
    </xf>
    <xf numFmtId="41" fontId="154" fillId="5" borderId="20" xfId="249" applyFont="1" applyFill="1" applyBorder="1" applyAlignment="1">
      <alignment vertical="center"/>
    </xf>
    <xf numFmtId="41" fontId="3" fillId="17" borderId="2" xfId="1176" applyNumberFormat="1" applyFont="1" applyFill="1" applyBorder="1" applyAlignment="1">
      <alignment vertical="center"/>
    </xf>
    <xf numFmtId="41" fontId="3" fillId="17" borderId="62" xfId="1176" applyNumberFormat="1" applyFill="1" applyBorder="1" applyAlignment="1">
      <alignment vertical="center"/>
    </xf>
    <xf numFmtId="0" fontId="2" fillId="17" borderId="49" xfId="872" applyNumberFormat="1" applyFont="1" applyFill="1" applyBorder="1" applyAlignment="1">
      <alignment horizontal="center" vertical="center"/>
    </xf>
    <xf numFmtId="0" fontId="2" fillId="17" borderId="44" xfId="872" applyNumberFormat="1" applyFont="1" applyFill="1" applyBorder="1" applyAlignment="1">
      <alignment horizontal="center" vertical="center"/>
    </xf>
    <xf numFmtId="0" fontId="2" fillId="17" borderId="50" xfId="872" applyNumberFormat="1" applyFont="1" applyFill="1" applyBorder="1" applyAlignment="1">
      <alignment horizontal="center" vertical="center"/>
    </xf>
    <xf numFmtId="42" fontId="5" fillId="17" borderId="51" xfId="872" applyNumberFormat="1" applyFont="1" applyFill="1" applyBorder="1" applyAlignment="1">
      <alignment vertical="center"/>
    </xf>
    <xf numFmtId="41" fontId="6" fillId="17" borderId="149" xfId="872" applyNumberFormat="1" applyFont="1" applyFill="1" applyBorder="1" applyAlignment="1">
      <alignment vertical="center"/>
    </xf>
    <xf numFmtId="41" fontId="6" fillId="17" borderId="126" xfId="872" applyNumberFormat="1" applyFont="1" applyFill="1" applyBorder="1" applyAlignment="1">
      <alignment vertical="center"/>
    </xf>
    <xf numFmtId="41" fontId="6" fillId="17" borderId="150" xfId="872" applyNumberFormat="1" applyFont="1" applyFill="1" applyBorder="1" applyAlignment="1">
      <alignment vertical="center"/>
    </xf>
    <xf numFmtId="43" fontId="5" fillId="17" borderId="2" xfId="872" applyNumberFormat="1" applyFont="1" applyFill="1" applyBorder="1" applyAlignment="1">
      <alignment horizontal="right" vertical="center"/>
    </xf>
    <xf numFmtId="14" fontId="6" fillId="17" borderId="150" xfId="872" quotePrefix="1" applyNumberFormat="1" applyFont="1" applyFill="1" applyBorder="1" applyAlignment="1">
      <alignment horizontal="right" vertical="center"/>
    </xf>
    <xf numFmtId="41" fontId="5" fillId="17" borderId="2" xfId="872" applyNumberFormat="1" applyFont="1" applyFill="1" applyBorder="1" applyAlignment="1">
      <alignment horizontal="center" vertical="center"/>
    </xf>
    <xf numFmtId="41" fontId="6" fillId="17" borderId="17" xfId="872" applyNumberFormat="1" applyFont="1" applyFill="1" applyBorder="1" applyAlignment="1">
      <alignment vertical="center"/>
    </xf>
    <xf numFmtId="41" fontId="6" fillId="17" borderId="126" xfId="872" applyNumberFormat="1" applyFont="1" applyFill="1" applyBorder="1" applyAlignment="1">
      <alignment horizontal="right" vertical="center"/>
    </xf>
    <xf numFmtId="41" fontId="6" fillId="17" borderId="51" xfId="872" applyNumberFormat="1" applyFont="1" applyFill="1" applyBorder="1" applyAlignment="1">
      <alignment vertical="center"/>
    </xf>
    <xf numFmtId="41" fontId="5" fillId="17" borderId="20" xfId="872" applyNumberFormat="1" applyFont="1" applyFill="1" applyBorder="1" applyAlignment="1">
      <alignment vertical="center"/>
    </xf>
    <xf numFmtId="165" fontId="6" fillId="17" borderId="149" xfId="682" applyNumberFormat="1" applyFont="1" applyFill="1" applyBorder="1" applyAlignment="1">
      <alignment vertical="center"/>
    </xf>
    <xf numFmtId="165" fontId="6" fillId="17" borderId="126" xfId="682" applyNumberFormat="1" applyFont="1" applyFill="1" applyBorder="1" applyAlignment="1">
      <alignment vertical="center"/>
    </xf>
    <xf numFmtId="165" fontId="6" fillId="17" borderId="151" xfId="682" applyNumberFormat="1" applyFont="1" applyFill="1" applyBorder="1" applyAlignment="1">
      <alignment vertical="center"/>
    </xf>
    <xf numFmtId="165" fontId="6" fillId="17" borderId="150" xfId="682" applyNumberFormat="1" applyFont="1" applyFill="1" applyBorder="1" applyAlignment="1">
      <alignment horizontal="right" vertical="center"/>
    </xf>
    <xf numFmtId="41" fontId="5" fillId="17" borderId="2" xfId="872" applyNumberFormat="1" applyFont="1" applyFill="1" applyBorder="1" applyAlignment="1">
      <alignment horizontal="right" vertical="center"/>
    </xf>
    <xf numFmtId="165" fontId="6" fillId="17" borderId="149" xfId="682" applyNumberFormat="1" applyFont="1" applyFill="1" applyBorder="1" applyAlignment="1">
      <alignment horizontal="right" vertical="center"/>
    </xf>
    <xf numFmtId="165" fontId="6" fillId="17" borderId="126" xfId="682" applyNumberFormat="1" applyFont="1" applyFill="1" applyBorder="1" applyAlignment="1">
      <alignment horizontal="right" vertical="center"/>
    </xf>
    <xf numFmtId="165" fontId="6" fillId="17" borderId="126" xfId="682" quotePrefix="1" applyNumberFormat="1" applyFont="1" applyFill="1" applyBorder="1" applyAlignment="1">
      <alignment horizontal="right" vertical="center"/>
    </xf>
    <xf numFmtId="165" fontId="6" fillId="17" borderId="151" xfId="682" applyNumberFormat="1" applyFont="1" applyFill="1" applyBorder="1" applyAlignment="1">
      <alignment horizontal="right" vertical="center"/>
    </xf>
    <xf numFmtId="41" fontId="5" fillId="17" borderId="2" xfId="872" applyNumberFormat="1" applyFont="1" applyFill="1" applyBorder="1" applyAlignment="1">
      <alignment vertical="center"/>
    </xf>
    <xf numFmtId="41" fontId="5" fillId="17" borderId="20" xfId="872" applyNumberFormat="1" applyFont="1" applyFill="1" applyBorder="1" applyAlignment="1">
      <alignment horizontal="center" vertical="center"/>
    </xf>
    <xf numFmtId="3" fontId="6" fillId="17" borderId="160" xfId="872" applyNumberFormat="1" applyFont="1" applyFill="1" applyBorder="1" applyAlignment="1">
      <alignment vertical="center"/>
    </xf>
    <xf numFmtId="3" fontId="6" fillId="17" borderId="132" xfId="872" applyNumberFormat="1" applyFont="1" applyFill="1" applyBorder="1" applyAlignment="1">
      <alignment vertical="center"/>
    </xf>
    <xf numFmtId="41" fontId="6" fillId="17" borderId="140" xfId="872" applyNumberFormat="1" applyFont="1" applyFill="1" applyBorder="1" applyAlignment="1">
      <alignment vertical="center"/>
    </xf>
    <xf numFmtId="41" fontId="5" fillId="17" borderId="2" xfId="872" applyNumberFormat="1" applyFont="1" applyFill="1" applyBorder="1" applyAlignment="1">
      <alignment horizontal="left" vertical="center"/>
    </xf>
    <xf numFmtId="41" fontId="6" fillId="17" borderId="0" xfId="872" applyNumberFormat="1" applyFont="1" applyFill="1" applyAlignment="1">
      <alignment vertical="center"/>
    </xf>
    <xf numFmtId="0" fontId="4" fillId="0" borderId="0" xfId="872" applyFont="1" applyAlignment="1">
      <alignment vertical="center"/>
    </xf>
    <xf numFmtId="0" fontId="2" fillId="0" borderId="82" xfId="872" applyNumberFormat="1" applyFont="1" applyFill="1" applyBorder="1" applyAlignment="1">
      <alignment horizontal="center" vertical="center"/>
    </xf>
    <xf numFmtId="0" fontId="29" fillId="0" borderId="0" xfId="0" applyFont="1" applyFill="1" applyAlignment="1">
      <alignment horizontal="left" vertical="center"/>
    </xf>
    <xf numFmtId="165" fontId="103" fillId="0" borderId="0" xfId="368" applyNumberFormat="1" applyFont="1" applyBorder="1" applyAlignment="1">
      <alignment horizontal="right" vertical="center"/>
    </xf>
    <xf numFmtId="0" fontId="6" fillId="0" borderId="121" xfId="861" applyFont="1" applyBorder="1" applyAlignment="1">
      <alignment vertical="center"/>
    </xf>
    <xf numFmtId="0" fontId="5" fillId="17" borderId="31" xfId="861" applyFont="1" applyFill="1" applyBorder="1"/>
    <xf numFmtId="0" fontId="46" fillId="17" borderId="161" xfId="861" applyFont="1" applyFill="1" applyBorder="1" applyAlignment="1">
      <alignment vertical="center"/>
    </xf>
    <xf numFmtId="0" fontId="6" fillId="17" borderId="138" xfId="861" applyFont="1" applyFill="1" applyBorder="1"/>
    <xf numFmtId="0" fontId="46" fillId="17" borderId="132" xfId="861" applyFont="1" applyFill="1" applyBorder="1" applyAlignment="1">
      <alignment vertical="center"/>
    </xf>
    <xf numFmtId="0" fontId="6" fillId="17" borderId="24" xfId="861" applyFont="1" applyFill="1" applyBorder="1"/>
    <xf numFmtId="0" fontId="5" fillId="17" borderId="20" xfId="861" applyFont="1" applyFill="1" applyBorder="1" applyAlignment="1">
      <alignment vertical="center"/>
    </xf>
    <xf numFmtId="0" fontId="6" fillId="17" borderId="162" xfId="861" applyFont="1" applyFill="1" applyBorder="1"/>
    <xf numFmtId="0" fontId="46" fillId="17" borderId="160" xfId="861" applyFont="1" applyFill="1" applyBorder="1" applyAlignment="1">
      <alignment vertical="center"/>
    </xf>
    <xf numFmtId="0" fontId="101" fillId="17" borderId="132" xfId="861" applyFont="1" applyFill="1" applyBorder="1" applyAlignment="1">
      <alignment vertical="center"/>
    </xf>
    <xf numFmtId="0" fontId="5" fillId="17" borderId="2" xfId="861" applyFont="1" applyFill="1" applyBorder="1" applyAlignment="1">
      <alignment vertical="center"/>
    </xf>
    <xf numFmtId="0" fontId="6" fillId="17" borderId="24" xfId="861" applyFont="1" applyFill="1" applyBorder="1" applyAlignment="1">
      <alignment vertical="center"/>
    </xf>
    <xf numFmtId="41" fontId="153" fillId="0" borderId="2" xfId="249" applyFont="1" applyFill="1" applyBorder="1" applyAlignment="1">
      <alignment vertical="center"/>
    </xf>
    <xf numFmtId="41" fontId="153" fillId="18" borderId="2" xfId="249" applyFont="1" applyFill="1" applyBorder="1" applyAlignment="1">
      <alignment horizontal="center" vertical="center"/>
    </xf>
    <xf numFmtId="41" fontId="153" fillId="18" borderId="2" xfId="249" applyFont="1" applyFill="1" applyBorder="1" applyAlignment="1">
      <alignment vertical="center"/>
    </xf>
    <xf numFmtId="41" fontId="153" fillId="18" borderId="29" xfId="249" applyFont="1" applyFill="1" applyBorder="1" applyAlignment="1">
      <alignment horizontal="center" vertical="center"/>
    </xf>
    <xf numFmtId="41" fontId="153" fillId="18" borderId="17" xfId="249" applyFont="1" applyFill="1" applyBorder="1" applyAlignment="1">
      <alignment vertical="center"/>
    </xf>
    <xf numFmtId="41" fontId="154" fillId="18" borderId="2" xfId="249" applyFont="1" applyFill="1" applyBorder="1" applyAlignment="1">
      <alignment vertical="center"/>
    </xf>
    <xf numFmtId="164" fontId="4" fillId="17" borderId="163" xfId="0" applyNumberFormat="1" applyFont="1" applyFill="1" applyBorder="1" applyAlignment="1">
      <alignment vertical="center"/>
    </xf>
    <xf numFmtId="0" fontId="4" fillId="17" borderId="53" xfId="0" applyFont="1" applyFill="1" applyBorder="1" applyAlignment="1">
      <alignment horizontal="center" vertical="center" wrapText="1"/>
    </xf>
    <xf numFmtId="0" fontId="3" fillId="17" borderId="53" xfId="0" applyFont="1" applyFill="1" applyBorder="1" applyAlignment="1">
      <alignment vertical="center"/>
    </xf>
    <xf numFmtId="41" fontId="4" fillId="17" borderId="53" xfId="0" applyNumberFormat="1" applyFont="1" applyFill="1" applyBorder="1" applyAlignment="1">
      <alignment vertical="center"/>
    </xf>
    <xf numFmtId="41" fontId="4" fillId="17" borderId="164" xfId="0" applyNumberFormat="1" applyFont="1" applyFill="1" applyBorder="1" applyAlignment="1">
      <alignment vertical="center"/>
    </xf>
    <xf numFmtId="41" fontId="4" fillId="17" borderId="165" xfId="0" applyNumberFormat="1" applyFont="1" applyFill="1" applyBorder="1" applyAlignment="1">
      <alignment vertical="center"/>
    </xf>
    <xf numFmtId="41" fontId="4" fillId="17" borderId="166" xfId="0" applyNumberFormat="1" applyFont="1" applyFill="1" applyBorder="1" applyAlignment="1">
      <alignment vertical="center"/>
    </xf>
    <xf numFmtId="41" fontId="3" fillId="17" borderId="167" xfId="1" applyNumberFormat="1" applyFont="1" applyFill="1" applyBorder="1" applyAlignment="1">
      <alignment vertical="center"/>
    </xf>
    <xf numFmtId="41" fontId="3" fillId="17" borderId="52" xfId="1" applyNumberFormat="1" applyFont="1" applyFill="1" applyBorder="1" applyAlignment="1">
      <alignment vertical="center"/>
    </xf>
    <xf numFmtId="41" fontId="3" fillId="17" borderId="80" xfId="1" applyNumberFormat="1" applyFont="1" applyFill="1" applyBorder="1" applyAlignment="1">
      <alignment vertical="center"/>
    </xf>
    <xf numFmtId="41" fontId="3" fillId="17" borderId="168" xfId="1" applyNumberFormat="1" applyFont="1" applyFill="1" applyBorder="1" applyAlignment="1">
      <alignment vertical="center"/>
    </xf>
    <xf numFmtId="41" fontId="4" fillId="17" borderId="169" xfId="0" applyNumberFormat="1" applyFont="1" applyFill="1" applyBorder="1" applyAlignment="1">
      <alignment vertical="center"/>
    </xf>
    <xf numFmtId="41" fontId="4" fillId="17" borderId="170" xfId="0" applyNumberFormat="1" applyFont="1" applyFill="1" applyBorder="1" applyAlignment="1">
      <alignment vertical="center"/>
    </xf>
    <xf numFmtId="41" fontId="4" fillId="17" borderId="171" xfId="0" applyNumberFormat="1" applyFont="1" applyFill="1" applyBorder="1" applyAlignment="1">
      <alignment vertical="center"/>
    </xf>
    <xf numFmtId="41" fontId="4" fillId="17" borderId="22" xfId="0" applyNumberFormat="1" applyFont="1" applyFill="1" applyBorder="1" applyAlignment="1">
      <alignment vertical="center"/>
    </xf>
    <xf numFmtId="41" fontId="46" fillId="17" borderId="170" xfId="0" applyNumberFormat="1" applyFont="1" applyFill="1" applyBorder="1" applyAlignment="1">
      <alignment vertical="center"/>
    </xf>
    <xf numFmtId="41" fontId="4" fillId="17" borderId="172" xfId="0" applyNumberFormat="1" applyFont="1" applyFill="1" applyBorder="1" applyAlignment="1">
      <alignment vertical="center"/>
    </xf>
    <xf numFmtId="41" fontId="4" fillId="17" borderId="173" xfId="0" applyNumberFormat="1" applyFont="1" applyFill="1" applyBorder="1" applyAlignment="1">
      <alignment vertical="center"/>
    </xf>
    <xf numFmtId="41" fontId="4" fillId="17" borderId="73" xfId="0" applyNumberFormat="1" applyFont="1" applyFill="1" applyBorder="1" applyAlignment="1">
      <alignment vertical="center"/>
    </xf>
    <xf numFmtId="41" fontId="46" fillId="17" borderId="172" xfId="0" applyNumberFormat="1" applyFont="1" applyFill="1" applyBorder="1" applyAlignment="1">
      <alignment vertical="center"/>
    </xf>
    <xf numFmtId="41" fontId="4" fillId="17" borderId="0" xfId="0" applyNumberFormat="1" applyFont="1" applyFill="1" applyAlignment="1">
      <alignment horizontal="left" vertical="center"/>
    </xf>
    <xf numFmtId="41" fontId="4" fillId="17" borderId="168" xfId="0" applyNumberFormat="1" applyFont="1" applyFill="1" applyBorder="1" applyAlignment="1">
      <alignment vertical="center"/>
    </xf>
    <xf numFmtId="164" fontId="3" fillId="17" borderId="174" xfId="0" applyNumberFormat="1" applyFont="1" applyFill="1" applyBorder="1" applyAlignment="1">
      <alignment horizontal="right" vertical="center"/>
    </xf>
    <xf numFmtId="0" fontId="4" fillId="17" borderId="55" xfId="0" applyFont="1" applyFill="1" applyBorder="1" applyAlignment="1">
      <alignment horizontal="center" vertical="center" wrapText="1"/>
    </xf>
    <xf numFmtId="0" fontId="3" fillId="17" borderId="55" xfId="0" applyFont="1" applyFill="1" applyBorder="1" applyAlignment="1">
      <alignment vertical="center"/>
    </xf>
    <xf numFmtId="41" fontId="4" fillId="17" borderId="55" xfId="0" applyNumberFormat="1" applyFont="1" applyFill="1" applyBorder="1" applyAlignment="1">
      <alignment vertical="center"/>
    </xf>
    <xf numFmtId="41" fontId="4" fillId="17" borderId="104" xfId="0" applyNumberFormat="1" applyFont="1" applyFill="1" applyBorder="1" applyAlignment="1">
      <alignment vertical="center"/>
    </xf>
    <xf numFmtId="41" fontId="4" fillId="17" borderId="154" xfId="0" applyNumberFormat="1" applyFont="1" applyFill="1" applyBorder="1" applyAlignment="1">
      <alignment vertical="center"/>
    </xf>
    <xf numFmtId="41" fontId="4" fillId="17" borderId="115" xfId="0" applyNumberFormat="1" applyFont="1" applyFill="1" applyBorder="1" applyAlignment="1">
      <alignment vertical="center"/>
    </xf>
    <xf numFmtId="0" fontId="12" fillId="17" borderId="163" xfId="0" applyFont="1" applyFill="1" applyBorder="1" applyAlignment="1">
      <alignment vertical="center"/>
    </xf>
    <xf numFmtId="164" fontId="12" fillId="17" borderId="53" xfId="0" applyNumberFormat="1" applyFont="1" applyFill="1" applyBorder="1" applyAlignment="1">
      <alignment vertical="center"/>
    </xf>
    <xf numFmtId="0" fontId="12" fillId="17" borderId="53" xfId="0" applyFont="1" applyFill="1" applyBorder="1" applyAlignment="1">
      <alignment vertical="center"/>
    </xf>
    <xf numFmtId="41" fontId="12" fillId="17" borderId="53" xfId="0" applyNumberFormat="1" applyFont="1" applyFill="1" applyBorder="1" applyAlignment="1">
      <alignment vertical="center"/>
    </xf>
    <xf numFmtId="41" fontId="12" fillId="17" borderId="164" xfId="0" applyNumberFormat="1" applyFont="1" applyFill="1" applyBorder="1" applyAlignment="1">
      <alignment vertical="center"/>
    </xf>
    <xf numFmtId="41" fontId="12" fillId="17" borderId="165" xfId="0" applyNumberFormat="1" applyFont="1" applyFill="1" applyBorder="1" applyAlignment="1">
      <alignment vertical="center"/>
    </xf>
    <xf numFmtId="41" fontId="12" fillId="17" borderId="166" xfId="0" applyNumberFormat="1" applyFont="1" applyFill="1" applyBorder="1" applyAlignment="1">
      <alignment vertical="center"/>
    </xf>
    <xf numFmtId="41" fontId="13" fillId="17" borderId="167" xfId="0" applyNumberFormat="1" applyFont="1" applyFill="1" applyBorder="1" applyAlignment="1">
      <alignment vertical="center"/>
    </xf>
    <xf numFmtId="41" fontId="13" fillId="17" borderId="80" xfId="0" applyNumberFormat="1" applyFont="1" applyFill="1" applyBorder="1" applyAlignment="1">
      <alignment vertical="center"/>
    </xf>
    <xf numFmtId="41" fontId="13" fillId="17" borderId="52" xfId="0" applyNumberFormat="1" applyFont="1" applyFill="1" applyBorder="1" applyAlignment="1">
      <alignment vertical="center"/>
    </xf>
    <xf numFmtId="41" fontId="13" fillId="17" borderId="81" xfId="0" applyNumberFormat="1" applyFont="1" applyFill="1" applyBorder="1" applyAlignment="1">
      <alignment vertical="center"/>
    </xf>
    <xf numFmtId="41" fontId="12" fillId="17" borderId="170" xfId="0" applyNumberFormat="1" applyFont="1" applyFill="1" applyBorder="1" applyAlignment="1">
      <alignment vertical="center"/>
    </xf>
    <xf numFmtId="41" fontId="12" fillId="17" borderId="172" xfId="0" applyNumberFormat="1" applyFont="1" applyFill="1" applyBorder="1" applyAlignment="1">
      <alignment vertical="center"/>
    </xf>
    <xf numFmtId="41" fontId="12" fillId="17" borderId="171" xfId="0" applyNumberFormat="1" applyFont="1" applyFill="1" applyBorder="1" applyAlignment="1">
      <alignment vertical="center"/>
    </xf>
    <xf numFmtId="41" fontId="12" fillId="17" borderId="22" xfId="0" applyNumberFormat="1" applyFont="1" applyFill="1" applyBorder="1" applyAlignment="1">
      <alignment vertical="center"/>
    </xf>
    <xf numFmtId="41" fontId="12" fillId="17" borderId="173" xfId="0" applyNumberFormat="1" applyFont="1" applyFill="1" applyBorder="1" applyAlignment="1">
      <alignment vertical="center"/>
    </xf>
    <xf numFmtId="41" fontId="12" fillId="17" borderId="73" xfId="0" applyNumberFormat="1" applyFont="1" applyFill="1" applyBorder="1" applyAlignment="1">
      <alignment vertical="center"/>
    </xf>
    <xf numFmtId="41" fontId="13" fillId="17" borderId="154" xfId="0" applyNumberFormat="1" applyFont="1" applyFill="1" applyBorder="1" applyAlignment="1">
      <alignment vertical="center"/>
    </xf>
    <xf numFmtId="41" fontId="13" fillId="17" borderId="106" xfId="0" applyNumberFormat="1" applyFont="1" applyFill="1" applyBorder="1" applyAlignment="1">
      <alignment vertical="center"/>
    </xf>
    <xf numFmtId="41" fontId="37" fillId="17" borderId="175" xfId="0" applyNumberFormat="1" applyFont="1" applyFill="1" applyBorder="1" applyAlignment="1">
      <alignment vertical="center"/>
    </xf>
    <xf numFmtId="41" fontId="37" fillId="17" borderId="168" xfId="0" applyNumberFormat="1" applyFont="1" applyFill="1" applyBorder="1" applyAlignment="1">
      <alignment vertical="center"/>
    </xf>
    <xf numFmtId="41" fontId="37" fillId="17" borderId="169" xfId="0" applyNumberFormat="1" applyFont="1" applyFill="1" applyBorder="1" applyAlignment="1">
      <alignment vertical="center"/>
    </xf>
    <xf numFmtId="1" fontId="4" fillId="17" borderId="106" xfId="0" applyNumberFormat="1" applyFont="1" applyFill="1" applyBorder="1" applyAlignment="1">
      <alignment vertical="center"/>
    </xf>
    <xf numFmtId="164" fontId="4" fillId="17" borderId="106" xfId="0" applyNumberFormat="1" applyFont="1" applyFill="1" applyBorder="1" applyAlignment="1">
      <alignment vertical="center"/>
    </xf>
    <xf numFmtId="0" fontId="4" fillId="17" borderId="76" xfId="0" applyFont="1" applyFill="1" applyBorder="1" applyAlignment="1">
      <alignment horizontal="center" vertical="center" wrapText="1"/>
    </xf>
    <xf numFmtId="0" fontId="4" fillId="17" borderId="106" xfId="0" applyFont="1" applyFill="1" applyBorder="1" applyAlignment="1">
      <alignment vertical="center"/>
    </xf>
    <xf numFmtId="41" fontId="4" fillId="17" borderId="60" xfId="0" applyNumberFormat="1" applyFont="1" applyFill="1" applyBorder="1" applyAlignment="1">
      <alignment vertical="center"/>
    </xf>
    <xf numFmtId="41" fontId="4" fillId="17" borderId="61" xfId="0" applyNumberFormat="1" applyFont="1" applyFill="1" applyBorder="1" applyAlignment="1">
      <alignment vertical="center"/>
    </xf>
    <xf numFmtId="41" fontId="4" fillId="17" borderId="94" xfId="0" applyNumberFormat="1" applyFont="1" applyFill="1" applyBorder="1" applyAlignment="1">
      <alignment vertical="center"/>
    </xf>
    <xf numFmtId="41" fontId="12" fillId="17" borderId="176" xfId="0" applyNumberFormat="1" applyFont="1" applyFill="1" applyBorder="1" applyAlignment="1">
      <alignment vertical="center"/>
    </xf>
    <xf numFmtId="41" fontId="3" fillId="17" borderId="154" xfId="1" applyNumberFormat="1" applyFont="1" applyFill="1" applyBorder="1" applyAlignment="1">
      <alignment horizontal="left" vertical="center"/>
    </xf>
    <xf numFmtId="41" fontId="3" fillId="17" borderId="115" xfId="1" applyNumberFormat="1" applyFont="1" applyFill="1" applyBorder="1" applyAlignment="1">
      <alignment horizontal="left" vertical="center"/>
    </xf>
    <xf numFmtId="41" fontId="4" fillId="17" borderId="177" xfId="0" applyNumberFormat="1" applyFont="1" applyFill="1" applyBorder="1" applyAlignment="1">
      <alignment vertical="center"/>
    </xf>
    <xf numFmtId="41" fontId="4" fillId="17" borderId="178" xfId="0" applyNumberFormat="1" applyFont="1" applyFill="1" applyBorder="1" applyAlignment="1">
      <alignment vertical="center"/>
    </xf>
    <xf numFmtId="41" fontId="4" fillId="17" borderId="179" xfId="0" applyNumberFormat="1" applyFont="1" applyFill="1" applyBorder="1" applyAlignment="1">
      <alignment vertical="center"/>
    </xf>
    <xf numFmtId="41" fontId="4" fillId="17" borderId="180" xfId="0" applyNumberFormat="1" applyFont="1" applyFill="1" applyBorder="1" applyAlignment="1">
      <alignment vertical="center"/>
    </xf>
    <xf numFmtId="165" fontId="37" fillId="17" borderId="51" xfId="439" applyNumberFormat="1" applyFont="1" applyFill="1" applyBorder="1" applyAlignment="1">
      <alignment vertical="center"/>
    </xf>
    <xf numFmtId="165" fontId="37" fillId="17" borderId="2" xfId="439" applyNumberFormat="1" applyFont="1" applyFill="1" applyBorder="1" applyAlignment="1">
      <alignment vertical="center"/>
    </xf>
    <xf numFmtId="165" fontId="37" fillId="17" borderId="17" xfId="439" applyNumberFormat="1" applyFont="1" applyFill="1" applyBorder="1" applyAlignment="1">
      <alignment vertical="center"/>
    </xf>
    <xf numFmtId="165" fontId="37" fillId="17" borderId="51" xfId="1" applyNumberFormat="1" applyFont="1" applyFill="1" applyBorder="1" applyAlignment="1">
      <alignment vertical="center"/>
    </xf>
    <xf numFmtId="165" fontId="37" fillId="17" borderId="2" xfId="1" applyNumberFormat="1" applyFont="1" applyFill="1" applyBorder="1" applyAlignment="1">
      <alignment vertical="center"/>
    </xf>
    <xf numFmtId="0" fontId="37" fillId="18" borderId="44" xfId="0" applyFont="1" applyFill="1" applyBorder="1" applyAlignment="1">
      <alignment horizontal="center" vertical="center"/>
    </xf>
    <xf numFmtId="165" fontId="37" fillId="18" borderId="51" xfId="1" applyNumberFormat="1" applyFont="1" applyFill="1" applyBorder="1" applyAlignment="1">
      <alignment horizontal="right" vertical="center"/>
    </xf>
    <xf numFmtId="165" fontId="37" fillId="18" borderId="51" xfId="1" applyNumberFormat="1" applyFont="1" applyFill="1" applyBorder="1" applyAlignment="1">
      <alignment vertical="center"/>
    </xf>
    <xf numFmtId="165" fontId="12" fillId="18" borderId="44" xfId="1" applyNumberFormat="1" applyFont="1" applyFill="1" applyBorder="1" applyAlignment="1">
      <alignment vertical="center"/>
    </xf>
    <xf numFmtId="0" fontId="37" fillId="2" borderId="44" xfId="0" applyFont="1" applyFill="1" applyBorder="1" applyAlignment="1">
      <alignment horizontal="center" vertical="center"/>
    </xf>
    <xf numFmtId="165" fontId="37" fillId="2" borderId="51" xfId="1" applyNumberFormat="1" applyFont="1" applyFill="1" applyBorder="1" applyAlignment="1">
      <alignment horizontal="right" vertical="center"/>
    </xf>
    <xf numFmtId="165" fontId="37" fillId="2" borderId="51" xfId="1" applyNumberFormat="1" applyFont="1" applyFill="1" applyBorder="1" applyAlignment="1">
      <alignment vertical="center"/>
    </xf>
    <xf numFmtId="165" fontId="12" fillId="2" borderId="44" xfId="1" applyNumberFormat="1" applyFont="1" applyFill="1" applyBorder="1" applyAlignment="1">
      <alignment vertical="center"/>
    </xf>
    <xf numFmtId="165" fontId="12" fillId="18" borderId="28" xfId="439" applyNumberFormat="1" applyFont="1" applyFill="1" applyBorder="1" applyAlignment="1">
      <alignment horizontal="center" vertical="center"/>
    </xf>
    <xf numFmtId="165" fontId="12" fillId="18" borderId="30" xfId="439" applyNumberFormat="1" applyFont="1" applyFill="1" applyBorder="1" applyAlignment="1">
      <alignment horizontal="center" vertical="center"/>
    </xf>
    <xf numFmtId="0" fontId="37" fillId="18" borderId="44" xfId="439" applyNumberFormat="1" applyFont="1" applyFill="1" applyBorder="1" applyAlignment="1">
      <alignment horizontal="center" vertical="center"/>
    </xf>
    <xf numFmtId="165" fontId="37" fillId="18" borderId="51" xfId="439" applyNumberFormat="1" applyFont="1" applyFill="1" applyBorder="1" applyAlignment="1">
      <alignment vertical="center"/>
    </xf>
    <xf numFmtId="165" fontId="37" fillId="18" borderId="2" xfId="439" applyNumberFormat="1" applyFont="1" applyFill="1" applyBorder="1" applyAlignment="1">
      <alignment vertical="center"/>
    </xf>
    <xf numFmtId="165" fontId="37" fillId="18" borderId="17" xfId="439" applyNumberFormat="1" applyFont="1" applyFill="1" applyBorder="1" applyAlignment="1">
      <alignment vertical="center"/>
    </xf>
    <xf numFmtId="165" fontId="12" fillId="18" borderId="44" xfId="439" applyNumberFormat="1" applyFont="1" applyFill="1" applyBorder="1" applyAlignment="1">
      <alignment vertical="center"/>
    </xf>
    <xf numFmtId="165" fontId="12" fillId="2" borderId="26" xfId="439" applyNumberFormat="1" applyFont="1" applyFill="1" applyBorder="1" applyAlignment="1">
      <alignment horizontal="center" vertical="center"/>
    </xf>
    <xf numFmtId="165" fontId="12" fillId="2" borderId="28" xfId="439" applyNumberFormat="1" applyFont="1" applyFill="1" applyBorder="1" applyAlignment="1">
      <alignment horizontal="center" vertical="center"/>
    </xf>
    <xf numFmtId="165" fontId="12" fillId="2" borderId="30" xfId="439" applyNumberFormat="1" applyFont="1" applyFill="1" applyBorder="1" applyAlignment="1">
      <alignment horizontal="center" vertical="center"/>
    </xf>
    <xf numFmtId="0" fontId="37" fillId="2" borderId="44" xfId="439" applyNumberFormat="1" applyFont="1" applyFill="1" applyBorder="1" applyAlignment="1">
      <alignment horizontal="center" vertical="center"/>
    </xf>
    <xf numFmtId="165" fontId="37" fillId="2" borderId="51" xfId="439" applyNumberFormat="1" applyFont="1" applyFill="1" applyBorder="1" applyAlignment="1">
      <alignment vertical="center"/>
    </xf>
    <xf numFmtId="165" fontId="37" fillId="2" borderId="2" xfId="439" applyNumberFormat="1" applyFont="1" applyFill="1" applyBorder="1" applyAlignment="1">
      <alignment vertical="center"/>
    </xf>
    <xf numFmtId="165" fontId="37" fillId="2" borderId="17" xfId="439" applyNumberFormat="1" applyFont="1" applyFill="1" applyBorder="1" applyAlignment="1">
      <alignment vertical="center"/>
    </xf>
    <xf numFmtId="165" fontId="12" fillId="2" borderId="44" xfId="439" applyNumberFormat="1" applyFont="1" applyFill="1" applyBorder="1" applyAlignment="1">
      <alignment vertical="center"/>
    </xf>
    <xf numFmtId="41" fontId="4" fillId="8" borderId="181" xfId="0" applyNumberFormat="1" applyFont="1" applyFill="1" applyBorder="1" applyAlignment="1">
      <alignment vertical="center"/>
    </xf>
    <xf numFmtId="41" fontId="4" fillId="17" borderId="182" xfId="0" applyNumberFormat="1" applyFont="1" applyFill="1" applyBorder="1" applyAlignment="1">
      <alignment vertical="center"/>
    </xf>
    <xf numFmtId="41" fontId="3" fillId="0" borderId="181" xfId="1" applyNumberFormat="1" applyFont="1" applyFill="1" applyBorder="1" applyAlignment="1">
      <alignment horizontal="left" vertical="center"/>
    </xf>
    <xf numFmtId="41" fontId="3" fillId="0" borderId="66" xfId="1" applyNumberFormat="1" applyFont="1" applyFill="1" applyBorder="1" applyAlignment="1">
      <alignment horizontal="left" vertical="center"/>
    </xf>
    <xf numFmtId="41" fontId="3" fillId="0" borderId="182" xfId="1" applyNumberFormat="1" applyFont="1" applyFill="1" applyBorder="1" applyAlignment="1">
      <alignment horizontal="left" vertical="center"/>
    </xf>
    <xf numFmtId="0" fontId="4" fillId="0" borderId="105" xfId="0" applyFont="1" applyFill="1" applyBorder="1" applyAlignment="1">
      <alignment horizontal="center" vertical="center" wrapText="1"/>
    </xf>
    <xf numFmtId="0" fontId="4" fillId="0" borderId="183" xfId="0" applyFont="1" applyFill="1" applyBorder="1" applyAlignment="1">
      <alignment horizontal="center" vertical="center" wrapText="1"/>
    </xf>
    <xf numFmtId="165" fontId="1" fillId="0" borderId="0" xfId="1" applyNumberFormat="1"/>
    <xf numFmtId="165" fontId="98" fillId="0" borderId="0" xfId="1" applyNumberFormat="1" applyFont="1" applyAlignment="1">
      <alignment horizontal="right"/>
    </xf>
    <xf numFmtId="165" fontId="99" fillId="0" borderId="0" xfId="1" applyNumberFormat="1" applyFont="1" applyAlignment="1">
      <alignment horizontal="right"/>
    </xf>
    <xf numFmtId="165" fontId="5" fillId="0" borderId="2" xfId="1" applyNumberFormat="1" applyFont="1" applyBorder="1" applyAlignment="1">
      <alignment vertical="center"/>
    </xf>
    <xf numFmtId="165" fontId="6" fillId="19" borderId="2" xfId="1" applyNumberFormat="1" applyFont="1" applyFill="1" applyBorder="1" applyAlignment="1">
      <alignment vertical="center"/>
    </xf>
    <xf numFmtId="165" fontId="77" fillId="0" borderId="0" xfId="1" applyNumberFormat="1" applyFont="1" applyBorder="1"/>
    <xf numFmtId="165" fontId="5" fillId="0" borderId="82" xfId="1" applyNumberFormat="1" applyFont="1" applyBorder="1"/>
    <xf numFmtId="165" fontId="100" fillId="0" borderId="82" xfId="1" applyNumberFormat="1" applyFont="1" applyBorder="1"/>
    <xf numFmtId="165" fontId="6" fillId="0" borderId="82" xfId="1" applyNumberFormat="1" applyFont="1" applyBorder="1"/>
    <xf numFmtId="165" fontId="5" fillId="17" borderId="151" xfId="1" applyNumberFormat="1" applyFont="1" applyFill="1" applyBorder="1" applyAlignment="1">
      <alignment vertical="center"/>
    </xf>
    <xf numFmtId="165" fontId="6" fillId="17" borderId="151" xfId="1" applyNumberFormat="1" applyFont="1" applyFill="1" applyBorder="1" applyAlignment="1">
      <alignment vertical="center"/>
    </xf>
    <xf numFmtId="165" fontId="6" fillId="0" borderId="126" xfId="1" applyNumberFormat="1" applyFont="1" applyBorder="1" applyAlignment="1">
      <alignment vertical="center"/>
    </xf>
    <xf numFmtId="165" fontId="5" fillId="19" borderId="126" xfId="1" applyNumberFormat="1" applyFont="1" applyFill="1" applyBorder="1" applyAlignment="1">
      <alignment vertical="center"/>
    </xf>
    <xf numFmtId="165" fontId="5" fillId="17" borderId="126" xfId="1" applyNumberFormat="1" applyFont="1" applyFill="1" applyBorder="1" applyAlignment="1">
      <alignment vertical="center"/>
    </xf>
    <xf numFmtId="165" fontId="6" fillId="0" borderId="28" xfId="1" applyNumberFormat="1" applyFont="1" applyBorder="1" applyAlignment="1">
      <alignment vertical="center"/>
    </xf>
    <xf numFmtId="165" fontId="92" fillId="0" borderId="28" xfId="1" applyNumberFormat="1" applyFont="1" applyBorder="1" applyAlignment="1">
      <alignment vertical="center"/>
    </xf>
    <xf numFmtId="165" fontId="5" fillId="0" borderId="51" xfId="1" applyNumberFormat="1" applyFont="1" applyBorder="1" applyAlignment="1">
      <alignment vertical="center"/>
    </xf>
    <xf numFmtId="165" fontId="5" fillId="17" borderId="2" xfId="1" applyNumberFormat="1" applyFont="1" applyFill="1" applyBorder="1" applyAlignment="1">
      <alignment vertical="center"/>
    </xf>
    <xf numFmtId="165" fontId="6" fillId="0" borderId="86" xfId="1" applyNumberFormat="1" applyFont="1" applyBorder="1"/>
    <xf numFmtId="165" fontId="5" fillId="17" borderId="149" xfId="1" applyNumberFormat="1" applyFont="1" applyFill="1" applyBorder="1" applyAlignment="1">
      <alignment vertical="center"/>
    </xf>
    <xf numFmtId="165" fontId="7" fillId="17" borderId="149" xfId="1" applyNumberFormat="1" applyFont="1" applyFill="1" applyBorder="1" applyAlignment="1">
      <alignment vertical="center"/>
    </xf>
    <xf numFmtId="165" fontId="5" fillId="0" borderId="126" xfId="1" applyNumberFormat="1" applyFont="1" applyBorder="1" applyAlignment="1">
      <alignment vertical="center"/>
    </xf>
    <xf numFmtId="165" fontId="6" fillId="17" borderId="126" xfId="1" applyNumberFormat="1" applyFont="1" applyFill="1" applyBorder="1" applyAlignment="1">
      <alignment vertical="center"/>
    </xf>
    <xf numFmtId="165" fontId="6" fillId="0" borderId="150" xfId="1" applyNumberFormat="1" applyFont="1" applyBorder="1" applyAlignment="1">
      <alignment vertical="center"/>
    </xf>
    <xf numFmtId="165" fontId="5" fillId="0" borderId="86" xfId="1" applyNumberFormat="1" applyFont="1" applyBorder="1"/>
    <xf numFmtId="165" fontId="6" fillId="0" borderId="121" xfId="1" applyNumberFormat="1" applyFont="1" applyBorder="1" applyAlignment="1">
      <alignment vertical="center"/>
    </xf>
    <xf numFmtId="165" fontId="6" fillId="0" borderId="123" xfId="1" applyNumberFormat="1" applyFont="1" applyBorder="1" applyAlignment="1">
      <alignment vertical="center"/>
    </xf>
    <xf numFmtId="165" fontId="6" fillId="0" borderId="128" xfId="1" applyNumberFormat="1" applyFont="1" applyBorder="1" applyAlignment="1">
      <alignment vertical="center"/>
    </xf>
    <xf numFmtId="165" fontId="6" fillId="0" borderId="132" xfId="1" applyNumberFormat="1" applyFont="1" applyBorder="1" applyAlignment="1">
      <alignment vertical="center"/>
    </xf>
    <xf numFmtId="165" fontId="6" fillId="0" borderId="143" xfId="1" applyNumberFormat="1" applyFont="1" applyBorder="1"/>
    <xf numFmtId="165" fontId="6" fillId="0" borderId="161" xfId="1" applyNumberFormat="1" applyFont="1" applyBorder="1"/>
    <xf numFmtId="165" fontId="6" fillId="0" borderId="161" xfId="1" applyNumberFormat="1" applyFont="1" applyBorder="1" applyAlignment="1">
      <alignment vertical="center"/>
    </xf>
    <xf numFmtId="165" fontId="6" fillId="0" borderId="66" xfId="1" applyNumberFormat="1" applyFont="1" applyBorder="1" applyAlignment="1">
      <alignment vertical="center"/>
    </xf>
    <xf numFmtId="165" fontId="6" fillId="0" borderId="20" xfId="1" applyNumberFormat="1" applyFont="1" applyBorder="1" applyAlignment="1">
      <alignment vertical="center"/>
    </xf>
    <xf numFmtId="165" fontId="6" fillId="17" borderId="20" xfId="1" applyNumberFormat="1" applyFont="1" applyFill="1" applyBorder="1" applyAlignment="1">
      <alignment vertical="center"/>
    </xf>
    <xf numFmtId="165" fontId="6" fillId="0" borderId="0" xfId="1" applyNumberFormat="1" applyFont="1" applyAlignment="1">
      <alignment vertical="center"/>
    </xf>
    <xf numFmtId="165" fontId="5" fillId="0" borderId="24" xfId="1" applyNumberFormat="1" applyFont="1" applyBorder="1" applyAlignment="1">
      <alignment horizontal="right" vertical="center" indent="1"/>
    </xf>
    <xf numFmtId="165" fontId="77" fillId="0" borderId="0" xfId="1" applyNumberFormat="1" applyFont="1"/>
    <xf numFmtId="165" fontId="6" fillId="0" borderId="0" xfId="1" applyNumberFormat="1" applyFont="1"/>
    <xf numFmtId="165" fontId="1" fillId="9" borderId="2" xfId="1" applyNumberFormat="1" applyFont="1" applyFill="1" applyBorder="1"/>
    <xf numFmtId="165" fontId="1" fillId="9" borderId="2" xfId="1" applyNumberFormat="1" applyFill="1" applyBorder="1"/>
    <xf numFmtId="165" fontId="1" fillId="10" borderId="2" xfId="1" applyNumberFormat="1" applyFont="1" applyFill="1" applyBorder="1"/>
    <xf numFmtId="165" fontId="6" fillId="10" borderId="2" xfId="1" applyNumberFormat="1" applyFont="1" applyFill="1" applyBorder="1"/>
    <xf numFmtId="165" fontId="1" fillId="11" borderId="2" xfId="1" applyNumberFormat="1" applyFont="1" applyFill="1" applyBorder="1" applyAlignment="1">
      <alignment vertical="center"/>
    </xf>
    <xf numFmtId="165" fontId="6" fillId="0" borderId="2" xfId="1" applyNumberFormat="1" applyFont="1" applyBorder="1"/>
    <xf numFmtId="165" fontId="5" fillId="11" borderId="2" xfId="1" applyNumberFormat="1" applyFont="1" applyFill="1" applyBorder="1" applyAlignment="1">
      <alignment vertical="center"/>
    </xf>
    <xf numFmtId="165" fontId="1" fillId="14" borderId="2" xfId="1" applyNumberFormat="1" applyFont="1" applyFill="1" applyBorder="1" applyAlignment="1">
      <alignment vertical="center"/>
    </xf>
    <xf numFmtId="165" fontId="1" fillId="14" borderId="2" xfId="1" applyNumberFormat="1" applyFill="1" applyBorder="1"/>
    <xf numFmtId="165" fontId="5" fillId="15" borderId="2" xfId="1" applyNumberFormat="1" applyFont="1" applyFill="1" applyBorder="1" applyAlignment="1">
      <alignment vertical="center"/>
    </xf>
    <xf numFmtId="0" fontId="49" fillId="0" borderId="0" xfId="861" applyFont="1" applyAlignment="1">
      <alignment horizontal="center"/>
    </xf>
    <xf numFmtId="0" fontId="50" fillId="0" borderId="0" xfId="861" applyFont="1"/>
    <xf numFmtId="41" fontId="6" fillId="10" borderId="0" xfId="14" applyFont="1" applyFill="1"/>
    <xf numFmtId="41" fontId="6" fillId="10" borderId="82" xfId="14" applyFont="1" applyFill="1" applyBorder="1"/>
    <xf numFmtId="41" fontId="6" fillId="0" borderId="0" xfId="14" applyFont="1"/>
    <xf numFmtId="0" fontId="5" fillId="0" borderId="0" xfId="861" applyFont="1"/>
    <xf numFmtId="0" fontId="4" fillId="0" borderId="0" xfId="861" applyFont="1"/>
    <xf numFmtId="0" fontId="6" fillId="0" borderId="0" xfId="861" quotePrefix="1" applyFont="1"/>
    <xf numFmtId="41" fontId="6" fillId="0" borderId="82" xfId="14" applyFont="1" applyBorder="1"/>
    <xf numFmtId="41" fontId="155" fillId="0" borderId="82" xfId="14" applyFont="1" applyBorder="1"/>
    <xf numFmtId="41" fontId="6" fillId="0" borderId="0" xfId="861" applyNumberFormat="1" applyFont="1"/>
    <xf numFmtId="0" fontId="155" fillId="0" borderId="0" xfId="861" applyFont="1"/>
    <xf numFmtId="0" fontId="29" fillId="0" borderId="0" xfId="861" applyFont="1" applyFill="1"/>
    <xf numFmtId="0" fontId="155" fillId="0" borderId="0" xfId="861" quotePrefix="1" applyFont="1"/>
    <xf numFmtId="41" fontId="52" fillId="0" borderId="0" xfId="14" applyFont="1" applyBorder="1"/>
    <xf numFmtId="0" fontId="157" fillId="0" borderId="0" xfId="861" applyFont="1"/>
    <xf numFmtId="41" fontId="6" fillId="0" borderId="25" xfId="14" applyFont="1" applyBorder="1"/>
    <xf numFmtId="41" fontId="158" fillId="0" borderId="0" xfId="14" applyFont="1"/>
    <xf numFmtId="41" fontId="6" fillId="0" borderId="27" xfId="14" applyFont="1" applyBorder="1"/>
    <xf numFmtId="0" fontId="6" fillId="0" borderId="0" xfId="861" applyFont="1" applyAlignment="1">
      <alignment horizontal="left"/>
    </xf>
    <xf numFmtId="0" fontId="51" fillId="0" borderId="0" xfId="861" applyFont="1"/>
    <xf numFmtId="41" fontId="5" fillId="0" borderId="0" xfId="14" applyFont="1"/>
    <xf numFmtId="41" fontId="6" fillId="0" borderId="82" xfId="14" applyFont="1" applyBorder="1" applyAlignment="1">
      <alignment horizontal="center"/>
    </xf>
    <xf numFmtId="0" fontId="55" fillId="0" borderId="153" xfId="861" applyFont="1" applyBorder="1" applyAlignment="1">
      <alignment horizontal="center" vertical="top" wrapText="1"/>
    </xf>
    <xf numFmtId="0" fontId="55" fillId="0" borderId="105" xfId="861" applyFont="1" applyBorder="1" applyAlignment="1">
      <alignment horizontal="center" vertical="top" wrapText="1"/>
    </xf>
    <xf numFmtId="0" fontId="56" fillId="0" borderId="37" xfId="861" applyFont="1" applyBorder="1" applyAlignment="1">
      <alignment horizontal="justify" vertical="top" wrapText="1"/>
    </xf>
    <xf numFmtId="0" fontId="56" fillId="0" borderId="37" xfId="861" applyFont="1" applyBorder="1" applyAlignment="1">
      <alignment horizontal="left" vertical="top" wrapText="1" indent="2"/>
    </xf>
    <xf numFmtId="0" fontId="56" fillId="0" borderId="36" xfId="861" applyFont="1" applyBorder="1" applyAlignment="1">
      <alignment horizontal="justify" vertical="top" wrapText="1"/>
    </xf>
    <xf numFmtId="0" fontId="57" fillId="0" borderId="37" xfId="861" applyFont="1" applyBorder="1" applyAlignment="1">
      <alignment horizontal="justify" vertical="top" wrapText="1"/>
    </xf>
    <xf numFmtId="41" fontId="56" fillId="0" borderId="37" xfId="861" applyNumberFormat="1" applyFont="1" applyBorder="1" applyAlignment="1">
      <alignment horizontal="justify" vertical="top" wrapText="1"/>
    </xf>
    <xf numFmtId="41" fontId="58" fillId="0" borderId="37" xfId="861" applyNumberFormat="1" applyFont="1" applyBorder="1" applyAlignment="1">
      <alignment horizontal="justify" vertical="top" wrapText="1"/>
    </xf>
    <xf numFmtId="0" fontId="11" fillId="0" borderId="0" xfId="861" applyFont="1" applyAlignment="1"/>
    <xf numFmtId="41" fontId="1" fillId="0" borderId="0" xfId="861" applyNumberFormat="1"/>
    <xf numFmtId="41" fontId="56" fillId="0" borderId="37" xfId="861" applyNumberFormat="1" applyFont="1" applyBorder="1" applyAlignment="1">
      <alignment horizontal="left" vertical="top" wrapText="1" indent="1"/>
    </xf>
    <xf numFmtId="0" fontId="56" fillId="0" borderId="37" xfId="861" applyFont="1" applyBorder="1" applyAlignment="1">
      <alignment horizontal="left" vertical="top" wrapText="1" indent="1"/>
    </xf>
    <xf numFmtId="0" fontId="1" fillId="0" borderId="0" xfId="861" applyFont="1"/>
    <xf numFmtId="41" fontId="59" fillId="0" borderId="0" xfId="861" applyNumberFormat="1" applyFont="1"/>
    <xf numFmtId="41" fontId="57" fillId="0" borderId="37" xfId="861" applyNumberFormat="1" applyFont="1" applyBorder="1" applyAlignment="1">
      <alignment horizontal="left" vertical="top" wrapText="1" indent="1"/>
    </xf>
    <xf numFmtId="0" fontId="1" fillId="0" borderId="37" xfId="861" applyBorder="1" applyAlignment="1">
      <alignment vertical="top" wrapText="1"/>
    </xf>
    <xf numFmtId="0" fontId="56" fillId="0" borderId="41" xfId="861" applyFont="1" applyBorder="1" applyAlignment="1">
      <alignment horizontal="justify" vertical="top" wrapText="1"/>
    </xf>
    <xf numFmtId="0" fontId="56" fillId="0" borderId="40" xfId="861" applyFont="1" applyBorder="1" applyAlignment="1">
      <alignment horizontal="justify" vertical="top" wrapText="1"/>
    </xf>
    <xf numFmtId="0" fontId="1" fillId="0" borderId="40" xfId="861" applyBorder="1" applyAlignment="1">
      <alignment vertical="top" wrapText="1"/>
    </xf>
    <xf numFmtId="0" fontId="56" fillId="0" borderId="0" xfId="861" applyFont="1" applyAlignment="1">
      <alignment horizontal="justify"/>
    </xf>
    <xf numFmtId="0" fontId="56" fillId="0" borderId="0" xfId="861" applyFont="1" applyAlignment="1">
      <alignment horizontal="center"/>
    </xf>
    <xf numFmtId="0" fontId="56" fillId="0" borderId="0" xfId="861" applyFont="1" applyAlignment="1">
      <alignment horizontal="left"/>
    </xf>
    <xf numFmtId="0" fontId="60" fillId="0" borderId="0" xfId="861" applyFont="1" applyAlignment="1">
      <alignment horizontal="left"/>
    </xf>
    <xf numFmtId="0" fontId="61" fillId="0" borderId="153" xfId="861" applyFont="1" applyBorder="1" applyAlignment="1">
      <alignment horizontal="center" vertical="top" wrapText="1"/>
    </xf>
    <xf numFmtId="0" fontId="61" fillId="0" borderId="105" xfId="861" applyFont="1" applyBorder="1" applyAlignment="1">
      <alignment horizontal="center" vertical="top" wrapText="1"/>
    </xf>
    <xf numFmtId="0" fontId="56" fillId="0" borderId="37" xfId="861" applyFont="1" applyBorder="1" applyAlignment="1">
      <alignment horizontal="center" vertical="top" wrapText="1"/>
    </xf>
    <xf numFmtId="0" fontId="56" fillId="0" borderId="37" xfId="861" applyFont="1" applyBorder="1" applyAlignment="1">
      <alignment horizontal="right" vertical="top" wrapText="1"/>
    </xf>
    <xf numFmtId="41" fontId="56" fillId="0" borderId="37" xfId="14" applyFont="1" applyBorder="1" applyAlignment="1">
      <alignment horizontal="justify" vertical="top" wrapText="1"/>
    </xf>
    <xf numFmtId="41" fontId="62" fillId="0" borderId="37" xfId="14" applyFont="1" applyBorder="1" applyAlignment="1">
      <alignment horizontal="left" vertical="top" wrapText="1" indent="1"/>
    </xf>
    <xf numFmtId="41" fontId="56" fillId="0" borderId="37" xfId="14" applyFont="1" applyBorder="1" applyAlignment="1">
      <alignment horizontal="left" vertical="top" wrapText="1" indent="1"/>
    </xf>
    <xf numFmtId="41" fontId="57" fillId="0" borderId="37" xfId="861" applyNumberFormat="1" applyFont="1" applyBorder="1" applyAlignment="1">
      <alignment horizontal="justify" vertical="top" wrapText="1"/>
    </xf>
    <xf numFmtId="41" fontId="57" fillId="0" borderId="37" xfId="14" applyFont="1" applyBorder="1" applyAlignment="1">
      <alignment horizontal="left" vertical="top" wrapText="1" indent="1"/>
    </xf>
    <xf numFmtId="41" fontId="1" fillId="0" borderId="37" xfId="14" applyFont="1" applyBorder="1" applyAlignment="1">
      <alignment vertical="top" wrapText="1"/>
    </xf>
    <xf numFmtId="0" fontId="56" fillId="0" borderId="40" xfId="861" applyFont="1" applyBorder="1" applyAlignment="1">
      <alignment horizontal="left" vertical="top" wrapText="1"/>
    </xf>
    <xf numFmtId="0" fontId="56" fillId="0" borderId="40" xfId="861" applyFont="1" applyBorder="1" applyAlignment="1">
      <alignment horizontal="right" vertical="top" wrapText="1"/>
    </xf>
    <xf numFmtId="0" fontId="57" fillId="0" borderId="40" xfId="861" applyFont="1" applyBorder="1" applyAlignment="1">
      <alignment horizontal="justify" vertical="top" wrapText="1"/>
    </xf>
    <xf numFmtId="0" fontId="57" fillId="0" borderId="40" xfId="861" applyFont="1" applyBorder="1" applyAlignment="1">
      <alignment horizontal="right" vertical="top" wrapText="1"/>
    </xf>
    <xf numFmtId="41" fontId="57" fillId="0" borderId="40" xfId="861" applyNumberFormat="1" applyFont="1" applyBorder="1" applyAlignment="1">
      <alignment horizontal="left" vertical="top" wrapText="1" indent="1"/>
    </xf>
    <xf numFmtId="0" fontId="62" fillId="0" borderId="0" xfId="861" applyFont="1" applyAlignment="1">
      <alignment horizontal="center"/>
    </xf>
    <xf numFmtId="0" fontId="1" fillId="0" borderId="0" xfId="861" applyAlignment="1">
      <alignment horizontal="center"/>
    </xf>
    <xf numFmtId="0" fontId="56" fillId="0" borderId="0" xfId="861" applyFont="1" applyAlignment="1">
      <alignment horizontal="right"/>
    </xf>
    <xf numFmtId="0" fontId="60" fillId="0" borderId="0" xfId="861" applyFont="1" applyAlignment="1">
      <alignment horizontal="center"/>
    </xf>
    <xf numFmtId="0" fontId="67" fillId="0" borderId="40" xfId="861" applyFont="1" applyBorder="1" applyAlignment="1">
      <alignment horizontal="center" vertical="top" wrapText="1"/>
    </xf>
    <xf numFmtId="0" fontId="56" fillId="0" borderId="34" xfId="861" applyFont="1" applyBorder="1" applyAlignment="1">
      <alignment vertical="top" wrapText="1"/>
    </xf>
    <xf numFmtId="0" fontId="56" fillId="0" borderId="36" xfId="861" applyFont="1" applyBorder="1" applyAlignment="1">
      <alignment horizontal="center" vertical="top" wrapText="1"/>
    </xf>
    <xf numFmtId="41" fontId="56" fillId="0" borderId="36" xfId="14" applyFont="1" applyBorder="1" applyAlignment="1">
      <alignment vertical="top" wrapText="1"/>
    </xf>
    <xf numFmtId="0" fontId="1" fillId="0" borderId="41" xfId="861" applyBorder="1" applyAlignment="1">
      <alignment vertical="top" wrapText="1"/>
    </xf>
    <xf numFmtId="41" fontId="56" fillId="0" borderId="41" xfId="14" applyFont="1" applyBorder="1" applyAlignment="1">
      <alignment vertical="top" wrapText="1"/>
    </xf>
    <xf numFmtId="0" fontId="67" fillId="0" borderId="85" xfId="861" applyFont="1" applyBorder="1" applyAlignment="1">
      <alignment horizontal="center" vertical="top" wrapText="1"/>
    </xf>
    <xf numFmtId="0" fontId="68" fillId="0" borderId="184" xfId="861" applyFont="1" applyBorder="1" applyAlignment="1">
      <alignment horizontal="center" vertical="top" wrapText="1"/>
    </xf>
    <xf numFmtId="0" fontId="68" fillId="0" borderId="185" xfId="861" applyFont="1" applyBorder="1" applyAlignment="1">
      <alignment horizontal="center" vertical="top" wrapText="1"/>
    </xf>
    <xf numFmtId="0" fontId="56" fillId="0" borderId="25" xfId="861" applyFont="1" applyBorder="1" applyAlignment="1">
      <alignment vertical="top" wrapText="1"/>
    </xf>
    <xf numFmtId="0" fontId="57" fillId="0" borderId="186" xfId="861" applyFont="1" applyBorder="1" applyAlignment="1">
      <alignment vertical="top" wrapText="1"/>
    </xf>
    <xf numFmtId="0" fontId="57" fillId="0" borderId="38" xfId="861" applyFont="1" applyBorder="1" applyAlignment="1">
      <alignment vertical="top" wrapText="1"/>
    </xf>
    <xf numFmtId="41" fontId="56" fillId="0" borderId="27" xfId="14" applyFont="1" applyBorder="1" applyAlignment="1">
      <alignment vertical="top" wrapText="1"/>
    </xf>
    <xf numFmtId="41" fontId="57" fillId="0" borderId="187" xfId="14" applyFont="1" applyBorder="1" applyAlignment="1">
      <alignment vertical="top" wrapText="1"/>
    </xf>
    <xf numFmtId="41" fontId="57" fillId="0" borderId="39" xfId="14" applyFont="1" applyBorder="1" applyAlignment="1">
      <alignment vertical="top" wrapText="1"/>
    </xf>
    <xf numFmtId="41" fontId="56" fillId="0" borderId="23" xfId="14" applyFont="1" applyBorder="1" applyAlignment="1">
      <alignment vertical="top" wrapText="1"/>
    </xf>
    <xf numFmtId="41" fontId="57" fillId="0" borderId="188" xfId="14" applyFont="1" applyBorder="1" applyAlignment="1">
      <alignment vertical="top" wrapText="1"/>
    </xf>
    <xf numFmtId="41" fontId="57" fillId="0" borderId="189" xfId="14" applyFont="1" applyBorder="1" applyAlignment="1">
      <alignment vertical="top" wrapText="1"/>
    </xf>
    <xf numFmtId="0" fontId="1" fillId="0" borderId="0" xfId="861" applyBorder="1" applyAlignment="1">
      <alignment vertical="top" wrapText="1"/>
    </xf>
    <xf numFmtId="0" fontId="56" fillId="0" borderId="0" xfId="861" applyFont="1" applyBorder="1" applyAlignment="1">
      <alignment horizontal="justify" vertical="top" wrapText="1"/>
    </xf>
    <xf numFmtId="41" fontId="56" fillId="0" borderId="0" xfId="14" applyFont="1" applyBorder="1" applyAlignment="1">
      <alignment vertical="top" wrapText="1"/>
    </xf>
    <xf numFmtId="0" fontId="1" fillId="0" borderId="0" xfId="861" applyFont="1" applyAlignment="1">
      <alignment horizontal="center"/>
    </xf>
    <xf numFmtId="0" fontId="69" fillId="0" borderId="0" xfId="861" applyFont="1" applyAlignment="1">
      <alignment horizontal="center"/>
    </xf>
    <xf numFmtId="0" fontId="1" fillId="0" borderId="0" xfId="861" applyAlignment="1">
      <alignment vertical="center"/>
    </xf>
    <xf numFmtId="0" fontId="56" fillId="0" borderId="0" xfId="861" applyFont="1" applyAlignment="1">
      <alignment horizontal="left" vertical="center"/>
    </xf>
    <xf numFmtId="0" fontId="64" fillId="0" borderId="0" xfId="861" applyFont="1" applyAlignment="1">
      <alignment horizontal="center" vertical="center"/>
    </xf>
    <xf numFmtId="0" fontId="71" fillId="0" borderId="153" xfId="861" applyFont="1" applyBorder="1" applyAlignment="1">
      <alignment horizontal="center" vertical="center" wrapText="1"/>
    </xf>
    <xf numFmtId="0" fontId="71" fillId="0" borderId="105" xfId="861" applyFont="1" applyBorder="1" applyAlignment="1">
      <alignment horizontal="center" vertical="center" wrapText="1"/>
    </xf>
    <xf numFmtId="0" fontId="57" fillId="0" borderId="74" xfId="861" applyFont="1" applyBorder="1" applyAlignment="1">
      <alignment vertical="center" wrapText="1"/>
    </xf>
    <xf numFmtId="164" fontId="56" fillId="0" borderId="75" xfId="861" applyNumberFormat="1" applyFont="1" applyBorder="1" applyAlignment="1">
      <alignment vertical="center" wrapText="1"/>
    </xf>
    <xf numFmtId="0" fontId="56" fillId="0" borderId="75" xfId="861" applyFont="1" applyBorder="1" applyAlignment="1">
      <alignment vertical="center" wrapText="1"/>
    </xf>
    <xf numFmtId="164" fontId="56" fillId="0" borderId="69" xfId="861" applyNumberFormat="1" applyFont="1" applyBorder="1" applyAlignment="1">
      <alignment vertical="center" wrapText="1"/>
    </xf>
    <xf numFmtId="0" fontId="56" fillId="0" borderId="69" xfId="861" applyFont="1" applyBorder="1" applyAlignment="1">
      <alignment vertical="center" wrapText="1"/>
    </xf>
    <xf numFmtId="164" fontId="56" fillId="0" borderId="76" xfId="861" applyNumberFormat="1" applyFont="1" applyBorder="1" applyAlignment="1">
      <alignment vertical="center" wrapText="1"/>
    </xf>
    <xf numFmtId="0" fontId="56" fillId="0" borderId="76" xfId="861" applyFont="1" applyBorder="1" applyAlignment="1">
      <alignment vertical="center" wrapText="1"/>
    </xf>
    <xf numFmtId="0" fontId="56" fillId="0" borderId="99" xfId="861" applyFont="1" applyBorder="1" applyAlignment="1">
      <alignment horizontal="justify" vertical="center" wrapText="1"/>
    </xf>
    <xf numFmtId="0" fontId="57" fillId="0" borderId="105" xfId="861" applyFont="1" applyBorder="1" applyAlignment="1">
      <alignment horizontal="left" vertical="center" wrapText="1"/>
    </xf>
    <xf numFmtId="0" fontId="56" fillId="0" borderId="0" xfId="861" applyFont="1" applyAlignment="1">
      <alignment horizontal="justify" vertical="center"/>
    </xf>
    <xf numFmtId="0" fontId="56" fillId="0" borderId="0" xfId="861" applyFont="1" applyAlignment="1">
      <alignment horizontal="center" vertical="center"/>
    </xf>
    <xf numFmtId="0" fontId="62" fillId="0" borderId="0" xfId="861" applyFont="1" applyAlignment="1">
      <alignment horizontal="center" vertical="center"/>
    </xf>
    <xf numFmtId="0" fontId="101" fillId="16" borderId="132" xfId="861" applyFont="1" applyFill="1" applyBorder="1" applyAlignment="1">
      <alignment vertical="center"/>
    </xf>
    <xf numFmtId="165" fontId="6" fillId="16" borderId="126" xfId="1" applyNumberFormat="1" applyFont="1" applyFill="1" applyBorder="1" applyAlignment="1">
      <alignment vertical="center"/>
    </xf>
    <xf numFmtId="165" fontId="5" fillId="16" borderId="126" xfId="1" applyNumberFormat="1" applyFont="1" applyFill="1" applyBorder="1" applyAlignment="1">
      <alignment vertical="center"/>
    </xf>
    <xf numFmtId="0" fontId="6" fillId="16" borderId="128" xfId="861" applyFont="1" applyFill="1" applyBorder="1" applyAlignment="1">
      <alignment vertical="center"/>
    </xf>
    <xf numFmtId="0" fontId="6" fillId="16" borderId="132" xfId="861" applyFont="1" applyFill="1" applyBorder="1" applyAlignment="1">
      <alignment vertical="center"/>
    </xf>
    <xf numFmtId="165" fontId="6" fillId="16" borderId="128" xfId="1" applyNumberFormat="1" applyFont="1" applyFill="1" applyBorder="1" applyAlignment="1">
      <alignment vertical="center"/>
    </xf>
    <xf numFmtId="165" fontId="6" fillId="16" borderId="132" xfId="1" applyNumberFormat="1" applyFont="1" applyFill="1" applyBorder="1" applyAlignment="1">
      <alignment vertical="center"/>
    </xf>
    <xf numFmtId="165" fontId="1" fillId="16" borderId="2" xfId="1" applyNumberFormat="1" applyFont="1" applyFill="1" applyBorder="1" applyAlignment="1">
      <alignment vertical="center"/>
    </xf>
    <xf numFmtId="0" fontId="1" fillId="16" borderId="2" xfId="861" applyFill="1" applyBorder="1"/>
    <xf numFmtId="0" fontId="1" fillId="16" borderId="2" xfId="861" applyFont="1" applyFill="1" applyBorder="1"/>
    <xf numFmtId="165" fontId="1" fillId="16" borderId="2" xfId="1" applyNumberFormat="1" applyFont="1" applyFill="1" applyBorder="1"/>
    <xf numFmtId="165" fontId="1" fillId="16" borderId="2" xfId="1" applyNumberFormat="1" applyFill="1" applyBorder="1"/>
    <xf numFmtId="0" fontId="6" fillId="0" borderId="0" xfId="1174" applyFont="1" applyAlignment="1">
      <alignment vertical="center"/>
    </xf>
    <xf numFmtId="41" fontId="6" fillId="0" borderId="0" xfId="1174" applyNumberFormat="1" applyFont="1" applyAlignment="1">
      <alignment vertical="center"/>
    </xf>
    <xf numFmtId="0" fontId="5" fillId="0" borderId="0" xfId="1174" applyFont="1" applyFill="1" applyAlignment="1">
      <alignment vertical="center"/>
    </xf>
    <xf numFmtId="0" fontId="6" fillId="0" borderId="0" xfId="1174" applyFont="1" applyFill="1" applyAlignment="1">
      <alignment vertical="center"/>
    </xf>
    <xf numFmtId="0" fontId="101" fillId="0" borderId="0" xfId="1174" applyFont="1" applyAlignment="1">
      <alignment vertical="center"/>
    </xf>
    <xf numFmtId="41" fontId="1" fillId="0" borderId="0" xfId="1174" applyNumberFormat="1" applyFont="1" applyAlignment="1">
      <alignment vertical="center"/>
    </xf>
    <xf numFmtId="0" fontId="159" fillId="20" borderId="99" xfId="1174" applyFont="1" applyFill="1" applyBorder="1" applyAlignment="1">
      <alignment horizontal="center" vertical="center"/>
    </xf>
    <xf numFmtId="0" fontId="159" fillId="20" borderId="183" xfId="1174" applyFont="1" applyFill="1" applyBorder="1" applyAlignment="1">
      <alignment horizontal="center" vertical="center"/>
    </xf>
    <xf numFmtId="41" fontId="6" fillId="21" borderId="55" xfId="1174" applyNumberFormat="1" applyFont="1" applyFill="1" applyBorder="1" applyAlignment="1">
      <alignment horizontal="center" vertical="center"/>
    </xf>
    <xf numFmtId="41" fontId="6" fillId="8" borderId="55" xfId="1174" applyNumberFormat="1" applyFont="1" applyFill="1" applyBorder="1" applyAlignment="1">
      <alignment horizontal="center" vertical="center"/>
    </xf>
    <xf numFmtId="41" fontId="6" fillId="8" borderId="104" xfId="1174" applyNumberFormat="1" applyFont="1" applyFill="1" applyBorder="1" applyAlignment="1">
      <alignment horizontal="center" vertical="center"/>
    </xf>
    <xf numFmtId="41" fontId="4" fillId="8" borderId="2" xfId="1174" applyNumberFormat="1" applyFont="1" applyFill="1" applyBorder="1" applyAlignment="1">
      <alignment horizontal="center" vertical="center"/>
    </xf>
    <xf numFmtId="41" fontId="4" fillId="8" borderId="80" xfId="1174" applyNumberFormat="1" applyFont="1" applyFill="1" applyBorder="1" applyAlignment="1">
      <alignment horizontal="center" vertical="center"/>
    </xf>
    <xf numFmtId="41" fontId="3" fillId="21" borderId="51" xfId="1" applyNumberFormat="1" applyFont="1" applyFill="1" applyBorder="1" applyAlignment="1">
      <alignment vertical="center"/>
    </xf>
    <xf numFmtId="41" fontId="3" fillId="8" borderId="51" xfId="1" applyNumberFormat="1" applyFont="1" applyFill="1" applyBorder="1" applyAlignment="1">
      <alignment vertical="center"/>
    </xf>
    <xf numFmtId="41" fontId="4" fillId="8" borderId="52" xfId="1" applyNumberFormat="1" applyFont="1" applyFill="1" applyBorder="1" applyAlignment="1">
      <alignment vertical="center"/>
    </xf>
    <xf numFmtId="41" fontId="3" fillId="21" borderId="2" xfId="1" applyNumberFormat="1" applyFont="1" applyFill="1" applyBorder="1" applyAlignment="1">
      <alignment vertical="center"/>
    </xf>
    <xf numFmtId="41" fontId="3" fillId="8" borderId="2" xfId="1" applyNumberFormat="1" applyFont="1" applyFill="1" applyBorder="1" applyAlignment="1">
      <alignment vertical="center"/>
    </xf>
    <xf numFmtId="41" fontId="4" fillId="8" borderId="80" xfId="1" applyNumberFormat="1" applyFont="1" applyFill="1" applyBorder="1" applyAlignment="1">
      <alignment vertical="center"/>
    </xf>
    <xf numFmtId="41" fontId="3" fillId="21" borderId="53" xfId="1" applyNumberFormat="1" applyFont="1" applyFill="1" applyBorder="1" applyAlignment="1">
      <alignment vertical="center"/>
    </xf>
    <xf numFmtId="41" fontId="3" fillId="8" borderId="53" xfId="1" applyNumberFormat="1" applyFont="1" applyFill="1" applyBorder="1" applyAlignment="1">
      <alignment vertical="center"/>
    </xf>
    <xf numFmtId="41" fontId="4" fillId="8" borderId="166" xfId="1" applyNumberFormat="1" applyFont="1" applyFill="1" applyBorder="1" applyAlignment="1">
      <alignment vertical="center"/>
    </xf>
    <xf numFmtId="41" fontId="4" fillId="21" borderId="44" xfId="1" applyNumberFormat="1" applyFont="1" applyFill="1" applyBorder="1" applyAlignment="1">
      <alignment vertical="center"/>
    </xf>
    <xf numFmtId="41" fontId="4" fillId="8" borderId="44" xfId="1" applyNumberFormat="1" applyFont="1" applyFill="1" applyBorder="1" applyAlignment="1">
      <alignment vertical="center"/>
    </xf>
    <xf numFmtId="41" fontId="4" fillId="8" borderId="50" xfId="1" applyNumberFormat="1" applyFont="1" applyFill="1" applyBorder="1" applyAlignment="1">
      <alignment vertical="center"/>
    </xf>
    <xf numFmtId="0" fontId="159" fillId="13" borderId="183" xfId="1174" applyFont="1" applyFill="1" applyBorder="1" applyAlignment="1">
      <alignment horizontal="center" vertical="center"/>
    </xf>
    <xf numFmtId="0" fontId="159" fillId="15" borderId="183" xfId="1174" applyFont="1" applyFill="1" applyBorder="1" applyAlignment="1">
      <alignment horizontal="center" vertical="center"/>
    </xf>
    <xf numFmtId="0" fontId="159" fillId="22" borderId="183" xfId="1174" applyFont="1" applyFill="1" applyBorder="1" applyAlignment="1">
      <alignment horizontal="center" vertical="center"/>
    </xf>
    <xf numFmtId="0" fontId="159" fillId="23" borderId="183" xfId="1174" applyFont="1" applyFill="1" applyBorder="1" applyAlignment="1">
      <alignment horizontal="center" vertical="center"/>
    </xf>
    <xf numFmtId="41" fontId="3" fillId="16" borderId="2" xfId="1" applyNumberFormat="1" applyFont="1" applyFill="1" applyBorder="1" applyAlignment="1">
      <alignment vertical="center"/>
    </xf>
    <xf numFmtId="41" fontId="4" fillId="16" borderId="80" xfId="1" applyNumberFormat="1" applyFont="1" applyFill="1" applyBorder="1" applyAlignment="1">
      <alignment vertical="center"/>
    </xf>
    <xf numFmtId="41" fontId="4" fillId="8" borderId="6" xfId="1174" applyNumberFormat="1" applyFont="1" applyFill="1" applyBorder="1" applyAlignment="1">
      <alignment horizontal="center" vertical="center"/>
    </xf>
    <xf numFmtId="41" fontId="6" fillId="8" borderId="190" xfId="1174" applyNumberFormat="1" applyFont="1" applyFill="1" applyBorder="1" applyAlignment="1">
      <alignment horizontal="center" vertical="center"/>
    </xf>
    <xf numFmtId="41" fontId="4" fillId="8" borderId="13" xfId="1" applyNumberFormat="1" applyFont="1" applyFill="1" applyBorder="1" applyAlignment="1">
      <alignment vertical="center"/>
    </xf>
    <xf numFmtId="41" fontId="4" fillId="8" borderId="6" xfId="1" applyNumberFormat="1" applyFont="1" applyFill="1" applyBorder="1" applyAlignment="1">
      <alignment vertical="center"/>
    </xf>
    <xf numFmtId="41" fontId="4" fillId="8" borderId="191" xfId="1" applyNumberFormat="1" applyFont="1" applyFill="1" applyBorder="1" applyAlignment="1">
      <alignment vertical="center"/>
    </xf>
    <xf numFmtId="0" fontId="159" fillId="24" borderId="192" xfId="1174" applyFont="1" applyFill="1" applyBorder="1" applyAlignment="1">
      <alignment horizontal="center" vertical="center"/>
    </xf>
    <xf numFmtId="41" fontId="4" fillId="21" borderId="193" xfId="1" applyNumberFormat="1" applyFont="1" applyFill="1" applyBorder="1" applyAlignment="1">
      <alignment vertical="center"/>
    </xf>
    <xf numFmtId="41" fontId="4" fillId="8" borderId="193" xfId="1" applyNumberFormat="1" applyFont="1" applyFill="1" applyBorder="1" applyAlignment="1">
      <alignment vertical="center"/>
    </xf>
    <xf numFmtId="41" fontId="4" fillId="8" borderId="194" xfId="1" applyNumberFormat="1" applyFont="1" applyFill="1" applyBorder="1" applyAlignment="1">
      <alignment vertical="center"/>
    </xf>
    <xf numFmtId="0" fontId="159" fillId="13" borderId="99" xfId="1174" applyFont="1" applyFill="1" applyBorder="1" applyAlignment="1">
      <alignment horizontal="center" vertical="center"/>
    </xf>
    <xf numFmtId="0" fontId="159" fillId="15" borderId="99" xfId="1174" applyFont="1" applyFill="1" applyBorder="1" applyAlignment="1">
      <alignment horizontal="center" vertical="center"/>
    </xf>
    <xf numFmtId="0" fontId="159" fillId="22" borderId="99" xfId="1174" applyFont="1" applyFill="1" applyBorder="1" applyAlignment="1">
      <alignment horizontal="center" vertical="center"/>
    </xf>
    <xf numFmtId="0" fontId="159" fillId="23" borderId="99" xfId="1174" applyFont="1" applyFill="1" applyBorder="1" applyAlignment="1">
      <alignment horizontal="center" vertical="center"/>
    </xf>
    <xf numFmtId="0" fontId="160" fillId="0" borderId="0" xfId="1174" applyFont="1" applyAlignment="1">
      <alignment vertical="center"/>
    </xf>
    <xf numFmtId="41" fontId="160" fillId="0" borderId="0" xfId="1174" applyNumberFormat="1" applyFont="1" applyAlignment="1">
      <alignment horizontal="center" vertical="center"/>
    </xf>
    <xf numFmtId="0" fontId="160" fillId="0" borderId="46" xfId="1174" applyFont="1" applyBorder="1" applyAlignment="1">
      <alignment horizontal="center" vertical="center"/>
    </xf>
    <xf numFmtId="0" fontId="160" fillId="0" borderId="163" xfId="1174" applyFont="1" applyBorder="1" applyAlignment="1">
      <alignment horizontal="center" vertical="center"/>
    </xf>
    <xf numFmtId="0" fontId="160" fillId="0" borderId="45" xfId="1174" applyFont="1" applyBorder="1" applyAlignment="1">
      <alignment horizontal="center" vertical="center"/>
    </xf>
    <xf numFmtId="0" fontId="161" fillId="20" borderId="55" xfId="1174" applyFont="1" applyFill="1" applyBorder="1" applyAlignment="1">
      <alignment horizontal="center" vertical="center"/>
    </xf>
    <xf numFmtId="165" fontId="160" fillId="0" borderId="51" xfId="1" applyNumberFormat="1" applyFont="1" applyBorder="1" applyAlignment="1">
      <alignment vertical="center"/>
    </xf>
    <xf numFmtId="165" fontId="160" fillId="0" borderId="52" xfId="1" applyNumberFormat="1" applyFont="1" applyBorder="1" applyAlignment="1">
      <alignment horizontal="center" vertical="center"/>
    </xf>
    <xf numFmtId="165" fontId="160" fillId="0" borderId="2" xfId="1" applyNumberFormat="1" applyFont="1" applyBorder="1" applyAlignment="1">
      <alignment vertical="center"/>
    </xf>
    <xf numFmtId="165" fontId="160" fillId="0" borderId="80" xfId="1" applyNumberFormat="1" applyFont="1" applyBorder="1" applyAlignment="1">
      <alignment horizontal="center" vertical="center"/>
    </xf>
    <xf numFmtId="165" fontId="160" fillId="0" borderId="53" xfId="1" applyNumberFormat="1" applyFont="1" applyBorder="1" applyAlignment="1">
      <alignment vertical="center"/>
    </xf>
    <xf numFmtId="165" fontId="160" fillId="0" borderId="166" xfId="1" applyNumberFormat="1" applyFont="1" applyBorder="1" applyAlignment="1">
      <alignment horizontal="center" vertical="center"/>
    </xf>
    <xf numFmtId="0" fontId="160" fillId="0" borderId="83" xfId="1174" applyFont="1" applyBorder="1" applyAlignment="1">
      <alignment horizontal="center" vertical="center"/>
    </xf>
    <xf numFmtId="0" fontId="160" fillId="0" borderId="20" xfId="1174" applyFont="1" applyBorder="1" applyAlignment="1">
      <alignment horizontal="center" vertical="center"/>
    </xf>
    <xf numFmtId="0" fontId="160" fillId="0" borderId="165" xfId="1174" applyFont="1" applyBorder="1" applyAlignment="1">
      <alignment horizontal="center" vertical="center"/>
    </xf>
    <xf numFmtId="0" fontId="159" fillId="24" borderId="195" xfId="1174" applyFont="1" applyFill="1" applyBorder="1" applyAlignment="1">
      <alignment horizontal="center" vertical="center"/>
    </xf>
    <xf numFmtId="165" fontId="160" fillId="0" borderId="159" xfId="1" applyNumberFormat="1" applyFont="1" applyBorder="1" applyAlignment="1">
      <alignment horizontal="center" vertical="center"/>
    </xf>
    <xf numFmtId="0" fontId="56" fillId="0" borderId="196" xfId="861" applyFont="1" applyBorder="1" applyAlignment="1">
      <alignment horizontal="left" vertical="center"/>
    </xf>
    <xf numFmtId="41" fontId="56" fillId="0" borderId="66" xfId="2" applyFont="1" applyBorder="1" applyAlignment="1">
      <alignment horizontal="left" vertical="center"/>
    </xf>
    <xf numFmtId="41" fontId="56" fillId="0" borderId="115" xfId="2" applyFont="1" applyBorder="1" applyAlignment="1">
      <alignment horizontal="left" vertical="center"/>
    </xf>
    <xf numFmtId="0" fontId="56" fillId="0" borderId="197" xfId="861" applyFont="1" applyBorder="1" applyAlignment="1">
      <alignment horizontal="left" vertical="center"/>
    </xf>
    <xf numFmtId="41" fontId="56" fillId="0" borderId="198" xfId="2" applyFont="1" applyBorder="1" applyAlignment="1">
      <alignment horizontal="left" vertical="center"/>
    </xf>
    <xf numFmtId="41" fontId="56" fillId="0" borderId="199" xfId="2" applyFont="1" applyBorder="1" applyAlignment="1">
      <alignment horizontal="left" vertical="center"/>
    </xf>
    <xf numFmtId="0" fontId="57" fillId="0" borderId="183" xfId="861" applyFont="1" applyBorder="1" applyAlignment="1">
      <alignment horizontal="left" vertical="center" wrapText="1"/>
    </xf>
    <xf numFmtId="41" fontId="57" fillId="0" borderId="183" xfId="2" applyFont="1" applyBorder="1" applyAlignment="1">
      <alignment horizontal="right" vertical="center" wrapText="1"/>
    </xf>
    <xf numFmtId="41" fontId="57" fillId="0" borderId="105" xfId="2" applyFont="1" applyBorder="1" applyAlignment="1">
      <alignment horizontal="left" vertical="center" wrapText="1"/>
    </xf>
    <xf numFmtId="165" fontId="151" fillId="0" borderId="0" xfId="682" applyNumberFormat="1" applyFont="1" applyAlignment="1">
      <alignment vertical="center"/>
    </xf>
    <xf numFmtId="41" fontId="153" fillId="0" borderId="0" xfId="249" applyFont="1" applyAlignment="1">
      <alignment horizontal="center" vertical="center"/>
    </xf>
    <xf numFmtId="41" fontId="162" fillId="0" borderId="0" xfId="249" applyFont="1" applyAlignment="1">
      <alignment vertical="center"/>
    </xf>
    <xf numFmtId="41" fontId="163" fillId="0" borderId="0" xfId="249" applyFont="1" applyAlignment="1">
      <alignment vertical="center"/>
    </xf>
    <xf numFmtId="41" fontId="152" fillId="0" borderId="0" xfId="249" applyFont="1" applyAlignment="1">
      <alignment vertical="center"/>
    </xf>
    <xf numFmtId="41" fontId="151" fillId="0" borderId="0" xfId="249" applyFont="1" applyAlignment="1">
      <alignment horizontal="right" vertical="center"/>
    </xf>
    <xf numFmtId="41" fontId="153" fillId="0" borderId="77" xfId="249" applyFont="1" applyBorder="1" applyAlignment="1">
      <alignment vertical="center"/>
    </xf>
    <xf numFmtId="41" fontId="153" fillId="0" borderId="0" xfId="249" applyFont="1" applyBorder="1" applyAlignment="1">
      <alignment vertical="center"/>
    </xf>
    <xf numFmtId="41" fontId="153" fillId="0" borderId="29" xfId="249" applyFont="1" applyBorder="1" applyAlignment="1">
      <alignment vertical="center"/>
    </xf>
    <xf numFmtId="41" fontId="154" fillId="0" borderId="28" xfId="249" applyFont="1" applyBorder="1" applyAlignment="1">
      <alignment vertical="center"/>
    </xf>
    <xf numFmtId="41" fontId="154" fillId="0" borderId="77" xfId="249" applyFont="1" applyBorder="1" applyAlignment="1">
      <alignment vertical="center"/>
    </xf>
    <xf numFmtId="41" fontId="154" fillId="0" borderId="29" xfId="249" applyFont="1" applyBorder="1" applyAlignment="1">
      <alignment vertical="center"/>
    </xf>
    <xf numFmtId="41" fontId="154" fillId="0" borderId="0" xfId="249" applyFont="1" applyBorder="1" applyAlignment="1">
      <alignment vertical="center"/>
    </xf>
    <xf numFmtId="41" fontId="153" fillId="0" borderId="29" xfId="249" applyFont="1" applyBorder="1" applyAlignment="1">
      <alignment horizontal="center" vertical="center"/>
    </xf>
    <xf numFmtId="41" fontId="154" fillId="18" borderId="28" xfId="249" applyFont="1" applyFill="1" applyBorder="1" applyAlignment="1">
      <alignment vertical="center"/>
    </xf>
    <xf numFmtId="41" fontId="154" fillId="0" borderId="29" xfId="249" applyFont="1" applyFill="1" applyBorder="1" applyAlignment="1">
      <alignment vertical="center"/>
    </xf>
    <xf numFmtId="41" fontId="154" fillId="0" borderId="28" xfId="249" applyFont="1" applyFill="1" applyBorder="1" applyAlignment="1">
      <alignment vertical="center"/>
    </xf>
    <xf numFmtId="41" fontId="153" fillId="0" borderId="29" xfId="249" applyFont="1" applyFill="1" applyBorder="1" applyAlignment="1">
      <alignment horizontal="center" vertical="center"/>
    </xf>
    <xf numFmtId="41" fontId="153" fillId="0" borderId="77" xfId="249" applyFont="1" applyFill="1" applyBorder="1" applyAlignment="1">
      <alignment vertical="center"/>
    </xf>
    <xf numFmtId="41" fontId="153" fillId="0" borderId="77" xfId="249" applyFont="1" applyBorder="1" applyAlignment="1">
      <alignment horizontal="center" vertical="center"/>
    </xf>
    <xf numFmtId="41" fontId="153" fillId="0" borderId="29" xfId="249" applyFont="1" applyBorder="1" applyAlignment="1">
      <alignment horizontal="right" vertical="center"/>
    </xf>
    <xf numFmtId="41" fontId="154" fillId="0" borderId="29" xfId="249" applyFont="1" applyBorder="1" applyAlignment="1">
      <alignment horizontal="right" vertical="center"/>
    </xf>
    <xf numFmtId="41" fontId="164" fillId="0" borderId="29" xfId="249" applyFont="1" applyBorder="1" applyAlignment="1">
      <alignment vertical="center"/>
    </xf>
    <xf numFmtId="41" fontId="154" fillId="0" borderId="65" xfId="249" applyFont="1" applyBorder="1" applyAlignment="1">
      <alignment vertical="center"/>
    </xf>
    <xf numFmtId="41" fontId="154" fillId="0" borderId="82" xfId="249" applyFont="1" applyBorder="1" applyAlignment="1">
      <alignment vertical="center"/>
    </xf>
    <xf numFmtId="41" fontId="154" fillId="0" borderId="83" xfId="249" applyFont="1" applyBorder="1" applyAlignment="1">
      <alignment vertical="center"/>
    </xf>
    <xf numFmtId="41" fontId="154" fillId="18" borderId="51" xfId="249" applyFont="1" applyFill="1" applyBorder="1" applyAlignment="1">
      <alignment vertical="center"/>
    </xf>
    <xf numFmtId="41" fontId="154" fillId="0" borderId="51" xfId="249" applyFont="1" applyBorder="1" applyAlignment="1">
      <alignment vertical="center"/>
    </xf>
    <xf numFmtId="41" fontId="154" fillId="0" borderId="31" xfId="249" applyFont="1" applyBorder="1" applyAlignment="1">
      <alignment vertical="center"/>
    </xf>
    <xf numFmtId="41" fontId="154" fillId="0" borderId="86" xfId="249" applyFont="1" applyBorder="1" applyAlignment="1">
      <alignment vertical="center"/>
    </xf>
    <xf numFmtId="41" fontId="154" fillId="0" borderId="33" xfId="249" applyFont="1" applyBorder="1" applyAlignment="1">
      <alignment vertical="center"/>
    </xf>
    <xf numFmtId="41" fontId="154" fillId="0" borderId="17" xfId="249" applyFont="1" applyFill="1" applyBorder="1" applyAlignment="1">
      <alignment vertical="center"/>
    </xf>
    <xf numFmtId="41" fontId="154" fillId="18" borderId="29" xfId="249" applyFont="1" applyFill="1" applyBorder="1" applyAlignment="1">
      <alignment vertical="center"/>
    </xf>
    <xf numFmtId="165" fontId="37" fillId="0" borderId="96" xfId="1" applyNumberFormat="1" applyFont="1" applyFill="1" applyBorder="1" applyAlignment="1">
      <alignment vertical="center"/>
    </xf>
    <xf numFmtId="165" fontId="37" fillId="0" borderId="77" xfId="1" applyNumberFormat="1" applyFont="1" applyFill="1" applyBorder="1" applyAlignment="1">
      <alignment vertical="center"/>
    </xf>
    <xf numFmtId="165" fontId="37" fillId="0" borderId="2" xfId="1" applyNumberFormat="1" applyFont="1" applyFill="1" applyBorder="1" applyAlignment="1">
      <alignment vertical="center"/>
    </xf>
    <xf numFmtId="0" fontId="37" fillId="8" borderId="51" xfId="0" applyFont="1" applyFill="1" applyBorder="1" applyAlignment="1">
      <alignment vertical="center"/>
    </xf>
    <xf numFmtId="0" fontId="108" fillId="8" borderId="2" xfId="0" applyFont="1" applyFill="1" applyBorder="1" applyAlignment="1">
      <alignment horizontal="center"/>
    </xf>
    <xf numFmtId="0" fontId="108" fillId="0" borderId="2" xfId="0" applyFont="1" applyBorder="1" applyAlignment="1">
      <alignment horizontal="left"/>
    </xf>
    <xf numFmtId="0" fontId="109" fillId="0" borderId="2" xfId="0" applyFont="1" applyBorder="1"/>
    <xf numFmtId="0" fontId="108" fillId="25" borderId="2" xfId="0" applyFont="1" applyFill="1" applyBorder="1" applyAlignment="1">
      <alignment horizontal="center"/>
    </xf>
    <xf numFmtId="0" fontId="108" fillId="13" borderId="2" xfId="0" applyFont="1" applyFill="1" applyBorder="1" applyAlignment="1">
      <alignment horizontal="center"/>
    </xf>
    <xf numFmtId="3" fontId="108" fillId="8" borderId="2" xfId="0" applyNumberFormat="1" applyFont="1" applyFill="1" applyBorder="1" applyAlignment="1">
      <alignment horizontal="right"/>
    </xf>
    <xf numFmtId="3" fontId="108" fillId="25" borderId="2" xfId="0" applyNumberFormat="1" applyFont="1" applyFill="1" applyBorder="1" applyAlignment="1">
      <alignment horizontal="right"/>
    </xf>
    <xf numFmtId="3" fontId="108" fillId="13" borderId="2" xfId="0" applyNumberFormat="1" applyFont="1" applyFill="1" applyBorder="1" applyAlignment="1">
      <alignment horizontal="right"/>
    </xf>
    <xf numFmtId="3" fontId="109" fillId="8" borderId="2" xfId="0" applyNumberFormat="1" applyFont="1" applyFill="1" applyBorder="1"/>
    <xf numFmtId="3" fontId="109" fillId="13" borderId="2" xfId="0" applyNumberFormat="1" applyFont="1" applyFill="1" applyBorder="1"/>
    <xf numFmtId="0" fontId="6" fillId="0" borderId="0" xfId="0" quotePrefix="1" applyFont="1"/>
    <xf numFmtId="41" fontId="6" fillId="0" borderId="27" xfId="14" applyFont="1" applyBorder="1" applyAlignment="1">
      <alignment horizontal="left" vertical="center"/>
    </xf>
    <xf numFmtId="0" fontId="6" fillId="0" borderId="0" xfId="0" applyFont="1"/>
    <xf numFmtId="41" fontId="6" fillId="0" borderId="0" xfId="2" applyFont="1" applyAlignment="1">
      <alignment horizontal="center"/>
    </xf>
    <xf numFmtId="41" fontId="6" fillId="0" borderId="0" xfId="0" applyNumberFormat="1" applyFont="1"/>
    <xf numFmtId="0" fontId="161" fillId="15" borderId="55" xfId="1174" applyFont="1" applyFill="1" applyBorder="1" applyAlignment="1">
      <alignment horizontal="center" vertical="center"/>
    </xf>
    <xf numFmtId="0" fontId="160" fillId="0" borderId="43" xfId="1174" applyFont="1" applyBorder="1" applyAlignment="1">
      <alignment horizontal="center" vertical="center"/>
    </xf>
    <xf numFmtId="0" fontId="160" fillId="0" borderId="33" xfId="1174" applyFont="1" applyBorder="1" applyAlignment="1">
      <alignment horizontal="center" vertical="center"/>
    </xf>
    <xf numFmtId="165" fontId="160" fillId="0" borderId="17" xfId="1" applyNumberFormat="1" applyFont="1" applyBorder="1" applyAlignment="1">
      <alignment vertical="center"/>
    </xf>
    <xf numFmtId="41" fontId="4" fillId="21" borderId="2" xfId="1174" applyNumberFormat="1" applyFont="1" applyFill="1" applyBorder="1" applyAlignment="1">
      <alignment horizontal="center" vertical="center" wrapText="1"/>
    </xf>
    <xf numFmtId="165" fontId="3" fillId="0" borderId="0" xfId="1" applyNumberFormat="1" applyFont="1" applyFill="1" applyAlignment="1">
      <alignment vertical="center" wrapText="1"/>
    </xf>
    <xf numFmtId="0" fontId="6" fillId="0" borderId="132" xfId="861" applyFont="1" applyFill="1" applyBorder="1" applyAlignment="1">
      <alignment vertical="center"/>
    </xf>
    <xf numFmtId="165" fontId="6" fillId="0" borderId="126" xfId="1" applyNumberFormat="1" applyFont="1" applyFill="1" applyBorder="1" applyAlignment="1">
      <alignment vertical="center"/>
    </xf>
    <xf numFmtId="165" fontId="5" fillId="0" borderId="126" xfId="1" applyNumberFormat="1" applyFont="1" applyFill="1" applyBorder="1" applyAlignment="1">
      <alignment vertical="center"/>
    </xf>
    <xf numFmtId="0" fontId="57" fillId="0" borderId="69" xfId="861" applyFont="1" applyBorder="1" applyAlignment="1">
      <alignment vertical="center" wrapText="1"/>
    </xf>
    <xf numFmtId="41" fontId="12" fillId="17" borderId="200" xfId="0" applyNumberFormat="1" applyFont="1" applyFill="1" applyBorder="1" applyAlignment="1">
      <alignment vertical="center"/>
    </xf>
    <xf numFmtId="41" fontId="12" fillId="8" borderId="102" xfId="0" applyNumberFormat="1" applyFont="1" applyFill="1" applyBorder="1" applyAlignment="1">
      <alignment vertical="center"/>
    </xf>
    <xf numFmtId="165" fontId="3" fillId="17" borderId="2" xfId="1" applyNumberFormat="1" applyFont="1" applyFill="1" applyBorder="1" applyAlignment="1">
      <alignment vertical="center"/>
    </xf>
    <xf numFmtId="0" fontId="1" fillId="0" borderId="2" xfId="861" applyFill="1" applyBorder="1" applyAlignment="1" applyProtection="1">
      <alignment horizontal="center" vertical="center"/>
      <protection hidden="1"/>
    </xf>
    <xf numFmtId="0" fontId="1" fillId="17" borderId="2" xfId="861" applyFill="1" applyBorder="1" applyAlignment="1" applyProtection="1">
      <alignment horizontal="center" vertical="center"/>
      <protection hidden="1"/>
    </xf>
    <xf numFmtId="0" fontId="1" fillId="0" borderId="0" xfId="861" applyAlignment="1" applyProtection="1">
      <alignment vertical="center"/>
      <protection hidden="1"/>
    </xf>
    <xf numFmtId="0" fontId="10" fillId="0" borderId="0" xfId="0" applyFont="1" applyAlignment="1" applyProtection="1">
      <alignment horizontal="centerContinuous"/>
      <protection hidden="1"/>
    </xf>
    <xf numFmtId="0" fontId="10" fillId="0" borderId="0" xfId="0" applyFont="1" applyAlignment="1" applyProtection="1">
      <protection hidden="1"/>
    </xf>
    <xf numFmtId="0" fontId="0" fillId="0" borderId="0" xfId="0" applyProtection="1">
      <protection hidden="1"/>
    </xf>
    <xf numFmtId="0" fontId="22" fillId="0" borderId="0" xfId="0" applyFont="1" applyAlignment="1" applyProtection="1">
      <protection hidden="1"/>
    </xf>
    <xf numFmtId="0" fontId="22" fillId="0" borderId="0" xfId="0" applyFont="1" applyAlignment="1" applyProtection="1">
      <alignment horizontal="left"/>
      <protection hidden="1"/>
    </xf>
    <xf numFmtId="0" fontId="23" fillId="0" borderId="0" xfId="0" applyFont="1" applyProtection="1">
      <protection hidden="1"/>
    </xf>
    <xf numFmtId="0" fontId="23" fillId="0" borderId="0" xfId="0" applyFont="1"/>
    <xf numFmtId="0" fontId="110" fillId="26" borderId="201" xfId="1179" applyFont="1" applyFill="1" applyBorder="1" applyAlignment="1">
      <alignment horizontal="center"/>
    </xf>
    <xf numFmtId="0" fontId="112" fillId="0" borderId="1" xfId="1168" applyFont="1" applyFill="1" applyBorder="1" applyAlignment="1">
      <alignment horizontal="center" wrapText="1"/>
    </xf>
    <xf numFmtId="0" fontId="112" fillId="26" borderId="201" xfId="1168" applyFont="1" applyFill="1" applyBorder="1" applyAlignment="1" applyProtection="1">
      <alignment horizontal="center"/>
      <protection hidden="1"/>
    </xf>
    <xf numFmtId="0" fontId="110" fillId="26" borderId="201" xfId="1177" applyFont="1" applyFill="1" applyBorder="1" applyAlignment="1">
      <alignment horizontal="center"/>
    </xf>
    <xf numFmtId="0" fontId="114" fillId="26" borderId="201" xfId="1178" applyFont="1" applyFill="1" applyBorder="1" applyAlignment="1">
      <alignment horizontal="center"/>
    </xf>
    <xf numFmtId="0" fontId="114" fillId="26" borderId="201" xfId="1180" applyFont="1" applyFill="1" applyBorder="1" applyAlignment="1">
      <alignment horizontal="center"/>
    </xf>
    <xf numFmtId="0" fontId="1" fillId="0" borderId="0" xfId="0" applyFont="1"/>
    <xf numFmtId="172" fontId="11" fillId="0" borderId="6" xfId="0" applyNumberFormat="1" applyFont="1" applyFill="1" applyBorder="1" applyAlignment="1" applyProtection="1">
      <alignment horizontal="left" vertical="center"/>
    </xf>
    <xf numFmtId="0" fontId="165" fillId="0" borderId="0" xfId="0" applyNumberFormat="1" applyFont="1" applyBorder="1" applyAlignment="1" applyProtection="1">
      <alignment vertical="center"/>
    </xf>
    <xf numFmtId="0" fontId="33" fillId="0" borderId="6" xfId="0" quotePrefix="1" applyNumberFormat="1" applyFont="1" applyBorder="1" applyAlignment="1" applyProtection="1">
      <alignment horizontal="left" vertical="center"/>
      <protection locked="0"/>
    </xf>
    <xf numFmtId="0" fontId="110" fillId="26" borderId="201" xfId="1181" applyFont="1" applyFill="1" applyBorder="1" applyAlignment="1">
      <alignment horizontal="center"/>
    </xf>
    <xf numFmtId="0" fontId="33" fillId="0" borderId="0" xfId="0" applyNumberFormat="1" applyFont="1" applyFill="1" applyBorder="1" applyAlignment="1" applyProtection="1">
      <alignment horizontal="center" vertical="center"/>
      <protection locked="0"/>
    </xf>
    <xf numFmtId="0" fontId="10" fillId="8" borderId="0" xfId="0" applyFont="1" applyFill="1" applyAlignment="1" applyProtection="1">
      <alignment horizontal="center" vertical="center"/>
    </xf>
    <xf numFmtId="0" fontId="10" fillId="0" borderId="0" xfId="0" applyFont="1" applyFill="1" applyAlignment="1" applyProtection="1">
      <alignment horizontal="center" vertical="center"/>
    </xf>
    <xf numFmtId="0" fontId="166" fillId="15" borderId="0" xfId="0" applyNumberFormat="1" applyFont="1" applyFill="1" applyBorder="1" applyAlignment="1" applyProtection="1">
      <alignment vertical="center"/>
    </xf>
    <xf numFmtId="0" fontId="167" fillId="15" borderId="0" xfId="0" applyNumberFormat="1" applyFont="1" applyFill="1" applyBorder="1" applyProtection="1">
      <protection hidden="1"/>
    </xf>
    <xf numFmtId="0" fontId="166" fillId="15" borderId="0" xfId="0" applyFont="1" applyFill="1" applyAlignment="1" applyProtection="1">
      <alignment horizontal="right" vertical="center"/>
    </xf>
    <xf numFmtId="0" fontId="166" fillId="15" borderId="0" xfId="861" applyFont="1" applyFill="1" applyAlignment="1" applyProtection="1">
      <alignment horizontal="right" vertical="center"/>
      <protection hidden="1"/>
    </xf>
    <xf numFmtId="0" fontId="11" fillId="0" borderId="17" xfId="0" applyFont="1" applyFill="1" applyBorder="1" applyAlignment="1" applyProtection="1">
      <alignment vertical="center"/>
    </xf>
    <xf numFmtId="0" fontId="33" fillId="0" borderId="18" xfId="0" applyFont="1" applyFill="1" applyBorder="1" applyAlignment="1" applyProtection="1">
      <alignment vertical="center"/>
      <protection locked="0"/>
    </xf>
    <xf numFmtId="0" fontId="12" fillId="0" borderId="2" xfId="861" applyFont="1" applyBorder="1" applyAlignment="1" applyProtection="1">
      <alignment horizontal="center" vertical="center"/>
      <protection hidden="1"/>
    </xf>
    <xf numFmtId="0" fontId="12" fillId="11" borderId="2" xfId="861" applyFont="1" applyFill="1" applyBorder="1" applyAlignment="1" applyProtection="1">
      <alignment horizontal="center" vertical="center"/>
      <protection hidden="1"/>
    </xf>
    <xf numFmtId="0" fontId="12" fillId="17" borderId="2" xfId="861" applyFont="1" applyFill="1" applyBorder="1" applyAlignment="1" applyProtection="1">
      <alignment horizontal="center" vertical="center"/>
      <protection hidden="1"/>
    </xf>
    <xf numFmtId="165" fontId="160" fillId="16" borderId="51" xfId="1" applyNumberFormat="1" applyFont="1" applyFill="1" applyBorder="1" applyAlignment="1">
      <alignment vertical="center"/>
    </xf>
    <xf numFmtId="165" fontId="160" fillId="16" borderId="2" xfId="1" applyNumberFormat="1" applyFont="1" applyFill="1" applyBorder="1" applyAlignment="1">
      <alignment vertical="center"/>
    </xf>
    <xf numFmtId="165" fontId="160" fillId="16" borderId="53" xfId="1" applyNumberFormat="1" applyFont="1" applyFill="1" applyBorder="1" applyAlignment="1">
      <alignment vertical="center"/>
    </xf>
    <xf numFmtId="41" fontId="3" fillId="0" borderId="0" xfId="1172" applyNumberFormat="1" applyFont="1" applyFill="1" applyAlignment="1">
      <alignment vertical="center"/>
    </xf>
    <xf numFmtId="41" fontId="43" fillId="0" borderId="55" xfId="1" applyNumberFormat="1" applyFont="1" applyFill="1" applyBorder="1" applyAlignment="1">
      <alignment vertical="center"/>
    </xf>
    <xf numFmtId="9" fontId="43" fillId="0" borderId="145" xfId="1" applyNumberFormat="1" applyFont="1" applyFill="1" applyBorder="1" applyAlignment="1">
      <alignment vertical="center"/>
    </xf>
    <xf numFmtId="0" fontId="37" fillId="0" borderId="55" xfId="1172" applyFont="1" applyBorder="1" applyAlignment="1">
      <alignment vertical="center"/>
    </xf>
    <xf numFmtId="0" fontId="4" fillId="0" borderId="0" xfId="1172" applyFont="1" applyFill="1" applyBorder="1" applyAlignment="1">
      <alignment horizontal="left" vertical="center" indent="4"/>
    </xf>
    <xf numFmtId="41" fontId="4" fillId="0" borderId="0" xfId="1172" applyNumberFormat="1" applyFont="1" applyFill="1" applyBorder="1" applyAlignment="1">
      <alignment vertical="center"/>
    </xf>
    <xf numFmtId="41" fontId="43" fillId="0" borderId="0" xfId="1" applyNumberFormat="1" applyFont="1" applyFill="1" applyBorder="1" applyAlignment="1">
      <alignment vertical="center"/>
    </xf>
    <xf numFmtId="9" fontId="43" fillId="0" borderId="0" xfId="1" applyNumberFormat="1" applyFont="1" applyFill="1" applyBorder="1" applyAlignment="1">
      <alignment vertical="center"/>
    </xf>
    <xf numFmtId="41" fontId="3" fillId="0" borderId="0" xfId="1172" applyNumberFormat="1" applyFont="1" applyFill="1" applyBorder="1" applyAlignment="1">
      <alignment vertical="center"/>
    </xf>
    <xf numFmtId="0" fontId="15" fillId="0" borderId="0" xfId="1172" applyFont="1" applyFill="1" applyBorder="1" applyAlignment="1">
      <alignment vertical="center"/>
    </xf>
    <xf numFmtId="0" fontId="18" fillId="0" borderId="0" xfId="1172" applyFill="1" applyBorder="1" applyAlignment="1">
      <alignment vertical="center"/>
    </xf>
    <xf numFmtId="0" fontId="14" fillId="0" borderId="0" xfId="1172" applyFont="1" applyFill="1" applyBorder="1" applyAlignment="1">
      <alignment vertical="center"/>
    </xf>
    <xf numFmtId="41" fontId="14" fillId="0" borderId="0" xfId="1172" applyNumberFormat="1" applyFont="1" applyFill="1" applyBorder="1" applyAlignment="1">
      <alignment vertical="center"/>
    </xf>
    <xf numFmtId="0" fontId="12" fillId="0" borderId="0" xfId="1172" applyFont="1" applyFill="1" applyBorder="1" applyAlignment="1">
      <alignment vertical="center"/>
    </xf>
    <xf numFmtId="0" fontId="37" fillId="0" borderId="0" xfId="1172" applyFont="1" applyFill="1" applyBorder="1" applyAlignment="1">
      <alignment vertical="center"/>
    </xf>
    <xf numFmtId="41" fontId="4" fillId="0" borderId="0" xfId="1172" applyNumberFormat="1" applyFont="1" applyFill="1" applyBorder="1" applyAlignment="1">
      <alignment horizontal="right" vertical="center"/>
    </xf>
    <xf numFmtId="0" fontId="11" fillId="0" borderId="0" xfId="1172" applyFont="1" applyFill="1" applyBorder="1" applyAlignment="1">
      <alignment vertical="center"/>
    </xf>
    <xf numFmtId="41" fontId="11" fillId="0" borderId="0" xfId="1172" applyNumberFormat="1" applyFont="1" applyFill="1" applyBorder="1" applyAlignment="1">
      <alignment vertical="center"/>
    </xf>
    <xf numFmtId="0" fontId="12" fillId="0" borderId="0" xfId="1172" applyFont="1" applyFill="1" applyBorder="1" applyAlignment="1">
      <alignment horizontal="center" vertical="center"/>
    </xf>
    <xf numFmtId="41" fontId="12" fillId="0" borderId="0" xfId="1172" applyNumberFormat="1" applyFont="1" applyFill="1" applyBorder="1" applyAlignment="1">
      <alignment horizontal="center" vertical="center"/>
    </xf>
    <xf numFmtId="41" fontId="37" fillId="0" borderId="0" xfId="2" applyFont="1" applyFill="1" applyBorder="1" applyAlignment="1">
      <alignment vertical="center"/>
    </xf>
    <xf numFmtId="41" fontId="44" fillId="0" borderId="0" xfId="1" applyNumberFormat="1" applyFont="1" applyFill="1" applyBorder="1" applyAlignment="1">
      <alignment vertical="center"/>
    </xf>
    <xf numFmtId="9" fontId="44" fillId="0" borderId="0" xfId="1" applyNumberFormat="1" applyFont="1" applyFill="1" applyBorder="1" applyAlignment="1">
      <alignment vertical="center"/>
    </xf>
    <xf numFmtId="41" fontId="37" fillId="0" borderId="0" xfId="1172" applyNumberFormat="1" applyFont="1" applyFill="1" applyBorder="1" applyAlignment="1">
      <alignment horizontal="center" vertical="center"/>
    </xf>
    <xf numFmtId="0" fontId="38" fillId="0" borderId="0" xfId="1172" applyFont="1" applyFill="1" applyBorder="1" applyAlignment="1">
      <alignment vertical="center"/>
    </xf>
    <xf numFmtId="41" fontId="37" fillId="0" borderId="0" xfId="1172" applyNumberFormat="1" applyFont="1" applyFill="1" applyBorder="1" applyAlignment="1">
      <alignment vertical="center"/>
    </xf>
    <xf numFmtId="0" fontId="37" fillId="0" borderId="0" xfId="1172" applyFont="1" applyFill="1" applyBorder="1" applyAlignment="1">
      <alignment horizontal="center" vertical="center"/>
    </xf>
    <xf numFmtId="0" fontId="39" fillId="0" borderId="0" xfId="1172" applyFont="1" applyFill="1" applyBorder="1" applyAlignment="1">
      <alignment horizontal="center" vertical="center"/>
    </xf>
    <xf numFmtId="0" fontId="39" fillId="0" borderId="0" xfId="1172" applyFont="1" applyFill="1" applyBorder="1" applyAlignment="1">
      <alignment vertical="center"/>
    </xf>
    <xf numFmtId="41" fontId="39" fillId="0" borderId="0" xfId="1172" applyNumberFormat="1" applyFont="1" applyFill="1" applyBorder="1" applyAlignment="1">
      <alignment horizontal="center" vertical="center"/>
    </xf>
    <xf numFmtId="41" fontId="15" fillId="0" borderId="0" xfId="1172" applyNumberFormat="1" applyFont="1" applyFill="1" applyBorder="1" applyAlignment="1">
      <alignment vertical="center"/>
    </xf>
    <xf numFmtId="41" fontId="18" fillId="0" borderId="0" xfId="1172" applyNumberFormat="1" applyFill="1" applyBorder="1" applyAlignment="1">
      <alignment vertical="center"/>
    </xf>
    <xf numFmtId="0" fontId="110" fillId="26" borderId="202" xfId="1179" applyFont="1" applyFill="1" applyBorder="1" applyAlignment="1">
      <alignment horizontal="center"/>
    </xf>
    <xf numFmtId="0" fontId="14" fillId="0" borderId="0" xfId="0" applyFont="1" applyAlignment="1" applyProtection="1">
      <protection hidden="1"/>
    </xf>
    <xf numFmtId="0" fontId="14" fillId="0" borderId="0" xfId="0" applyFont="1" applyAlignment="1" applyProtection="1">
      <alignment horizontal="left"/>
      <protection hidden="1"/>
    </xf>
    <xf numFmtId="0" fontId="7" fillId="0" borderId="0" xfId="0" applyFont="1" applyFill="1" applyAlignment="1">
      <alignment horizontal="left" vertical="center"/>
    </xf>
    <xf numFmtId="0" fontId="15" fillId="0" borderId="2" xfId="0" applyFont="1" applyBorder="1" applyAlignment="1">
      <alignment horizontal="center" vertical="center" wrapText="1"/>
    </xf>
    <xf numFmtId="0" fontId="15" fillId="0" borderId="0" xfId="0" applyFont="1"/>
    <xf numFmtId="0" fontId="14" fillId="0" borderId="0" xfId="0" applyFont="1" applyAlignment="1" applyProtection="1">
      <alignment horizontal="center" vertical="center" wrapText="1"/>
      <protection hidden="1"/>
    </xf>
    <xf numFmtId="0" fontId="7" fillId="0" borderId="0" xfId="0" applyFont="1" applyFill="1" applyAlignment="1">
      <alignment horizontal="center" vertical="center" wrapText="1"/>
    </xf>
    <xf numFmtId="0" fontId="15" fillId="0" borderId="2" xfId="0" applyFont="1" applyBorder="1" applyAlignment="1" applyProtection="1">
      <alignment horizontal="center" vertical="center" wrapText="1"/>
      <protection hidden="1"/>
    </xf>
    <xf numFmtId="0" fontId="15" fillId="0" borderId="0" xfId="0" applyFont="1" applyAlignment="1">
      <alignment horizontal="center" vertical="center" wrapText="1"/>
    </xf>
    <xf numFmtId="0" fontId="112" fillId="26" borderId="202" xfId="1168" applyFont="1" applyFill="1" applyBorder="1" applyAlignment="1" applyProtection="1">
      <alignment horizontal="center"/>
      <protection hidden="1"/>
    </xf>
    <xf numFmtId="0" fontId="110" fillId="26" borderId="202" xfId="1177" applyFont="1" applyFill="1" applyBorder="1" applyAlignment="1">
      <alignment horizontal="center"/>
    </xf>
    <xf numFmtId="0" fontId="15" fillId="0" borderId="0" xfId="0" applyFont="1" applyAlignment="1" applyProtection="1">
      <alignment horizontal="center" vertical="center" wrapText="1"/>
      <protection hidden="1"/>
    </xf>
    <xf numFmtId="0" fontId="92" fillId="0" borderId="0" xfId="0" applyFont="1" applyFill="1" applyAlignment="1">
      <alignment horizontal="center" vertical="center" wrapText="1"/>
    </xf>
    <xf numFmtId="0" fontId="114" fillId="26" borderId="202" xfId="1178" applyFont="1" applyFill="1" applyBorder="1" applyAlignment="1">
      <alignment horizontal="center"/>
    </xf>
    <xf numFmtId="0" fontId="114" fillId="26" borderId="202" xfId="1180" applyFont="1" applyFill="1" applyBorder="1" applyAlignment="1">
      <alignment horizontal="center"/>
    </xf>
    <xf numFmtId="0" fontId="110" fillId="26" borderId="202" xfId="1181" applyFont="1" applyFill="1" applyBorder="1" applyAlignment="1">
      <alignment horizontal="center"/>
    </xf>
    <xf numFmtId="0" fontId="110" fillId="0" borderId="1" xfId="1181" applyNumberFormat="1" applyFont="1" applyFill="1" applyBorder="1" applyAlignment="1"/>
    <xf numFmtId="0" fontId="110" fillId="0" borderId="1" xfId="1181" applyNumberFormat="1" applyFont="1" applyFill="1" applyBorder="1" applyAlignment="1">
      <alignment horizontal="right"/>
    </xf>
    <xf numFmtId="0" fontId="0" fillId="0" borderId="0" xfId="0" applyNumberFormat="1" applyAlignment="1"/>
    <xf numFmtId="0" fontId="112" fillId="0" borderId="1" xfId="1168" applyNumberFormat="1" applyFont="1" applyFill="1" applyBorder="1" applyAlignment="1">
      <alignment horizontal="right"/>
    </xf>
    <xf numFmtId="0" fontId="112" fillId="0" borderId="1" xfId="1168" applyNumberFormat="1" applyFont="1" applyFill="1" applyBorder="1" applyAlignment="1">
      <alignment horizontal="center"/>
    </xf>
    <xf numFmtId="0" fontId="112" fillId="0" borderId="1" xfId="1168" applyNumberFormat="1" applyFont="1" applyFill="1" applyBorder="1" applyAlignment="1"/>
    <xf numFmtId="41" fontId="37" fillId="0" borderId="125" xfId="1175" quotePrefix="1" applyNumberFormat="1" applyFont="1" applyBorder="1" applyAlignment="1">
      <alignment horizontal="left" vertical="center"/>
    </xf>
    <xf numFmtId="41" fontId="12" fillId="0" borderId="127" xfId="368" applyNumberFormat="1" applyFont="1" applyFill="1" applyBorder="1" applyAlignment="1">
      <alignment vertical="center"/>
    </xf>
    <xf numFmtId="0" fontId="12" fillId="16" borderId="55" xfId="1172" applyFont="1" applyFill="1" applyBorder="1" applyAlignment="1">
      <alignment horizontal="center" vertical="center"/>
    </xf>
    <xf numFmtId="41" fontId="37" fillId="16" borderId="51" xfId="2" applyFont="1" applyFill="1" applyBorder="1" applyAlignment="1">
      <alignment vertical="center"/>
    </xf>
    <xf numFmtId="41" fontId="37" fillId="16" borderId="2" xfId="2" applyFont="1" applyFill="1" applyBorder="1" applyAlignment="1">
      <alignment vertical="center"/>
    </xf>
    <xf numFmtId="41" fontId="37" fillId="16" borderId="17" xfId="2" applyFont="1" applyFill="1" applyBorder="1" applyAlignment="1">
      <alignment vertical="center"/>
    </xf>
    <xf numFmtId="41" fontId="43" fillId="16" borderId="55" xfId="1" applyNumberFormat="1" applyFont="1" applyFill="1" applyBorder="1" applyAlignment="1">
      <alignment vertical="center"/>
    </xf>
    <xf numFmtId="41" fontId="44" fillId="16" borderId="62" xfId="1" applyNumberFormat="1" applyFont="1" applyFill="1" applyBorder="1" applyAlignment="1">
      <alignment vertical="center"/>
    </xf>
    <xf numFmtId="0" fontId="117" fillId="5" borderId="0" xfId="1069" applyFont="1" applyFill="1" applyBorder="1" applyAlignment="1">
      <alignment horizontal="center" vertical="center"/>
    </xf>
    <xf numFmtId="171" fontId="117" fillId="5" borderId="0" xfId="1069" quotePrefix="1" applyNumberFormat="1" applyFont="1" applyFill="1" applyBorder="1" applyAlignment="1">
      <alignment horizontal="center" vertical="center"/>
    </xf>
    <xf numFmtId="0" fontId="117" fillId="5" borderId="0" xfId="1069" quotePrefix="1" applyFont="1" applyFill="1" applyBorder="1" applyAlignment="1">
      <alignment horizontal="center" vertical="center"/>
    </xf>
    <xf numFmtId="171" fontId="118" fillId="5" borderId="0" xfId="1069" quotePrefix="1" applyNumberFormat="1" applyFont="1" applyFill="1" applyBorder="1" applyAlignment="1">
      <alignment horizontal="center" vertical="center"/>
    </xf>
    <xf numFmtId="171" fontId="117" fillId="5" borderId="0" xfId="1069" applyNumberFormat="1" applyFont="1" applyFill="1" applyBorder="1" applyAlignment="1">
      <alignment horizontal="center" vertical="center"/>
    </xf>
    <xf numFmtId="0" fontId="1" fillId="0" borderId="0" xfId="861" applyFill="1" applyBorder="1" applyAlignment="1" applyProtection="1">
      <alignment horizontal="center" vertical="center"/>
      <protection hidden="1"/>
    </xf>
    <xf numFmtId="0" fontId="11" fillId="0" borderId="0" xfId="861" applyFont="1" applyFill="1" applyBorder="1" applyAlignment="1" applyProtection="1">
      <alignment vertical="center"/>
      <protection hidden="1"/>
    </xf>
    <xf numFmtId="0" fontId="0" fillId="0" borderId="0" xfId="0" applyAlignment="1">
      <alignment vertical="center"/>
    </xf>
    <xf numFmtId="0" fontId="0" fillId="0" borderId="0" xfId="0" applyAlignment="1">
      <alignment horizontal="center" vertical="center"/>
    </xf>
    <xf numFmtId="0" fontId="168" fillId="0" borderId="0" xfId="0" applyFont="1" applyAlignment="1">
      <alignment horizontal="center" vertical="center"/>
    </xf>
    <xf numFmtId="0" fontId="0" fillId="11" borderId="0" xfId="0" applyFill="1" applyAlignment="1">
      <alignment vertical="center"/>
    </xf>
    <xf numFmtId="0" fontId="0" fillId="11" borderId="0" xfId="0" applyFill="1" applyAlignment="1">
      <alignment horizontal="center" vertical="top" wrapText="1"/>
    </xf>
    <xf numFmtId="0" fontId="169" fillId="21" borderId="0" xfId="0" applyFont="1" applyFill="1" applyAlignment="1">
      <alignment horizontal="center" vertical="center"/>
    </xf>
    <xf numFmtId="0" fontId="0" fillId="11" borderId="0" xfId="0" applyFill="1" applyAlignment="1">
      <alignment horizontal="center" vertical="center"/>
    </xf>
    <xf numFmtId="0" fontId="0" fillId="11" borderId="0" xfId="0" applyFill="1" applyAlignment="1">
      <alignment vertical="center" wrapText="1"/>
    </xf>
    <xf numFmtId="0" fontId="1" fillId="27" borderId="0" xfId="0" applyFont="1" applyFill="1" applyAlignment="1">
      <alignment vertical="center"/>
    </xf>
    <xf numFmtId="0" fontId="11" fillId="11" borderId="0" xfId="0" applyFont="1" applyFill="1" applyAlignment="1">
      <alignment vertical="center"/>
    </xf>
    <xf numFmtId="0" fontId="170" fillId="11" borderId="0" xfId="848" applyFont="1" applyFill="1" applyAlignment="1" applyProtection="1">
      <alignment vertical="center"/>
    </xf>
    <xf numFmtId="0" fontId="170" fillId="11" borderId="0" xfId="0" applyFont="1" applyFill="1" applyAlignment="1">
      <alignment vertical="center"/>
    </xf>
    <xf numFmtId="0" fontId="0" fillId="15" borderId="0" xfId="0" applyFill="1" applyAlignment="1">
      <alignment vertical="center"/>
    </xf>
    <xf numFmtId="0" fontId="0" fillId="15" borderId="0" xfId="0" applyFill="1" applyAlignment="1">
      <alignment horizontal="center" vertical="center"/>
    </xf>
    <xf numFmtId="0" fontId="170" fillId="15" borderId="0" xfId="848" applyFont="1" applyFill="1" applyAlignment="1" applyProtection="1">
      <alignment vertical="center"/>
    </xf>
    <xf numFmtId="0" fontId="0" fillId="15" borderId="0" xfId="0" applyFill="1" applyAlignment="1">
      <alignment horizontal="center" vertical="top" wrapText="1"/>
    </xf>
    <xf numFmtId="0" fontId="33" fillId="0" borderId="5" xfId="0" applyNumberFormat="1" applyFont="1" applyBorder="1" applyAlignment="1" applyProtection="1">
      <alignment horizontal="left" vertical="center"/>
      <protection locked="0"/>
    </xf>
    <xf numFmtId="0" fontId="6" fillId="0" borderId="0" xfId="0" applyFont="1" applyAlignment="1" applyProtection="1">
      <alignment vertical="center"/>
    </xf>
    <xf numFmtId="41" fontId="6" fillId="0" borderId="0" xfId="0" applyNumberFormat="1" applyFont="1" applyAlignment="1" applyProtection="1">
      <alignment vertical="center"/>
    </xf>
    <xf numFmtId="41" fontId="6" fillId="0" borderId="0" xfId="0" applyNumberFormat="1" applyFont="1" applyAlignment="1" applyProtection="1">
      <alignment horizontal="center" vertical="center"/>
    </xf>
    <xf numFmtId="0" fontId="3" fillId="0" borderId="0" xfId="0" applyFont="1" applyAlignment="1" applyProtection="1">
      <alignment horizontal="center" vertical="center"/>
    </xf>
    <xf numFmtId="0" fontId="6" fillId="0" borderId="0" xfId="0" applyFont="1" applyAlignment="1" applyProtection="1">
      <alignment horizontal="center" vertical="center"/>
    </xf>
    <xf numFmtId="41" fontId="25" fillId="0" borderId="0" xfId="0" applyNumberFormat="1" applyFont="1" applyAlignment="1" applyProtection="1">
      <alignment vertical="center"/>
    </xf>
    <xf numFmtId="41" fontId="25" fillId="0" borderId="0" xfId="0" applyNumberFormat="1" applyFont="1" applyAlignment="1" applyProtection="1">
      <alignment horizontal="center" vertical="center"/>
    </xf>
    <xf numFmtId="41" fontId="10" fillId="0" borderId="0" xfId="0" applyNumberFormat="1" applyFont="1" applyAlignment="1" applyProtection="1">
      <alignment vertical="center"/>
    </xf>
    <xf numFmtId="41" fontId="0" fillId="0" borderId="0" xfId="0" applyNumberFormat="1" applyAlignment="1" applyProtection="1">
      <alignment vertical="center"/>
    </xf>
    <xf numFmtId="41" fontId="37" fillId="0" borderId="0" xfId="0" applyNumberFormat="1" applyFont="1" applyAlignment="1" applyProtection="1">
      <alignment horizontal="center" vertical="center"/>
    </xf>
    <xf numFmtId="41" fontId="0" fillId="0" borderId="0" xfId="0" applyNumberFormat="1" applyAlignment="1" applyProtection="1">
      <alignment horizontal="center" vertical="center"/>
    </xf>
    <xf numFmtId="41" fontId="119" fillId="0" borderId="0" xfId="0" applyNumberFormat="1" applyFont="1" applyAlignment="1" applyProtection="1">
      <alignment vertical="center"/>
    </xf>
    <xf numFmtId="41" fontId="3" fillId="0" borderId="0" xfId="0" applyNumberFormat="1" applyFont="1" applyAlignment="1" applyProtection="1">
      <alignment horizontal="center" vertical="center"/>
    </xf>
    <xf numFmtId="41" fontId="6" fillId="0" borderId="203" xfId="0" applyNumberFormat="1" applyFont="1" applyBorder="1" applyAlignment="1" applyProtection="1">
      <alignment horizontal="center" vertical="center"/>
    </xf>
    <xf numFmtId="41" fontId="37" fillId="0" borderId="0" xfId="0" applyNumberFormat="1" applyFont="1" applyAlignment="1" applyProtection="1">
      <alignment vertical="center"/>
    </xf>
    <xf numFmtId="41" fontId="37" fillId="8" borderId="63" xfId="0" applyNumberFormat="1" applyFont="1" applyFill="1" applyBorder="1" applyAlignment="1" applyProtection="1">
      <alignment vertical="center"/>
    </xf>
    <xf numFmtId="41" fontId="37" fillId="8" borderId="62" xfId="0" applyNumberFormat="1" applyFont="1" applyFill="1" applyBorder="1" applyAlignment="1" applyProtection="1">
      <alignment vertical="center"/>
    </xf>
    <xf numFmtId="41" fontId="37" fillId="8" borderId="204" xfId="0" applyNumberFormat="1" applyFont="1" applyFill="1" applyBorder="1" applyAlignment="1" applyProtection="1">
      <alignment vertical="center"/>
    </xf>
    <xf numFmtId="41" fontId="12" fillId="0" borderId="147" xfId="0" applyNumberFormat="1" applyFont="1" applyFill="1" applyBorder="1" applyAlignment="1" applyProtection="1">
      <alignment horizontal="center" vertical="center"/>
    </xf>
    <xf numFmtId="41" fontId="12" fillId="17" borderId="63" xfId="0" applyNumberFormat="1" applyFont="1" applyFill="1" applyBorder="1" applyAlignment="1" applyProtection="1">
      <alignment vertical="center"/>
    </xf>
    <xf numFmtId="41" fontId="12" fillId="17" borderId="62" xfId="0" applyNumberFormat="1" applyFont="1" applyFill="1" applyBorder="1" applyAlignment="1" applyProtection="1">
      <alignment vertical="center"/>
    </xf>
    <xf numFmtId="41" fontId="12" fillId="28" borderId="62" xfId="0" applyNumberFormat="1" applyFont="1" applyFill="1" applyBorder="1" applyAlignment="1" applyProtection="1">
      <alignment vertical="center"/>
    </xf>
    <xf numFmtId="41" fontId="37" fillId="8" borderId="205" xfId="0" applyNumberFormat="1" applyFont="1" applyFill="1" applyBorder="1" applyAlignment="1" applyProtection="1">
      <alignment vertical="center"/>
    </xf>
    <xf numFmtId="41" fontId="37" fillId="8" borderId="21" xfId="0" applyNumberFormat="1" applyFont="1" applyFill="1" applyBorder="1" applyAlignment="1" applyProtection="1">
      <alignment vertical="center"/>
    </xf>
    <xf numFmtId="41" fontId="37" fillId="0" borderId="206" xfId="0" applyNumberFormat="1" applyFont="1" applyFill="1" applyBorder="1" applyAlignment="1" applyProtection="1">
      <alignment horizontal="center" vertical="center"/>
    </xf>
    <xf numFmtId="41" fontId="37" fillId="0" borderId="205" xfId="0" applyNumberFormat="1" applyFont="1" applyBorder="1" applyAlignment="1" applyProtection="1">
      <alignment vertical="center"/>
    </xf>
    <xf numFmtId="41" fontId="37" fillId="0" borderId="21" xfId="0" applyNumberFormat="1" applyFont="1" applyBorder="1" applyAlignment="1" applyProtection="1">
      <alignment vertical="center"/>
    </xf>
    <xf numFmtId="41" fontId="37" fillId="0" borderId="21" xfId="0" applyNumberFormat="1" applyFont="1" applyBorder="1" applyAlignment="1" applyProtection="1">
      <alignment horizontal="center" vertical="center"/>
    </xf>
    <xf numFmtId="41" fontId="37" fillId="0" borderId="207" xfId="0" applyNumberFormat="1" applyFont="1" applyBorder="1" applyAlignment="1" applyProtection="1">
      <alignment vertical="center"/>
    </xf>
    <xf numFmtId="41" fontId="37" fillId="8" borderId="208" xfId="0" applyNumberFormat="1" applyFont="1" applyFill="1" applyBorder="1" applyAlignment="1" applyProtection="1">
      <alignment vertical="center"/>
    </xf>
    <xf numFmtId="41" fontId="37" fillId="8" borderId="17" xfId="0" applyNumberFormat="1" applyFont="1" applyFill="1" applyBorder="1" applyAlignment="1" applyProtection="1">
      <alignment vertical="center"/>
    </xf>
    <xf numFmtId="41" fontId="37" fillId="8" borderId="33" xfId="0" applyNumberFormat="1" applyFont="1" applyFill="1" applyBorder="1" applyAlignment="1" applyProtection="1">
      <alignment vertical="center"/>
    </xf>
    <xf numFmtId="41" fontId="37" fillId="0" borderId="209" xfId="0" applyNumberFormat="1" applyFont="1" applyFill="1" applyBorder="1" applyAlignment="1" applyProtection="1">
      <alignment horizontal="center" vertical="center"/>
      <protection locked="0"/>
    </xf>
    <xf numFmtId="41" fontId="37" fillId="17" borderId="208" xfId="0" applyNumberFormat="1" applyFont="1" applyFill="1" applyBorder="1" applyAlignment="1" applyProtection="1">
      <alignment vertical="center"/>
    </xf>
    <xf numFmtId="41" fontId="37" fillId="17" borderId="17" xfId="0" applyNumberFormat="1" applyFont="1" applyFill="1" applyBorder="1" applyAlignment="1" applyProtection="1">
      <alignment vertical="center"/>
    </xf>
    <xf numFmtId="41" fontId="37" fillId="17" borderId="51" xfId="0" applyNumberFormat="1" applyFont="1" applyFill="1" applyBorder="1" applyAlignment="1" applyProtection="1">
      <alignment vertical="center"/>
    </xf>
    <xf numFmtId="41" fontId="37" fillId="0" borderId="17" xfId="0" applyNumberFormat="1" applyFont="1" applyBorder="1" applyAlignment="1" applyProtection="1">
      <alignment vertical="center"/>
      <protection locked="0"/>
    </xf>
    <xf numFmtId="41" fontId="37" fillId="0" borderId="17" xfId="0" applyNumberFormat="1" applyFont="1" applyFill="1" applyBorder="1" applyAlignment="1" applyProtection="1">
      <alignment vertical="center"/>
      <protection locked="0"/>
    </xf>
    <xf numFmtId="41" fontId="37" fillId="17" borderId="17" xfId="0" applyNumberFormat="1" applyFont="1" applyFill="1" applyBorder="1" applyAlignment="1" applyProtection="1">
      <alignment vertical="center"/>
      <protection locked="0"/>
    </xf>
    <xf numFmtId="41" fontId="37" fillId="0" borderId="17" xfId="0" applyNumberFormat="1" applyFont="1" applyBorder="1" applyAlignment="1" applyProtection="1">
      <alignment horizontal="center" vertical="center"/>
      <protection locked="0"/>
    </xf>
    <xf numFmtId="9" fontId="37" fillId="0" borderId="17" xfId="0" applyNumberFormat="1" applyFont="1" applyBorder="1" applyAlignment="1" applyProtection="1">
      <alignment horizontal="center" vertical="center"/>
      <protection locked="0"/>
    </xf>
    <xf numFmtId="41" fontId="37" fillId="0" borderId="209" xfId="0" applyNumberFormat="1" applyFont="1" applyBorder="1" applyAlignment="1" applyProtection="1">
      <alignment vertical="center"/>
      <protection locked="0"/>
    </xf>
    <xf numFmtId="41" fontId="37" fillId="8" borderId="146" xfId="0" applyNumberFormat="1" applyFont="1" applyFill="1" applyBorder="1" applyAlignment="1" applyProtection="1">
      <alignment horizontal="center" vertical="center" wrapText="1"/>
    </xf>
    <xf numFmtId="41" fontId="37" fillId="8" borderId="51" xfId="0" applyNumberFormat="1" applyFont="1" applyFill="1" applyBorder="1" applyAlignment="1" applyProtection="1">
      <alignment horizontal="center" vertical="center" wrapText="1"/>
    </xf>
    <xf numFmtId="41" fontId="37" fillId="8" borderId="83" xfId="0" applyNumberFormat="1" applyFont="1" applyFill="1" applyBorder="1" applyAlignment="1" applyProtection="1">
      <alignment horizontal="center" vertical="center" wrapText="1"/>
    </xf>
    <xf numFmtId="41" fontId="37" fillId="0" borderId="67" xfId="0" applyNumberFormat="1" applyFont="1" applyFill="1" applyBorder="1" applyAlignment="1" applyProtection="1">
      <alignment horizontal="center" vertical="center"/>
      <protection locked="0"/>
    </xf>
    <xf numFmtId="41" fontId="37" fillId="17" borderId="146" xfId="0" applyNumberFormat="1" applyFont="1" applyFill="1" applyBorder="1" applyAlignment="1" applyProtection="1">
      <alignment vertical="center"/>
    </xf>
    <xf numFmtId="41" fontId="37" fillId="0" borderId="51" xfId="0" applyNumberFormat="1" applyFont="1" applyBorder="1" applyAlignment="1" applyProtection="1">
      <alignment vertical="center"/>
      <protection locked="0"/>
    </xf>
    <xf numFmtId="41" fontId="37" fillId="0" borderId="51" xfId="275" applyNumberFormat="1" applyFont="1" applyBorder="1" applyAlignment="1" applyProtection="1">
      <alignment vertical="center"/>
      <protection locked="0"/>
    </xf>
    <xf numFmtId="41" fontId="37" fillId="0" borderId="51" xfId="275" applyNumberFormat="1" applyFont="1" applyFill="1" applyBorder="1" applyAlignment="1" applyProtection="1">
      <alignment vertical="center"/>
      <protection locked="0"/>
    </xf>
    <xf numFmtId="41" fontId="37" fillId="17" borderId="51" xfId="275" applyNumberFormat="1" applyFont="1" applyFill="1" applyBorder="1" applyAlignment="1" applyProtection="1">
      <alignment vertical="center"/>
      <protection locked="0"/>
    </xf>
    <xf numFmtId="9" fontId="37" fillId="0" borderId="51" xfId="275" applyNumberFormat="1" applyFont="1" applyBorder="1" applyAlignment="1" applyProtection="1">
      <alignment vertical="center"/>
      <protection locked="0"/>
    </xf>
    <xf numFmtId="41" fontId="37" fillId="17" borderId="51" xfId="0" applyNumberFormat="1" applyFont="1" applyFill="1" applyBorder="1" applyAlignment="1" applyProtection="1">
      <alignment vertical="center"/>
      <protection locked="0"/>
    </xf>
    <xf numFmtId="41" fontId="37" fillId="0" borderId="51" xfId="0" applyNumberFormat="1" applyFont="1" applyFill="1" applyBorder="1" applyAlignment="1" applyProtection="1">
      <alignment vertical="center"/>
      <protection locked="0"/>
    </xf>
    <xf numFmtId="41" fontId="37" fillId="0" borderId="51" xfId="0" applyNumberFormat="1" applyFont="1" applyFill="1" applyBorder="1" applyAlignment="1" applyProtection="1">
      <alignment horizontal="center" vertical="center"/>
      <protection locked="0"/>
    </xf>
    <xf numFmtId="41" fontId="37" fillId="0" borderId="67" xfId="0" applyNumberFormat="1" applyFont="1" applyFill="1" applyBorder="1" applyAlignment="1" applyProtection="1">
      <alignment vertical="center"/>
      <protection locked="0"/>
    </xf>
    <xf numFmtId="0" fontId="1" fillId="8" borderId="145" xfId="0" applyFont="1" applyFill="1" applyBorder="1" applyAlignment="1" applyProtection="1">
      <alignment horizontal="center" vertical="center" wrapText="1"/>
    </xf>
    <xf numFmtId="0" fontId="1" fillId="8" borderId="55" xfId="0" applyFont="1" applyFill="1" applyBorder="1" applyAlignment="1" applyProtection="1">
      <alignment horizontal="center" vertical="center" wrapText="1"/>
    </xf>
    <xf numFmtId="0" fontId="1" fillId="8" borderId="60" xfId="0" applyFont="1" applyFill="1" applyBorder="1" applyAlignment="1" applyProtection="1">
      <alignment horizontal="center" vertical="center" wrapText="1"/>
    </xf>
    <xf numFmtId="1" fontId="6" fillId="0" borderId="59" xfId="0" applyNumberFormat="1" applyFont="1" applyFill="1" applyBorder="1" applyAlignment="1" applyProtection="1">
      <alignment horizontal="center" vertical="center"/>
    </xf>
    <xf numFmtId="1" fontId="6" fillId="0" borderId="145" xfId="0" applyNumberFormat="1" applyFont="1" applyFill="1" applyBorder="1" applyAlignment="1" applyProtection="1">
      <alignment horizontal="center" vertical="center"/>
    </xf>
    <xf numFmtId="1" fontId="6" fillId="0" borderId="182" xfId="0" applyNumberFormat="1" applyFont="1" applyBorder="1" applyAlignment="1" applyProtection="1">
      <alignment horizontal="center" vertical="center"/>
    </xf>
    <xf numFmtId="1" fontId="6" fillId="0" borderId="55" xfId="0" applyNumberFormat="1" applyFont="1" applyFill="1" applyBorder="1" applyAlignment="1" applyProtection="1">
      <alignment horizontal="center" vertical="center"/>
    </xf>
    <xf numFmtId="1" fontId="6" fillId="0" borderId="61" xfId="0" applyNumberFormat="1" applyFont="1" applyBorder="1" applyAlignment="1" applyProtection="1">
      <alignment horizontal="center" vertical="center"/>
    </xf>
    <xf numFmtId="1" fontId="6" fillId="0" borderId="55" xfId="0" applyNumberFormat="1" applyFont="1" applyBorder="1" applyAlignment="1" applyProtection="1">
      <alignment horizontal="center" vertical="center"/>
    </xf>
    <xf numFmtId="37" fontId="6" fillId="0" borderId="55" xfId="0" applyNumberFormat="1" applyFont="1" applyBorder="1" applyAlignment="1" applyProtection="1">
      <alignment horizontal="center" vertical="center"/>
    </xf>
    <xf numFmtId="1" fontId="6" fillId="0" borderId="60" xfId="0" applyNumberFormat="1" applyFont="1" applyBorder="1" applyAlignment="1" applyProtection="1">
      <alignment horizontal="center" vertical="center"/>
    </xf>
    <xf numFmtId="1" fontId="6" fillId="0" borderId="59" xfId="0" applyNumberFormat="1" applyFont="1" applyBorder="1" applyAlignment="1" applyProtection="1">
      <alignment horizontal="center" vertical="center"/>
    </xf>
    <xf numFmtId="1" fontId="6" fillId="0" borderId="0" xfId="0" applyNumberFormat="1" applyFont="1" applyBorder="1" applyAlignment="1" applyProtection="1">
      <alignment horizontal="center" vertical="center"/>
    </xf>
    <xf numFmtId="0" fontId="11" fillId="8" borderId="58" xfId="0" applyFont="1" applyFill="1" applyBorder="1" applyAlignment="1" applyProtection="1">
      <alignment horizontal="center" vertical="center" wrapText="1"/>
    </xf>
    <xf numFmtId="0" fontId="11" fillId="8" borderId="2" xfId="0" applyFont="1" applyFill="1" applyBorder="1" applyAlignment="1" applyProtection="1">
      <alignment horizontal="center" vertical="center" wrapText="1"/>
    </xf>
    <xf numFmtId="0" fontId="11" fillId="8" borderId="20" xfId="0" applyFont="1" applyFill="1" applyBorder="1" applyAlignment="1" applyProtection="1">
      <alignment horizontal="center" vertical="center" wrapText="1"/>
    </xf>
    <xf numFmtId="41" fontId="11" fillId="0" borderId="58" xfId="0" applyNumberFormat="1" applyFont="1" applyBorder="1" applyAlignment="1" applyProtection="1">
      <alignment horizontal="center" vertical="center"/>
    </xf>
    <xf numFmtId="41" fontId="11" fillId="0" borderId="20" xfId="0" applyNumberFormat="1" applyFont="1" applyBorder="1" applyAlignment="1" applyProtection="1">
      <alignment horizontal="center" vertical="center"/>
    </xf>
    <xf numFmtId="41" fontId="11" fillId="0" borderId="24" xfId="0" applyNumberFormat="1" applyFont="1" applyBorder="1" applyAlignment="1" applyProtection="1">
      <alignment horizontal="center" vertical="center"/>
    </xf>
    <xf numFmtId="41" fontId="11" fillId="0" borderId="2" xfId="0" applyNumberFormat="1" applyFont="1" applyBorder="1" applyAlignment="1" applyProtection="1">
      <alignment horizontal="center" vertical="center"/>
    </xf>
    <xf numFmtId="0" fontId="11" fillId="0" borderId="2" xfId="0" applyFont="1" applyBorder="1" applyAlignment="1" applyProtection="1">
      <alignment horizontal="center" vertical="center" wrapText="1"/>
    </xf>
    <xf numFmtId="41" fontId="11" fillId="0" borderId="2" xfId="0" applyNumberFormat="1" applyFont="1" applyBorder="1" applyAlignment="1" applyProtection="1">
      <alignment horizontal="center" vertical="center" wrapText="1"/>
    </xf>
    <xf numFmtId="0" fontId="11" fillId="0" borderId="2" xfId="0" applyFont="1" applyBorder="1" applyAlignment="1" applyProtection="1">
      <alignment vertical="center" wrapText="1"/>
    </xf>
    <xf numFmtId="0" fontId="120" fillId="8" borderId="57" xfId="0" applyFont="1" applyFill="1" applyBorder="1" applyAlignment="1" applyProtection="1">
      <alignment horizontal="center" vertical="center" wrapText="1"/>
    </xf>
    <xf numFmtId="0" fontId="120" fillId="8" borderId="56" xfId="0" applyFont="1" applyFill="1" applyBorder="1" applyAlignment="1" applyProtection="1">
      <alignment horizontal="center" vertical="center" wrapText="1"/>
    </xf>
    <xf numFmtId="0" fontId="120" fillId="8" borderId="93" xfId="0" applyFont="1" applyFill="1" applyBorder="1" applyAlignment="1" applyProtection="1">
      <alignment horizontal="center" vertical="center" wrapText="1"/>
    </xf>
    <xf numFmtId="0" fontId="121" fillId="0" borderId="0" xfId="0" applyFont="1" applyAlignment="1" applyProtection="1">
      <alignment vertical="center"/>
    </xf>
    <xf numFmtId="41" fontId="121" fillId="0" borderId="0" xfId="0" applyNumberFormat="1" applyFont="1" applyAlignment="1" applyProtection="1">
      <alignment vertical="center"/>
    </xf>
    <xf numFmtId="41" fontId="121" fillId="0" borderId="0" xfId="0" applyNumberFormat="1" applyFont="1" applyAlignment="1" applyProtection="1">
      <alignment horizontal="center" vertical="center"/>
    </xf>
    <xf numFmtId="0" fontId="121" fillId="0" borderId="0" xfId="0" applyFont="1" applyAlignment="1" applyProtection="1">
      <alignment horizontal="center" vertical="center"/>
    </xf>
    <xf numFmtId="0" fontId="122" fillId="0" borderId="0" xfId="0" applyFont="1" applyAlignment="1" applyProtection="1">
      <alignment vertical="center"/>
    </xf>
    <xf numFmtId="0" fontId="123" fillId="0" borderId="0" xfId="0" applyFont="1" applyAlignment="1" applyProtection="1">
      <alignment vertical="center"/>
    </xf>
    <xf numFmtId="41" fontId="123" fillId="0" borderId="0" xfId="0" applyNumberFormat="1" applyFont="1" applyAlignment="1" applyProtection="1">
      <alignment vertical="center"/>
    </xf>
    <xf numFmtId="41" fontId="123" fillId="0" borderId="0" xfId="0" applyNumberFormat="1" applyFont="1" applyAlignment="1" applyProtection="1">
      <alignment horizontal="center" vertical="center"/>
    </xf>
    <xf numFmtId="0" fontId="37" fillId="0" borderId="0" xfId="0" applyFont="1" applyAlignment="1" applyProtection="1">
      <alignment horizontal="center" vertical="center"/>
    </xf>
    <xf numFmtId="0" fontId="123" fillId="0" borderId="0" xfId="0" applyFont="1" applyAlignment="1" applyProtection="1">
      <alignment horizontal="center" vertical="center"/>
    </xf>
    <xf numFmtId="41" fontId="19" fillId="0" borderId="0" xfId="0" applyNumberFormat="1" applyFont="1" applyAlignment="1" applyProtection="1">
      <alignment vertical="center"/>
    </xf>
    <xf numFmtId="0" fontId="19" fillId="0" borderId="0" xfId="0" applyFont="1" applyAlignment="1" applyProtection="1">
      <alignment horizontal="left" vertical="center"/>
    </xf>
    <xf numFmtId="41" fontId="1" fillId="0" borderId="0" xfId="0" applyNumberFormat="1" applyFont="1" applyAlignment="1" applyProtection="1">
      <alignment vertical="center"/>
    </xf>
    <xf numFmtId="0" fontId="124" fillId="0" borderId="0" xfId="0" applyFont="1" applyAlignment="1" applyProtection="1">
      <alignment vertical="center"/>
    </xf>
    <xf numFmtId="0" fontId="124" fillId="0" borderId="0" xfId="0" applyFont="1" applyAlignment="1" applyProtection="1">
      <alignment horizontal="center" vertical="center"/>
    </xf>
    <xf numFmtId="0" fontId="12" fillId="0" borderId="0" xfId="0" applyFont="1" applyAlignment="1" applyProtection="1">
      <alignment horizontal="center" vertical="center"/>
    </xf>
    <xf numFmtId="43" fontId="124" fillId="0" borderId="0" xfId="789" applyFont="1" applyAlignment="1" applyProtection="1">
      <alignment horizontal="left" vertical="center"/>
    </xf>
    <xf numFmtId="0" fontId="125" fillId="0" borderId="0" xfId="0" applyFont="1" applyAlignment="1" applyProtection="1">
      <alignment vertical="center"/>
    </xf>
    <xf numFmtId="0" fontId="95" fillId="0" borderId="0" xfId="0" applyFont="1" applyAlignment="1" applyProtection="1">
      <alignment vertical="center"/>
    </xf>
    <xf numFmtId="0" fontId="126" fillId="0" borderId="0" xfId="0" applyFont="1" applyAlignment="1" applyProtection="1">
      <alignment horizontal="center" vertical="center"/>
    </xf>
    <xf numFmtId="0" fontId="95" fillId="0" borderId="0" xfId="0" applyFont="1" applyAlignment="1" applyProtection="1">
      <alignment horizontal="center" vertical="center"/>
    </xf>
    <xf numFmtId="41" fontId="12" fillId="0" borderId="0" xfId="0" applyNumberFormat="1" applyFont="1" applyAlignment="1" applyProtection="1">
      <alignment vertical="center"/>
    </xf>
    <xf numFmtId="41" fontId="12" fillId="8" borderId="63" xfId="0" applyNumberFormat="1" applyFont="1" applyFill="1" applyBorder="1" applyAlignment="1" applyProtection="1">
      <alignment vertical="center"/>
    </xf>
    <xf numFmtId="41" fontId="12" fillId="8" borderId="62" xfId="0" applyNumberFormat="1" applyFont="1" applyFill="1" applyBorder="1" applyAlignment="1" applyProtection="1">
      <alignment vertical="center"/>
    </xf>
    <xf numFmtId="41" fontId="12" fillId="8" borderId="204" xfId="0" applyNumberFormat="1" applyFont="1" applyFill="1" applyBorder="1" applyAlignment="1" applyProtection="1">
      <alignment vertical="center"/>
    </xf>
    <xf numFmtId="41" fontId="37" fillId="17" borderId="83" xfId="275" applyNumberFormat="1" applyFont="1" applyFill="1" applyBorder="1" applyAlignment="1" applyProtection="1">
      <alignment vertical="center"/>
      <protection locked="0"/>
    </xf>
    <xf numFmtId="41" fontId="37" fillId="0" borderId="56" xfId="0" applyNumberFormat="1" applyFont="1" applyFill="1" applyBorder="1" applyAlignment="1" applyProtection="1">
      <alignment vertical="center"/>
    </xf>
    <xf numFmtId="41" fontId="37" fillId="0" borderId="65" xfId="275" applyNumberFormat="1" applyFont="1" applyBorder="1" applyAlignment="1" applyProtection="1">
      <alignment vertical="center"/>
      <protection locked="0"/>
    </xf>
    <xf numFmtId="0" fontId="112" fillId="0" borderId="0" xfId="1173" applyFont="1" applyFill="1" applyAlignment="1">
      <alignment vertical="center"/>
    </xf>
    <xf numFmtId="41" fontId="112" fillId="0" borderId="0" xfId="1173" applyNumberFormat="1" applyFont="1" applyFill="1" applyAlignment="1">
      <alignment vertical="center"/>
    </xf>
    <xf numFmtId="0" fontId="37" fillId="0" borderId="0" xfId="1173" applyFont="1" applyFill="1" applyAlignment="1">
      <alignment vertical="center"/>
    </xf>
    <xf numFmtId="41" fontId="37" fillId="0" borderId="0" xfId="1173" applyNumberFormat="1" applyFont="1" applyFill="1" applyAlignment="1">
      <alignment horizontal="center" vertical="center"/>
    </xf>
    <xf numFmtId="0" fontId="37" fillId="0" borderId="0" xfId="1173" applyFont="1" applyFill="1" applyAlignment="1">
      <alignment horizontal="center" vertical="center"/>
    </xf>
    <xf numFmtId="41" fontId="39" fillId="0" borderId="0" xfId="1173" applyNumberFormat="1" applyFont="1" applyFill="1" applyAlignment="1">
      <alignment horizontal="center" vertical="center"/>
    </xf>
    <xf numFmtId="165" fontId="37" fillId="0" borderId="0" xfId="1173" applyNumberFormat="1" applyFont="1" applyFill="1" applyAlignment="1">
      <alignment vertical="center"/>
    </xf>
    <xf numFmtId="41" fontId="37" fillId="0" borderId="0" xfId="275" applyFont="1" applyFill="1" applyAlignment="1">
      <alignment vertical="center"/>
    </xf>
    <xf numFmtId="41" fontId="37" fillId="0" borderId="0" xfId="1173" applyNumberFormat="1" applyFont="1" applyFill="1" applyAlignment="1">
      <alignment vertical="center"/>
    </xf>
    <xf numFmtId="165" fontId="37" fillId="0" borderId="0" xfId="789" applyNumberFormat="1" applyFont="1" applyFill="1" applyAlignment="1">
      <alignment horizontal="center" vertical="center"/>
    </xf>
    <xf numFmtId="165" fontId="37" fillId="0" borderId="0" xfId="789" applyNumberFormat="1" applyFont="1" applyFill="1" applyAlignment="1">
      <alignment vertical="center"/>
    </xf>
    <xf numFmtId="0" fontId="43" fillId="0" borderId="0" xfId="1173" applyFont="1" applyFill="1" applyAlignment="1">
      <alignment vertical="center"/>
    </xf>
    <xf numFmtId="0" fontId="129" fillId="0" borderId="0" xfId="1173" applyFont="1" applyFill="1" applyAlignment="1">
      <alignment vertical="center"/>
    </xf>
    <xf numFmtId="164" fontId="129" fillId="0" borderId="0" xfId="1173" applyNumberFormat="1" applyFont="1" applyFill="1" applyAlignment="1">
      <alignment horizontal="center" vertical="center"/>
    </xf>
    <xf numFmtId="164" fontId="43" fillId="0" borderId="0" xfId="1173" applyNumberFormat="1" applyFont="1" applyFill="1" applyAlignment="1">
      <alignment horizontal="center" vertical="center"/>
    </xf>
    <xf numFmtId="0" fontId="43" fillId="0" borderId="0" xfId="1173" applyFont="1" applyFill="1" applyAlignment="1">
      <alignment horizontal="right" vertical="center"/>
    </xf>
    <xf numFmtId="41" fontId="43" fillId="0" borderId="0" xfId="1173" applyNumberFormat="1" applyFont="1" applyFill="1" applyAlignment="1">
      <alignment vertical="center"/>
    </xf>
    <xf numFmtId="0" fontId="130" fillId="0" borderId="0" xfId="1173" applyFont="1" applyFill="1" applyAlignment="1">
      <alignment vertical="center"/>
    </xf>
    <xf numFmtId="41" fontId="171" fillId="0" borderId="0" xfId="1173" applyNumberFormat="1" applyFont="1" applyFill="1" applyAlignment="1">
      <alignment vertical="center"/>
    </xf>
    <xf numFmtId="41" fontId="41" fillId="0" borderId="0" xfId="1173" applyNumberFormat="1" applyFont="1" applyFill="1" applyAlignment="1">
      <alignment vertical="center"/>
    </xf>
    <xf numFmtId="41" fontId="44" fillId="0" borderId="0" xfId="1173" applyNumberFormat="1" applyFont="1" applyFill="1" applyAlignment="1">
      <alignment vertical="center"/>
    </xf>
    <xf numFmtId="165" fontId="41" fillId="0" borderId="0" xfId="789" applyNumberFormat="1" applyFont="1" applyFill="1" applyAlignment="1">
      <alignment vertical="center"/>
    </xf>
    <xf numFmtId="41" fontId="131" fillId="0" borderId="0" xfId="1173" applyNumberFormat="1" applyFont="1" applyFill="1" applyAlignment="1">
      <alignment vertical="center"/>
    </xf>
    <xf numFmtId="41" fontId="172" fillId="0" borderId="0" xfId="1173" applyNumberFormat="1" applyFont="1" applyFill="1" applyAlignment="1">
      <alignment vertical="center"/>
    </xf>
    <xf numFmtId="41" fontId="30" fillId="0" borderId="0" xfId="1173" applyNumberFormat="1" applyFont="1" applyFill="1" applyAlignment="1">
      <alignment vertical="center"/>
    </xf>
    <xf numFmtId="0" fontId="30" fillId="0" borderId="0" xfId="1173" applyFont="1" applyFill="1" applyAlignment="1">
      <alignment vertical="center"/>
    </xf>
    <xf numFmtId="165" fontId="30" fillId="0" borderId="0" xfId="1173" applyNumberFormat="1" applyFont="1" applyFill="1" applyAlignment="1">
      <alignment vertical="center"/>
    </xf>
    <xf numFmtId="41" fontId="44" fillId="8" borderId="210" xfId="1173" applyNumberFormat="1" applyFont="1" applyFill="1" applyBorder="1" applyAlignment="1">
      <alignment vertical="center"/>
    </xf>
    <xf numFmtId="41" fontId="44" fillId="8" borderId="156" xfId="1173" applyNumberFormat="1" applyFont="1" applyFill="1" applyBorder="1" applyAlignment="1">
      <alignment vertical="center"/>
    </xf>
    <xf numFmtId="41" fontId="44" fillId="8" borderId="211" xfId="1173" applyNumberFormat="1" applyFont="1" applyFill="1" applyBorder="1" applyAlignment="1">
      <alignment vertical="center"/>
    </xf>
    <xf numFmtId="41" fontId="44" fillId="0" borderId="212" xfId="1173" applyNumberFormat="1" applyFont="1" applyFill="1" applyBorder="1" applyAlignment="1">
      <alignment vertical="center"/>
    </xf>
    <xf numFmtId="41" fontId="44" fillId="0" borderId="210" xfId="1173" applyNumberFormat="1" applyFont="1" applyFill="1" applyBorder="1" applyAlignment="1">
      <alignment vertical="center"/>
    </xf>
    <xf numFmtId="41" fontId="44" fillId="0" borderId="156" xfId="1173" applyNumberFormat="1" applyFont="1" applyFill="1" applyBorder="1" applyAlignment="1">
      <alignment vertical="center"/>
    </xf>
    <xf numFmtId="41" fontId="44" fillId="0" borderId="211" xfId="1173" applyNumberFormat="1" applyFont="1" applyFill="1" applyBorder="1" applyAlignment="1">
      <alignment horizontal="right" vertical="center"/>
    </xf>
    <xf numFmtId="41" fontId="44" fillId="0" borderId="213" xfId="1173" applyNumberFormat="1" applyFont="1" applyFill="1" applyBorder="1" applyAlignment="1">
      <alignment horizontal="left" vertical="center"/>
    </xf>
    <xf numFmtId="0" fontId="43" fillId="8" borderId="208" xfId="1173" applyFont="1" applyFill="1" applyBorder="1" applyAlignment="1">
      <alignment vertical="center"/>
    </xf>
    <xf numFmtId="0" fontId="43" fillId="8" borderId="17" xfId="1173" applyFont="1" applyFill="1" applyBorder="1" applyAlignment="1">
      <alignment vertical="center"/>
    </xf>
    <xf numFmtId="0" fontId="43" fillId="8" borderId="33" xfId="1173" applyFont="1" applyFill="1" applyBorder="1" applyAlignment="1">
      <alignment vertical="center"/>
    </xf>
    <xf numFmtId="0" fontId="43" fillId="0" borderId="209" xfId="1173" applyFont="1" applyFill="1" applyBorder="1" applyAlignment="1">
      <alignment vertical="center"/>
    </xf>
    <xf numFmtId="0" fontId="43" fillId="0" borderId="208" xfId="1173" applyFont="1" applyFill="1" applyBorder="1" applyAlignment="1">
      <alignment vertical="center"/>
    </xf>
    <xf numFmtId="0" fontId="43" fillId="0" borderId="17" xfId="1173" applyFont="1" applyFill="1" applyBorder="1" applyAlignment="1">
      <alignment vertical="center"/>
    </xf>
    <xf numFmtId="41" fontId="43" fillId="0" borderId="17" xfId="275" applyFont="1" applyFill="1" applyBorder="1" applyAlignment="1">
      <alignment vertical="center"/>
    </xf>
    <xf numFmtId="9" fontId="43" fillId="0" borderId="17" xfId="1182" applyFont="1" applyFill="1" applyBorder="1" applyAlignment="1">
      <alignment vertical="center"/>
    </xf>
    <xf numFmtId="0" fontId="43" fillId="0" borderId="28" xfId="1173" applyFont="1" applyFill="1" applyBorder="1" applyAlignment="1">
      <alignment vertical="center"/>
    </xf>
    <xf numFmtId="41" fontId="43" fillId="0" borderId="17" xfId="1173" applyNumberFormat="1" applyFont="1" applyFill="1" applyBorder="1" applyAlignment="1">
      <alignment vertical="center"/>
    </xf>
    <xf numFmtId="0" fontId="43" fillId="0" borderId="33" xfId="1173" applyFont="1" applyFill="1" applyBorder="1" applyAlignment="1">
      <alignment vertical="center"/>
    </xf>
    <xf numFmtId="0" fontId="43" fillId="0" borderId="86" xfId="1173" applyFont="1" applyFill="1" applyBorder="1" applyAlignment="1">
      <alignment vertical="center"/>
    </xf>
    <xf numFmtId="41" fontId="37" fillId="8" borderId="58" xfId="0" applyNumberFormat="1" applyFont="1" applyFill="1" applyBorder="1" applyAlignment="1">
      <alignment horizontal="center" vertical="center" wrapText="1"/>
    </xf>
    <xf numFmtId="41" fontId="37" fillId="8" borderId="2" xfId="0" applyNumberFormat="1" applyFont="1" applyFill="1" applyBorder="1" applyAlignment="1">
      <alignment horizontal="center" vertical="center" wrapText="1"/>
    </xf>
    <xf numFmtId="41" fontId="37" fillId="8" borderId="20" xfId="0" applyNumberFormat="1" applyFont="1" applyFill="1" applyBorder="1" applyAlignment="1">
      <alignment horizontal="center" vertical="center" wrapText="1"/>
    </xf>
    <xf numFmtId="41" fontId="3" fillId="0" borderId="68" xfId="0" applyNumberFormat="1" applyFont="1" applyFill="1" applyBorder="1" applyAlignment="1">
      <alignment vertical="center"/>
    </xf>
    <xf numFmtId="41" fontId="3" fillId="0" borderId="58" xfId="0" applyNumberFormat="1" applyFont="1" applyFill="1" applyBorder="1" applyAlignment="1">
      <alignment vertical="center"/>
    </xf>
    <xf numFmtId="41" fontId="37" fillId="0" borderId="2" xfId="275" applyNumberFormat="1" applyFont="1" applyFill="1" applyBorder="1" applyAlignment="1">
      <alignment vertical="center"/>
    </xf>
    <xf numFmtId="164" fontId="37" fillId="0" borderId="2" xfId="275" applyNumberFormat="1" applyFont="1" applyFill="1" applyBorder="1" applyAlignment="1">
      <alignment vertical="center"/>
    </xf>
    <xf numFmtId="41" fontId="37" fillId="0" borderId="66" xfId="0" applyNumberFormat="1" applyFont="1" applyFill="1" applyBorder="1" applyAlignment="1">
      <alignment vertical="center"/>
    </xf>
    <xf numFmtId="41" fontId="37" fillId="0" borderId="67" xfId="0" applyNumberFormat="1" applyFont="1" applyFill="1" applyBorder="1" applyAlignment="1">
      <alignment vertical="center"/>
    </xf>
    <xf numFmtId="41" fontId="37" fillId="0" borderId="51" xfId="275" applyNumberFormat="1" applyFont="1" applyFill="1" applyBorder="1" applyAlignment="1">
      <alignment vertical="center"/>
    </xf>
    <xf numFmtId="164" fontId="37" fillId="0" borderId="51" xfId="275" applyNumberFormat="1" applyFont="1" applyFill="1" applyBorder="1" applyAlignment="1">
      <alignment vertical="center"/>
    </xf>
    <xf numFmtId="41" fontId="37" fillId="0" borderId="82" xfId="0" applyNumberFormat="1" applyFont="1" applyFill="1" applyBorder="1" applyAlignment="1">
      <alignment vertical="center"/>
    </xf>
    <xf numFmtId="0" fontId="131" fillId="0" borderId="0" xfId="1173" applyFont="1" applyFill="1" applyAlignment="1">
      <alignment vertical="center"/>
    </xf>
    <xf numFmtId="41" fontId="37" fillId="8" borderId="57" xfId="0" applyNumberFormat="1" applyFont="1" applyFill="1" applyBorder="1" applyAlignment="1">
      <alignment horizontal="center" vertical="center" wrapText="1"/>
    </xf>
    <xf numFmtId="41" fontId="37" fillId="8" borderId="56" xfId="0" applyNumberFormat="1" applyFont="1" applyFill="1" applyBorder="1" applyAlignment="1">
      <alignment horizontal="center" vertical="center" wrapText="1"/>
    </xf>
    <xf numFmtId="41" fontId="37" fillId="8" borderId="93" xfId="0" applyNumberFormat="1" applyFont="1" applyFill="1" applyBorder="1" applyAlignment="1">
      <alignment horizontal="center" vertical="center" wrapText="1"/>
    </xf>
    <xf numFmtId="41" fontId="3" fillId="0" borderId="214" xfId="0" applyNumberFormat="1" applyFont="1" applyFill="1" applyBorder="1" applyAlignment="1">
      <alignment vertical="center"/>
    </xf>
    <xf numFmtId="41" fontId="3" fillId="0" borderId="57" xfId="0" applyNumberFormat="1" applyFont="1" applyFill="1" applyBorder="1" applyAlignment="1">
      <alignment vertical="center"/>
    </xf>
    <xf numFmtId="41" fontId="3" fillId="0" borderId="56" xfId="0" applyNumberFormat="1" applyFont="1" applyFill="1" applyBorder="1" applyAlignment="1">
      <alignment vertical="center"/>
    </xf>
    <xf numFmtId="41" fontId="37" fillId="0" borderId="181" xfId="0" applyNumberFormat="1" applyFont="1" applyFill="1" applyBorder="1" applyAlignment="1">
      <alignment vertical="center"/>
    </xf>
    <xf numFmtId="41" fontId="37" fillId="0" borderId="214" xfId="0" applyNumberFormat="1" applyFont="1" applyFill="1" applyBorder="1" applyAlignment="1">
      <alignment vertical="center"/>
    </xf>
    <xf numFmtId="0" fontId="4" fillId="8" borderId="215" xfId="0" applyFont="1" applyFill="1" applyBorder="1" applyAlignment="1">
      <alignment horizontal="center" vertical="center" wrapText="1"/>
    </xf>
    <xf numFmtId="0" fontId="4" fillId="8" borderId="170" xfId="0" applyFont="1" applyFill="1" applyBorder="1" applyAlignment="1">
      <alignment horizontal="center" vertical="center" wrapText="1"/>
    </xf>
    <xf numFmtId="0" fontId="4" fillId="8" borderId="22" xfId="0" applyFont="1" applyFill="1" applyBorder="1" applyAlignment="1">
      <alignment horizontal="center" vertical="center" wrapText="1"/>
    </xf>
    <xf numFmtId="1" fontId="4" fillId="0" borderId="206" xfId="0" applyNumberFormat="1" applyFont="1" applyFill="1" applyBorder="1" applyAlignment="1">
      <alignment horizontal="center" vertical="center"/>
    </xf>
    <xf numFmtId="1" fontId="4" fillId="0" borderId="215" xfId="0" applyNumberFormat="1" applyFont="1" applyFill="1" applyBorder="1" applyAlignment="1">
      <alignment horizontal="center" vertical="center"/>
    </xf>
    <xf numFmtId="1" fontId="4" fillId="0" borderId="179" xfId="0" applyNumberFormat="1" applyFont="1" applyFill="1" applyBorder="1" applyAlignment="1">
      <alignment horizontal="center" vertical="center"/>
    </xf>
    <xf numFmtId="1" fontId="4" fillId="0" borderId="170" xfId="0" applyNumberFormat="1" applyFont="1" applyFill="1" applyBorder="1" applyAlignment="1">
      <alignment horizontal="center" vertical="center"/>
    </xf>
    <xf numFmtId="37" fontId="4" fillId="0" borderId="170" xfId="0" applyNumberFormat="1" applyFont="1" applyFill="1" applyBorder="1" applyAlignment="1">
      <alignment horizontal="center" vertical="center"/>
    </xf>
    <xf numFmtId="1" fontId="4" fillId="0" borderId="22" xfId="0" applyNumberFormat="1" applyFont="1" applyFill="1" applyBorder="1" applyAlignment="1">
      <alignment horizontal="center" vertical="center"/>
    </xf>
    <xf numFmtId="0" fontId="12" fillId="8" borderId="208" xfId="0" applyFont="1" applyFill="1" applyBorder="1" applyAlignment="1">
      <alignment horizontal="center" vertical="center" wrapText="1"/>
    </xf>
    <xf numFmtId="0" fontId="12" fillId="8" borderId="17" xfId="0" applyFont="1" applyFill="1" applyBorder="1" applyAlignment="1">
      <alignment horizontal="center" vertical="center" wrapText="1"/>
    </xf>
    <xf numFmtId="0" fontId="12" fillId="8" borderId="33" xfId="0" applyFont="1" applyFill="1" applyBorder="1" applyAlignment="1">
      <alignment horizontal="center" vertical="center" wrapText="1"/>
    </xf>
    <xf numFmtId="41" fontId="12" fillId="0" borderId="208" xfId="0" applyNumberFormat="1" applyFont="1" applyFill="1" applyBorder="1" applyAlignment="1">
      <alignment horizontal="center" vertical="center"/>
    </xf>
    <xf numFmtId="41" fontId="12" fillId="0" borderId="17" xfId="0" applyNumberFormat="1" applyFont="1" applyFill="1" applyBorder="1" applyAlignment="1">
      <alignment horizontal="center" vertical="center"/>
    </xf>
    <xf numFmtId="41" fontId="12" fillId="0" borderId="31" xfId="0" applyNumberFormat="1" applyFont="1" applyFill="1" applyBorder="1" applyAlignment="1">
      <alignment horizontal="center" vertical="center"/>
    </xf>
    <xf numFmtId="41" fontId="12" fillId="0" borderId="17" xfId="0" applyNumberFormat="1" applyFont="1" applyFill="1" applyBorder="1" applyAlignment="1">
      <alignment horizontal="center" vertical="center" wrapText="1"/>
    </xf>
    <xf numFmtId="0" fontId="12" fillId="8" borderId="57" xfId="0" applyFont="1" applyFill="1" applyBorder="1" applyAlignment="1">
      <alignment horizontal="center" vertical="center" wrapText="1"/>
    </xf>
    <xf numFmtId="0" fontId="12" fillId="8" borderId="56" xfId="0" applyFont="1" applyFill="1" applyBorder="1" applyAlignment="1">
      <alignment horizontal="center" vertical="center" wrapText="1"/>
    </xf>
    <xf numFmtId="0" fontId="12" fillId="8" borderId="93" xfId="0" applyFont="1" applyFill="1" applyBorder="1" applyAlignment="1">
      <alignment horizontal="center" vertical="center" wrapText="1"/>
    </xf>
    <xf numFmtId="0" fontId="43" fillId="0" borderId="0" xfId="1173" applyFont="1" applyFill="1" applyAlignment="1">
      <alignment horizontal="center" vertical="center"/>
    </xf>
    <xf numFmtId="41" fontId="4" fillId="0" borderId="0" xfId="1173" applyNumberFormat="1" applyFont="1" applyFill="1" applyAlignment="1">
      <alignment vertical="center"/>
    </xf>
    <xf numFmtId="0" fontId="44" fillId="0" borderId="0" xfId="1173" applyFont="1" applyFill="1" applyAlignment="1">
      <alignment vertical="center"/>
    </xf>
    <xf numFmtId="43" fontId="132" fillId="0" borderId="0" xfId="789" applyFont="1" applyFill="1" applyAlignment="1">
      <alignment vertical="center"/>
    </xf>
    <xf numFmtId="0" fontId="133" fillId="0" borderId="0" xfId="1173" applyFont="1" applyFill="1" applyAlignment="1">
      <alignment vertical="center"/>
    </xf>
    <xf numFmtId="0" fontId="134" fillId="0" borderId="0" xfId="1173" applyFont="1" applyFill="1" applyAlignment="1">
      <alignment vertical="center"/>
    </xf>
    <xf numFmtId="0" fontId="39" fillId="0" borderId="0" xfId="1173" applyFont="1" applyFill="1" applyAlignment="1">
      <alignment horizontal="center" vertical="center"/>
    </xf>
    <xf numFmtId="0" fontId="43" fillId="0" borderId="216" xfId="1173" applyFont="1" applyFill="1" applyBorder="1" applyAlignment="1">
      <alignment vertical="center"/>
    </xf>
    <xf numFmtId="41" fontId="43" fillId="0" borderId="28" xfId="275" applyFont="1" applyFill="1" applyBorder="1" applyAlignment="1">
      <alignment vertical="center"/>
    </xf>
    <xf numFmtId="9" fontId="43" fillId="0" borderId="28" xfId="1182" applyFont="1" applyFill="1" applyBorder="1" applyAlignment="1">
      <alignment vertical="center"/>
    </xf>
    <xf numFmtId="41" fontId="43" fillId="0" borderId="28" xfId="1173" applyNumberFormat="1" applyFont="1" applyFill="1" applyBorder="1" applyAlignment="1">
      <alignment vertical="center"/>
    </xf>
    <xf numFmtId="41" fontId="37" fillId="8" borderId="208" xfId="0" applyNumberFormat="1" applyFont="1" applyFill="1" applyBorder="1" applyAlignment="1">
      <alignment horizontal="center" vertical="center" wrapText="1"/>
    </xf>
    <xf numFmtId="41" fontId="37" fillId="8" borderId="17" xfId="0" applyNumberFormat="1" applyFont="1" applyFill="1" applyBorder="1" applyAlignment="1">
      <alignment horizontal="center" vertical="center" wrapText="1"/>
    </xf>
    <xf numFmtId="41" fontId="37" fillId="8" borderId="33" xfId="0" applyNumberFormat="1" applyFont="1" applyFill="1" applyBorder="1" applyAlignment="1">
      <alignment horizontal="center" vertical="center" wrapText="1"/>
    </xf>
    <xf numFmtId="41" fontId="3" fillId="0" borderId="217" xfId="0" applyNumberFormat="1" applyFont="1" applyFill="1" applyBorder="1" applyAlignment="1">
      <alignment vertical="center"/>
    </xf>
    <xf numFmtId="41" fontId="37" fillId="0" borderId="2" xfId="0" applyNumberFormat="1" applyFont="1" applyFill="1" applyBorder="1" applyAlignment="1">
      <alignment horizontal="center" vertical="center"/>
    </xf>
    <xf numFmtId="41" fontId="3" fillId="0" borderId="67" xfId="0" applyNumberFormat="1" applyFont="1" applyFill="1" applyBorder="1" applyAlignment="1">
      <alignment vertical="center"/>
    </xf>
    <xf numFmtId="41" fontId="3" fillId="0" borderId="146" xfId="0" applyNumberFormat="1" applyFont="1" applyFill="1" applyBorder="1" applyAlignment="1">
      <alignment vertical="center"/>
    </xf>
    <xf numFmtId="41" fontId="37" fillId="0" borderId="56" xfId="0" applyNumberFormat="1" applyFont="1" applyFill="1" applyBorder="1" applyAlignment="1">
      <alignment horizontal="center" vertical="center"/>
    </xf>
    <xf numFmtId="41" fontId="44" fillId="0" borderId="211" xfId="1173" applyNumberFormat="1" applyFont="1" applyFill="1" applyBorder="1" applyAlignment="1">
      <alignment vertical="center"/>
    </xf>
    <xf numFmtId="41" fontId="44" fillId="0" borderId="211" xfId="1173" applyNumberFormat="1" applyFont="1" applyFill="1" applyBorder="1" applyAlignment="1">
      <alignment horizontal="center" vertical="center"/>
    </xf>
    <xf numFmtId="41" fontId="37" fillId="0" borderId="58" xfId="0" applyNumberFormat="1" applyFont="1" applyFill="1" applyBorder="1" applyAlignment="1">
      <alignment horizontal="center" vertical="center"/>
    </xf>
    <xf numFmtId="0" fontId="37" fillId="0" borderId="82" xfId="0" applyNumberFormat="1" applyFont="1" applyFill="1" applyBorder="1" applyAlignment="1">
      <alignment vertical="center"/>
    </xf>
    <xf numFmtId="41" fontId="3" fillId="0" borderId="93" xfId="0" applyNumberFormat="1" applyFont="1" applyFill="1" applyBorder="1" applyAlignment="1">
      <alignment vertical="center"/>
    </xf>
    <xf numFmtId="0" fontId="1" fillId="0" borderId="0" xfId="1173" applyAlignment="1">
      <alignment vertical="center"/>
    </xf>
    <xf numFmtId="0" fontId="15" fillId="0" borderId="0" xfId="1173" applyFont="1" applyAlignment="1">
      <alignment horizontal="center"/>
    </xf>
    <xf numFmtId="41" fontId="15" fillId="0" borderId="0" xfId="1173" applyNumberFormat="1" applyFont="1" applyAlignment="1">
      <alignment horizontal="center"/>
    </xf>
    <xf numFmtId="0" fontId="135" fillId="0" borderId="0" xfId="1173" applyFont="1" applyAlignment="1">
      <alignment horizontal="center"/>
    </xf>
    <xf numFmtId="41" fontId="135" fillId="0" borderId="0" xfId="1173" applyNumberFormat="1" applyFont="1" applyAlignment="1">
      <alignment horizontal="center"/>
    </xf>
    <xf numFmtId="0" fontId="136" fillId="0" borderId="0" xfId="1173" applyFont="1" applyAlignment="1">
      <alignment vertical="center"/>
    </xf>
    <xf numFmtId="0" fontId="37" fillId="0" borderId="0" xfId="1173" applyFont="1" applyAlignment="1">
      <alignment vertical="center"/>
    </xf>
    <xf numFmtId="41" fontId="12" fillId="0" borderId="159" xfId="1173" applyNumberFormat="1" applyFont="1" applyBorder="1" applyAlignment="1" applyProtection="1">
      <alignment vertical="center"/>
    </xf>
    <xf numFmtId="41" fontId="12" fillId="0" borderId="30" xfId="1173" applyNumberFormat="1" applyFont="1" applyBorder="1" applyAlignment="1" applyProtection="1">
      <alignment vertical="center"/>
    </xf>
    <xf numFmtId="41" fontId="37" fillId="0" borderId="0" xfId="1173" applyNumberFormat="1" applyFont="1" applyAlignment="1">
      <alignment horizontal="center"/>
    </xf>
    <xf numFmtId="41" fontId="37" fillId="0" borderId="104" xfId="1173" applyNumberFormat="1" applyFont="1" applyBorder="1" applyAlignment="1" applyProtection="1">
      <alignment vertical="center"/>
    </xf>
    <xf numFmtId="41" fontId="37" fillId="0" borderId="55" xfId="1173" applyNumberFormat="1" applyFont="1" applyBorder="1" applyAlignment="1" applyProtection="1">
      <alignment vertical="center"/>
    </xf>
    <xf numFmtId="9" fontId="37" fillId="0" borderId="55" xfId="1173" applyNumberFormat="1" applyFont="1" applyBorder="1" applyAlignment="1" applyProtection="1">
      <alignment horizontal="center" vertical="center"/>
      <protection locked="0"/>
    </xf>
    <xf numFmtId="0" fontId="37" fillId="0" borderId="174" xfId="1173" applyFont="1" applyBorder="1" applyAlignment="1">
      <alignment horizontal="left" vertical="center" indent="1"/>
    </xf>
    <xf numFmtId="41" fontId="39" fillId="0" borderId="0" xfId="1173" applyNumberFormat="1" applyFont="1" applyAlignment="1">
      <alignment horizontal="center"/>
    </xf>
    <xf numFmtId="41" fontId="37" fillId="0" borderId="80" xfId="1173" applyNumberFormat="1" applyFont="1" applyBorder="1" applyAlignment="1" applyProtection="1">
      <alignment vertical="center"/>
    </xf>
    <xf numFmtId="41" fontId="37" fillId="0" borderId="2" xfId="1173" applyNumberFormat="1" applyFont="1" applyBorder="1" applyAlignment="1" applyProtection="1">
      <alignment vertical="center"/>
    </xf>
    <xf numFmtId="9" fontId="37" fillId="0" borderId="2" xfId="1173" applyNumberFormat="1" applyFont="1" applyBorder="1" applyAlignment="1" applyProtection="1">
      <alignment horizontal="center" vertical="center"/>
      <protection locked="0"/>
    </xf>
    <xf numFmtId="0" fontId="37" fillId="0" borderId="46" xfId="1173" applyFont="1" applyBorder="1" applyAlignment="1">
      <alignment horizontal="left" vertical="center" indent="1"/>
    </xf>
    <xf numFmtId="0" fontId="37" fillId="0" borderId="0" xfId="1173" applyFont="1" applyAlignment="1">
      <alignment horizontal="center" vertical="center"/>
    </xf>
    <xf numFmtId="0" fontId="37" fillId="0" borderId="0" xfId="1173" applyFont="1" applyBorder="1" applyAlignment="1">
      <alignment horizontal="center" vertical="center"/>
    </xf>
    <xf numFmtId="0" fontId="37" fillId="0" borderId="37" xfId="1173" applyFont="1" applyBorder="1" applyAlignment="1">
      <alignment horizontal="center" vertical="center"/>
    </xf>
    <xf numFmtId="0" fontId="37" fillId="0" borderId="28" xfId="1173" quotePrefix="1" applyFont="1" applyBorder="1" applyAlignment="1">
      <alignment horizontal="center" vertical="center"/>
    </xf>
    <xf numFmtId="0" fontId="37" fillId="0" borderId="0" xfId="1173" quotePrefix="1" applyFont="1" applyBorder="1" applyAlignment="1">
      <alignment horizontal="center" vertical="center"/>
    </xf>
    <xf numFmtId="0" fontId="37" fillId="0" borderId="112" xfId="1173" applyFont="1" applyBorder="1" applyAlignment="1">
      <alignment horizontal="center" vertical="center"/>
    </xf>
    <xf numFmtId="0" fontId="37" fillId="0" borderId="0" xfId="1173" applyFont="1" applyBorder="1" applyAlignment="1">
      <alignment vertical="center"/>
    </xf>
    <xf numFmtId="0" fontId="37" fillId="0" borderId="0" xfId="1173" applyFont="1" applyFill="1" applyBorder="1" applyAlignment="1">
      <alignment horizontal="center" vertical="center"/>
    </xf>
    <xf numFmtId="0" fontId="37" fillId="0" borderId="28" xfId="1173" applyFont="1" applyBorder="1" applyAlignment="1">
      <alignment horizontal="center" vertical="center"/>
    </xf>
    <xf numFmtId="0" fontId="37" fillId="0" borderId="35" xfId="1173" applyFont="1" applyFill="1" applyBorder="1" applyAlignment="1">
      <alignment horizontal="center" vertical="center"/>
    </xf>
    <xf numFmtId="0" fontId="37" fillId="0" borderId="26" xfId="1173" applyFont="1" applyBorder="1" applyAlignment="1">
      <alignment horizontal="center" vertical="center"/>
    </xf>
    <xf numFmtId="0" fontId="37" fillId="0" borderId="47" xfId="1173" applyFont="1" applyBorder="1" applyAlignment="1">
      <alignment horizontal="center" vertical="center"/>
    </xf>
    <xf numFmtId="0" fontId="37" fillId="0" borderId="218" xfId="1173" applyFont="1" applyBorder="1" applyAlignment="1">
      <alignment horizontal="center" vertical="center"/>
    </xf>
    <xf numFmtId="0" fontId="129" fillId="0" borderId="0" xfId="1173" applyFont="1" applyAlignment="1">
      <alignment vertical="center"/>
    </xf>
    <xf numFmtId="43" fontId="129" fillId="0" borderId="0" xfId="1173" applyNumberFormat="1" applyFont="1" applyAlignment="1">
      <alignment vertical="center"/>
    </xf>
    <xf numFmtId="41" fontId="129" fillId="0" borderId="0" xfId="1173" applyNumberFormat="1" applyFont="1" applyAlignment="1">
      <alignment vertical="center"/>
    </xf>
    <xf numFmtId="41" fontId="12" fillId="0" borderId="50" xfId="1173" applyNumberFormat="1" applyFont="1" applyBorder="1" applyAlignment="1">
      <alignment vertical="center"/>
    </xf>
    <xf numFmtId="41" fontId="12" fillId="0" borderId="44" xfId="1173" applyNumberFormat="1" applyFont="1" applyBorder="1" applyAlignment="1">
      <alignment vertical="center"/>
    </xf>
    <xf numFmtId="41" fontId="37" fillId="0" borderId="81" xfId="1173" applyNumberFormat="1" applyFont="1" applyBorder="1" applyAlignment="1">
      <alignment vertical="center"/>
    </xf>
    <xf numFmtId="41" fontId="37" fillId="0" borderId="17" xfId="1173" applyNumberFormat="1" applyFont="1" applyBorder="1" applyAlignment="1">
      <alignment vertical="center"/>
    </xf>
    <xf numFmtId="0" fontId="37" fillId="0" borderId="17" xfId="1173" applyFont="1" applyBorder="1" applyAlignment="1">
      <alignment vertical="center"/>
    </xf>
    <xf numFmtId="0" fontId="37" fillId="0" borderId="43" xfId="1173" applyFont="1" applyBorder="1" applyAlignment="1">
      <alignment vertical="center"/>
    </xf>
    <xf numFmtId="41" fontId="129" fillId="8" borderId="0" xfId="1173" applyNumberFormat="1" applyFont="1" applyFill="1" applyAlignment="1">
      <alignment vertical="center"/>
    </xf>
    <xf numFmtId="41" fontId="37" fillId="0" borderId="80" xfId="1173" applyNumberFormat="1" applyFont="1" applyFill="1" applyBorder="1" applyAlignment="1">
      <alignment vertical="center"/>
    </xf>
    <xf numFmtId="41" fontId="37" fillId="0" borderId="2" xfId="1173" applyNumberFormat="1" applyFont="1" applyFill="1" applyBorder="1" applyAlignment="1">
      <alignment vertical="center"/>
    </xf>
    <xf numFmtId="0" fontId="37" fillId="0" borderId="17" xfId="1173" applyFont="1" applyFill="1" applyBorder="1" applyAlignment="1">
      <alignment vertical="center"/>
    </xf>
    <xf numFmtId="0" fontId="37" fillId="0" borderId="46" xfId="1173" applyFont="1" applyBorder="1" applyAlignment="1">
      <alignment vertical="center"/>
    </xf>
    <xf numFmtId="0" fontId="37" fillId="0" borderId="2" xfId="1173" applyFont="1" applyFill="1" applyBorder="1" applyAlignment="1">
      <alignment vertical="center"/>
    </xf>
    <xf numFmtId="0" fontId="37" fillId="0" borderId="51" xfId="1173" applyFont="1" applyFill="1" applyBorder="1" applyAlignment="1">
      <alignment vertical="center"/>
    </xf>
    <xf numFmtId="0" fontId="37" fillId="0" borderId="51" xfId="1173" applyFont="1" applyBorder="1" applyAlignment="1">
      <alignment vertical="center"/>
    </xf>
    <xf numFmtId="41" fontId="37" fillId="0" borderId="167" xfId="1173" applyNumberFormat="1" applyFont="1" applyFill="1" applyBorder="1" applyAlignment="1">
      <alignment vertical="center"/>
    </xf>
    <xf numFmtId="41" fontId="37" fillId="0" borderId="54" xfId="1173" applyNumberFormat="1" applyFont="1" applyFill="1" applyBorder="1" applyAlignment="1">
      <alignment vertical="center"/>
    </xf>
    <xf numFmtId="41" fontId="37" fillId="0" borderId="51" xfId="1173" applyNumberFormat="1" applyFont="1" applyFill="1" applyBorder="1" applyAlignment="1">
      <alignment vertical="center"/>
    </xf>
    <xf numFmtId="0" fontId="37" fillId="0" borderId="45" xfId="1173" applyFont="1" applyBorder="1" applyAlignment="1">
      <alignment vertical="center"/>
    </xf>
    <xf numFmtId="0" fontId="41" fillId="8" borderId="0" xfId="1173" applyFont="1" applyFill="1" applyAlignment="1">
      <alignment horizontal="center" vertical="center"/>
    </xf>
    <xf numFmtId="0" fontId="12" fillId="0" borderId="50" xfId="1173" applyFont="1" applyBorder="1" applyAlignment="1">
      <alignment horizontal="center" vertical="center"/>
    </xf>
    <xf numFmtId="0" fontId="12" fillId="0" borderId="183" xfId="1173" applyFont="1" applyBorder="1" applyAlignment="1">
      <alignment horizontal="center" vertical="center"/>
    </xf>
    <xf numFmtId="0" fontId="12" fillId="0" borderId="44" xfId="1173" applyFont="1" applyBorder="1" applyAlignment="1">
      <alignment horizontal="center" vertical="center"/>
    </xf>
    <xf numFmtId="0" fontId="12" fillId="0" borderId="49" xfId="1173" applyFont="1" applyBorder="1" applyAlignment="1">
      <alignment horizontal="center" vertical="center"/>
    </xf>
    <xf numFmtId="0" fontId="37" fillId="0" borderId="85" xfId="1173" applyFont="1" applyBorder="1" applyAlignment="1">
      <alignment horizontal="center" vertical="center"/>
    </xf>
    <xf numFmtId="0" fontId="37" fillId="0" borderId="79" xfId="1173" applyFont="1" applyBorder="1" applyAlignment="1">
      <alignment horizontal="center" vertical="center"/>
    </xf>
    <xf numFmtId="0" fontId="37" fillId="0" borderId="48" xfId="1173" applyFont="1" applyBorder="1" applyAlignment="1">
      <alignment horizontal="center" vertical="center"/>
    </xf>
    <xf numFmtId="0" fontId="4" fillId="0" borderId="0" xfId="1173" applyFont="1" applyFill="1" applyAlignment="1">
      <alignment horizontal="left" vertical="center"/>
    </xf>
    <xf numFmtId="0" fontId="4" fillId="0" borderId="0" xfId="1173" applyFont="1" applyFill="1" applyAlignment="1">
      <alignment vertical="center"/>
    </xf>
    <xf numFmtId="0" fontId="4" fillId="0" borderId="0" xfId="789" applyNumberFormat="1" applyFont="1" applyFill="1" applyAlignment="1">
      <alignment horizontal="left" vertical="center"/>
    </xf>
    <xf numFmtId="0" fontId="1" fillId="0" borderId="0" xfId="861" applyFont="1" applyAlignment="1">
      <alignment vertical="center"/>
    </xf>
    <xf numFmtId="0" fontId="1" fillId="17" borderId="0" xfId="861" applyFont="1" applyFill="1"/>
    <xf numFmtId="0" fontId="0" fillId="0" borderId="0" xfId="0" applyFont="1" applyFill="1"/>
    <xf numFmtId="0" fontId="1" fillId="2" borderId="0" xfId="861" applyFont="1" applyFill="1"/>
    <xf numFmtId="0" fontId="1" fillId="19" borderId="0" xfId="861" applyFont="1" applyFill="1" applyAlignment="1">
      <alignment vertical="center"/>
    </xf>
    <xf numFmtId="0" fontId="1" fillId="17" borderId="0" xfId="861" applyFont="1" applyFill="1" applyAlignment="1">
      <alignment horizontal="center" vertical="center"/>
    </xf>
    <xf numFmtId="0" fontId="1" fillId="2" borderId="0" xfId="861" applyFont="1" applyFill="1" applyAlignment="1">
      <alignment horizontal="center" vertical="center"/>
    </xf>
    <xf numFmtId="0" fontId="1" fillId="19" borderId="0" xfId="861" applyFill="1" applyAlignment="1">
      <alignment horizontal="center" vertical="center"/>
    </xf>
    <xf numFmtId="0" fontId="1" fillId="19" borderId="0" xfId="861" applyFont="1" applyFill="1" applyAlignment="1">
      <alignment horizontal="center" vertical="center"/>
    </xf>
    <xf numFmtId="0" fontId="69" fillId="17" borderId="0" xfId="861" applyFont="1" applyFill="1" applyAlignment="1">
      <alignment horizontal="center" vertical="center"/>
    </xf>
    <xf numFmtId="0" fontId="69" fillId="2" borderId="0" xfId="861" applyFont="1" applyFill="1" applyAlignment="1">
      <alignment horizontal="center" vertical="center"/>
    </xf>
    <xf numFmtId="0" fontId="69" fillId="19" borderId="0" xfId="861" applyFont="1" applyFill="1" applyAlignment="1">
      <alignment vertical="center"/>
    </xf>
    <xf numFmtId="0" fontId="1" fillId="2" borderId="0" xfId="861" applyFont="1" applyFill="1" applyAlignment="1">
      <alignment horizontal="center"/>
    </xf>
    <xf numFmtId="165" fontId="1" fillId="19" borderId="0" xfId="861" applyNumberFormat="1" applyFont="1" applyFill="1" applyAlignment="1">
      <alignment vertical="center"/>
    </xf>
    <xf numFmtId="0" fontId="1" fillId="17" borderId="0" xfId="861" applyFill="1" applyAlignment="1">
      <alignment horizontal="center" vertical="center"/>
    </xf>
    <xf numFmtId="0" fontId="1" fillId="2" borderId="0" xfId="861" applyFill="1" applyAlignment="1">
      <alignment horizontal="center" vertical="center"/>
    </xf>
    <xf numFmtId="0" fontId="99" fillId="19" borderId="0" xfId="861" applyFont="1" applyFill="1" applyAlignment="1">
      <alignment vertical="center"/>
    </xf>
    <xf numFmtId="165" fontId="151" fillId="0" borderId="0" xfId="693" applyNumberFormat="1" applyFont="1" applyAlignment="1">
      <alignment vertical="center"/>
    </xf>
    <xf numFmtId="165" fontId="151" fillId="15" borderId="0" xfId="693" applyNumberFormat="1" applyFont="1" applyFill="1" applyAlignment="1">
      <alignment vertical="center"/>
    </xf>
    <xf numFmtId="165" fontId="1" fillId="15" borderId="0" xfId="693" applyNumberFormat="1" applyFont="1" applyFill="1" applyAlignment="1">
      <alignment horizontal="center" vertical="center"/>
    </xf>
    <xf numFmtId="165" fontId="11" fillId="17" borderId="219" xfId="693" applyNumberFormat="1" applyFont="1" applyFill="1" applyBorder="1" applyAlignment="1">
      <alignment horizontal="center" vertical="center"/>
    </xf>
    <xf numFmtId="165" fontId="11" fillId="0" borderId="219" xfId="693" applyNumberFormat="1" applyFont="1" applyFill="1" applyBorder="1" applyAlignment="1">
      <alignment horizontal="center" vertical="center"/>
    </xf>
    <xf numFmtId="165" fontId="1" fillId="17" borderId="220" xfId="693" applyNumberFormat="1" applyFont="1" applyFill="1" applyBorder="1" applyAlignment="1">
      <alignment vertical="center"/>
    </xf>
    <xf numFmtId="165" fontId="11" fillId="2" borderId="219" xfId="693" applyNumberFormat="1" applyFont="1" applyFill="1" applyBorder="1" applyAlignment="1">
      <alignment horizontal="center" vertical="center"/>
    </xf>
    <xf numFmtId="165" fontId="1" fillId="2" borderId="220" xfId="693" applyNumberFormat="1" applyFont="1" applyFill="1" applyBorder="1"/>
    <xf numFmtId="9" fontId="11" fillId="19" borderId="221" xfId="1182" applyFont="1" applyFill="1" applyBorder="1" applyAlignment="1">
      <alignment horizontal="center" vertical="center"/>
    </xf>
    <xf numFmtId="165" fontId="11" fillId="19" borderId="219" xfId="693" applyNumberFormat="1" applyFont="1" applyFill="1" applyBorder="1" applyAlignment="1">
      <alignment horizontal="center" vertical="center"/>
    </xf>
    <xf numFmtId="165" fontId="11" fillId="5" borderId="219" xfId="693" applyNumberFormat="1" applyFont="1" applyFill="1" applyBorder="1" applyAlignment="1">
      <alignment horizontal="center" vertical="center"/>
    </xf>
    <xf numFmtId="165" fontId="1" fillId="19" borderId="220" xfId="693" applyNumberFormat="1" applyFont="1" applyFill="1" applyBorder="1" applyAlignment="1">
      <alignment horizontal="center" vertical="center"/>
    </xf>
    <xf numFmtId="165" fontId="1" fillId="17" borderId="222" xfId="693" applyNumberFormat="1" applyFont="1" applyFill="1" applyBorder="1" applyAlignment="1">
      <alignment horizontal="center" vertical="center" wrapText="1"/>
    </xf>
    <xf numFmtId="165" fontId="1" fillId="0" borderId="223" xfId="693" applyNumberFormat="1" applyFont="1" applyFill="1" applyBorder="1" applyAlignment="1">
      <alignment horizontal="center" vertical="center"/>
    </xf>
    <xf numFmtId="165" fontId="1" fillId="17" borderId="223" xfId="693" applyNumberFormat="1" applyFont="1" applyFill="1" applyBorder="1" applyAlignment="1">
      <alignment horizontal="center" vertical="center"/>
    </xf>
    <xf numFmtId="165" fontId="1" fillId="17" borderId="223" xfId="693" applyNumberFormat="1" applyFont="1" applyFill="1" applyBorder="1" applyAlignment="1">
      <alignment horizontal="left" vertical="center"/>
    </xf>
    <xf numFmtId="165" fontId="1" fillId="17" borderId="224" xfId="693" applyNumberFormat="1" applyFont="1" applyFill="1" applyBorder="1" applyAlignment="1">
      <alignment vertical="center"/>
    </xf>
    <xf numFmtId="165" fontId="1" fillId="2" borderId="223" xfId="693" applyNumberFormat="1" applyFont="1" applyFill="1" applyBorder="1" applyAlignment="1">
      <alignment horizontal="center" vertical="center"/>
    </xf>
    <xf numFmtId="165" fontId="1" fillId="2" borderId="223" xfId="693" applyNumberFormat="1" applyFont="1" applyFill="1" applyBorder="1" applyAlignment="1">
      <alignment horizontal="left" vertical="center"/>
    </xf>
    <xf numFmtId="165" fontId="1" fillId="2" borderId="224" xfId="693" applyNumberFormat="1" applyFont="1" applyFill="1" applyBorder="1" applyAlignment="1">
      <alignment vertical="center"/>
    </xf>
    <xf numFmtId="9" fontId="1" fillId="19" borderId="225" xfId="1182" applyFont="1" applyFill="1" applyBorder="1" applyAlignment="1">
      <alignment horizontal="center" vertical="center"/>
    </xf>
    <xf numFmtId="165" fontId="1" fillId="19" borderId="223" xfId="693" applyNumberFormat="1" applyFont="1" applyFill="1" applyBorder="1" applyAlignment="1">
      <alignment horizontal="center" vertical="center"/>
    </xf>
    <xf numFmtId="165" fontId="1" fillId="19" borderId="223" xfId="693" applyNumberFormat="1" applyFont="1" applyFill="1" applyBorder="1" applyAlignment="1">
      <alignment horizontal="left" vertical="center"/>
    </xf>
    <xf numFmtId="165" fontId="1" fillId="19" borderId="224" xfId="693" applyNumberFormat="1" applyFont="1" applyFill="1" applyBorder="1" applyAlignment="1">
      <alignment vertical="center"/>
    </xf>
    <xf numFmtId="165" fontId="1" fillId="0" borderId="223" xfId="789" applyNumberFormat="1" applyFont="1" applyFill="1" applyBorder="1" applyAlignment="1">
      <alignment horizontal="center" vertical="center"/>
    </xf>
    <xf numFmtId="165" fontId="1" fillId="19" borderId="226" xfId="693" applyNumberFormat="1" applyFont="1" applyFill="1" applyBorder="1" applyAlignment="1">
      <alignment vertical="center"/>
    </xf>
    <xf numFmtId="165" fontId="1" fillId="0" borderId="227" xfId="789" applyNumberFormat="1" applyFont="1" applyFill="1" applyBorder="1" applyAlignment="1">
      <alignment horizontal="center" vertical="center"/>
    </xf>
    <xf numFmtId="165" fontId="1" fillId="17" borderId="227" xfId="693" applyNumberFormat="1" applyFont="1" applyFill="1" applyBorder="1" applyAlignment="1">
      <alignment horizontal="center" vertical="center"/>
    </xf>
    <xf numFmtId="165" fontId="1" fillId="0" borderId="227" xfId="693" applyNumberFormat="1" applyFont="1" applyFill="1" applyBorder="1" applyAlignment="1">
      <alignment horizontal="center" vertical="center"/>
    </xf>
    <xf numFmtId="165" fontId="1" fillId="17" borderId="227" xfId="693" applyNumberFormat="1" applyFont="1" applyFill="1" applyBorder="1" applyAlignment="1">
      <alignment horizontal="center" vertical="center" wrapText="1"/>
    </xf>
    <xf numFmtId="165" fontId="1" fillId="0" borderId="227" xfId="693" applyNumberFormat="1" applyFont="1" applyFill="1" applyBorder="1" applyAlignment="1">
      <alignment horizontal="center" vertical="center" wrapText="1"/>
    </xf>
    <xf numFmtId="165" fontId="1" fillId="19" borderId="228" xfId="693" applyNumberFormat="1" applyFont="1" applyFill="1" applyBorder="1" applyAlignment="1">
      <alignment horizontal="center" vertical="center"/>
    </xf>
    <xf numFmtId="165" fontId="1" fillId="17" borderId="229" xfId="693" applyNumberFormat="1" applyFont="1" applyFill="1" applyBorder="1" applyAlignment="1">
      <alignment horizontal="left" vertical="center"/>
    </xf>
    <xf numFmtId="165" fontId="1" fillId="17" borderId="226" xfId="693" applyNumberFormat="1" applyFont="1" applyFill="1" applyBorder="1" applyAlignment="1">
      <alignment vertical="center"/>
    </xf>
    <xf numFmtId="165" fontId="1" fillId="17" borderId="229" xfId="693" applyNumberFormat="1" applyFont="1" applyFill="1" applyBorder="1" applyAlignment="1">
      <alignment horizontal="center" vertical="center"/>
    </xf>
    <xf numFmtId="165" fontId="1" fillId="2" borderId="229" xfId="693" applyNumberFormat="1" applyFont="1" applyFill="1" applyBorder="1" applyAlignment="1">
      <alignment horizontal="center" vertical="center"/>
    </xf>
    <xf numFmtId="165" fontId="1" fillId="2" borderId="229" xfId="693" applyNumberFormat="1" applyFont="1" applyFill="1" applyBorder="1" applyAlignment="1">
      <alignment horizontal="left" vertical="center"/>
    </xf>
    <xf numFmtId="165" fontId="1" fillId="2" borderId="226" xfId="693" applyNumberFormat="1" applyFont="1" applyFill="1" applyBorder="1" applyAlignment="1">
      <alignment vertical="center"/>
    </xf>
    <xf numFmtId="9" fontId="1" fillId="19" borderId="230" xfId="1182" applyFont="1" applyFill="1" applyBorder="1" applyAlignment="1">
      <alignment horizontal="center" vertical="center"/>
    </xf>
    <xf numFmtId="165" fontId="1" fillId="17" borderId="231" xfId="693" applyNumberFormat="1" applyFont="1" applyFill="1" applyBorder="1" applyAlignment="1">
      <alignment horizontal="center" vertical="center"/>
    </xf>
    <xf numFmtId="165" fontId="1" fillId="0" borderId="231" xfId="693" applyNumberFormat="1" applyFont="1" applyFill="1" applyBorder="1" applyAlignment="1">
      <alignment horizontal="center" vertical="center"/>
    </xf>
    <xf numFmtId="165" fontId="1" fillId="19" borderId="231" xfId="693" applyNumberFormat="1" applyFont="1" applyFill="1" applyBorder="1" applyAlignment="1">
      <alignment horizontal="center" vertical="center"/>
    </xf>
    <xf numFmtId="165" fontId="1" fillId="19" borderId="231" xfId="693" applyNumberFormat="1" applyFont="1" applyFill="1" applyBorder="1" applyAlignment="1">
      <alignment horizontal="left" vertical="center"/>
    </xf>
    <xf numFmtId="0" fontId="14" fillId="0" borderId="0" xfId="861" applyFont="1" applyAlignment="1">
      <alignment vertical="center"/>
    </xf>
    <xf numFmtId="0" fontId="14" fillId="15" borderId="0" xfId="861" applyFont="1" applyFill="1" applyAlignment="1">
      <alignment vertical="center"/>
    </xf>
    <xf numFmtId="0" fontId="14" fillId="15" borderId="0" xfId="861" applyFont="1" applyFill="1" applyAlignment="1">
      <alignment horizontal="center" vertical="center"/>
    </xf>
    <xf numFmtId="0" fontId="14" fillId="17" borderId="221" xfId="861" applyFont="1" applyFill="1" applyBorder="1" applyAlignment="1">
      <alignment horizontal="center" vertical="center" wrapText="1"/>
    </xf>
    <xf numFmtId="0" fontId="14" fillId="0" borderId="219" xfId="861" applyFont="1" applyFill="1" applyBorder="1" applyAlignment="1">
      <alignment horizontal="center" vertical="center" wrapText="1"/>
    </xf>
    <xf numFmtId="0" fontId="14" fillId="17" borderId="219" xfId="861" applyFont="1" applyFill="1" applyBorder="1" applyAlignment="1">
      <alignment horizontal="center" vertical="center" wrapText="1"/>
    </xf>
    <xf numFmtId="0" fontId="14" fillId="17" borderId="220" xfId="861" applyFont="1" applyFill="1" applyBorder="1" applyAlignment="1">
      <alignment horizontal="center" vertical="center" wrapText="1"/>
    </xf>
    <xf numFmtId="0" fontId="14" fillId="15" borderId="0" xfId="0" applyFont="1" applyFill="1" applyBorder="1" applyAlignment="1">
      <alignment horizontal="center" vertical="center"/>
    </xf>
    <xf numFmtId="0" fontId="14" fillId="15" borderId="0" xfId="861" applyFont="1" applyFill="1" applyBorder="1" applyAlignment="1">
      <alignment horizontal="center" vertical="center"/>
    </xf>
    <xf numFmtId="0" fontId="14" fillId="2" borderId="221" xfId="861" applyFont="1" applyFill="1" applyBorder="1" applyAlignment="1">
      <alignment horizontal="center" vertical="center" wrapText="1"/>
    </xf>
    <xf numFmtId="0" fontId="14" fillId="2" borderId="219" xfId="861" applyFont="1" applyFill="1" applyBorder="1" applyAlignment="1">
      <alignment horizontal="center" vertical="center" wrapText="1"/>
    </xf>
    <xf numFmtId="0" fontId="14" fillId="2" borderId="220" xfId="861" applyFont="1" applyFill="1" applyBorder="1" applyAlignment="1">
      <alignment horizontal="center" vertical="center" wrapText="1"/>
    </xf>
    <xf numFmtId="0" fontId="14" fillId="19" borderId="221" xfId="861" applyFont="1" applyFill="1" applyBorder="1" applyAlignment="1">
      <alignment horizontal="center" vertical="center"/>
    </xf>
    <xf numFmtId="0" fontId="14" fillId="19" borderId="219" xfId="861" applyFont="1" applyFill="1" applyBorder="1" applyAlignment="1">
      <alignment horizontal="center" vertical="center"/>
    </xf>
    <xf numFmtId="0" fontId="14" fillId="17" borderId="219" xfId="861" applyFont="1" applyFill="1" applyBorder="1" applyAlignment="1">
      <alignment horizontal="center" vertical="center"/>
    </xf>
    <xf numFmtId="0" fontId="14" fillId="0" borderId="219" xfId="861" applyFont="1" applyFill="1" applyBorder="1" applyAlignment="1">
      <alignment horizontal="center" vertical="center"/>
    </xf>
    <xf numFmtId="0" fontId="14" fillId="19" borderId="220" xfId="861" applyFont="1" applyFill="1" applyBorder="1" applyAlignment="1">
      <alignment horizontal="center" vertical="center"/>
    </xf>
    <xf numFmtId="0" fontId="1" fillId="0" borderId="232" xfId="861" applyFont="1" applyFill="1" applyBorder="1" applyAlignment="1">
      <alignment horizontal="center" vertical="center" wrapText="1"/>
    </xf>
    <xf numFmtId="0" fontId="1" fillId="17" borderId="232" xfId="861" applyFont="1" applyFill="1" applyBorder="1" applyAlignment="1">
      <alignment horizontal="center" vertical="center" wrapText="1"/>
    </xf>
    <xf numFmtId="0" fontId="1" fillId="2" borderId="233" xfId="861" applyFont="1" applyFill="1" applyBorder="1" applyAlignment="1">
      <alignment horizontal="center" vertical="center" wrapText="1"/>
    </xf>
    <xf numFmtId="0" fontId="1" fillId="2" borderId="232" xfId="861" applyFont="1" applyFill="1" applyBorder="1" applyAlignment="1">
      <alignment horizontal="center" vertical="center" wrapText="1"/>
    </xf>
    <xf numFmtId="0" fontId="11" fillId="15" borderId="0" xfId="861" applyFont="1" applyFill="1" applyAlignment="1">
      <alignment horizontal="center" vertical="center"/>
    </xf>
    <xf numFmtId="0" fontId="1" fillId="0" borderId="228" xfId="861" applyFont="1" applyFill="1" applyBorder="1" applyAlignment="1">
      <alignment horizontal="center" vertical="center" wrapText="1"/>
    </xf>
    <xf numFmtId="0" fontId="1" fillId="17" borderId="228" xfId="861" applyFont="1" applyFill="1" applyBorder="1" applyAlignment="1">
      <alignment horizontal="center" vertical="center" wrapText="1"/>
    </xf>
    <xf numFmtId="17" fontId="1" fillId="17" borderId="0" xfId="861" applyNumberFormat="1" applyFont="1" applyFill="1" applyAlignment="1">
      <alignment horizontal="left"/>
    </xf>
    <xf numFmtId="0" fontId="1" fillId="17" borderId="0" xfId="861" applyFont="1" applyFill="1" applyAlignment="1">
      <alignment horizontal="right"/>
    </xf>
    <xf numFmtId="17" fontId="1" fillId="2" borderId="0" xfId="861" applyNumberFormat="1" applyFont="1" applyFill="1" applyAlignment="1">
      <alignment horizontal="left"/>
    </xf>
    <xf numFmtId="0" fontId="1" fillId="2" borderId="0" xfId="861" applyFont="1" applyFill="1" applyAlignment="1">
      <alignment horizontal="right"/>
    </xf>
    <xf numFmtId="49" fontId="1" fillId="19" borderId="0" xfId="861" applyNumberFormat="1" applyFill="1" applyAlignment="1">
      <alignment horizontal="left" vertical="center"/>
    </xf>
    <xf numFmtId="0" fontId="1" fillId="19" borderId="0" xfId="861" applyFont="1" applyFill="1" applyAlignment="1">
      <alignment horizontal="right" vertical="center"/>
    </xf>
    <xf numFmtId="41" fontId="11" fillId="19" borderId="0" xfId="861" applyNumberFormat="1" applyFont="1" applyFill="1" applyAlignment="1">
      <alignment vertical="center"/>
    </xf>
    <xf numFmtId="0" fontId="1" fillId="19" borderId="0" xfId="861" applyNumberFormat="1" applyFont="1" applyFill="1" applyAlignment="1">
      <alignment vertical="center"/>
    </xf>
    <xf numFmtId="0" fontId="1" fillId="17" borderId="0" xfId="861" applyFill="1" applyAlignment="1">
      <alignment vertical="center"/>
    </xf>
    <xf numFmtId="0" fontId="1" fillId="17" borderId="0" xfId="861" applyFont="1" applyFill="1" applyAlignment="1">
      <alignment vertical="center"/>
    </xf>
    <xf numFmtId="0" fontId="1" fillId="2" borderId="0" xfId="861" applyFill="1" applyAlignment="1">
      <alignment vertical="center"/>
    </xf>
    <xf numFmtId="0" fontId="1" fillId="2" borderId="0" xfId="861" applyFont="1" applyFill="1" applyAlignment="1">
      <alignment vertical="center"/>
    </xf>
    <xf numFmtId="0" fontId="1" fillId="19" borderId="0" xfId="861" applyFill="1" applyAlignment="1">
      <alignment vertical="center"/>
    </xf>
    <xf numFmtId="0" fontId="37" fillId="0" borderId="0" xfId="861" applyFont="1" applyAlignment="1">
      <alignment vertical="center"/>
    </xf>
    <xf numFmtId="0" fontId="37" fillId="17" borderId="0" xfId="861" applyFont="1" applyFill="1"/>
    <xf numFmtId="0" fontId="37" fillId="0" borderId="0" xfId="0" applyFont="1" applyFill="1"/>
    <xf numFmtId="0" fontId="37" fillId="2" borderId="0" xfId="861" applyFont="1" applyFill="1"/>
    <xf numFmtId="0" fontId="37" fillId="19" borderId="0" xfId="861" applyFont="1" applyFill="1" applyAlignment="1">
      <alignment vertical="center"/>
    </xf>
    <xf numFmtId="0" fontId="37" fillId="17" borderId="0" xfId="861" applyFont="1" applyFill="1" applyAlignment="1"/>
    <xf numFmtId="0" fontId="110" fillId="0" borderId="0" xfId="1177" applyNumberFormat="1" applyFont="1" applyFill="1" applyBorder="1" applyAlignment="1">
      <alignment horizontal="right" wrapText="1"/>
    </xf>
    <xf numFmtId="0" fontId="110" fillId="0" borderId="0" xfId="1177" applyNumberFormat="1" applyFont="1" applyFill="1" applyBorder="1" applyAlignment="1">
      <alignment wrapText="1"/>
    </xf>
    <xf numFmtId="0" fontId="110" fillId="0" borderId="0" xfId="1177" applyFont="1" applyFill="1" applyBorder="1" applyAlignment="1">
      <alignment wrapText="1"/>
    </xf>
    <xf numFmtId="15" fontId="110" fillId="0" borderId="0" xfId="1177" applyNumberFormat="1" applyFont="1" applyFill="1" applyBorder="1" applyAlignment="1">
      <alignment horizontal="right" wrapText="1"/>
    </xf>
    <xf numFmtId="0" fontId="110" fillId="0" borderId="234" xfId="1177" applyNumberFormat="1" applyFont="1" applyFill="1" applyBorder="1" applyAlignment="1">
      <alignment horizontal="right" wrapText="1"/>
    </xf>
    <xf numFmtId="0" fontId="110" fillId="0" borderId="234" xfId="1177" applyNumberFormat="1" applyFont="1" applyFill="1" applyBorder="1" applyAlignment="1">
      <alignment wrapText="1"/>
    </xf>
    <xf numFmtId="0" fontId="110" fillId="0" borderId="234" xfId="1177" applyFont="1" applyFill="1" applyBorder="1" applyAlignment="1">
      <alignment wrapText="1"/>
    </xf>
    <xf numFmtId="15" fontId="110" fillId="0" borderId="234" xfId="1177" applyNumberFormat="1" applyFont="1" applyFill="1" applyBorder="1" applyAlignment="1">
      <alignment horizontal="right" wrapText="1"/>
    </xf>
    <xf numFmtId="0" fontId="15" fillId="0" borderId="0" xfId="861" applyFont="1" applyAlignment="1">
      <alignment horizontal="center" vertical="center" wrapText="1"/>
    </xf>
    <xf numFmtId="0" fontId="15" fillId="0" borderId="2" xfId="861" applyFont="1" applyBorder="1" applyAlignment="1">
      <alignment horizontal="center" vertical="center" wrapText="1"/>
    </xf>
    <xf numFmtId="0" fontId="15" fillId="0" borderId="0" xfId="861" applyFont="1" applyAlignment="1" applyProtection="1">
      <alignment horizontal="center" vertical="center" wrapText="1"/>
      <protection hidden="1"/>
    </xf>
    <xf numFmtId="0" fontId="92" fillId="0" borderId="0" xfId="861" applyFont="1" applyFill="1" applyAlignment="1">
      <alignment horizontal="center" vertical="center" wrapText="1"/>
    </xf>
    <xf numFmtId="0" fontId="23" fillId="0" borderId="0" xfId="861" applyFont="1" applyProtection="1">
      <protection hidden="1"/>
    </xf>
    <xf numFmtId="0" fontId="4" fillId="0" borderId="0" xfId="861" applyFont="1" applyFill="1" applyAlignment="1">
      <alignment horizontal="left" vertical="center"/>
    </xf>
    <xf numFmtId="0" fontId="22" fillId="0" borderId="0" xfId="861" applyFont="1" applyAlignment="1" applyProtection="1">
      <alignment horizontal="left"/>
      <protection hidden="1"/>
    </xf>
    <xf numFmtId="0" fontId="22" fillId="0" borderId="0" xfId="861" applyFont="1" applyAlignment="1" applyProtection="1">
      <protection hidden="1"/>
    </xf>
    <xf numFmtId="41" fontId="4" fillId="0" borderId="0" xfId="861" applyNumberFormat="1" applyFont="1" applyFill="1" applyAlignment="1">
      <alignment horizontal="left" vertical="center"/>
    </xf>
    <xf numFmtId="0" fontId="10" fillId="0" borderId="0" xfId="861" applyFont="1" applyAlignment="1" applyProtection="1">
      <protection hidden="1"/>
    </xf>
    <xf numFmtId="0" fontId="10" fillId="0" borderId="0" xfId="861" applyFont="1" applyAlignment="1" applyProtection="1">
      <alignment horizontal="centerContinuous"/>
      <protection hidden="1"/>
    </xf>
    <xf numFmtId="41" fontId="173" fillId="0" borderId="0" xfId="249" applyFont="1" applyAlignment="1">
      <alignment vertical="center"/>
    </xf>
    <xf numFmtId="0" fontId="12" fillId="0" borderId="0" xfId="861" applyFont="1" applyAlignment="1" applyProtection="1">
      <protection hidden="1"/>
    </xf>
    <xf numFmtId="0" fontId="12" fillId="0" borderId="0" xfId="861" applyFont="1" applyAlignment="1" applyProtection="1">
      <alignment horizontal="centerContinuous"/>
      <protection hidden="1"/>
    </xf>
    <xf numFmtId="0" fontId="110" fillId="0" borderId="0" xfId="1177" applyFont="1" applyFill="1" applyBorder="1" applyAlignment="1">
      <alignment horizontal="right" wrapText="1"/>
    </xf>
    <xf numFmtId="0" fontId="110" fillId="0" borderId="235" xfId="1177" applyNumberFormat="1" applyFont="1" applyFill="1" applyBorder="1" applyAlignment="1">
      <alignment horizontal="right" wrapText="1"/>
    </xf>
    <xf numFmtId="0" fontId="110" fillId="0" borderId="235" xfId="1177" applyFont="1" applyFill="1" applyBorder="1" applyAlignment="1">
      <alignment wrapText="1"/>
    </xf>
    <xf numFmtId="15" fontId="110" fillId="0" borderId="235" xfId="1177" applyNumberFormat="1" applyFont="1" applyFill="1" applyBorder="1" applyAlignment="1">
      <alignment horizontal="right" wrapText="1"/>
    </xf>
    <xf numFmtId="0" fontId="110" fillId="26" borderId="201" xfId="1167" applyFont="1" applyFill="1" applyBorder="1" applyAlignment="1">
      <alignment horizontal="center"/>
    </xf>
    <xf numFmtId="0" fontId="110" fillId="26" borderId="202" xfId="1167" applyFont="1" applyFill="1" applyBorder="1" applyAlignment="1">
      <alignment horizontal="center"/>
    </xf>
    <xf numFmtId="0" fontId="15" fillId="0" borderId="0" xfId="861" applyFont="1" applyBorder="1" applyAlignment="1">
      <alignment horizontal="center" vertical="center" wrapText="1"/>
    </xf>
    <xf numFmtId="0" fontId="9" fillId="0" borderId="0" xfId="1176" applyFont="1" applyAlignment="1">
      <alignment vertical="center"/>
    </xf>
    <xf numFmtId="165" fontId="11" fillId="28" borderId="221" xfId="693" applyNumberFormat="1" applyFont="1" applyFill="1" applyBorder="1" applyAlignment="1">
      <alignment horizontal="center" vertical="center"/>
    </xf>
    <xf numFmtId="165" fontId="11" fillId="28" borderId="219" xfId="693" applyNumberFormat="1" applyFont="1" applyFill="1" applyBorder="1" applyAlignment="1">
      <alignment horizontal="center" vertical="center"/>
    </xf>
    <xf numFmtId="165" fontId="1" fillId="28" borderId="225" xfId="693" applyNumberFormat="1" applyFont="1" applyFill="1" applyBorder="1" applyAlignment="1">
      <alignment horizontal="center" vertical="center"/>
    </xf>
    <xf numFmtId="165" fontId="1" fillId="28" borderId="223" xfId="693" applyNumberFormat="1" applyFont="1" applyFill="1" applyBorder="1" applyAlignment="1">
      <alignment horizontal="center" vertical="center"/>
    </xf>
    <xf numFmtId="165" fontId="1" fillId="28" borderId="225" xfId="693" applyNumberFormat="1" applyFont="1" applyFill="1" applyBorder="1" applyAlignment="1">
      <alignment horizontal="center" vertical="center" wrapText="1"/>
    </xf>
    <xf numFmtId="165" fontId="1" fillId="28" borderId="223" xfId="693" applyNumberFormat="1" applyFont="1" applyFill="1" applyBorder="1" applyAlignment="1">
      <alignment horizontal="center" vertical="center" wrapText="1"/>
    </xf>
    <xf numFmtId="165" fontId="1" fillId="28" borderId="230" xfId="693" applyNumberFormat="1" applyFont="1" applyFill="1" applyBorder="1" applyAlignment="1">
      <alignment horizontal="center" vertical="center" wrapText="1"/>
    </xf>
    <xf numFmtId="165" fontId="1" fillId="28" borderId="229" xfId="693" applyNumberFormat="1" applyFont="1" applyFill="1" applyBorder="1" applyAlignment="1">
      <alignment horizontal="center" vertical="center" wrapText="1"/>
    </xf>
    <xf numFmtId="165" fontId="1" fillId="28" borderId="231" xfId="693" applyNumberFormat="1" applyFont="1" applyFill="1" applyBorder="1" applyAlignment="1">
      <alignment horizontal="center" vertical="center"/>
    </xf>
    <xf numFmtId="0" fontId="1" fillId="0" borderId="0" xfId="861" applyFont="1" applyFill="1" applyAlignment="1">
      <alignment vertical="center"/>
    </xf>
    <xf numFmtId="0" fontId="1" fillId="0" borderId="0" xfId="861" applyFont="1" applyFill="1"/>
    <xf numFmtId="0" fontId="1" fillId="0" borderId="0" xfId="861" applyFont="1" applyFill="1" applyAlignment="1">
      <alignment horizontal="center" vertical="center"/>
    </xf>
    <xf numFmtId="0" fontId="1" fillId="0" borderId="0" xfId="861" applyFill="1" applyAlignment="1">
      <alignment horizontal="center" vertical="center"/>
    </xf>
    <xf numFmtId="0" fontId="69" fillId="0" borderId="0" xfId="861" applyFont="1" applyFill="1" applyAlignment="1">
      <alignment horizontal="center" vertical="center"/>
    </xf>
    <xf numFmtId="0" fontId="69" fillId="0" borderId="0" xfId="861" applyFont="1" applyFill="1" applyAlignment="1">
      <alignment vertical="center"/>
    </xf>
    <xf numFmtId="0" fontId="1" fillId="0" borderId="0" xfId="861" applyFont="1" applyFill="1" applyAlignment="1">
      <alignment horizontal="center"/>
    </xf>
    <xf numFmtId="165" fontId="1" fillId="0" borderId="0" xfId="861" applyNumberFormat="1" applyFont="1" applyFill="1" applyAlignment="1">
      <alignment vertical="center"/>
    </xf>
    <xf numFmtId="0" fontId="99" fillId="0" borderId="0" xfId="861" applyFont="1" applyFill="1" applyAlignment="1">
      <alignment vertical="center"/>
    </xf>
    <xf numFmtId="165" fontId="1" fillId="0" borderId="220" xfId="693" applyNumberFormat="1" applyFont="1" applyFill="1" applyBorder="1" applyAlignment="1">
      <alignment vertical="center"/>
    </xf>
    <xf numFmtId="165" fontId="1" fillId="0" borderId="220" xfId="693" applyNumberFormat="1" applyFont="1" applyFill="1" applyBorder="1"/>
    <xf numFmtId="165" fontId="1" fillId="0" borderId="220" xfId="693" applyNumberFormat="1" applyFont="1" applyFill="1" applyBorder="1" applyAlignment="1">
      <alignment horizontal="center" vertical="center"/>
    </xf>
    <xf numFmtId="165" fontId="1" fillId="0" borderId="223" xfId="693" applyNumberFormat="1" applyFont="1" applyFill="1" applyBorder="1" applyAlignment="1">
      <alignment horizontal="left" vertical="center"/>
    </xf>
    <xf numFmtId="165" fontId="1" fillId="0" borderId="224" xfId="693" applyNumberFormat="1" applyFont="1" applyFill="1" applyBorder="1" applyAlignment="1">
      <alignment vertical="center"/>
    </xf>
    <xf numFmtId="9" fontId="1" fillId="0" borderId="225" xfId="1194" applyFont="1" applyFill="1" applyBorder="1" applyAlignment="1">
      <alignment horizontal="center" vertical="center"/>
    </xf>
    <xf numFmtId="165" fontId="1" fillId="0" borderId="226" xfId="693" applyNumberFormat="1" applyFont="1" applyFill="1" applyBorder="1" applyAlignment="1">
      <alignment vertical="center"/>
    </xf>
    <xf numFmtId="165" fontId="1" fillId="0" borderId="229" xfId="693" applyNumberFormat="1" applyFont="1" applyFill="1" applyBorder="1" applyAlignment="1">
      <alignment horizontal="left" vertical="center"/>
    </xf>
    <xf numFmtId="9" fontId="1" fillId="0" borderId="230" xfId="1194" applyFont="1" applyFill="1" applyBorder="1" applyAlignment="1">
      <alignment horizontal="center" vertical="center"/>
    </xf>
    <xf numFmtId="165" fontId="1" fillId="0" borderId="231" xfId="693" applyNumberFormat="1" applyFont="1" applyFill="1" applyBorder="1" applyAlignment="1">
      <alignment horizontal="left" vertical="center"/>
    </xf>
    <xf numFmtId="0" fontId="14" fillId="0" borderId="0" xfId="861" applyFont="1" applyFill="1" applyAlignment="1">
      <alignment vertical="center"/>
    </xf>
    <xf numFmtId="0" fontId="14" fillId="0" borderId="221" xfId="861" applyFont="1" applyFill="1" applyBorder="1" applyAlignment="1">
      <alignment horizontal="center" vertical="center" wrapText="1"/>
    </xf>
    <xf numFmtId="0" fontId="14" fillId="0" borderId="220" xfId="861" applyFont="1" applyFill="1" applyBorder="1" applyAlignment="1">
      <alignment horizontal="center" vertical="center" wrapText="1"/>
    </xf>
    <xf numFmtId="0" fontId="14" fillId="0" borderId="221" xfId="861" applyFont="1" applyFill="1" applyBorder="1" applyAlignment="1">
      <alignment horizontal="center" vertical="center"/>
    </xf>
    <xf numFmtId="0" fontId="14" fillId="0" borderId="220" xfId="861" applyFont="1" applyFill="1" applyBorder="1" applyAlignment="1">
      <alignment horizontal="center" vertical="center"/>
    </xf>
    <xf numFmtId="0" fontId="1" fillId="0" borderId="233" xfId="861" applyFont="1" applyFill="1" applyBorder="1" applyAlignment="1">
      <alignment horizontal="center" vertical="center" wrapText="1"/>
    </xf>
    <xf numFmtId="17" fontId="1" fillId="0" borderId="0" xfId="861" applyNumberFormat="1" applyFont="1" applyFill="1" applyAlignment="1">
      <alignment horizontal="left"/>
    </xf>
    <xf numFmtId="0" fontId="1" fillId="0" borderId="0" xfId="861" applyFont="1" applyFill="1" applyAlignment="1">
      <alignment horizontal="right"/>
    </xf>
    <xf numFmtId="49" fontId="1" fillId="0" borderId="0" xfId="861" applyNumberFormat="1" applyFill="1" applyAlignment="1">
      <alignment horizontal="left" vertical="center"/>
    </xf>
    <xf numFmtId="0" fontId="1" fillId="0" borderId="0" xfId="861" applyFont="1" applyFill="1" applyAlignment="1">
      <alignment horizontal="right" vertical="center"/>
    </xf>
    <xf numFmtId="41" fontId="11" fillId="0" borderId="0" xfId="861" applyNumberFormat="1" applyFont="1" applyFill="1" applyAlignment="1">
      <alignment vertical="center"/>
    </xf>
    <xf numFmtId="0" fontId="1" fillId="0" borderId="0" xfId="861" applyNumberFormat="1" applyFont="1" applyFill="1" applyAlignment="1">
      <alignment vertical="center"/>
    </xf>
    <xf numFmtId="0" fontId="1" fillId="0" borderId="0" xfId="861" applyFill="1" applyAlignment="1">
      <alignment vertical="center"/>
    </xf>
    <xf numFmtId="0" fontId="37" fillId="0" borderId="0" xfId="861" applyFont="1" applyFill="1" applyAlignment="1">
      <alignment vertical="center"/>
    </xf>
    <xf numFmtId="0" fontId="37" fillId="0" borderId="0" xfId="861" applyFont="1" applyFill="1"/>
    <xf numFmtId="0" fontId="37" fillId="0" borderId="0" xfId="861" applyFont="1" applyFill="1" applyAlignment="1"/>
    <xf numFmtId="0" fontId="0" fillId="8" borderId="236" xfId="0" applyFill="1" applyBorder="1" applyAlignment="1"/>
    <xf numFmtId="0" fontId="170" fillId="8" borderId="0" xfId="848" applyFont="1" applyFill="1" applyBorder="1" applyAlignment="1" applyProtection="1"/>
    <xf numFmtId="0" fontId="0" fillId="8" borderId="0" xfId="0" applyFill="1" applyBorder="1" applyAlignment="1"/>
    <xf numFmtId="0" fontId="0" fillId="8" borderId="237" xfId="0" applyFill="1" applyBorder="1" applyAlignment="1">
      <alignment horizontal="center"/>
    </xf>
    <xf numFmtId="0" fontId="0" fillId="25" borderId="236" xfId="0" applyFill="1" applyBorder="1" applyAlignment="1">
      <alignment vertical="center"/>
    </xf>
    <xf numFmtId="0" fontId="170" fillId="25" borderId="0" xfId="848" applyFont="1" applyFill="1" applyBorder="1" applyAlignment="1" applyProtection="1">
      <alignment vertical="center"/>
    </xf>
    <xf numFmtId="0" fontId="0" fillId="25" borderId="0" xfId="0" applyFill="1" applyBorder="1" applyAlignment="1">
      <alignment vertical="center"/>
    </xf>
    <xf numFmtId="0" fontId="0" fillId="25" borderId="237" xfId="0" applyFill="1" applyBorder="1" applyAlignment="1">
      <alignment horizontal="center" vertical="center"/>
    </xf>
    <xf numFmtId="0" fontId="170" fillId="8" borderId="0" xfId="848" applyFont="1" applyFill="1" applyBorder="1" applyAlignment="1" applyProtection="1">
      <alignment vertical="center"/>
    </xf>
    <xf numFmtId="0" fontId="0" fillId="8" borderId="0" xfId="0" applyFill="1" applyBorder="1" applyAlignment="1">
      <alignment vertical="center"/>
    </xf>
    <xf numFmtId="0" fontId="0" fillId="8" borderId="237" xfId="0" applyFill="1" applyBorder="1" applyAlignment="1">
      <alignment horizontal="center" vertical="center"/>
    </xf>
    <xf numFmtId="0" fontId="0" fillId="25" borderId="238" xfId="0" applyFill="1" applyBorder="1" applyAlignment="1">
      <alignment vertical="center"/>
    </xf>
    <xf numFmtId="0" fontId="170" fillId="25" borderId="239" xfId="848" applyFont="1" applyFill="1" applyBorder="1" applyAlignment="1" applyProtection="1">
      <alignment vertical="center"/>
    </xf>
    <xf numFmtId="0" fontId="0" fillId="25" borderId="239" xfId="0" applyFill="1" applyBorder="1" applyAlignment="1">
      <alignment vertical="center"/>
    </xf>
    <xf numFmtId="0" fontId="0" fillId="25" borderId="240" xfId="0" applyFill="1" applyBorder="1" applyAlignment="1">
      <alignment horizontal="center" vertical="center"/>
    </xf>
    <xf numFmtId="0" fontId="0" fillId="8" borderId="241" xfId="0" applyFill="1" applyBorder="1" applyAlignment="1">
      <alignment vertical="center"/>
    </xf>
    <xf numFmtId="0" fontId="0" fillId="8" borderId="242" xfId="0" applyFill="1" applyBorder="1" applyAlignment="1">
      <alignment horizontal="center" vertical="center"/>
    </xf>
    <xf numFmtId="0" fontId="0" fillId="25" borderId="241" xfId="0" applyFill="1" applyBorder="1" applyAlignment="1">
      <alignment vertical="center"/>
    </xf>
    <xf numFmtId="0" fontId="0" fillId="25" borderId="242" xfId="0" applyFill="1" applyBorder="1" applyAlignment="1">
      <alignment horizontal="center" vertical="center"/>
    </xf>
    <xf numFmtId="0" fontId="0" fillId="25" borderId="243" xfId="0" applyFill="1" applyBorder="1" applyAlignment="1">
      <alignment vertical="center"/>
    </xf>
    <xf numFmtId="0" fontId="0" fillId="25" borderId="244" xfId="0" applyFill="1" applyBorder="1" applyAlignment="1">
      <alignment horizontal="center" vertical="center"/>
    </xf>
    <xf numFmtId="0" fontId="11" fillId="0" borderId="144" xfId="0" applyFont="1" applyBorder="1" applyAlignment="1" applyProtection="1">
      <alignment horizontal="center" vertical="center" textRotation="90" wrapText="1"/>
    </xf>
    <xf numFmtId="0" fontId="11" fillId="0" borderId="28" xfId="0" applyFont="1" applyBorder="1" applyAlignment="1" applyProtection="1">
      <alignment horizontal="center" vertical="center" textRotation="90" wrapText="1"/>
    </xf>
    <xf numFmtId="0" fontId="11" fillId="0" borderId="62" xfId="0" applyFont="1" applyBorder="1" applyAlignment="1" applyProtection="1">
      <alignment horizontal="center" vertical="center" textRotation="90" wrapText="1"/>
    </xf>
    <xf numFmtId="41" fontId="37" fillId="0" borderId="51" xfId="0" applyNumberFormat="1" applyFont="1" applyFill="1" applyBorder="1" applyAlignment="1">
      <alignment horizontal="center" vertical="center"/>
    </xf>
    <xf numFmtId="0" fontId="168" fillId="0" borderId="0" xfId="0" applyFont="1" applyFill="1" applyAlignment="1">
      <alignment horizontal="center" vertical="center"/>
    </xf>
    <xf numFmtId="0" fontId="170" fillId="0" borderId="0" xfId="848" applyFont="1" applyFill="1" applyAlignment="1" applyProtection="1">
      <alignment vertical="center"/>
    </xf>
    <xf numFmtId="0" fontId="0" fillId="0" borderId="0" xfId="0" applyFill="1" applyAlignment="1">
      <alignment horizontal="center" vertical="center"/>
    </xf>
    <xf numFmtId="0" fontId="174" fillId="0" borderId="0" xfId="0" applyFont="1" applyFill="1" applyAlignment="1">
      <alignment vertical="center"/>
    </xf>
    <xf numFmtId="0" fontId="0" fillId="0" borderId="0" xfId="0" applyFill="1" applyAlignment="1">
      <alignment horizontal="right" vertical="center"/>
    </xf>
    <xf numFmtId="0" fontId="174" fillId="21" borderId="2" xfId="0" applyFont="1" applyFill="1" applyBorder="1" applyAlignment="1">
      <alignment horizontal="center" vertical="center"/>
    </xf>
    <xf numFmtId="0" fontId="0" fillId="4" borderId="2" xfId="0" applyFill="1" applyBorder="1" applyAlignment="1">
      <alignment vertical="center"/>
    </xf>
    <xf numFmtId="0" fontId="1" fillId="4" borderId="2" xfId="848" applyFont="1" applyFill="1" applyBorder="1" applyAlignment="1" applyProtection="1">
      <alignment vertical="center"/>
    </xf>
    <xf numFmtId="0" fontId="175" fillId="4" borderId="2" xfId="848" applyFont="1" applyFill="1" applyBorder="1" applyAlignment="1" applyProtection="1">
      <alignment horizontal="center" vertical="center"/>
    </xf>
    <xf numFmtId="0" fontId="0" fillId="4" borderId="2" xfId="0" applyFill="1" applyBorder="1" applyAlignment="1">
      <alignment horizontal="center" vertical="center"/>
    </xf>
    <xf numFmtId="0" fontId="0" fillId="29" borderId="2" xfId="0" applyFill="1" applyBorder="1" applyAlignment="1">
      <alignment vertical="center"/>
    </xf>
    <xf numFmtId="0" fontId="1" fillId="29" borderId="2" xfId="848" applyFont="1" applyFill="1" applyBorder="1" applyAlignment="1" applyProtection="1">
      <alignment vertical="center"/>
    </xf>
    <xf numFmtId="0" fontId="175" fillId="29" borderId="2" xfId="848" applyFont="1" applyFill="1" applyBorder="1" applyAlignment="1" applyProtection="1">
      <alignment horizontal="center" vertical="center"/>
    </xf>
    <xf numFmtId="0" fontId="0" fillId="29" borderId="2" xfId="0" applyFill="1" applyBorder="1" applyAlignment="1">
      <alignment horizontal="center" vertical="center"/>
    </xf>
    <xf numFmtId="0" fontId="0" fillId="15" borderId="2" xfId="0" applyFill="1" applyBorder="1" applyAlignment="1">
      <alignment vertical="center"/>
    </xf>
    <xf numFmtId="0" fontId="175" fillId="15" borderId="2" xfId="848" applyFont="1" applyFill="1" applyBorder="1" applyAlignment="1" applyProtection="1">
      <alignment vertical="center"/>
    </xf>
    <xf numFmtId="0" fontId="0" fillId="15" borderId="2" xfId="0" applyFill="1" applyBorder="1" applyAlignment="1">
      <alignment horizontal="center" vertical="center"/>
    </xf>
    <xf numFmtId="0" fontId="0" fillId="11" borderId="2" xfId="0" applyFill="1" applyBorder="1" applyAlignment="1">
      <alignment vertical="center"/>
    </xf>
    <xf numFmtId="0" fontId="175" fillId="11" borderId="2" xfId="848" applyFont="1" applyFill="1" applyBorder="1" applyAlignment="1" applyProtection="1">
      <alignment vertical="center"/>
    </xf>
    <xf numFmtId="0" fontId="0" fillId="8" borderId="2" xfId="0" applyFill="1" applyBorder="1" applyAlignment="1">
      <alignment vertical="center"/>
    </xf>
    <xf numFmtId="0" fontId="175" fillId="8" borderId="2" xfId="848" applyFont="1" applyFill="1" applyBorder="1" applyAlignment="1" applyProtection="1">
      <alignment vertical="center"/>
    </xf>
    <xf numFmtId="0" fontId="1" fillId="8" borderId="2" xfId="0" applyFont="1" applyFill="1" applyBorder="1" applyAlignment="1">
      <alignment vertical="center"/>
    </xf>
    <xf numFmtId="0" fontId="1" fillId="8" borderId="2" xfId="0" applyFont="1" applyFill="1" applyBorder="1" applyAlignment="1">
      <alignment horizontal="center" vertical="center"/>
    </xf>
    <xf numFmtId="0" fontId="0" fillId="25" borderId="2" xfId="0" applyFill="1" applyBorder="1" applyAlignment="1">
      <alignment vertical="center"/>
    </xf>
    <xf numFmtId="0" fontId="175" fillId="25" borderId="2" xfId="848" applyFont="1" applyFill="1" applyBorder="1" applyAlignment="1" applyProtection="1">
      <alignment vertical="center"/>
    </xf>
    <xf numFmtId="0" fontId="1" fillId="25" borderId="2"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25" borderId="2" xfId="0" applyFont="1" applyFill="1" applyBorder="1" applyAlignment="1">
      <alignment vertical="center"/>
    </xf>
    <xf numFmtId="0" fontId="1" fillId="25" borderId="2" xfId="0" applyFont="1" applyFill="1" applyBorder="1" applyAlignment="1">
      <alignment horizontal="center" vertical="center"/>
    </xf>
    <xf numFmtId="0" fontId="169" fillId="21" borderId="2" xfId="0" applyFont="1" applyFill="1" applyBorder="1" applyAlignment="1">
      <alignment horizontal="center" vertical="center"/>
    </xf>
    <xf numFmtId="0" fontId="1" fillId="25" borderId="2" xfId="0" applyFont="1" applyFill="1" applyBorder="1" applyAlignment="1">
      <alignment vertical="center" wrapText="1"/>
    </xf>
    <xf numFmtId="0" fontId="1" fillId="11" borderId="17" xfId="0" applyFont="1" applyFill="1" applyBorder="1" applyAlignment="1">
      <alignment vertical="center" wrapText="1"/>
    </xf>
    <xf numFmtId="0" fontId="0" fillId="11" borderId="2" xfId="0" applyFill="1" applyBorder="1" applyAlignment="1">
      <alignment horizontal="center" vertical="center" wrapText="1"/>
    </xf>
    <xf numFmtId="0" fontId="1" fillId="8" borderId="2" xfId="0" applyFont="1" applyFill="1" applyBorder="1" applyAlignment="1">
      <alignment vertical="center" wrapText="1"/>
    </xf>
    <xf numFmtId="0" fontId="0" fillId="0" borderId="0" xfId="0" applyFill="1" applyAlignment="1">
      <alignment horizontal="center" vertical="center" wrapText="1"/>
    </xf>
    <xf numFmtId="0" fontId="176" fillId="21" borderId="2" xfId="0" applyFont="1" applyFill="1" applyBorder="1" applyAlignment="1">
      <alignment horizontal="center" vertical="center"/>
    </xf>
    <xf numFmtId="0" fontId="177" fillId="21" borderId="0" xfId="0" applyFont="1" applyFill="1" applyAlignment="1">
      <alignment horizontal="center" vertical="center"/>
    </xf>
    <xf numFmtId="165" fontId="160" fillId="0" borderId="51" xfId="1" applyNumberFormat="1" applyFont="1" applyFill="1" applyBorder="1" applyAlignment="1">
      <alignment vertical="center"/>
    </xf>
    <xf numFmtId="165" fontId="160" fillId="0" borderId="2" xfId="1" applyNumberFormat="1" applyFont="1" applyFill="1" applyBorder="1" applyAlignment="1">
      <alignment vertical="center"/>
    </xf>
    <xf numFmtId="165" fontId="160" fillId="0" borderId="17" xfId="1" applyNumberFormat="1" applyFont="1" applyFill="1" applyBorder="1" applyAlignment="1">
      <alignment vertical="center"/>
    </xf>
    <xf numFmtId="165" fontId="160" fillId="0" borderId="53" xfId="1" applyNumberFormat="1" applyFont="1" applyFill="1" applyBorder="1" applyAlignment="1">
      <alignment vertical="center"/>
    </xf>
    <xf numFmtId="41" fontId="153" fillId="0" borderId="132" xfId="249" applyFont="1" applyBorder="1" applyAlignment="1">
      <alignment vertical="center"/>
    </xf>
    <xf numFmtId="41" fontId="154" fillId="0" borderId="126" xfId="249" applyFont="1" applyBorder="1" applyAlignment="1">
      <alignment vertical="center"/>
    </xf>
    <xf numFmtId="41" fontId="154" fillId="0" borderId="132" xfId="249" applyFont="1" applyBorder="1" applyAlignment="1">
      <alignment vertical="center"/>
    </xf>
    <xf numFmtId="41" fontId="154" fillId="17" borderId="126" xfId="249" applyFont="1" applyFill="1" applyBorder="1" applyAlignment="1">
      <alignment vertical="center"/>
    </xf>
    <xf numFmtId="41" fontId="153" fillId="0" borderId="132" xfId="249" applyFont="1" applyBorder="1" applyAlignment="1">
      <alignment horizontal="center" vertical="center"/>
    </xf>
    <xf numFmtId="41" fontId="154" fillId="18" borderId="126" xfId="249" applyFont="1" applyFill="1" applyBorder="1" applyAlignment="1">
      <alignment vertical="center"/>
    </xf>
    <xf numFmtId="41" fontId="153" fillId="0" borderId="162" xfId="249" applyFont="1" applyBorder="1" applyAlignment="1">
      <alignment vertical="center"/>
    </xf>
    <xf numFmtId="41" fontId="153" fillId="0" borderId="245" xfId="249" applyFont="1" applyBorder="1" applyAlignment="1">
      <alignment vertical="center"/>
    </xf>
    <xf numFmtId="41" fontId="153" fillId="0" borderId="160" xfId="249" applyFont="1" applyBorder="1" applyAlignment="1">
      <alignment vertical="center"/>
    </xf>
    <xf numFmtId="41" fontId="154" fillId="0" borderId="149" xfId="249" applyFont="1" applyBorder="1" applyAlignment="1">
      <alignment vertical="center"/>
    </xf>
    <xf numFmtId="41" fontId="153" fillId="0" borderId="138" xfId="249" applyFont="1" applyBorder="1" applyAlignment="1">
      <alignment vertical="center"/>
    </xf>
    <xf numFmtId="41" fontId="153" fillId="0" borderId="128" xfId="249" applyFont="1" applyBorder="1" applyAlignment="1">
      <alignment vertical="center"/>
    </xf>
    <xf numFmtId="41" fontId="154" fillId="0" borderId="138" xfId="249" applyFont="1" applyBorder="1" applyAlignment="1">
      <alignment vertical="center"/>
    </xf>
    <xf numFmtId="41" fontId="154" fillId="0" borderId="128" xfId="249" applyFont="1" applyBorder="1" applyAlignment="1">
      <alignment vertical="center"/>
    </xf>
    <xf numFmtId="41" fontId="154" fillId="0" borderId="126" xfId="249" applyFont="1" applyFill="1" applyBorder="1" applyAlignment="1">
      <alignment vertical="center"/>
    </xf>
    <xf numFmtId="41" fontId="153" fillId="0" borderId="132" xfId="249" applyFont="1" applyFill="1" applyBorder="1" applyAlignment="1">
      <alignment horizontal="center" vertical="center"/>
    </xf>
    <xf numFmtId="41" fontId="153" fillId="0" borderId="138" xfId="249" applyFont="1" applyFill="1" applyBorder="1" applyAlignment="1">
      <alignment vertical="center"/>
    </xf>
    <xf numFmtId="41" fontId="153" fillId="0" borderId="138" xfId="249" applyFont="1" applyBorder="1" applyAlignment="1">
      <alignment horizontal="center" vertical="center"/>
    </xf>
    <xf numFmtId="41" fontId="153" fillId="0" borderId="126" xfId="249" applyFont="1" applyFill="1" applyBorder="1" applyAlignment="1">
      <alignment vertical="center"/>
    </xf>
    <xf numFmtId="41" fontId="153" fillId="17" borderId="126" xfId="249" applyFont="1" applyFill="1" applyBorder="1" applyAlignment="1">
      <alignment vertical="center"/>
    </xf>
    <xf numFmtId="41" fontId="153" fillId="0" borderId="132" xfId="249" applyFont="1" applyBorder="1" applyAlignment="1">
      <alignment horizontal="right" vertical="center"/>
    </xf>
    <xf numFmtId="41" fontId="154" fillId="0" borderId="132" xfId="249" applyFont="1" applyBorder="1" applyAlignment="1">
      <alignment horizontal="right" vertical="center"/>
    </xf>
    <xf numFmtId="41" fontId="164" fillId="0" borderId="132" xfId="249" applyFont="1" applyBorder="1" applyAlignment="1">
      <alignment vertical="center"/>
    </xf>
    <xf numFmtId="41" fontId="153" fillId="18" borderId="126" xfId="249" applyFont="1" applyFill="1" applyBorder="1" applyAlignment="1">
      <alignment vertical="center"/>
    </xf>
    <xf numFmtId="41" fontId="154" fillId="18" borderId="132" xfId="249" applyFont="1" applyFill="1" applyBorder="1" applyAlignment="1">
      <alignment vertical="center"/>
    </xf>
    <xf numFmtId="41" fontId="154" fillId="0" borderId="139" xfId="249" applyFont="1" applyBorder="1" applyAlignment="1">
      <alignment vertical="center"/>
    </xf>
    <xf numFmtId="41" fontId="154" fillId="0" borderId="246" xfId="249" applyFont="1" applyBorder="1" applyAlignment="1">
      <alignment vertical="center"/>
    </xf>
    <xf numFmtId="41" fontId="154" fillId="0" borderId="140" xfId="249" applyFont="1" applyBorder="1" applyAlignment="1">
      <alignment vertical="center"/>
    </xf>
    <xf numFmtId="41" fontId="154" fillId="0" borderId="150" xfId="249" applyFont="1" applyBorder="1" applyAlignment="1">
      <alignment vertical="center"/>
    </xf>
    <xf numFmtId="41" fontId="154" fillId="0" borderId="142" xfId="249" applyFont="1" applyBorder="1" applyAlignment="1">
      <alignment vertical="center"/>
    </xf>
    <xf numFmtId="41" fontId="154" fillId="0" borderId="161" xfId="249" applyFont="1" applyBorder="1" applyAlignment="1">
      <alignment vertical="center"/>
    </xf>
    <xf numFmtId="41" fontId="154" fillId="0" borderId="151" xfId="249" applyFont="1" applyBorder="1" applyAlignment="1">
      <alignment vertical="center"/>
    </xf>
    <xf numFmtId="0" fontId="15" fillId="0" borderId="17" xfId="0" applyFont="1" applyBorder="1" applyAlignment="1">
      <alignment horizontal="center" vertical="center" wrapText="1"/>
    </xf>
    <xf numFmtId="0" fontId="15" fillId="0" borderId="51" xfId="0" applyFont="1" applyBorder="1" applyAlignment="1">
      <alignment horizontal="center" vertical="center" wrapText="1"/>
    </xf>
    <xf numFmtId="41" fontId="154" fillId="0" borderId="132" xfId="249" applyFont="1" applyFill="1" applyBorder="1" applyAlignment="1">
      <alignment vertical="center"/>
    </xf>
    <xf numFmtId="0" fontId="11" fillId="0" borderId="247" xfId="0" applyFont="1" applyBorder="1" applyAlignment="1" applyProtection="1">
      <alignment horizontal="center" vertical="center"/>
    </xf>
    <xf numFmtId="49" fontId="11" fillId="0" borderId="83" xfId="0" applyNumberFormat="1" applyFont="1" applyBorder="1" applyAlignment="1" applyProtection="1">
      <alignment horizontal="center" vertical="center"/>
    </xf>
    <xf numFmtId="49" fontId="11" fillId="0" borderId="20" xfId="0" applyNumberFormat="1" applyFont="1" applyBorder="1" applyAlignment="1" applyProtection="1">
      <alignment horizontal="center" vertical="center"/>
    </xf>
    <xf numFmtId="49" fontId="11" fillId="0" borderId="33" xfId="0" applyNumberFormat="1" applyFont="1" applyBorder="1" applyAlignment="1" applyProtection="1">
      <alignment horizontal="center" vertical="center"/>
    </xf>
    <xf numFmtId="49" fontId="11" fillId="0" borderId="248" xfId="0" applyNumberFormat="1" applyFont="1" applyBorder="1" applyAlignment="1" applyProtection="1">
      <alignment horizontal="center" vertical="center"/>
    </xf>
    <xf numFmtId="0" fontId="140" fillId="0" borderId="0" xfId="1170" applyFont="1" applyFill="1" applyBorder="1" applyAlignment="1">
      <alignment wrapText="1"/>
    </xf>
    <xf numFmtId="0" fontId="139" fillId="0" borderId="0" xfId="0" applyFont="1" applyFill="1" applyBorder="1" applyAlignment="1" applyProtection="1">
      <alignment horizontal="center"/>
      <protection hidden="1"/>
    </xf>
    <xf numFmtId="0" fontId="13" fillId="0" borderId="0" xfId="0" applyFont="1" applyFill="1" applyBorder="1" applyAlignment="1" applyProtection="1">
      <alignment vertical="center"/>
    </xf>
    <xf numFmtId="0" fontId="140" fillId="0" borderId="0" xfId="1170" applyFont="1" applyFill="1" applyBorder="1" applyAlignment="1">
      <alignment horizontal="center"/>
    </xf>
    <xf numFmtId="49" fontId="82" fillId="0" borderId="0" xfId="0" applyNumberFormat="1" applyFont="1" applyFill="1" applyBorder="1" applyAlignment="1" applyProtection="1">
      <alignment horizontal="center" vertical="center"/>
      <protection hidden="1"/>
    </xf>
    <xf numFmtId="0" fontId="82" fillId="0" borderId="0" xfId="0" applyFont="1" applyFill="1" applyBorder="1" applyAlignment="1" applyProtection="1">
      <alignment horizontal="center"/>
      <protection locked="0"/>
    </xf>
    <xf numFmtId="0" fontId="139" fillId="0" borderId="0" xfId="0" applyFont="1" applyFill="1" applyBorder="1" applyAlignment="1" applyProtection="1">
      <protection hidden="1"/>
    </xf>
    <xf numFmtId="0" fontId="82" fillId="0" borderId="0" xfId="0" applyFont="1" applyFill="1" applyBorder="1" applyAlignment="1" applyProtection="1">
      <alignment vertical="center"/>
      <protection hidden="1"/>
    </xf>
    <xf numFmtId="0" fontId="82" fillId="0" borderId="0" xfId="0" applyFont="1" applyFill="1" applyBorder="1" applyAlignment="1" applyProtection="1">
      <protection hidden="1"/>
    </xf>
    <xf numFmtId="0" fontId="82" fillId="0" borderId="0" xfId="0" applyNumberFormat="1" applyFont="1" applyFill="1" applyBorder="1" applyAlignment="1" applyProtection="1">
      <protection hidden="1"/>
    </xf>
    <xf numFmtId="0" fontId="0" fillId="0" borderId="0" xfId="0" applyProtection="1"/>
    <xf numFmtId="0" fontId="1" fillId="0" borderId="0" xfId="0" applyFont="1" applyProtection="1"/>
    <xf numFmtId="0" fontId="11" fillId="0" borderId="0" xfId="0" applyFont="1" applyProtection="1"/>
    <xf numFmtId="0" fontId="1" fillId="8" borderId="2" xfId="0" applyFont="1" applyFill="1" applyBorder="1" applyAlignment="1" applyProtection="1">
      <alignment horizontal="center" vertical="center" wrapText="1"/>
    </xf>
    <xf numFmtId="0" fontId="0" fillId="0" borderId="0" xfId="0" applyAlignment="1" applyProtection="1">
      <alignment vertical="center" wrapText="1"/>
    </xf>
    <xf numFmtId="0" fontId="0" fillId="4" borderId="2" xfId="0" applyFill="1" applyBorder="1" applyAlignment="1" applyProtection="1">
      <alignment horizontal="center" vertical="center" wrapText="1"/>
    </xf>
    <xf numFmtId="0" fontId="0" fillId="0" borderId="2" xfId="0" applyNumberFormat="1" applyBorder="1" applyProtection="1"/>
    <xf numFmtId="17" fontId="0" fillId="0" borderId="2" xfId="0" applyNumberFormat="1" applyBorder="1" applyProtection="1"/>
    <xf numFmtId="41" fontId="0" fillId="0" borderId="2" xfId="2" applyFont="1" applyBorder="1" applyProtection="1"/>
    <xf numFmtId="17" fontId="1" fillId="0" borderId="2" xfId="0" applyNumberFormat="1" applyFont="1" applyBorder="1" applyProtection="1"/>
    <xf numFmtId="0" fontId="1" fillId="4" borderId="2" xfId="0" applyFont="1" applyFill="1" applyBorder="1" applyAlignment="1" applyProtection="1">
      <alignment horizontal="center" vertical="center" wrapText="1"/>
    </xf>
    <xf numFmtId="0" fontId="11" fillId="0" borderId="0" xfId="0" applyNumberFormat="1" applyFont="1" applyBorder="1" applyAlignment="1" applyProtection="1">
      <alignment horizontal="center"/>
    </xf>
    <xf numFmtId="41" fontId="11" fillId="0" borderId="0" xfId="2" applyFont="1" applyBorder="1" applyProtection="1"/>
    <xf numFmtId="0" fontId="110" fillId="0" borderId="0" xfId="1171" applyFont="1" applyFill="1" applyBorder="1" applyAlignment="1">
      <alignment horizontal="center"/>
    </xf>
    <xf numFmtId="0" fontId="110" fillId="0" borderId="0" xfId="1171" applyFont="1" applyFill="1" applyBorder="1" applyAlignment="1">
      <alignment wrapText="1"/>
    </xf>
    <xf numFmtId="0" fontId="15" fillId="0" borderId="0" xfId="0" applyFont="1" applyFill="1" applyBorder="1" applyAlignment="1">
      <alignment horizontal="center" vertical="center" wrapText="1"/>
    </xf>
    <xf numFmtId="0" fontId="110" fillId="0" borderId="0" xfId="1181" applyFont="1" applyFill="1" applyBorder="1" applyAlignment="1">
      <alignment horizontal="center"/>
    </xf>
    <xf numFmtId="0" fontId="0" fillId="0" borderId="0" xfId="0" applyFill="1" applyBorder="1"/>
    <xf numFmtId="0" fontId="110" fillId="0" borderId="0" xfId="1181" applyNumberFormat="1" applyFont="1" applyFill="1" applyBorder="1" applyAlignment="1">
      <alignment horizontal="right"/>
    </xf>
    <xf numFmtId="0" fontId="110" fillId="26" borderId="201" xfId="1169" applyFont="1" applyFill="1" applyBorder="1" applyAlignment="1">
      <alignment horizontal="center"/>
    </xf>
    <xf numFmtId="173" fontId="110" fillId="0" borderId="1" xfId="1169" applyNumberFormat="1" applyFont="1" applyFill="1" applyBorder="1" applyAlignment="1">
      <alignment horizontal="right" wrapText="1"/>
    </xf>
    <xf numFmtId="0" fontId="110" fillId="0" borderId="1" xfId="1169" applyNumberFormat="1" applyFont="1" applyFill="1" applyBorder="1" applyAlignment="1">
      <alignment wrapText="1"/>
    </xf>
    <xf numFmtId="0" fontId="110" fillId="0" borderId="1" xfId="1169" applyNumberFormat="1" applyFont="1" applyFill="1" applyBorder="1" applyAlignment="1">
      <alignment horizontal="right" wrapText="1"/>
    </xf>
    <xf numFmtId="0" fontId="110" fillId="0" borderId="1" xfId="1169" applyNumberFormat="1" applyFont="1" applyFill="1" applyBorder="1" applyAlignment="1"/>
    <xf numFmtId="0" fontId="141" fillId="0" borderId="0" xfId="0" applyNumberFormat="1" applyFont="1" applyFill="1" applyBorder="1" applyAlignment="1"/>
    <xf numFmtId="0" fontId="141" fillId="0" borderId="0" xfId="0" applyFont="1" applyFill="1" applyBorder="1"/>
    <xf numFmtId="0" fontId="141" fillId="0" borderId="0" xfId="0" applyFont="1"/>
    <xf numFmtId="49" fontId="110" fillId="0" borderId="1" xfId="1169" applyNumberFormat="1" applyFont="1" applyFill="1" applyBorder="1" applyAlignment="1">
      <alignment wrapText="1"/>
    </xf>
    <xf numFmtId="3" fontId="110" fillId="0" borderId="1" xfId="1169" applyNumberFormat="1" applyFont="1" applyFill="1" applyBorder="1" applyAlignment="1">
      <alignment wrapText="1"/>
    </xf>
    <xf numFmtId="15" fontId="110" fillId="0" borderId="1" xfId="1169" applyNumberFormat="1" applyFont="1" applyFill="1" applyBorder="1" applyAlignment="1">
      <alignment horizontal="left" wrapText="1"/>
    </xf>
    <xf numFmtId="0" fontId="0" fillId="0" borderId="0" xfId="0" applyNumberFormat="1" applyBorder="1" applyProtection="1"/>
    <xf numFmtId="17" fontId="1" fillId="0" borderId="0" xfId="0" applyNumberFormat="1" applyFont="1" applyBorder="1" applyProtection="1"/>
    <xf numFmtId="41" fontId="0" fillId="0" borderId="0" xfId="2" applyFont="1" applyBorder="1" applyProtection="1"/>
    <xf numFmtId="0" fontId="57" fillId="11" borderId="152" xfId="861" applyFont="1" applyFill="1" applyBorder="1" applyAlignment="1">
      <alignment vertical="center" wrapText="1"/>
    </xf>
    <xf numFmtId="0" fontId="56" fillId="11" borderId="249" xfId="861" applyFont="1" applyFill="1" applyBorder="1" applyAlignment="1">
      <alignment horizontal="left" vertical="center"/>
    </xf>
    <xf numFmtId="41" fontId="57" fillId="11" borderId="148" xfId="2" applyFont="1" applyFill="1" applyBorder="1" applyAlignment="1">
      <alignment horizontal="left" vertical="center"/>
    </xf>
    <xf numFmtId="41" fontId="57" fillId="11" borderId="250" xfId="2" applyFont="1" applyFill="1" applyBorder="1" applyAlignment="1">
      <alignment horizontal="left" vertical="center"/>
    </xf>
    <xf numFmtId="41" fontId="57" fillId="11" borderId="152" xfId="2" applyFont="1" applyFill="1" applyBorder="1" applyAlignment="1">
      <alignment vertical="center" wrapText="1"/>
    </xf>
    <xf numFmtId="0" fontId="178" fillId="8" borderId="0" xfId="0" applyFont="1" applyFill="1" applyAlignment="1">
      <alignment horizontal="center" vertical="center"/>
    </xf>
    <xf numFmtId="0" fontId="33" fillId="0" borderId="5" xfId="0" applyFont="1" applyFill="1" applyBorder="1" applyAlignment="1" applyProtection="1">
      <alignment horizontal="right" vertical="center"/>
      <protection locked="0"/>
    </xf>
    <xf numFmtId="0" fontId="11" fillId="11" borderId="2" xfId="861" applyFont="1" applyFill="1" applyBorder="1" applyAlignment="1" applyProtection="1">
      <alignment horizontal="right" vertical="center"/>
      <protection hidden="1"/>
    </xf>
    <xf numFmtId="0" fontId="12" fillId="0" borderId="251" xfId="0" applyFont="1" applyFill="1" applyBorder="1" applyAlignment="1">
      <alignment horizontal="center" vertical="center"/>
    </xf>
    <xf numFmtId="0" fontId="37" fillId="0" borderId="251" xfId="0" applyFont="1" applyFill="1" applyBorder="1" applyAlignment="1">
      <alignment horizontal="center" vertical="center"/>
    </xf>
    <xf numFmtId="164" fontId="37" fillId="0" borderId="83" xfId="0" applyNumberFormat="1" applyFont="1" applyFill="1" applyBorder="1" applyAlignment="1">
      <alignment horizontal="center" vertical="center"/>
    </xf>
    <xf numFmtId="0" fontId="37" fillId="11" borderId="51" xfId="0" applyFont="1" applyFill="1" applyBorder="1" applyAlignment="1">
      <alignment vertical="center"/>
    </xf>
    <xf numFmtId="0" fontId="37" fillId="11" borderId="2" xfId="0" applyFont="1" applyFill="1" applyBorder="1" applyAlignment="1">
      <alignment vertical="center"/>
    </xf>
    <xf numFmtId="0" fontId="37" fillId="11" borderId="17" xfId="0" applyFont="1" applyFill="1" applyBorder="1" applyAlignment="1">
      <alignment vertical="center"/>
    </xf>
    <xf numFmtId="0" fontId="144" fillId="0" borderId="0" xfId="0" applyFont="1" applyAlignment="1" applyProtection="1">
      <alignment horizontal="centerContinuous" vertical="center"/>
      <protection hidden="1"/>
    </xf>
    <xf numFmtId="0" fontId="145" fillId="0" borderId="0" xfId="0" applyFont="1" applyAlignment="1" applyProtection="1">
      <alignment horizontal="centerContinuous" vertical="center"/>
      <protection hidden="1"/>
    </xf>
    <xf numFmtId="49" fontId="146" fillId="0" borderId="0" xfId="0" applyNumberFormat="1" applyFont="1" applyAlignment="1" applyProtection="1">
      <alignment horizontal="centerContinuous" vertical="center"/>
      <protection hidden="1"/>
    </xf>
    <xf numFmtId="41" fontId="146" fillId="0" borderId="0" xfId="14" applyFont="1" applyAlignment="1" applyProtection="1">
      <alignment horizontal="centerContinuous" vertical="center"/>
      <protection hidden="1"/>
    </xf>
    <xf numFmtId="0" fontId="146" fillId="0" borderId="0" xfId="0" applyFont="1" applyAlignment="1" applyProtection="1">
      <alignment vertical="center"/>
      <protection hidden="1"/>
    </xf>
    <xf numFmtId="0" fontId="147" fillId="0" borderId="0" xfId="0" applyFont="1" applyAlignment="1" applyProtection="1">
      <alignment horizontal="centerContinuous" vertical="center"/>
      <protection hidden="1"/>
    </xf>
    <xf numFmtId="0" fontId="146" fillId="0" borderId="0" xfId="0" applyFont="1" applyAlignment="1" applyProtection="1">
      <alignment horizontal="center" vertical="center"/>
      <protection hidden="1"/>
    </xf>
    <xf numFmtId="0" fontId="145" fillId="0" borderId="0" xfId="0" applyFont="1" applyAlignment="1" applyProtection="1">
      <alignment vertical="center"/>
      <protection hidden="1"/>
    </xf>
    <xf numFmtId="0" fontId="145" fillId="0" borderId="0" xfId="0" applyNumberFormat="1" applyFont="1" applyAlignment="1" applyProtection="1">
      <alignment vertical="center"/>
      <protection hidden="1"/>
    </xf>
    <xf numFmtId="0" fontId="179" fillId="0" borderId="0" xfId="0" applyFont="1" applyAlignment="1" applyProtection="1">
      <alignment vertical="center"/>
      <protection hidden="1"/>
    </xf>
    <xf numFmtId="41" fontId="180" fillId="0" borderId="0" xfId="2" applyFont="1" applyAlignment="1" applyProtection="1">
      <alignment vertical="center"/>
      <protection hidden="1"/>
    </xf>
    <xf numFmtId="49" fontId="146" fillId="0" borderId="0" xfId="0" applyNumberFormat="1" applyFont="1" applyAlignment="1" applyProtection="1">
      <alignment vertical="center"/>
      <protection hidden="1"/>
    </xf>
    <xf numFmtId="41" fontId="146" fillId="0" borderId="0" xfId="0" applyNumberFormat="1" applyFont="1" applyAlignment="1" applyProtection="1">
      <alignment vertical="center"/>
      <protection hidden="1"/>
    </xf>
    <xf numFmtId="0" fontId="145" fillId="0" borderId="0" xfId="0" applyNumberFormat="1" applyFont="1" applyBorder="1" applyAlignment="1" applyProtection="1">
      <alignment vertical="center"/>
      <protection hidden="1"/>
    </xf>
    <xf numFmtId="3" fontId="3" fillId="0" borderId="0" xfId="0" applyNumberFormat="1" applyFont="1" applyProtection="1">
      <protection hidden="1"/>
    </xf>
    <xf numFmtId="0" fontId="148" fillId="0" borderId="2" xfId="0" applyFont="1" applyFill="1" applyBorder="1" applyAlignment="1" applyProtection="1">
      <alignment horizontal="center" vertical="center"/>
      <protection hidden="1"/>
    </xf>
    <xf numFmtId="0" fontId="148" fillId="0" borderId="2" xfId="0" applyFont="1" applyFill="1" applyBorder="1" applyAlignment="1" applyProtection="1">
      <alignment vertical="center"/>
      <protection locked="0"/>
    </xf>
    <xf numFmtId="0" fontId="148" fillId="0" borderId="2" xfId="0" applyFont="1" applyFill="1" applyBorder="1" applyAlignment="1" applyProtection="1">
      <alignment horizontal="center" vertical="center"/>
      <protection locked="0"/>
    </xf>
    <xf numFmtId="174" fontId="148" fillId="0" borderId="2" xfId="14" applyNumberFormat="1" applyFont="1" applyFill="1" applyBorder="1" applyAlignment="1" applyProtection="1">
      <alignment vertical="center"/>
      <protection locked="0"/>
    </xf>
    <xf numFmtId="174" fontId="148" fillId="0" borderId="2" xfId="14" applyNumberFormat="1" applyFont="1" applyFill="1" applyBorder="1" applyAlignment="1" applyProtection="1">
      <alignment horizontal="right" vertical="center"/>
      <protection locked="0"/>
    </xf>
    <xf numFmtId="41" fontId="0" fillId="0" borderId="0" xfId="14" applyFont="1" applyProtection="1">
      <protection hidden="1"/>
    </xf>
    <xf numFmtId="41" fontId="0" fillId="0" borderId="0" xfId="0" applyNumberFormat="1" applyProtection="1">
      <protection hidden="1"/>
    </xf>
    <xf numFmtId="0" fontId="148" fillId="0" borderId="0" xfId="0" applyFont="1" applyFill="1" applyBorder="1" applyAlignment="1" applyProtection="1">
      <alignment vertical="center"/>
      <protection hidden="1"/>
    </xf>
    <xf numFmtId="41" fontId="148" fillId="0" borderId="0" xfId="14" applyNumberFormat="1" applyFont="1" applyFill="1" applyBorder="1" applyAlignment="1" applyProtection="1">
      <alignment vertical="center"/>
      <protection hidden="1"/>
    </xf>
    <xf numFmtId="41" fontId="148" fillId="0" borderId="0" xfId="14" applyFont="1" applyFill="1" applyBorder="1" applyAlignment="1" applyProtection="1">
      <alignment horizontal="right" vertical="center"/>
      <protection hidden="1"/>
    </xf>
    <xf numFmtId="41" fontId="146" fillId="0" borderId="0" xfId="14" applyFont="1" applyAlignment="1" applyProtection="1">
      <alignment vertical="center"/>
      <protection hidden="1"/>
    </xf>
    <xf numFmtId="49" fontId="146" fillId="0" borderId="0" xfId="0" applyNumberFormat="1" applyFont="1" applyAlignment="1" applyProtection="1">
      <alignment horizontal="center" vertical="center"/>
      <protection hidden="1"/>
    </xf>
    <xf numFmtId="49" fontId="145" fillId="0" borderId="0" xfId="0" applyNumberFormat="1" applyFont="1" applyAlignment="1" applyProtection="1">
      <alignment horizontal="left" vertical="center" indent="3"/>
      <protection hidden="1"/>
    </xf>
    <xf numFmtId="41" fontId="146" fillId="0" borderId="0" xfId="14" applyFont="1" applyBorder="1" applyAlignment="1" applyProtection="1">
      <alignment horizontal="center" vertical="center"/>
      <protection hidden="1"/>
    </xf>
    <xf numFmtId="49" fontId="145" fillId="0" borderId="0" xfId="0" applyNumberFormat="1" applyFont="1" applyFill="1" applyAlignment="1" applyProtection="1">
      <alignment horizontal="left" vertical="center" indent="3"/>
      <protection hidden="1"/>
    </xf>
    <xf numFmtId="0" fontId="146" fillId="0" borderId="0" xfId="0" applyFont="1" applyFill="1" applyAlignment="1" applyProtection="1">
      <alignment horizontal="center" vertical="center"/>
      <protection hidden="1"/>
    </xf>
    <xf numFmtId="0" fontId="146" fillId="0" borderId="0" xfId="0" applyFont="1" applyFill="1" applyAlignment="1" applyProtection="1">
      <alignment vertical="center"/>
      <protection hidden="1"/>
    </xf>
    <xf numFmtId="49" fontId="146" fillId="0" borderId="0" xfId="0" applyNumberFormat="1" applyFont="1" applyFill="1" applyAlignment="1" applyProtection="1">
      <alignment vertical="center"/>
      <protection hidden="1"/>
    </xf>
    <xf numFmtId="0" fontId="150" fillId="0" borderId="0" xfId="0" applyNumberFormat="1" applyFont="1" applyFill="1" applyAlignment="1" applyProtection="1">
      <alignment horizontal="center" vertical="center"/>
      <protection hidden="1"/>
    </xf>
    <xf numFmtId="0" fontId="150" fillId="0" borderId="0" xfId="0" applyFont="1" applyFill="1" applyAlignment="1" applyProtection="1">
      <alignment horizontal="center" vertical="center"/>
      <protection hidden="1"/>
    </xf>
    <xf numFmtId="0" fontId="150" fillId="0" borderId="0" xfId="0" applyFont="1" applyFill="1" applyAlignment="1" applyProtection="1">
      <alignment horizontal="centerContinuous" vertical="center"/>
      <protection hidden="1"/>
    </xf>
    <xf numFmtId="49" fontId="146" fillId="0" borderId="0" xfId="0" applyNumberFormat="1" applyFont="1" applyFill="1" applyAlignment="1" applyProtection="1">
      <alignment horizontal="center" vertical="center"/>
      <protection hidden="1"/>
    </xf>
    <xf numFmtId="0" fontId="146" fillId="0" borderId="0" xfId="0" applyFont="1" applyAlignment="1" applyProtection="1">
      <alignment horizontal="centerContinuous" vertical="center"/>
      <protection hidden="1"/>
    </xf>
    <xf numFmtId="0" fontId="145" fillId="10" borderId="2" xfId="0" applyFont="1" applyFill="1" applyBorder="1" applyAlignment="1" applyProtection="1">
      <alignment horizontal="center" vertical="center" wrapText="1"/>
      <protection hidden="1"/>
    </xf>
    <xf numFmtId="0" fontId="149" fillId="12" borderId="20" xfId="0" applyFont="1" applyFill="1" applyBorder="1" applyAlignment="1" applyProtection="1">
      <alignment horizontal="center" vertical="center"/>
      <protection hidden="1"/>
    </xf>
    <xf numFmtId="174" fontId="149" fillId="12" borderId="2" xfId="0" applyNumberFormat="1" applyFont="1" applyFill="1" applyBorder="1" applyAlignment="1" applyProtection="1">
      <alignment vertical="center"/>
      <protection hidden="1"/>
    </xf>
    <xf numFmtId="0" fontId="145" fillId="10" borderId="51" xfId="0" applyFont="1" applyFill="1" applyBorder="1" applyAlignment="1" applyProtection="1">
      <alignment horizontal="center" vertical="center" wrapText="1"/>
      <protection hidden="1"/>
    </xf>
    <xf numFmtId="0" fontId="148" fillId="0" borderId="2" xfId="0" applyNumberFormat="1" applyFont="1" applyFill="1" applyBorder="1" applyAlignment="1" applyProtection="1">
      <alignment horizontal="center" vertical="center"/>
      <protection locked="0"/>
    </xf>
    <xf numFmtId="164" fontId="148" fillId="0" borderId="2" xfId="0" applyNumberFormat="1" applyFont="1" applyFill="1" applyBorder="1" applyAlignment="1" applyProtection="1">
      <alignment horizontal="center" vertical="center"/>
      <protection locked="0"/>
    </xf>
    <xf numFmtId="0" fontId="86" fillId="5" borderId="24" xfId="1069" applyFont="1" applyFill="1" applyBorder="1" applyAlignment="1">
      <alignment horizontal="left" vertical="center"/>
    </xf>
    <xf numFmtId="165" fontId="12" fillId="12" borderId="49" xfId="439" applyNumberFormat="1" applyFont="1" applyFill="1" applyBorder="1" applyAlignment="1">
      <alignment vertical="center"/>
    </xf>
    <xf numFmtId="165" fontId="12" fillId="12" borderId="44" xfId="439" applyNumberFormat="1" applyFont="1" applyFill="1" applyBorder="1" applyAlignment="1">
      <alignment horizontal="center" vertical="center"/>
    </xf>
    <xf numFmtId="165" fontId="12" fillId="12" borderId="44" xfId="439" applyNumberFormat="1" applyFont="1" applyFill="1" applyBorder="1" applyAlignment="1">
      <alignment vertical="center"/>
    </xf>
    <xf numFmtId="165" fontId="12" fillId="12" borderId="50" xfId="439" applyNumberFormat="1" applyFont="1" applyFill="1" applyBorder="1" applyAlignment="1">
      <alignment vertical="center"/>
    </xf>
    <xf numFmtId="165" fontId="12" fillId="8" borderId="49" xfId="439" applyNumberFormat="1" applyFont="1" applyFill="1" applyBorder="1" applyAlignment="1">
      <alignment vertical="center"/>
    </xf>
    <xf numFmtId="165" fontId="12" fillId="8" borderId="44" xfId="439" applyNumberFormat="1" applyFont="1" applyFill="1" applyBorder="1" applyAlignment="1">
      <alignment horizontal="center" vertical="center"/>
    </xf>
    <xf numFmtId="165" fontId="12" fillId="8" borderId="44" xfId="439" applyNumberFormat="1" applyFont="1" applyFill="1" applyBorder="1" applyAlignment="1">
      <alignment vertical="center"/>
    </xf>
    <xf numFmtId="165" fontId="12" fillId="8" borderId="50" xfId="439" applyNumberFormat="1" applyFont="1" applyFill="1" applyBorder="1" applyAlignment="1">
      <alignment vertical="center"/>
    </xf>
    <xf numFmtId="0" fontId="1" fillId="11" borderId="0" xfId="0" applyFont="1" applyFill="1" applyAlignment="1">
      <alignment vertical="top" wrapText="1"/>
    </xf>
    <xf numFmtId="41" fontId="37" fillId="0" borderId="51" xfId="275" applyNumberFormat="1" applyFont="1" applyBorder="1" applyAlignment="1" applyProtection="1">
      <alignment horizontal="center" vertical="center"/>
      <protection locked="0"/>
    </xf>
    <xf numFmtId="14" fontId="37" fillId="0" borderId="51" xfId="275" applyNumberFormat="1" applyFont="1" applyBorder="1" applyAlignment="1" applyProtection="1">
      <alignment horizontal="center" vertical="center"/>
      <protection locked="0"/>
    </xf>
    <xf numFmtId="14" fontId="37" fillId="0" borderId="51" xfId="275" applyNumberFormat="1" applyFont="1" applyBorder="1" applyAlignment="1" applyProtection="1">
      <alignment vertical="center"/>
      <protection locked="0"/>
    </xf>
    <xf numFmtId="0" fontId="1" fillId="0" borderId="54" xfId="0" applyFont="1" applyFill="1" applyBorder="1" applyAlignment="1">
      <alignment vertical="center"/>
    </xf>
    <xf numFmtId="0" fontId="1" fillId="0" borderId="2" xfId="0" applyFont="1" applyFill="1" applyBorder="1" applyAlignment="1">
      <alignment vertical="center"/>
    </xf>
    <xf numFmtId="1" fontId="3" fillId="0" borderId="88" xfId="0" applyNumberFormat="1" applyFont="1" applyFill="1" applyBorder="1" applyAlignment="1">
      <alignment vertical="center"/>
    </xf>
    <xf numFmtId="0" fontId="3" fillId="0" borderId="88" xfId="0" applyFont="1" applyFill="1" applyBorder="1" applyAlignment="1">
      <alignment vertical="center"/>
    </xf>
    <xf numFmtId="41" fontId="181" fillId="0" borderId="0" xfId="0" applyNumberFormat="1" applyFont="1" applyAlignment="1" applyProtection="1">
      <alignment vertical="center"/>
    </xf>
    <xf numFmtId="41" fontId="4" fillId="0" borderId="2" xfId="0" applyNumberFormat="1" applyFont="1" applyFill="1" applyBorder="1" applyAlignment="1">
      <alignment horizontal="center" vertical="center" wrapText="1"/>
    </xf>
    <xf numFmtId="0" fontId="4" fillId="0" borderId="2" xfId="0" applyNumberFormat="1" applyFont="1" applyFill="1" applyBorder="1" applyAlignment="1">
      <alignment horizontal="center" vertical="center" wrapText="1"/>
    </xf>
    <xf numFmtId="0" fontId="4" fillId="17" borderId="30" xfId="0" applyFont="1" applyFill="1" applyBorder="1" applyAlignment="1">
      <alignment horizontal="center" vertical="center" wrapText="1"/>
    </xf>
    <xf numFmtId="164" fontId="4" fillId="8" borderId="45" xfId="0" applyNumberFormat="1" applyFont="1" applyFill="1" applyBorder="1" applyAlignment="1">
      <alignment horizontal="center" vertical="center"/>
    </xf>
    <xf numFmtId="0" fontId="4" fillId="8" borderId="51" xfId="0" applyFont="1" applyFill="1" applyBorder="1" applyAlignment="1">
      <alignment horizontal="center" vertical="center"/>
    </xf>
    <xf numFmtId="41" fontId="4" fillId="8" borderId="51" xfId="0" applyNumberFormat="1" applyFont="1" applyFill="1" applyBorder="1" applyAlignment="1">
      <alignment vertical="center"/>
    </xf>
    <xf numFmtId="41" fontId="4" fillId="8" borderId="89" xfId="0" applyNumberFormat="1" applyFont="1" applyFill="1" applyBorder="1" applyAlignment="1">
      <alignment vertical="center"/>
    </xf>
    <xf numFmtId="0" fontId="0" fillId="0" borderId="2" xfId="0" applyBorder="1" applyAlignment="1">
      <alignment horizontal="center" vertical="center" wrapText="1"/>
    </xf>
    <xf numFmtId="0" fontId="0" fillId="0" borderId="2" xfId="0" applyBorder="1"/>
    <xf numFmtId="41" fontId="37" fillId="0" borderId="51" xfId="2" applyFont="1" applyBorder="1" applyAlignment="1" applyProtection="1">
      <alignment vertical="center"/>
      <protection locked="0"/>
    </xf>
    <xf numFmtId="41" fontId="0" fillId="0" borderId="0" xfId="2" applyFont="1"/>
    <xf numFmtId="0" fontId="0" fillId="0" borderId="51" xfId="0" applyBorder="1"/>
    <xf numFmtId="41" fontId="37" fillId="0" borderId="51" xfId="2" applyFont="1" applyFill="1" applyBorder="1" applyAlignment="1" applyProtection="1">
      <alignment vertical="center"/>
      <protection locked="0"/>
    </xf>
    <xf numFmtId="41" fontId="0" fillId="0" borderId="2" xfId="2" applyFont="1" applyBorder="1"/>
    <xf numFmtId="41" fontId="6" fillId="0" borderId="0" xfId="2" applyFont="1" applyFill="1" applyAlignment="1">
      <alignment vertical="center"/>
    </xf>
    <xf numFmtId="0" fontId="0" fillId="0" borderId="2" xfId="0" applyBorder="1" applyAlignment="1">
      <alignment horizontal="center" vertical="center" wrapText="1"/>
    </xf>
    <xf numFmtId="0" fontId="0" fillId="0" borderId="2" xfId="0" applyBorder="1" applyAlignment="1">
      <alignment horizontal="center" vertical="center" wrapText="1"/>
    </xf>
    <xf numFmtId="41" fontId="37" fillId="0" borderId="2" xfId="275" applyNumberFormat="1" applyFont="1" applyBorder="1" applyAlignment="1" applyProtection="1">
      <alignment vertical="center"/>
      <protection locked="0"/>
    </xf>
    <xf numFmtId="1" fontId="6" fillId="0" borderId="60" xfId="0" applyNumberFormat="1" applyFont="1" applyFill="1" applyBorder="1" applyAlignment="1" applyProtection="1">
      <alignment horizontal="center" vertical="center"/>
    </xf>
    <xf numFmtId="1" fontId="6" fillId="0" borderId="2" xfId="0" applyNumberFormat="1" applyFont="1" applyBorder="1" applyAlignment="1" applyProtection="1">
      <alignment horizontal="center" vertical="center" wrapText="1"/>
    </xf>
    <xf numFmtId="1" fontId="6" fillId="0" borderId="2" xfId="0" applyNumberFormat="1" applyFont="1" applyFill="1" applyBorder="1" applyAlignment="1" applyProtection="1">
      <alignment horizontal="center" vertical="center" wrapText="1"/>
    </xf>
    <xf numFmtId="0" fontId="0" fillId="0" borderId="2" xfId="0" applyBorder="1" applyAlignment="1">
      <alignment horizontal="center" vertical="center" wrapText="1"/>
    </xf>
    <xf numFmtId="41" fontId="10" fillId="0" borderId="0" xfId="2" applyFont="1" applyAlignment="1" applyProtection="1">
      <alignment horizontal="center" vertical="center"/>
    </xf>
    <xf numFmtId="41" fontId="37" fillId="0" borderId="0" xfId="2" applyFont="1" applyAlignment="1" applyProtection="1">
      <alignment vertical="center"/>
    </xf>
    <xf numFmtId="41" fontId="37" fillId="0" borderId="2" xfId="275" applyNumberFormat="1" applyFont="1" applyFill="1" applyBorder="1" applyAlignment="1" applyProtection="1">
      <alignment vertical="center"/>
      <protection locked="0"/>
    </xf>
    <xf numFmtId="41" fontId="37" fillId="17" borderId="2" xfId="275" applyNumberFormat="1" applyFont="1" applyFill="1" applyBorder="1" applyAlignment="1" applyProtection="1">
      <alignment vertical="center"/>
      <protection locked="0"/>
    </xf>
    <xf numFmtId="41" fontId="37" fillId="0" borderId="2" xfId="0" applyNumberFormat="1" applyFont="1" applyBorder="1" applyAlignment="1" applyProtection="1">
      <alignment vertical="center"/>
      <protection locked="0"/>
    </xf>
    <xf numFmtId="41" fontId="37" fillId="17" borderId="2" xfId="0" applyNumberFormat="1" applyFont="1" applyFill="1" applyBorder="1" applyAlignment="1" applyProtection="1">
      <alignment vertical="center"/>
    </xf>
    <xf numFmtId="41" fontId="37" fillId="0" borderId="2" xfId="0" applyNumberFormat="1" applyFont="1" applyFill="1" applyBorder="1" applyAlignment="1" applyProtection="1">
      <alignment vertical="center"/>
      <protection locked="0"/>
    </xf>
    <xf numFmtId="41" fontId="37" fillId="0" borderId="51" xfId="0" applyNumberFormat="1" applyFont="1" applyFill="1" applyBorder="1" applyAlignment="1" applyProtection="1">
      <alignment vertical="center"/>
    </xf>
    <xf numFmtId="37" fontId="6" fillId="0" borderId="2" xfId="0" applyNumberFormat="1" applyFont="1" applyBorder="1" applyAlignment="1" applyProtection="1">
      <alignment horizontal="center" vertical="center" wrapText="1"/>
    </xf>
    <xf numFmtId="0" fontId="94" fillId="0" borderId="0" xfId="0" applyFont="1" applyAlignment="1" applyProtection="1">
      <alignment vertical="center"/>
    </xf>
    <xf numFmtId="0" fontId="19" fillId="0" borderId="0" xfId="0" applyFont="1" applyAlignment="1" applyProtection="1">
      <alignment vertical="center"/>
    </xf>
    <xf numFmtId="41" fontId="4" fillId="8" borderId="83" xfId="0" applyNumberFormat="1" applyFont="1" applyFill="1" applyBorder="1" applyAlignment="1">
      <alignment vertical="center"/>
    </xf>
    <xf numFmtId="41" fontId="46" fillId="8" borderId="51" xfId="0" applyNumberFormat="1" applyFont="1" applyFill="1" applyBorder="1" applyAlignment="1">
      <alignment vertical="center"/>
    </xf>
    <xf numFmtId="41" fontId="4" fillId="8" borderId="52" xfId="0" applyNumberFormat="1" applyFont="1" applyFill="1" applyBorder="1" applyAlignment="1">
      <alignment vertical="center"/>
    </xf>
    <xf numFmtId="0" fontId="4" fillId="0" borderId="2" xfId="0" applyFont="1" applyFill="1" applyBorder="1" applyAlignment="1">
      <alignment horizontal="center" vertical="center"/>
    </xf>
    <xf numFmtId="164" fontId="4" fillId="0" borderId="2" xfId="0" applyNumberFormat="1" applyFont="1" applyFill="1" applyBorder="1" applyAlignment="1">
      <alignment horizontal="center" vertical="center" wrapText="1"/>
    </xf>
    <xf numFmtId="0" fontId="4" fillId="0" borderId="2" xfId="0" applyFont="1" applyFill="1" applyBorder="1" applyAlignment="1">
      <alignment horizontal="center" vertical="center" wrapText="1"/>
    </xf>
    <xf numFmtId="164" fontId="4" fillId="0" borderId="95" xfId="0" applyNumberFormat="1" applyFont="1" applyFill="1" applyBorder="1" applyAlignment="1">
      <alignment horizontal="center" vertical="center" wrapText="1"/>
    </xf>
    <xf numFmtId="0" fontId="4" fillId="0" borderId="54" xfId="0" applyFont="1" applyFill="1" applyBorder="1" applyAlignment="1">
      <alignment horizontal="center" vertical="center" wrapText="1"/>
    </xf>
    <xf numFmtId="164" fontId="4" fillId="0" borderId="46" xfId="0" applyNumberFormat="1" applyFont="1" applyFill="1" applyBorder="1" applyAlignment="1">
      <alignment horizontal="center" vertical="center" wrapText="1"/>
    </xf>
    <xf numFmtId="164" fontId="4" fillId="0" borderId="163" xfId="0" applyNumberFormat="1" applyFont="1" applyFill="1" applyBorder="1" applyAlignment="1">
      <alignment horizontal="center" vertical="center" wrapText="1"/>
    </xf>
    <xf numFmtId="0" fontId="4" fillId="0" borderId="53" xfId="0" applyFont="1" applyFill="1" applyBorder="1" applyAlignment="1">
      <alignment horizontal="center" vertical="center" wrapText="1"/>
    </xf>
    <xf numFmtId="41" fontId="4" fillId="0" borderId="53" xfId="0" applyNumberFormat="1" applyFont="1" applyFill="1" applyBorder="1" applyAlignment="1">
      <alignment horizontal="center" vertical="center" wrapText="1"/>
    </xf>
    <xf numFmtId="164" fontId="4" fillId="0" borderId="174" xfId="0" applyNumberFormat="1" applyFont="1" applyFill="1" applyBorder="1" applyAlignment="1">
      <alignment horizontal="center" vertical="center" wrapText="1"/>
    </xf>
    <xf numFmtId="0" fontId="4" fillId="0" borderId="55" xfId="0" applyFont="1" applyFill="1" applyBorder="1" applyAlignment="1">
      <alignment horizontal="center" vertical="center" wrapText="1"/>
    </xf>
    <xf numFmtId="41" fontId="4" fillId="0" borderId="55" xfId="0" applyNumberFormat="1" applyFont="1" applyFill="1" applyBorder="1" applyAlignment="1">
      <alignment horizontal="center" vertical="center" wrapText="1"/>
    </xf>
    <xf numFmtId="0" fontId="4" fillId="8" borderId="30" xfId="0" applyFont="1" applyFill="1" applyBorder="1" applyAlignment="1">
      <alignment horizontal="center" vertical="center" wrapText="1"/>
    </xf>
    <xf numFmtId="41" fontId="4" fillId="8" borderId="30" xfId="0" applyNumberFormat="1" applyFont="1" applyFill="1" applyBorder="1" applyAlignment="1">
      <alignment horizontal="center" vertical="center" wrapText="1"/>
    </xf>
    <xf numFmtId="41" fontId="4" fillId="8" borderId="159" xfId="0" applyNumberFormat="1" applyFont="1" applyFill="1" applyBorder="1" applyAlignment="1">
      <alignment horizontal="center" vertical="center" wrapText="1"/>
    </xf>
    <xf numFmtId="41" fontId="4" fillId="8" borderId="84" xfId="0" applyNumberFormat="1" applyFont="1" applyFill="1" applyBorder="1" applyAlignment="1">
      <alignment horizontal="center" vertical="center" wrapText="1"/>
    </xf>
    <xf numFmtId="0" fontId="11" fillId="0" borderId="95" xfId="0" applyFont="1" applyBorder="1" applyAlignment="1">
      <alignment horizontal="center" vertical="center" wrapText="1"/>
    </xf>
    <xf numFmtId="0" fontId="11" fillId="0" borderId="54" xfId="0" applyFont="1" applyBorder="1" applyAlignment="1">
      <alignment horizontal="center" vertical="center" wrapText="1"/>
    </xf>
    <xf numFmtId="0" fontId="0" fillId="0" borderId="167" xfId="0" applyBorder="1"/>
    <xf numFmtId="0" fontId="22" fillId="0" borderId="2" xfId="0" applyFont="1" applyBorder="1" applyAlignment="1">
      <alignment horizontal="center" vertical="center" wrapText="1"/>
    </xf>
    <xf numFmtId="0" fontId="12" fillId="0" borderId="2" xfId="0" applyFont="1" applyBorder="1" applyAlignment="1">
      <alignment horizontal="center" vertical="center" wrapText="1"/>
    </xf>
    <xf numFmtId="41" fontId="46" fillId="0" borderId="53" xfId="0" applyNumberFormat="1" applyFont="1" applyFill="1" applyBorder="1" applyAlignment="1">
      <alignment horizontal="center" vertical="center" wrapText="1"/>
    </xf>
    <xf numFmtId="0" fontId="46" fillId="0" borderId="53" xfId="0" applyNumberFormat="1" applyFont="1" applyFill="1" applyBorder="1" applyAlignment="1">
      <alignment horizontal="center" vertical="center" wrapText="1"/>
    </xf>
    <xf numFmtId="0" fontId="22" fillId="0" borderId="53" xfId="0" applyFont="1" applyBorder="1" applyAlignment="1">
      <alignment horizontal="center" vertical="center" wrapText="1"/>
    </xf>
    <xf numFmtId="0" fontId="4" fillId="0" borderId="95" xfId="0" applyNumberFormat="1" applyFont="1" applyFill="1" applyBorder="1" applyAlignment="1">
      <alignment horizontal="center" vertical="center" wrapText="1"/>
    </xf>
    <xf numFmtId="0" fontId="4" fillId="0" borderId="54" xfId="0" applyNumberFormat="1" applyFont="1" applyFill="1" applyBorder="1" applyAlignment="1">
      <alignment horizontal="center" vertical="center" wrapText="1"/>
    </xf>
    <xf numFmtId="41" fontId="3" fillId="0" borderId="52" xfId="0" applyNumberFormat="1" applyFont="1" applyFill="1" applyBorder="1" applyAlignment="1">
      <alignment vertical="center"/>
    </xf>
    <xf numFmtId="41" fontId="3" fillId="0" borderId="80" xfId="0" applyNumberFormat="1" applyFont="1" applyFill="1" applyBorder="1" applyAlignment="1">
      <alignment vertical="center"/>
    </xf>
    <xf numFmtId="0" fontId="12" fillId="17" borderId="261" xfId="0" applyFont="1" applyFill="1" applyBorder="1" applyAlignment="1">
      <alignment vertical="center"/>
    </xf>
    <xf numFmtId="164" fontId="12" fillId="17" borderId="30" xfId="0" applyNumberFormat="1" applyFont="1" applyFill="1" applyBorder="1" applyAlignment="1">
      <alignment vertical="center"/>
    </xf>
    <xf numFmtId="0" fontId="12" fillId="17" borderId="30" xfId="0" applyFont="1" applyFill="1" applyBorder="1" applyAlignment="1">
      <alignment vertical="center"/>
    </xf>
    <xf numFmtId="41" fontId="12" fillId="17" borderId="30" xfId="0" applyNumberFormat="1" applyFont="1" applyFill="1" applyBorder="1" applyAlignment="1">
      <alignment vertical="center"/>
    </xf>
    <xf numFmtId="41" fontId="12" fillId="17" borderId="273" xfId="0" applyNumberFormat="1" applyFont="1" applyFill="1" applyBorder="1" applyAlignment="1">
      <alignment vertical="center"/>
    </xf>
    <xf numFmtId="41" fontId="12" fillId="17" borderId="158" xfId="0" applyNumberFormat="1" applyFont="1" applyFill="1" applyBorder="1" applyAlignment="1">
      <alignment vertical="center"/>
    </xf>
    <xf numFmtId="41" fontId="12" fillId="17" borderId="84" xfId="0" applyNumberFormat="1" applyFont="1" applyFill="1" applyBorder="1" applyAlignment="1">
      <alignment vertical="center"/>
    </xf>
    <xf numFmtId="41" fontId="12" fillId="17" borderId="159" xfId="0" applyNumberFormat="1" applyFont="1" applyFill="1" applyBorder="1" applyAlignment="1">
      <alignment vertical="center"/>
    </xf>
    <xf numFmtId="41" fontId="4" fillId="33" borderId="163" xfId="2" applyFont="1" applyFill="1" applyBorder="1" applyAlignment="1">
      <alignment horizontal="center" vertical="center" wrapText="1"/>
    </xf>
    <xf numFmtId="41" fontId="12" fillId="33" borderId="53" xfId="2" applyFont="1" applyFill="1" applyBorder="1" applyAlignment="1">
      <alignment horizontal="center" vertical="center" wrapText="1"/>
    </xf>
    <xf numFmtId="41" fontId="12" fillId="33" borderId="166" xfId="2" applyFont="1" applyFill="1" applyBorder="1" applyAlignment="1">
      <alignment horizontal="center" vertical="center" wrapText="1"/>
    </xf>
    <xf numFmtId="0" fontId="12" fillId="0" borderId="80" xfId="0" applyFont="1" applyBorder="1" applyAlignment="1">
      <alignment horizontal="center" vertical="center" wrapText="1"/>
    </xf>
    <xf numFmtId="0" fontId="11" fillId="33" borderId="2" xfId="0" applyFont="1" applyFill="1" applyBorder="1" applyAlignment="1">
      <alignment horizontal="center" vertical="center" wrapText="1"/>
    </xf>
    <xf numFmtId="0" fontId="11" fillId="33" borderId="46" xfId="0" applyFont="1" applyFill="1" applyBorder="1" applyAlignment="1">
      <alignment vertical="center"/>
    </xf>
    <xf numFmtId="41" fontId="11" fillId="33" borderId="2" xfId="2" applyFont="1" applyFill="1" applyBorder="1" applyAlignment="1">
      <alignment vertical="center"/>
    </xf>
    <xf numFmtId="41" fontId="11" fillId="33" borderId="80" xfId="2" applyFont="1" applyFill="1" applyBorder="1" applyAlignment="1">
      <alignment vertical="center"/>
    </xf>
    <xf numFmtId="41" fontId="11" fillId="33" borderId="20" xfId="2" applyFont="1" applyFill="1" applyBorder="1" applyAlignment="1">
      <alignment vertical="center"/>
    </xf>
    <xf numFmtId="0" fontId="11" fillId="34" borderId="163" xfId="0" applyFont="1" applyFill="1" applyBorder="1" applyAlignment="1">
      <alignment vertical="center"/>
    </xf>
    <xf numFmtId="0" fontId="11" fillId="34" borderId="53" xfId="0" applyFont="1" applyFill="1" applyBorder="1" applyAlignment="1">
      <alignment vertical="center"/>
    </xf>
    <xf numFmtId="41" fontId="11" fillId="34" borderId="53" xfId="2" applyFont="1" applyFill="1" applyBorder="1" applyAlignment="1">
      <alignment vertical="center"/>
    </xf>
    <xf numFmtId="41" fontId="11" fillId="34" borderId="166" xfId="2" applyFont="1" applyFill="1" applyBorder="1" applyAlignment="1">
      <alignment vertical="center"/>
    </xf>
    <xf numFmtId="41" fontId="11" fillId="34" borderId="165" xfId="2" applyFont="1" applyFill="1" applyBorder="1" applyAlignment="1">
      <alignment vertical="center"/>
    </xf>
    <xf numFmtId="41" fontId="11" fillId="33" borderId="24" xfId="2" applyFont="1" applyFill="1" applyBorder="1" applyAlignment="1">
      <alignment vertical="center"/>
    </xf>
    <xf numFmtId="41" fontId="11" fillId="34" borderId="200" xfId="2" applyFont="1" applyFill="1" applyBorder="1" applyAlignment="1">
      <alignment vertical="center"/>
    </xf>
    <xf numFmtId="41" fontId="11" fillId="33" borderId="69" xfId="2" applyFont="1" applyFill="1" applyBorder="1" applyAlignment="1">
      <alignment vertical="center"/>
    </xf>
    <xf numFmtId="41" fontId="11" fillId="34" borderId="69" xfId="2" applyFont="1" applyFill="1" applyBorder="1" applyAlignment="1">
      <alignment vertical="center"/>
    </xf>
    <xf numFmtId="41" fontId="13" fillId="17" borderId="69" xfId="0" applyNumberFormat="1" applyFont="1" applyFill="1" applyBorder="1" applyAlignment="1">
      <alignment vertical="center"/>
    </xf>
    <xf numFmtId="41" fontId="13" fillId="17" borderId="88" xfId="0" applyNumberFormat="1" applyFont="1" applyFill="1" applyBorder="1" applyAlignment="1">
      <alignment vertical="center"/>
    </xf>
    <xf numFmtId="41" fontId="22" fillId="0" borderId="51" xfId="2" applyFont="1" applyBorder="1" applyAlignment="1">
      <alignment horizontal="center" vertical="center"/>
    </xf>
    <xf numFmtId="0" fontId="12" fillId="0" borderId="163" xfId="0" applyFont="1" applyBorder="1" applyAlignment="1">
      <alignment horizontal="center" vertical="center" wrapText="1"/>
    </xf>
    <xf numFmtId="0" fontId="12" fillId="0" borderId="53" xfId="0" applyFont="1" applyBorder="1" applyAlignment="1">
      <alignment horizontal="center" vertical="center" wrapText="1"/>
    </xf>
    <xf numFmtId="0" fontId="12" fillId="0" borderId="165" xfId="0" applyFont="1" applyBorder="1" applyAlignment="1">
      <alignment horizontal="center" vertical="center" wrapText="1"/>
    </xf>
    <xf numFmtId="0" fontId="4" fillId="0" borderId="53" xfId="0" applyFont="1" applyFill="1" applyBorder="1" applyAlignment="1">
      <alignment horizontal="center" vertical="center"/>
    </xf>
    <xf numFmtId="164" fontId="4" fillId="8" borderId="46" xfId="0" applyNumberFormat="1" applyFont="1" applyFill="1" applyBorder="1" applyAlignment="1">
      <alignment horizontal="center" vertical="center"/>
    </xf>
    <xf numFmtId="0" fontId="4" fillId="8" borderId="2" xfId="0" applyFont="1" applyFill="1" applyBorder="1" applyAlignment="1">
      <alignment horizontal="left" vertical="center"/>
    </xf>
    <xf numFmtId="0" fontId="4" fillId="8" borderId="2" xfId="0" applyFont="1" applyFill="1" applyBorder="1" applyAlignment="1">
      <alignment horizontal="center" vertical="center"/>
    </xf>
    <xf numFmtId="41" fontId="4" fillId="8" borderId="2" xfId="0" applyNumberFormat="1" applyFont="1" applyFill="1" applyBorder="1" applyAlignment="1">
      <alignment vertical="center"/>
    </xf>
    <xf numFmtId="41" fontId="37" fillId="8" borderId="80" xfId="0" applyNumberFormat="1" applyFont="1" applyFill="1" applyBorder="1" applyAlignment="1">
      <alignment vertical="center"/>
    </xf>
    <xf numFmtId="1" fontId="4" fillId="17" borderId="46" xfId="0" applyNumberFormat="1" applyFont="1" applyFill="1" applyBorder="1" applyAlignment="1">
      <alignment vertical="center"/>
    </xf>
    <xf numFmtId="164" fontId="4" fillId="17" borderId="2" xfId="0" applyNumberFormat="1" applyFont="1" applyFill="1" applyBorder="1" applyAlignment="1">
      <alignment vertical="center"/>
    </xf>
    <xf numFmtId="0" fontId="4" fillId="17" borderId="2" xfId="0" applyFont="1" applyFill="1" applyBorder="1" applyAlignment="1">
      <alignment horizontal="center" vertical="center" wrapText="1"/>
    </xf>
    <xf numFmtId="0" fontId="4" fillId="17" borderId="2" xfId="0" applyFont="1" applyFill="1" applyBorder="1" applyAlignment="1">
      <alignment vertical="center"/>
    </xf>
    <xf numFmtId="41" fontId="4" fillId="17" borderId="2" xfId="0" applyNumberFormat="1" applyFont="1" applyFill="1" applyBorder="1" applyAlignment="1">
      <alignment vertical="center"/>
    </xf>
    <xf numFmtId="41" fontId="12" fillId="17" borderId="80" xfId="0" applyNumberFormat="1" applyFont="1" applyFill="1" applyBorder="1" applyAlignment="1">
      <alignment vertical="center"/>
    </xf>
    <xf numFmtId="1" fontId="3" fillId="0" borderId="46" xfId="0" applyNumberFormat="1" applyFont="1" applyFill="1" applyBorder="1" applyAlignment="1">
      <alignment vertical="center"/>
    </xf>
    <xf numFmtId="164" fontId="3" fillId="0" borderId="2" xfId="0" applyNumberFormat="1" applyFont="1" applyFill="1" applyBorder="1" applyAlignment="1">
      <alignment vertical="center"/>
    </xf>
    <xf numFmtId="41" fontId="3" fillId="17" borderId="80" xfId="1" applyNumberFormat="1" applyFont="1" applyFill="1" applyBorder="1" applyAlignment="1">
      <alignment horizontal="left" vertical="center"/>
    </xf>
    <xf numFmtId="164" fontId="4" fillId="0" borderId="46" xfId="0" applyNumberFormat="1" applyFont="1" applyFill="1" applyBorder="1" applyAlignment="1">
      <alignment horizontal="center" vertical="center"/>
    </xf>
    <xf numFmtId="0" fontId="4" fillId="0" borderId="2" xfId="0" applyFont="1" applyFill="1" applyBorder="1" applyAlignment="1">
      <alignment horizontal="left" vertical="center"/>
    </xf>
    <xf numFmtId="41" fontId="4" fillId="0" borderId="2" xfId="0" applyNumberFormat="1" applyFont="1" applyFill="1" applyBorder="1" applyAlignment="1">
      <alignment vertical="center"/>
    </xf>
    <xf numFmtId="41" fontId="4" fillId="17" borderId="80" xfId="0" applyNumberFormat="1" applyFont="1" applyFill="1" applyBorder="1" applyAlignment="1">
      <alignment vertical="center"/>
    </xf>
    <xf numFmtId="164" fontId="4" fillId="0" borderId="163" xfId="0" applyNumberFormat="1" applyFont="1" applyFill="1" applyBorder="1" applyAlignment="1">
      <alignment horizontal="center" vertical="center"/>
    </xf>
    <xf numFmtId="0" fontId="4" fillId="0" borderId="53" xfId="0" applyFont="1" applyFill="1" applyBorder="1" applyAlignment="1">
      <alignment horizontal="left" vertical="center"/>
    </xf>
    <xf numFmtId="41" fontId="4" fillId="0" borderId="53" xfId="0" applyNumberFormat="1" applyFont="1" applyFill="1" applyBorder="1" applyAlignment="1">
      <alignment vertical="center"/>
    </xf>
    <xf numFmtId="1" fontId="3" fillId="0" borderId="43" xfId="0" applyNumberFormat="1" applyFont="1" applyFill="1" applyBorder="1" applyAlignment="1">
      <alignment vertical="center"/>
    </xf>
    <xf numFmtId="164" fontId="3" fillId="0" borderId="17" xfId="0" applyNumberFormat="1" applyFont="1" applyFill="1" applyBorder="1" applyAlignment="1">
      <alignment vertical="center"/>
    </xf>
    <xf numFmtId="41" fontId="3" fillId="0" borderId="17" xfId="1" applyNumberFormat="1" applyFont="1" applyFill="1" applyBorder="1" applyAlignment="1">
      <alignment horizontal="left" vertical="center"/>
    </xf>
    <xf numFmtId="41" fontId="3" fillId="17" borderId="81" xfId="1" applyNumberFormat="1" applyFont="1" applyFill="1" applyBorder="1" applyAlignment="1">
      <alignment horizontal="left" vertical="center"/>
    </xf>
    <xf numFmtId="164" fontId="4" fillId="0" borderId="95" xfId="0" applyNumberFormat="1" applyFont="1" applyFill="1" applyBorder="1" applyAlignment="1">
      <alignment horizontal="center" vertical="center"/>
    </xf>
    <xf numFmtId="0" fontId="4" fillId="0" borderId="54" xfId="0" applyFont="1" applyFill="1" applyBorder="1" applyAlignment="1">
      <alignment horizontal="left" vertical="center"/>
    </xf>
    <xf numFmtId="0" fontId="4" fillId="0" borderId="54" xfId="0" applyFont="1" applyFill="1" applyBorder="1" applyAlignment="1">
      <alignment horizontal="center" vertical="center"/>
    </xf>
    <xf numFmtId="41" fontId="4" fillId="0" borderId="54" xfId="0" applyNumberFormat="1" applyFont="1" applyFill="1" applyBorder="1" applyAlignment="1">
      <alignment vertical="center"/>
    </xf>
    <xf numFmtId="41" fontId="4" fillId="17" borderId="54" xfId="0" applyNumberFormat="1" applyFont="1" applyFill="1" applyBorder="1" applyAlignment="1">
      <alignment vertical="center"/>
    </xf>
    <xf numFmtId="41" fontId="4" fillId="17" borderId="167" xfId="0" applyNumberFormat="1" applyFont="1" applyFill="1" applyBorder="1" applyAlignment="1">
      <alignment vertical="center"/>
    </xf>
    <xf numFmtId="41" fontId="11" fillId="0" borderId="2" xfId="2" applyFont="1" applyBorder="1" applyAlignment="1">
      <alignment horizontal="center" vertical="center" wrapText="1"/>
    </xf>
    <xf numFmtId="41" fontId="11" fillId="0" borderId="46" xfId="2" applyFont="1" applyBorder="1" applyAlignment="1">
      <alignment horizontal="center" vertical="center" wrapText="1"/>
    </xf>
    <xf numFmtId="41" fontId="11" fillId="0" borderId="80" xfId="2" applyFont="1" applyBorder="1" applyAlignment="1">
      <alignment horizontal="center" vertical="center" wrapText="1"/>
    </xf>
    <xf numFmtId="41" fontId="11" fillId="0" borderId="96" xfId="2" applyFont="1" applyBorder="1" applyAlignment="1">
      <alignment horizontal="center" vertical="center" wrapText="1"/>
    </xf>
    <xf numFmtId="41" fontId="11" fillId="0" borderId="24" xfId="2" applyFont="1" applyBorder="1" applyAlignment="1">
      <alignment horizontal="center" vertical="center" wrapText="1"/>
    </xf>
    <xf numFmtId="0" fontId="4" fillId="17" borderId="274" xfId="0" applyFont="1" applyFill="1" applyBorder="1" applyAlignment="1">
      <alignment vertical="center"/>
    </xf>
    <xf numFmtId="0" fontId="3" fillId="0" borderId="196" xfId="0" applyFont="1" applyFill="1" applyBorder="1" applyAlignment="1">
      <alignment vertical="center"/>
    </xf>
    <xf numFmtId="41" fontId="11" fillId="0" borderId="20" xfId="2" applyFont="1" applyBorder="1" applyAlignment="1">
      <alignment horizontal="center" vertical="center" wrapText="1"/>
    </xf>
    <xf numFmtId="41" fontId="4" fillId="17" borderId="174" xfId="0" applyNumberFormat="1" applyFont="1" applyFill="1" applyBorder="1" applyAlignment="1">
      <alignment vertical="center"/>
    </xf>
    <xf numFmtId="41" fontId="3" fillId="0" borderId="46" xfId="1" applyNumberFormat="1" applyFont="1" applyFill="1" applyBorder="1" applyAlignment="1">
      <alignment horizontal="left" vertical="center"/>
    </xf>
    <xf numFmtId="41" fontId="11" fillId="33" borderId="46" xfId="2" applyFont="1" applyFill="1" applyBorder="1" applyAlignment="1">
      <alignment horizontal="center" vertical="center" wrapText="1"/>
    </xf>
    <xf numFmtId="41" fontId="11" fillId="33" borderId="2" xfId="2" applyFont="1" applyFill="1" applyBorder="1" applyAlignment="1">
      <alignment horizontal="center" vertical="center" wrapText="1"/>
    </xf>
    <xf numFmtId="41" fontId="11" fillId="33" borderId="24" xfId="2" applyFont="1" applyFill="1" applyBorder="1" applyAlignment="1">
      <alignment horizontal="center" vertical="center" wrapText="1"/>
    </xf>
    <xf numFmtId="41" fontId="11" fillId="33" borderId="80" xfId="2" applyFont="1" applyFill="1" applyBorder="1" applyAlignment="1">
      <alignment horizontal="center" vertical="center" wrapText="1"/>
    </xf>
    <xf numFmtId="41" fontId="11" fillId="33" borderId="20" xfId="2" applyFont="1" applyFill="1" applyBorder="1" applyAlignment="1">
      <alignment horizontal="center" vertical="center" wrapText="1"/>
    </xf>
    <xf numFmtId="0" fontId="22" fillId="0" borderId="54" xfId="0" applyFont="1" applyBorder="1" applyAlignment="1">
      <alignment horizontal="center" vertical="center" wrapText="1"/>
    </xf>
    <xf numFmtId="1" fontId="4" fillId="33" borderId="106" xfId="0" applyNumberFormat="1" applyFont="1" applyFill="1" applyBorder="1" applyAlignment="1">
      <alignment vertical="center"/>
    </xf>
    <xf numFmtId="164" fontId="4" fillId="33" borderId="106" xfId="0" applyNumberFormat="1" applyFont="1" applyFill="1" applyBorder="1" applyAlignment="1">
      <alignment vertical="center"/>
    </xf>
    <xf numFmtId="0" fontId="4" fillId="33" borderId="76" xfId="0" applyFont="1" applyFill="1" applyBorder="1" applyAlignment="1">
      <alignment horizontal="center" vertical="center" wrapText="1"/>
    </xf>
    <xf numFmtId="0" fontId="4" fillId="33" borderId="106" xfId="0" applyFont="1" applyFill="1" applyBorder="1" applyAlignment="1">
      <alignment vertical="center"/>
    </xf>
    <xf numFmtId="41" fontId="4" fillId="33" borderId="60" xfId="0" applyNumberFormat="1" applyFont="1" applyFill="1" applyBorder="1" applyAlignment="1">
      <alignment vertical="center"/>
    </xf>
    <xf numFmtId="41" fontId="4" fillId="33" borderId="61" xfId="0" applyNumberFormat="1" applyFont="1" applyFill="1" applyBorder="1" applyAlignment="1">
      <alignment vertical="center"/>
    </xf>
    <xf numFmtId="41" fontId="4" fillId="33" borderId="94" xfId="0" applyNumberFormat="1" applyFont="1" applyFill="1" applyBorder="1" applyAlignment="1">
      <alignment vertical="center"/>
    </xf>
    <xf numFmtId="41" fontId="4" fillId="33" borderId="55" xfId="0" applyNumberFormat="1" applyFont="1" applyFill="1" applyBorder="1" applyAlignment="1">
      <alignment vertical="center"/>
    </xf>
    <xf numFmtId="41" fontId="4" fillId="33" borderId="104" xfId="0" applyNumberFormat="1" applyFont="1" applyFill="1" applyBorder="1" applyAlignment="1">
      <alignment vertical="center"/>
    </xf>
    <xf numFmtId="41" fontId="12" fillId="33" borderId="176" xfId="0" applyNumberFormat="1" applyFont="1" applyFill="1" applyBorder="1" applyAlignment="1">
      <alignment vertical="center"/>
    </xf>
    <xf numFmtId="0" fontId="22" fillId="0" borderId="163" xfId="0" applyFont="1" applyBorder="1" applyAlignment="1">
      <alignment horizontal="center" vertical="center" wrapText="1"/>
    </xf>
    <xf numFmtId="41" fontId="4" fillId="33" borderId="174" xfId="0" applyNumberFormat="1" applyFont="1" applyFill="1" applyBorder="1" applyAlignment="1">
      <alignment vertical="center"/>
    </xf>
    <xf numFmtId="41" fontId="3" fillId="0" borderId="100" xfId="1" applyNumberFormat="1" applyFont="1" applyFill="1" applyBorder="1" applyAlignment="1">
      <alignment horizontal="left" vertical="center"/>
    </xf>
    <xf numFmtId="0" fontId="22" fillId="0" borderId="148" xfId="0" applyFont="1" applyBorder="1" applyAlignment="1">
      <alignment horizontal="center" vertical="center" wrapText="1"/>
    </xf>
    <xf numFmtId="0" fontId="22" fillId="0" borderId="66" xfId="0" applyFont="1" applyBorder="1" applyAlignment="1">
      <alignment horizontal="center" vertical="center" wrapText="1"/>
    </xf>
    <xf numFmtId="0" fontId="22" fillId="0" borderId="198" xfId="0" applyFont="1" applyBorder="1" applyAlignment="1">
      <alignment horizontal="center" vertical="center" wrapText="1"/>
    </xf>
    <xf numFmtId="0" fontId="4" fillId="33" borderId="182" xfId="0" applyFont="1" applyFill="1" applyBorder="1" applyAlignment="1">
      <alignment vertical="center"/>
    </xf>
    <xf numFmtId="0" fontId="4" fillId="17" borderId="182" xfId="0" applyFont="1" applyFill="1" applyBorder="1" applyAlignment="1">
      <alignment vertical="center"/>
    </xf>
    <xf numFmtId="0" fontId="3" fillId="0" borderId="181" xfId="0" applyFont="1" applyFill="1" applyBorder="1" applyAlignment="1">
      <alignment vertical="center"/>
    </xf>
    <xf numFmtId="0" fontId="3" fillId="0" borderId="66" xfId="0" applyFont="1" applyFill="1" applyBorder="1" applyAlignment="1">
      <alignment vertical="center"/>
    </xf>
    <xf numFmtId="0" fontId="3" fillId="0" borderId="115" xfId="0" applyFont="1" applyFill="1" applyBorder="1" applyAlignment="1">
      <alignment vertical="center"/>
    </xf>
    <xf numFmtId="41" fontId="12" fillId="33" borderId="106" xfId="0" applyNumberFormat="1" applyFont="1" applyFill="1" applyBorder="1" applyAlignment="1">
      <alignment vertical="center"/>
    </xf>
    <xf numFmtId="41" fontId="12" fillId="17" borderId="106" xfId="0" applyNumberFormat="1" applyFont="1" applyFill="1" applyBorder="1" applyAlignment="1">
      <alignment vertical="center"/>
    </xf>
    <xf numFmtId="41" fontId="3" fillId="17" borderId="88" xfId="1" applyNumberFormat="1" applyFont="1" applyFill="1" applyBorder="1" applyAlignment="1">
      <alignment horizontal="left" vertical="center"/>
    </xf>
    <xf numFmtId="1" fontId="4" fillId="17" borderId="275" xfId="0" applyNumberFormat="1" applyFont="1" applyFill="1" applyBorder="1" applyAlignment="1">
      <alignment vertical="center"/>
    </xf>
    <xf numFmtId="164" fontId="4" fillId="17" borderId="275" xfId="0" applyNumberFormat="1" applyFont="1" applyFill="1" applyBorder="1" applyAlignment="1">
      <alignment vertical="center"/>
    </xf>
    <xf numFmtId="0" fontId="4" fillId="17" borderId="41" xfId="0" applyFont="1" applyFill="1" applyBorder="1" applyAlignment="1">
      <alignment horizontal="center" vertical="center" wrapText="1"/>
    </xf>
    <xf numFmtId="0" fontId="4" fillId="17" borderId="275" xfId="0" applyFont="1" applyFill="1" applyBorder="1" applyAlignment="1">
      <alignment vertical="center"/>
    </xf>
    <xf numFmtId="41" fontId="4" fillId="17" borderId="276" xfId="0" applyNumberFormat="1" applyFont="1" applyFill="1" applyBorder="1" applyAlignment="1">
      <alignment vertical="center"/>
    </xf>
    <xf numFmtId="41" fontId="4" fillId="17" borderId="62" xfId="0" applyNumberFormat="1" applyFont="1" applyFill="1" applyBorder="1" applyAlignment="1">
      <alignment vertical="center"/>
    </xf>
    <xf numFmtId="41" fontId="4" fillId="17" borderId="175" xfId="0" applyNumberFormat="1" applyFont="1" applyFill="1" applyBorder="1" applyAlignment="1">
      <alignment vertical="center"/>
    </xf>
    <xf numFmtId="41" fontId="12" fillId="17" borderId="277" xfId="0" applyNumberFormat="1" applyFont="1" applyFill="1" applyBorder="1" applyAlignment="1">
      <alignment vertical="center"/>
    </xf>
    <xf numFmtId="41" fontId="4" fillId="17" borderId="278" xfId="0" applyNumberFormat="1" applyFont="1" applyFill="1" applyBorder="1" applyAlignment="1">
      <alignment vertical="center"/>
    </xf>
    <xf numFmtId="0" fontId="12" fillId="0" borderId="152" xfId="0" applyFont="1" applyBorder="1" applyAlignment="1">
      <alignment horizontal="center" vertical="center" wrapText="1"/>
    </xf>
    <xf numFmtId="0" fontId="12" fillId="0" borderId="69" xfId="0" applyFont="1" applyBorder="1" applyAlignment="1">
      <alignment horizontal="center" vertical="center" wrapText="1"/>
    </xf>
    <xf numFmtId="0" fontId="12" fillId="0" borderId="76" xfId="0" applyFont="1" applyBorder="1" applyAlignment="1">
      <alignment horizontal="center" vertical="center" wrapText="1"/>
    </xf>
    <xf numFmtId="1" fontId="4" fillId="33" borderId="275" xfId="0" applyNumberFormat="1" applyFont="1" applyFill="1" applyBorder="1" applyAlignment="1">
      <alignment vertical="center"/>
    </xf>
    <xf numFmtId="164" fontId="4" fillId="33" borderId="275" xfId="0" applyNumberFormat="1" applyFont="1" applyFill="1" applyBorder="1" applyAlignment="1">
      <alignment vertical="center"/>
    </xf>
    <xf numFmtId="0" fontId="4" fillId="33" borderId="41" xfId="0" applyFont="1" applyFill="1" applyBorder="1" applyAlignment="1">
      <alignment horizontal="center" vertical="center" wrapText="1"/>
    </xf>
    <xf numFmtId="0" fontId="4" fillId="33" borderId="275" xfId="0" applyFont="1" applyFill="1" applyBorder="1" applyAlignment="1">
      <alignment vertical="center"/>
    </xf>
    <xf numFmtId="41" fontId="4" fillId="33" borderId="204" xfId="0" applyNumberFormat="1" applyFont="1" applyFill="1" applyBorder="1" applyAlignment="1">
      <alignment vertical="center"/>
    </xf>
    <xf numFmtId="41" fontId="4" fillId="33" borderId="3" xfId="0" applyNumberFormat="1" applyFont="1" applyFill="1" applyBorder="1" applyAlignment="1">
      <alignment vertical="center"/>
    </xf>
    <xf numFmtId="41" fontId="4" fillId="33" borderId="276" xfId="0" applyNumberFormat="1" applyFont="1" applyFill="1" applyBorder="1" applyAlignment="1">
      <alignment vertical="center"/>
    </xf>
    <xf numFmtId="41" fontId="4" fillId="33" borderId="62" xfId="0" applyNumberFormat="1" applyFont="1" applyFill="1" applyBorder="1" applyAlignment="1">
      <alignment vertical="center"/>
    </xf>
    <xf numFmtId="41" fontId="4" fillId="33" borderId="175" xfId="0" applyNumberFormat="1" applyFont="1" applyFill="1" applyBorder="1" applyAlignment="1">
      <alignment vertical="center"/>
    </xf>
    <xf numFmtId="41" fontId="12" fillId="33" borderId="277" xfId="0" applyNumberFormat="1" applyFont="1" applyFill="1" applyBorder="1" applyAlignment="1">
      <alignment vertical="center"/>
    </xf>
    <xf numFmtId="41" fontId="4" fillId="33" borderId="278" xfId="0" applyNumberFormat="1" applyFont="1" applyFill="1" applyBorder="1" applyAlignment="1">
      <alignment vertical="center"/>
    </xf>
    <xf numFmtId="0" fontId="22" fillId="0" borderId="165" xfId="0" applyFont="1" applyBorder="1" applyAlignment="1">
      <alignment horizontal="center" vertical="center" wrapText="1"/>
    </xf>
    <xf numFmtId="0" fontId="22" fillId="0" borderId="152" xfId="0" applyFont="1" applyBorder="1" applyAlignment="1">
      <alignment horizontal="center" vertical="center" wrapText="1"/>
    </xf>
    <xf numFmtId="0" fontId="22" fillId="0" borderId="69" xfId="0" applyFont="1" applyBorder="1" applyAlignment="1">
      <alignment horizontal="center" vertical="center" wrapText="1"/>
    </xf>
    <xf numFmtId="0" fontId="22" fillId="0" borderId="76" xfId="0" applyFont="1" applyBorder="1" applyAlignment="1">
      <alignment horizontal="center" vertical="center" wrapText="1"/>
    </xf>
    <xf numFmtId="41" fontId="4" fillId="17" borderId="174" xfId="2" applyFont="1" applyFill="1" applyBorder="1" applyAlignment="1">
      <alignment vertical="center"/>
    </xf>
    <xf numFmtId="41" fontId="4" fillId="17" borderId="55" xfId="2" applyFont="1" applyFill="1" applyBorder="1" applyAlignment="1">
      <alignment vertical="center"/>
    </xf>
    <xf numFmtId="41" fontId="3" fillId="17" borderId="52" xfId="2" applyFont="1" applyFill="1" applyBorder="1" applyAlignment="1">
      <alignment horizontal="left" vertical="center"/>
    </xf>
    <xf numFmtId="0" fontId="0" fillId="0" borderId="112" xfId="0" applyBorder="1"/>
    <xf numFmtId="0" fontId="0" fillId="0" borderId="28" xfId="0" applyBorder="1"/>
    <xf numFmtId="41" fontId="3" fillId="17" borderId="52" xfId="1" applyNumberFormat="1" applyFont="1" applyFill="1" applyBorder="1" applyAlignment="1">
      <alignment horizontal="left" vertical="center"/>
    </xf>
    <xf numFmtId="41" fontId="4" fillId="17" borderId="104" xfId="2" applyFont="1" applyFill="1" applyBorder="1" applyAlignment="1">
      <alignment vertical="center"/>
    </xf>
    <xf numFmtId="41" fontId="37" fillId="0" borderId="79" xfId="2" applyFont="1" applyBorder="1"/>
    <xf numFmtId="0" fontId="1" fillId="0" borderId="36" xfId="0" applyFont="1" applyBorder="1"/>
    <xf numFmtId="0" fontId="37" fillId="0" borderId="113" xfId="0" applyFont="1" applyBorder="1" applyAlignment="1">
      <alignment horizontal="center" vertical="center" wrapText="1"/>
    </xf>
    <xf numFmtId="0" fontId="37" fillId="0" borderId="43" xfId="0" applyFont="1" applyBorder="1" applyAlignment="1">
      <alignment horizontal="center" vertical="center" wrapText="1"/>
    </xf>
    <xf numFmtId="0" fontId="37" fillId="0" borderId="17" xfId="0" applyFont="1" applyBorder="1" applyAlignment="1">
      <alignment horizontal="center" vertical="center" wrapText="1"/>
    </xf>
    <xf numFmtId="0" fontId="12" fillId="33" borderId="152" xfId="0" applyFont="1" applyFill="1" applyBorder="1" applyAlignment="1">
      <alignment horizontal="center" vertical="center" wrapText="1"/>
    </xf>
    <xf numFmtId="41" fontId="12" fillId="33" borderId="152" xfId="2" applyFont="1" applyFill="1" applyBorder="1" applyAlignment="1">
      <alignment horizontal="center" vertical="center" wrapText="1"/>
    </xf>
    <xf numFmtId="41" fontId="12" fillId="33" borderId="95" xfId="2" applyFont="1" applyFill="1" applyBorder="1" applyAlignment="1">
      <alignment horizontal="center" vertical="center" wrapText="1"/>
    </xf>
    <xf numFmtId="41" fontId="12" fillId="33" borderId="54" xfId="2" applyFont="1" applyFill="1" applyBorder="1" applyAlignment="1">
      <alignment horizontal="center" vertical="center" wrapText="1"/>
    </xf>
    <xf numFmtId="41" fontId="12" fillId="33" borderId="167" xfId="2" applyFont="1" applyFill="1" applyBorder="1" applyAlignment="1">
      <alignment horizontal="center" vertical="center" wrapText="1"/>
    </xf>
    <xf numFmtId="1" fontId="3" fillId="33" borderId="88" xfId="0" applyNumberFormat="1" applyFont="1" applyFill="1" applyBorder="1" applyAlignment="1">
      <alignment vertical="center"/>
    </xf>
    <xf numFmtId="41" fontId="3" fillId="33" borderId="154" xfId="1" applyNumberFormat="1" applyFont="1" applyFill="1" applyBorder="1" applyAlignment="1">
      <alignment horizontal="left" vertical="center"/>
    </xf>
    <xf numFmtId="1" fontId="3" fillId="35" borderId="88" xfId="0" applyNumberFormat="1" applyFont="1" applyFill="1" applyBorder="1" applyAlignment="1">
      <alignment vertical="center"/>
    </xf>
    <xf numFmtId="1" fontId="3" fillId="35" borderId="69" xfId="0" applyNumberFormat="1" applyFont="1" applyFill="1" applyBorder="1" applyAlignment="1">
      <alignment vertical="center"/>
    </xf>
    <xf numFmtId="0" fontId="3" fillId="35" borderId="69" xfId="0" applyFont="1" applyFill="1" applyBorder="1" applyAlignment="1">
      <alignment vertical="center"/>
    </xf>
    <xf numFmtId="41" fontId="3" fillId="35" borderId="20" xfId="1" applyNumberFormat="1" applyFont="1" applyFill="1" applyBorder="1" applyAlignment="1">
      <alignment horizontal="left" vertical="center"/>
    </xf>
    <xf numFmtId="41" fontId="3" fillId="35" borderId="24" xfId="1" applyNumberFormat="1" applyFont="1" applyFill="1" applyBorder="1" applyAlignment="1">
      <alignment horizontal="left" vertical="center"/>
    </xf>
    <xf numFmtId="41" fontId="3" fillId="35" borderId="19" xfId="1" applyNumberFormat="1" applyFont="1" applyFill="1" applyBorder="1" applyAlignment="1">
      <alignment horizontal="left" vertical="center"/>
    </xf>
    <xf numFmtId="41" fontId="3" fillId="35" borderId="2" xfId="1" applyNumberFormat="1" applyFont="1" applyFill="1" applyBorder="1" applyAlignment="1">
      <alignment horizontal="left" vertical="center"/>
    </xf>
    <xf numFmtId="41" fontId="3" fillId="35" borderId="80" xfId="1" applyNumberFormat="1" applyFont="1" applyFill="1" applyBorder="1" applyAlignment="1">
      <alignment horizontal="left" vertical="center"/>
    </xf>
    <xf numFmtId="41" fontId="3" fillId="35" borderId="154" xfId="1" applyNumberFormat="1" applyFont="1" applyFill="1" applyBorder="1" applyAlignment="1">
      <alignment horizontal="left" vertical="center"/>
    </xf>
    <xf numFmtId="0" fontId="3" fillId="33" borderId="88" xfId="0" applyFont="1" applyFill="1" applyBorder="1" applyAlignment="1">
      <alignment vertical="center"/>
    </xf>
    <xf numFmtId="41" fontId="3" fillId="33" borderId="83" xfId="1" applyNumberFormat="1" applyFont="1" applyFill="1" applyBorder="1" applyAlignment="1">
      <alignment horizontal="left" vertical="center"/>
    </xf>
    <xf numFmtId="41" fontId="3" fillId="33" borderId="65" xfId="1" applyNumberFormat="1" applyFont="1" applyFill="1" applyBorder="1" applyAlignment="1">
      <alignment horizontal="left" vertical="center"/>
    </xf>
    <xf numFmtId="41" fontId="3" fillId="33" borderId="89" xfId="1" applyNumberFormat="1" applyFont="1" applyFill="1" applyBorder="1" applyAlignment="1">
      <alignment horizontal="left" vertical="center"/>
    </xf>
    <xf numFmtId="41" fontId="3" fillId="33" borderId="51" xfId="1" applyNumberFormat="1" applyFont="1" applyFill="1" applyBorder="1" applyAlignment="1">
      <alignment horizontal="left" vertical="center"/>
    </xf>
    <xf numFmtId="41" fontId="3" fillId="33" borderId="52" xfId="1" applyNumberFormat="1" applyFont="1" applyFill="1" applyBorder="1" applyAlignment="1">
      <alignment horizontal="left" vertical="center"/>
    </xf>
    <xf numFmtId="0" fontId="37" fillId="0" borderId="0" xfId="0" applyFont="1"/>
    <xf numFmtId="0" fontId="1" fillId="0" borderId="51" xfId="0" applyFont="1" applyBorder="1"/>
    <xf numFmtId="0" fontId="1" fillId="0" borderId="2" xfId="0" applyFont="1" applyBorder="1"/>
    <xf numFmtId="0" fontId="0" fillId="0" borderId="0" xfId="0"/>
    <xf numFmtId="17" fontId="0" fillId="0" borderId="2" xfId="0" applyNumberFormat="1" applyBorder="1"/>
    <xf numFmtId="16" fontId="0" fillId="0" borderId="2" xfId="0" applyNumberFormat="1" applyBorder="1"/>
    <xf numFmtId="14" fontId="3" fillId="0" borderId="69" xfId="0" applyNumberFormat="1" applyFont="1" applyFill="1" applyBorder="1" applyAlignment="1">
      <alignment vertical="center"/>
    </xf>
    <xf numFmtId="175" fontId="3" fillId="0" borderId="69" xfId="0" applyNumberFormat="1" applyFont="1" applyFill="1" applyBorder="1" applyAlignment="1">
      <alignment vertical="center"/>
    </xf>
    <xf numFmtId="0" fontId="0" fillId="0" borderId="2" xfId="0" applyBorder="1" applyAlignment="1">
      <alignment vertical="center"/>
    </xf>
    <xf numFmtId="41" fontId="0" fillId="0" borderId="2" xfId="2" applyFont="1" applyBorder="1" applyAlignment="1">
      <alignment vertical="center"/>
    </xf>
    <xf numFmtId="41" fontId="0" fillId="0" borderId="0" xfId="2" applyFont="1" applyAlignment="1">
      <alignment vertical="center"/>
    </xf>
    <xf numFmtId="0" fontId="5" fillId="0" borderId="2" xfId="872" applyFont="1" applyBorder="1" applyAlignment="1">
      <alignment vertical="center"/>
    </xf>
    <xf numFmtId="0" fontId="6" fillId="0" borderId="2" xfId="872" applyFont="1" applyBorder="1" applyAlignment="1">
      <alignment vertical="center"/>
    </xf>
    <xf numFmtId="0" fontId="92" fillId="0" borderId="2" xfId="872" applyFont="1" applyBorder="1" applyAlignment="1">
      <alignment vertical="center"/>
    </xf>
    <xf numFmtId="41" fontId="6" fillId="0" borderId="0" xfId="2" applyFont="1" applyAlignment="1">
      <alignment vertical="center"/>
    </xf>
    <xf numFmtId="164" fontId="45" fillId="0" borderId="75" xfId="0" applyNumberFormat="1" applyFont="1" applyFill="1" applyBorder="1" applyAlignment="1">
      <alignment vertical="center"/>
    </xf>
    <xf numFmtId="0" fontId="1" fillId="0" borderId="17" xfId="0" applyFont="1" applyFill="1" applyBorder="1" applyAlignment="1">
      <alignment vertical="center"/>
    </xf>
    <xf numFmtId="0" fontId="0" fillId="0" borderId="17" xfId="0" applyBorder="1"/>
    <xf numFmtId="0" fontId="0" fillId="0" borderId="2" xfId="0" applyFont="1" applyFill="1" applyBorder="1"/>
    <xf numFmtId="41" fontId="0" fillId="0" borderId="2" xfId="2" applyFont="1" applyFill="1" applyBorder="1"/>
    <xf numFmtId="164" fontId="6" fillId="0" borderId="69" xfId="0" applyNumberFormat="1" applyFont="1" applyFill="1" applyBorder="1" applyAlignment="1">
      <alignment vertical="center"/>
    </xf>
    <xf numFmtId="164" fontId="45" fillId="0" borderId="69" xfId="0" applyNumberFormat="1" applyFont="1" applyFill="1" applyBorder="1" applyAlignment="1">
      <alignment vertical="center"/>
    </xf>
    <xf numFmtId="41" fontId="56" fillId="0" borderId="2" xfId="2" applyFont="1" applyBorder="1" applyAlignment="1">
      <alignment vertical="center" wrapText="1"/>
    </xf>
    <xf numFmtId="41" fontId="57" fillId="0" borderId="2" xfId="2" applyFont="1" applyBorder="1" applyAlignment="1">
      <alignment horizontal="right" vertical="center" wrapText="1"/>
    </xf>
    <xf numFmtId="41" fontId="57" fillId="0" borderId="2" xfId="2" applyFont="1" applyBorder="1" applyAlignment="1">
      <alignment horizontal="left" vertical="center" wrapText="1"/>
    </xf>
    <xf numFmtId="41" fontId="193" fillId="17" borderId="51" xfId="275" applyNumberFormat="1" applyFont="1" applyFill="1" applyBorder="1" applyAlignment="1" applyProtection="1">
      <alignment vertical="center"/>
      <protection locked="0"/>
    </xf>
    <xf numFmtId="41" fontId="194" fillId="17" borderId="51" xfId="0" applyNumberFormat="1" applyFont="1" applyFill="1" applyBorder="1" applyAlignment="1" applyProtection="1">
      <alignment vertical="center"/>
      <protection locked="0"/>
    </xf>
    <xf numFmtId="41" fontId="195" fillId="17" borderId="51" xfId="275" applyNumberFormat="1" applyFont="1" applyFill="1" applyBorder="1" applyAlignment="1" applyProtection="1">
      <alignment vertical="center"/>
      <protection locked="0"/>
    </xf>
    <xf numFmtId="41" fontId="193" fillId="0" borderId="51" xfId="275" applyNumberFormat="1" applyFont="1" applyBorder="1" applyAlignment="1" applyProtection="1">
      <alignment vertical="center"/>
      <protection locked="0"/>
    </xf>
    <xf numFmtId="41" fontId="193" fillId="0" borderId="51" xfId="2" applyFont="1" applyBorder="1" applyAlignment="1" applyProtection="1">
      <alignment vertical="center"/>
      <protection locked="0"/>
    </xf>
    <xf numFmtId="41" fontId="194" fillId="17" borderId="51" xfId="275" applyNumberFormat="1" applyFont="1" applyFill="1" applyBorder="1" applyAlignment="1" applyProtection="1">
      <alignment vertical="center"/>
      <protection locked="0"/>
    </xf>
    <xf numFmtId="41" fontId="193" fillId="17" borderId="2" xfId="275" applyNumberFormat="1" applyFont="1" applyFill="1" applyBorder="1" applyAlignment="1" applyProtection="1">
      <alignment vertical="center"/>
      <protection locked="0"/>
    </xf>
    <xf numFmtId="41" fontId="37" fillId="36" borderId="51" xfId="275" applyNumberFormat="1" applyFont="1" applyFill="1" applyBorder="1" applyAlignment="1" applyProtection="1">
      <alignment vertical="center"/>
      <protection locked="0"/>
    </xf>
    <xf numFmtId="0" fontId="0" fillId="0" borderId="2" xfId="0" applyBorder="1" applyAlignment="1">
      <alignment vertical="center"/>
    </xf>
    <xf numFmtId="41" fontId="193" fillId="0" borderId="51" xfId="0" applyNumberFormat="1" applyFont="1" applyFill="1" applyBorder="1" applyAlignment="1" applyProtection="1">
      <alignment horizontal="center" vertical="center"/>
      <protection locked="0"/>
    </xf>
    <xf numFmtId="41" fontId="13" fillId="0" borderId="31" xfId="2" applyFont="1" applyFill="1" applyBorder="1" applyAlignment="1">
      <alignment vertical="center"/>
    </xf>
    <xf numFmtId="0" fontId="1" fillId="0" borderId="2" xfId="0" applyFont="1" applyFill="1" applyBorder="1"/>
    <xf numFmtId="41" fontId="196" fillId="0" borderId="0" xfId="2" applyFont="1"/>
    <xf numFmtId="41" fontId="37" fillId="0" borderId="0" xfId="0" quotePrefix="1" applyNumberFormat="1" applyFont="1" applyAlignment="1" applyProtection="1">
      <alignment vertical="center"/>
    </xf>
    <xf numFmtId="41" fontId="37" fillId="0" borderId="17" xfId="275" applyNumberFormat="1" applyFont="1" applyBorder="1" applyAlignment="1" applyProtection="1">
      <alignment vertical="center"/>
      <protection locked="0"/>
    </xf>
    <xf numFmtId="41" fontId="37" fillId="0" borderId="2" xfId="0" applyNumberFormat="1" applyFont="1" applyFill="1" applyBorder="1" applyAlignment="1" applyProtection="1">
      <alignment horizontal="center" vertical="center"/>
      <protection locked="0"/>
    </xf>
    <xf numFmtId="41" fontId="37" fillId="17" borderId="2" xfId="0" applyNumberFormat="1" applyFont="1" applyFill="1" applyBorder="1" applyAlignment="1" applyProtection="1">
      <alignment vertical="center"/>
      <protection locked="0"/>
    </xf>
    <xf numFmtId="14" fontId="37" fillId="0" borderId="2" xfId="275" applyNumberFormat="1" applyFont="1" applyBorder="1" applyAlignment="1" applyProtection="1">
      <alignment vertical="center"/>
      <protection locked="0"/>
    </xf>
    <xf numFmtId="9" fontId="37" fillId="0" borderId="2" xfId="275" applyNumberFormat="1" applyFont="1" applyBorder="1" applyAlignment="1" applyProtection="1">
      <alignment vertical="center"/>
      <protection locked="0"/>
    </xf>
    <xf numFmtId="41" fontId="37" fillId="17" borderId="65" xfId="275" applyNumberFormat="1" applyFont="1" applyFill="1" applyBorder="1" applyAlignment="1" applyProtection="1">
      <alignment vertical="center"/>
      <protection locked="0"/>
    </xf>
    <xf numFmtId="41" fontId="37" fillId="17" borderId="83" xfId="0" applyNumberFormat="1" applyFont="1" applyFill="1" applyBorder="1" applyAlignment="1" applyProtection="1">
      <alignment vertical="center"/>
    </xf>
    <xf numFmtId="41" fontId="37" fillId="0" borderId="2" xfId="0" applyNumberFormat="1" applyFont="1" applyBorder="1" applyAlignment="1" applyProtection="1">
      <alignment vertical="center"/>
    </xf>
    <xf numFmtId="41" fontId="37" fillId="0" borderId="2" xfId="0" applyNumberFormat="1" applyFont="1" applyBorder="1" applyAlignment="1" applyProtection="1">
      <alignment horizontal="center" vertical="center"/>
      <protection locked="0"/>
    </xf>
    <xf numFmtId="41" fontId="37" fillId="8" borderId="2" xfId="0" applyNumberFormat="1" applyFont="1" applyFill="1" applyBorder="1" applyAlignment="1" applyProtection="1">
      <alignment vertical="center"/>
    </xf>
    <xf numFmtId="41" fontId="37" fillId="0" borderId="2" xfId="0" applyNumberFormat="1" applyFont="1" applyBorder="1" applyAlignment="1" applyProtection="1">
      <alignment horizontal="center" vertical="center"/>
    </xf>
    <xf numFmtId="41" fontId="37" fillId="0" borderId="2" xfId="0" applyNumberFormat="1" applyFont="1" applyFill="1" applyBorder="1" applyAlignment="1" applyProtection="1">
      <alignment horizontal="center" vertical="center"/>
    </xf>
    <xf numFmtId="41" fontId="37" fillId="0" borderId="29" xfId="0" applyNumberFormat="1" applyFont="1" applyFill="1" applyBorder="1" applyAlignment="1" applyProtection="1">
      <alignment horizontal="center" vertical="center"/>
      <protection locked="0"/>
    </xf>
    <xf numFmtId="41" fontId="37" fillId="0" borderId="33" xfId="0" applyNumberFormat="1" applyFont="1" applyFill="1" applyBorder="1" applyAlignment="1" applyProtection="1">
      <alignment horizontal="center" vertical="center"/>
      <protection locked="0"/>
    </xf>
    <xf numFmtId="41" fontId="37" fillId="0" borderId="280" xfId="0" applyNumberFormat="1" applyFont="1" applyBorder="1" applyAlignment="1" applyProtection="1">
      <alignment vertical="center"/>
    </xf>
    <xf numFmtId="41" fontId="37" fillId="0" borderId="3" xfId="0" applyNumberFormat="1" applyFont="1" applyBorder="1" applyAlignment="1" applyProtection="1">
      <alignment vertical="center"/>
    </xf>
    <xf numFmtId="41" fontId="37" fillId="0" borderId="3" xfId="0" applyNumberFormat="1" applyFont="1" applyBorder="1" applyAlignment="1" applyProtection="1">
      <alignment horizontal="center" vertical="center"/>
    </xf>
    <xf numFmtId="41" fontId="37" fillId="0" borderId="281" xfId="0" applyNumberFormat="1" applyFont="1" applyBorder="1" applyAlignment="1" applyProtection="1">
      <alignment vertical="center"/>
    </xf>
    <xf numFmtId="9" fontId="37" fillId="0" borderId="2" xfId="0" applyNumberFormat="1" applyFont="1" applyBorder="1" applyAlignment="1" applyProtection="1">
      <alignment horizontal="center" vertical="center"/>
      <protection locked="0"/>
    </xf>
    <xf numFmtId="0" fontId="6" fillId="37" borderId="0" xfId="0" quotePrefix="1" applyFont="1" applyFill="1"/>
    <xf numFmtId="41" fontId="155" fillId="37" borderId="0" xfId="14" applyFont="1" applyFill="1" applyBorder="1"/>
    <xf numFmtId="41" fontId="197" fillId="0" borderId="0" xfId="14" applyFont="1" applyBorder="1"/>
    <xf numFmtId="0" fontId="1" fillId="37" borderId="2" xfId="0" applyFont="1" applyFill="1" applyBorder="1"/>
    <xf numFmtId="41" fontId="0" fillId="37" borderId="2" xfId="2" applyFont="1" applyFill="1" applyBorder="1"/>
    <xf numFmtId="0" fontId="0" fillId="37" borderId="2" xfId="0" applyFill="1" applyBorder="1"/>
    <xf numFmtId="14" fontId="0" fillId="0" borderId="2" xfId="0" applyNumberFormat="1" applyBorder="1"/>
    <xf numFmtId="41" fontId="37" fillId="0" borderId="217" xfId="0" applyNumberFormat="1" applyFont="1" applyFill="1" applyBorder="1" applyAlignment="1" applyProtection="1">
      <alignment horizontal="center" vertical="center"/>
      <protection locked="0"/>
    </xf>
    <xf numFmtId="0" fontId="0" fillId="0" borderId="2" xfId="0" applyBorder="1"/>
    <xf numFmtId="0" fontId="4" fillId="17" borderId="28" xfId="0" applyFont="1" applyFill="1" applyBorder="1" applyAlignment="1">
      <alignment horizontal="center" vertical="center" wrapText="1"/>
    </xf>
    <xf numFmtId="41" fontId="4" fillId="17" borderId="28" xfId="0" applyNumberFormat="1" applyFont="1" applyFill="1" applyBorder="1" applyAlignment="1">
      <alignment horizontal="center" vertical="center" wrapText="1"/>
    </xf>
    <xf numFmtId="41" fontId="46" fillId="17" borderId="28" xfId="0" applyNumberFormat="1" applyFont="1" applyFill="1" applyBorder="1" applyAlignment="1">
      <alignment horizontal="center" vertical="center" wrapText="1"/>
    </xf>
    <xf numFmtId="41" fontId="4" fillId="17" borderId="87" xfId="0" applyNumberFormat="1" applyFont="1" applyFill="1" applyBorder="1" applyAlignment="1">
      <alignment horizontal="center" vertical="center" wrapText="1"/>
    </xf>
    <xf numFmtId="41" fontId="4" fillId="17" borderId="29" xfId="0" applyNumberFormat="1" applyFont="1" applyFill="1" applyBorder="1" applyAlignment="1">
      <alignment horizontal="center" vertical="center" wrapText="1"/>
    </xf>
    <xf numFmtId="16" fontId="0" fillId="0" borderId="2" xfId="0" applyNumberFormat="1" applyBorder="1" applyAlignment="1">
      <alignment horizontal="right"/>
    </xf>
    <xf numFmtId="0" fontId="0" fillId="0" borderId="2" xfId="0" applyBorder="1"/>
    <xf numFmtId="41" fontId="193" fillId="0" borderId="2" xfId="275" applyNumberFormat="1" applyFont="1" applyBorder="1" applyAlignment="1" applyProtection="1">
      <alignment vertical="center"/>
      <protection locked="0"/>
    </xf>
    <xf numFmtId="165" fontId="10" fillId="17" borderId="49" xfId="368" applyNumberFormat="1" applyFont="1" applyFill="1" applyBorder="1" applyAlignment="1">
      <alignment horizontal="center" vertical="center" wrapText="1"/>
    </xf>
    <xf numFmtId="165" fontId="10" fillId="17" borderId="50" xfId="368" applyNumberFormat="1" applyFont="1" applyFill="1" applyBorder="1" applyAlignment="1">
      <alignment horizontal="center" vertical="center" wrapText="1"/>
    </xf>
    <xf numFmtId="0" fontId="22" fillId="0" borderId="26" xfId="0" applyFont="1" applyFill="1" applyBorder="1" applyAlignment="1">
      <alignment horizontal="center" vertical="center" wrapText="1"/>
    </xf>
    <xf numFmtId="0" fontId="22" fillId="2" borderId="26" xfId="0" applyFont="1" applyFill="1" applyBorder="1" applyAlignment="1">
      <alignment horizontal="center" vertical="center" wrapText="1"/>
    </xf>
    <xf numFmtId="0" fontId="22" fillId="0" borderId="48" xfId="0" applyFont="1" applyFill="1" applyBorder="1" applyAlignment="1">
      <alignment horizontal="center" vertical="center" wrapText="1"/>
    </xf>
    <xf numFmtId="0" fontId="22" fillId="0" borderId="28"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22" fillId="18" borderId="28" xfId="0" applyFont="1" applyFill="1" applyBorder="1" applyAlignment="1">
      <alignment horizontal="center" vertical="center" wrapText="1"/>
    </xf>
    <xf numFmtId="0" fontId="22" fillId="18" borderId="30" xfId="0" applyFont="1" applyFill="1" applyBorder="1" applyAlignment="1">
      <alignment horizontal="center" vertical="center" wrapText="1"/>
    </xf>
    <xf numFmtId="0" fontId="198" fillId="0" borderId="30" xfId="0" applyFont="1" applyFill="1" applyBorder="1" applyAlignment="1">
      <alignment horizontal="center" vertical="center" wrapText="1"/>
    </xf>
    <xf numFmtId="0" fontId="22" fillId="2" borderId="30" xfId="0" applyFont="1" applyFill="1" applyBorder="1" applyAlignment="1">
      <alignment horizontal="center" vertical="center" wrapText="1"/>
    </xf>
    <xf numFmtId="0" fontId="22" fillId="0" borderId="30" xfId="0" applyFont="1" applyFill="1" applyBorder="1" applyAlignment="1">
      <alignment horizontal="center" vertical="center" wrapText="1"/>
    </xf>
    <xf numFmtId="165" fontId="5" fillId="7" borderId="2" xfId="1" applyNumberFormat="1" applyFont="1" applyFill="1" applyBorder="1" applyAlignment="1">
      <alignment horizontal="center" vertical="center" wrapText="1"/>
    </xf>
    <xf numFmtId="41" fontId="199" fillId="0" borderId="2" xfId="249" applyFont="1" applyBorder="1" applyAlignment="1">
      <alignment horizontal="center" vertical="center"/>
    </xf>
    <xf numFmtId="41" fontId="56" fillId="37" borderId="2" xfId="2" applyFont="1" applyFill="1" applyBorder="1" applyAlignment="1">
      <alignment vertical="center" wrapText="1"/>
    </xf>
    <xf numFmtId="3" fontId="0" fillId="0" borderId="2" xfId="0" applyNumberFormat="1" applyBorder="1"/>
    <xf numFmtId="0" fontId="71" fillId="0" borderId="2" xfId="861" applyFont="1" applyBorder="1" applyAlignment="1">
      <alignment horizontal="center" vertical="center" wrapText="1"/>
    </xf>
    <xf numFmtId="0" fontId="57" fillId="0" borderId="2" xfId="861" applyFont="1" applyBorder="1" applyAlignment="1">
      <alignment vertical="center" wrapText="1"/>
    </xf>
    <xf numFmtId="41" fontId="57" fillId="0" borderId="2" xfId="2" applyFont="1" applyBorder="1" applyAlignment="1">
      <alignment vertical="center" wrapText="1"/>
    </xf>
    <xf numFmtId="164" fontId="56" fillId="0" borderId="2" xfId="861" applyNumberFormat="1" applyFont="1" applyBorder="1" applyAlignment="1">
      <alignment vertical="center" wrapText="1"/>
    </xf>
    <xf numFmtId="0" fontId="56" fillId="0" borderId="2" xfId="861" applyFont="1" applyBorder="1" applyAlignment="1">
      <alignment vertical="center" wrapText="1"/>
    </xf>
    <xf numFmtId="41" fontId="57" fillId="0" borderId="2" xfId="2" applyFont="1" applyBorder="1" applyAlignment="1">
      <alignment horizontal="justify" vertical="center" wrapText="1"/>
    </xf>
    <xf numFmtId="17" fontId="0" fillId="37" borderId="2" xfId="0" applyNumberFormat="1" applyFill="1" applyBorder="1"/>
    <xf numFmtId="41" fontId="57" fillId="0" borderId="2" xfId="2" applyFont="1" applyBorder="1" applyAlignment="1">
      <alignment horizontal="center" vertical="center" wrapText="1"/>
    </xf>
    <xf numFmtId="0" fontId="0" fillId="0" borderId="2" xfId="0" applyBorder="1" applyAlignment="1">
      <alignment horizontal="center" vertical="center"/>
    </xf>
    <xf numFmtId="16" fontId="1" fillId="0" borderId="2" xfId="0" applyNumberFormat="1" applyFont="1" applyBorder="1" applyAlignment="1">
      <alignment horizontal="right"/>
    </xf>
    <xf numFmtId="41" fontId="12" fillId="0" borderId="172" xfId="368" applyNumberFormat="1" applyFont="1" applyBorder="1" applyAlignment="1">
      <alignment horizontal="center" vertical="center"/>
    </xf>
    <xf numFmtId="41" fontId="12" fillId="17" borderId="172" xfId="368" applyNumberFormat="1" applyFont="1" applyFill="1" applyBorder="1" applyAlignment="1">
      <alignment horizontal="center" vertical="center"/>
    </xf>
    <xf numFmtId="41" fontId="12" fillId="17" borderId="178" xfId="368" applyNumberFormat="1" applyFont="1" applyFill="1" applyBorder="1" applyAlignment="1">
      <alignment horizontal="center" vertical="center"/>
    </xf>
    <xf numFmtId="41" fontId="154" fillId="0" borderId="81" xfId="249" applyFont="1" applyBorder="1" applyAlignment="1">
      <alignment vertical="center"/>
    </xf>
    <xf numFmtId="41" fontId="153" fillId="0" borderId="27" xfId="249" applyFont="1" applyBorder="1" applyAlignment="1">
      <alignment vertical="center"/>
    </xf>
    <xf numFmtId="41" fontId="154" fillId="17" borderId="79" xfId="249" applyFont="1" applyFill="1" applyBorder="1" applyAlignment="1">
      <alignment vertical="center"/>
    </xf>
    <xf numFmtId="41" fontId="154" fillId="0" borderId="27" xfId="249" applyFont="1" applyBorder="1" applyAlignment="1">
      <alignment vertical="center"/>
    </xf>
    <xf numFmtId="41" fontId="154" fillId="18" borderId="79" xfId="249" applyFont="1" applyFill="1" applyBorder="1" applyAlignment="1">
      <alignment vertical="center"/>
    </xf>
    <xf numFmtId="41" fontId="154" fillId="0" borderId="79" xfId="249" applyFont="1" applyFill="1" applyBorder="1" applyAlignment="1">
      <alignment vertical="center"/>
    </xf>
    <xf numFmtId="41" fontId="154" fillId="0" borderId="79" xfId="249" applyFont="1" applyBorder="1" applyAlignment="1">
      <alignment vertical="center"/>
    </xf>
    <xf numFmtId="41" fontId="153" fillId="0" borderId="79" xfId="249" applyFont="1" applyFill="1" applyBorder="1" applyAlignment="1">
      <alignment vertical="center"/>
    </xf>
    <xf numFmtId="41" fontId="153" fillId="17" borderId="79" xfId="249" applyFont="1" applyFill="1" applyBorder="1" applyAlignment="1">
      <alignment vertical="center"/>
    </xf>
    <xf numFmtId="41" fontId="153" fillId="18" borderId="79" xfId="249" applyFont="1" applyFill="1" applyBorder="1" applyAlignment="1">
      <alignment vertical="center"/>
    </xf>
    <xf numFmtId="41" fontId="154" fillId="0" borderId="279" xfId="249" applyFont="1" applyBorder="1" applyAlignment="1">
      <alignment vertical="center"/>
    </xf>
    <xf numFmtId="41" fontId="154" fillId="0" borderId="52" xfId="249" applyFont="1" applyBorder="1" applyAlignment="1">
      <alignment vertical="center"/>
    </xf>
    <xf numFmtId="41" fontId="154" fillId="0" borderId="283" xfId="249" applyFont="1" applyBorder="1" applyAlignment="1">
      <alignment vertical="center"/>
    </xf>
    <xf numFmtId="41" fontId="153" fillId="17" borderId="53" xfId="249" applyFont="1" applyFill="1" applyBorder="1" applyAlignment="1">
      <alignment horizontal="center" vertical="center"/>
    </xf>
    <xf numFmtId="41" fontId="153" fillId="17" borderId="166" xfId="249" applyFont="1" applyFill="1" applyBorder="1" applyAlignment="1">
      <alignment horizontal="center" vertical="center"/>
    </xf>
    <xf numFmtId="41" fontId="199" fillId="0" borderId="156" xfId="249" applyFont="1" applyBorder="1" applyAlignment="1">
      <alignment horizontal="center" vertical="center"/>
    </xf>
    <xf numFmtId="41" fontId="199" fillId="0" borderId="157" xfId="249" applyFont="1" applyBorder="1" applyAlignment="1">
      <alignment horizontal="center" vertical="center"/>
    </xf>
    <xf numFmtId="41" fontId="153" fillId="5" borderId="28" xfId="249" applyFont="1" applyFill="1" applyBorder="1" applyAlignment="1">
      <alignment vertical="center"/>
    </xf>
    <xf numFmtId="41" fontId="153" fillId="5" borderId="29" xfId="249" applyFont="1" applyFill="1" applyBorder="1" applyAlignment="1">
      <alignment vertical="center"/>
    </xf>
    <xf numFmtId="41" fontId="154" fillId="5" borderId="29" xfId="249" applyFont="1" applyFill="1" applyBorder="1" applyAlignment="1">
      <alignment vertical="center"/>
    </xf>
    <xf numFmtId="41" fontId="153" fillId="18" borderId="20" xfId="249" applyFont="1" applyFill="1" applyBorder="1" applyAlignment="1">
      <alignment vertical="center"/>
    </xf>
    <xf numFmtId="41" fontId="153" fillId="18" borderId="33" xfId="249" applyFont="1" applyFill="1" applyBorder="1" applyAlignment="1">
      <alignment vertical="center"/>
    </xf>
    <xf numFmtId="41" fontId="153" fillId="0" borderId="20" xfId="249" applyFont="1" applyFill="1" applyBorder="1" applyAlignment="1">
      <alignment vertical="center"/>
    </xf>
    <xf numFmtId="41" fontId="154" fillId="5" borderId="33" xfId="249" applyFont="1" applyFill="1" applyBorder="1" applyAlignment="1">
      <alignment vertical="center"/>
    </xf>
    <xf numFmtId="41" fontId="153" fillId="5" borderId="20" xfId="249" applyFont="1" applyFill="1" applyBorder="1" applyAlignment="1">
      <alignment vertical="center"/>
    </xf>
    <xf numFmtId="41" fontId="153" fillId="18" borderId="20" xfId="249" applyFont="1" applyFill="1" applyBorder="1" applyAlignment="1">
      <alignment horizontal="center" vertical="center"/>
    </xf>
    <xf numFmtId="41" fontId="154" fillId="5" borderId="196" xfId="249" applyFont="1" applyFill="1" applyBorder="1" applyAlignment="1">
      <alignment vertical="center"/>
    </xf>
    <xf numFmtId="41" fontId="153" fillId="5" borderId="66" xfId="249" applyFont="1" applyFill="1" applyBorder="1" applyAlignment="1">
      <alignment vertical="center"/>
    </xf>
    <xf numFmtId="41" fontId="154" fillId="5" borderId="66" xfId="249" applyFont="1" applyFill="1" applyBorder="1" applyAlignment="1">
      <alignment vertical="center"/>
    </xf>
    <xf numFmtId="41" fontId="153" fillId="5" borderId="284" xfId="249" applyFont="1" applyFill="1" applyBorder="1" applyAlignment="1">
      <alignment vertical="center"/>
    </xf>
    <xf numFmtId="41" fontId="153" fillId="5" borderId="64" xfId="249" applyFont="1" applyFill="1" applyBorder="1" applyAlignment="1">
      <alignment vertical="center"/>
    </xf>
    <xf numFmtId="41" fontId="153" fillId="5" borderId="285" xfId="249" applyFont="1" applyFill="1" applyBorder="1" applyAlignment="1">
      <alignment vertical="center"/>
    </xf>
    <xf numFmtId="41" fontId="154" fillId="5" borderId="27" xfId="249" applyFont="1" applyFill="1" applyBorder="1" applyAlignment="1">
      <alignment vertical="center"/>
    </xf>
    <xf numFmtId="41" fontId="154" fillId="5" borderId="279" xfId="249" applyFont="1" applyFill="1" applyBorder="1" applyAlignment="1">
      <alignment vertical="center"/>
    </xf>
    <xf numFmtId="41" fontId="154" fillId="5" borderId="82" xfId="249" applyFont="1" applyFill="1" applyBorder="1" applyAlignment="1">
      <alignment vertical="center"/>
    </xf>
    <xf numFmtId="41" fontId="154" fillId="5" borderId="283" xfId="249" applyFont="1" applyFill="1" applyBorder="1" applyAlignment="1">
      <alignment vertical="center"/>
    </xf>
    <xf numFmtId="41" fontId="153" fillId="5" borderId="27" xfId="249" applyFont="1" applyFill="1" applyBorder="1" applyAlignment="1">
      <alignment vertical="center"/>
    </xf>
    <xf numFmtId="41" fontId="200" fillId="5" borderId="196" xfId="249" applyFont="1" applyFill="1" applyBorder="1" applyAlignment="1">
      <alignment horizontal="left" vertical="center"/>
    </xf>
    <xf numFmtId="41" fontId="200" fillId="5" borderId="66" xfId="249" applyFont="1" applyFill="1" applyBorder="1" applyAlignment="1">
      <alignment horizontal="left" vertical="center"/>
    </xf>
    <xf numFmtId="41" fontId="200" fillId="5" borderId="20" xfId="249" applyFont="1" applyFill="1" applyBorder="1" applyAlignment="1">
      <alignment horizontal="left" vertical="center"/>
    </xf>
    <xf numFmtId="41" fontId="153" fillId="5" borderId="79" xfId="249" applyFont="1" applyFill="1" applyBorder="1" applyAlignment="1">
      <alignment vertical="center"/>
    </xf>
    <xf numFmtId="41" fontId="154" fillId="5" borderId="79" xfId="249" applyFont="1" applyFill="1" applyBorder="1" applyAlignment="1">
      <alignment vertical="center"/>
    </xf>
    <xf numFmtId="41" fontId="153" fillId="18" borderId="80" xfId="249" applyFont="1" applyFill="1" applyBorder="1" applyAlignment="1">
      <alignment vertical="center"/>
    </xf>
    <xf numFmtId="41" fontId="153" fillId="18" borderId="81" xfId="249" applyFont="1" applyFill="1" applyBorder="1" applyAlignment="1">
      <alignment vertical="center"/>
    </xf>
    <xf numFmtId="41" fontId="154" fillId="5" borderId="115" xfId="249" applyFont="1" applyFill="1" applyBorder="1" applyAlignment="1">
      <alignment vertical="center"/>
    </xf>
    <xf numFmtId="41" fontId="154" fillId="17" borderId="80" xfId="249" applyFont="1" applyFill="1" applyBorder="1" applyAlignment="1">
      <alignment vertical="center"/>
    </xf>
    <xf numFmtId="41" fontId="154" fillId="5" borderId="154" xfId="249" applyFont="1" applyFill="1" applyBorder="1" applyAlignment="1">
      <alignment vertical="center"/>
    </xf>
    <xf numFmtId="41" fontId="153" fillId="18" borderId="37" xfId="249" applyFont="1" applyFill="1" applyBorder="1" applyAlignment="1">
      <alignment horizontal="center" vertical="center"/>
    </xf>
    <xf numFmtId="41" fontId="154" fillId="5" borderId="81" xfId="249" applyFont="1" applyFill="1" applyBorder="1" applyAlignment="1">
      <alignment vertical="center"/>
    </xf>
    <xf numFmtId="41" fontId="153" fillId="17" borderId="80" xfId="249" applyFont="1" applyFill="1" applyBorder="1" applyAlignment="1">
      <alignment vertical="center"/>
    </xf>
    <xf numFmtId="41" fontId="153" fillId="18" borderId="80" xfId="249" applyFont="1" applyFill="1" applyBorder="1" applyAlignment="1">
      <alignment horizontal="center" vertical="center"/>
    </xf>
    <xf numFmtId="165" fontId="156" fillId="17" borderId="62" xfId="368" applyNumberFormat="1" applyFont="1" applyFill="1" applyBorder="1" applyAlignment="1">
      <alignment horizontal="center" vertical="center" wrapText="1"/>
    </xf>
    <xf numFmtId="41" fontId="153" fillId="18" borderId="53" xfId="249" applyFont="1" applyFill="1" applyBorder="1" applyAlignment="1">
      <alignment horizontal="center" vertical="center"/>
    </xf>
    <xf numFmtId="41" fontId="153" fillId="18" borderId="166" xfId="249" applyFont="1" applyFill="1" applyBorder="1" applyAlignment="1">
      <alignment horizontal="center" vertical="center"/>
    </xf>
    <xf numFmtId="41" fontId="154" fillId="0" borderId="80" xfId="249" applyFont="1" applyBorder="1" applyAlignment="1">
      <alignment vertical="center"/>
    </xf>
    <xf numFmtId="41" fontId="154" fillId="18" borderId="166" xfId="249" applyFont="1" applyFill="1" applyBorder="1" applyAlignment="1">
      <alignment vertical="center"/>
    </xf>
    <xf numFmtId="41" fontId="154" fillId="5" borderId="24" xfId="249" applyFont="1" applyFill="1" applyBorder="1" applyAlignment="1">
      <alignment vertical="center"/>
    </xf>
    <xf numFmtId="41" fontId="200" fillId="5" borderId="24" xfId="249" applyFont="1" applyFill="1" applyBorder="1" applyAlignment="1">
      <alignment vertical="center"/>
    </xf>
    <xf numFmtId="41" fontId="200" fillId="5" borderId="66" xfId="249" applyFont="1" applyFill="1" applyBorder="1" applyAlignment="1">
      <alignment vertical="center"/>
    </xf>
    <xf numFmtId="41" fontId="200" fillId="5" borderId="20" xfId="249" applyFont="1" applyFill="1" applyBorder="1" applyAlignment="1">
      <alignment vertical="center"/>
    </xf>
    <xf numFmtId="165" fontId="156" fillId="17" borderId="2" xfId="368" applyNumberFormat="1" applyFont="1" applyFill="1" applyBorder="1" applyAlignment="1">
      <alignment horizontal="center" vertical="center" wrapText="1"/>
    </xf>
    <xf numFmtId="165" fontId="10" fillId="17" borderId="152" xfId="368" applyNumberFormat="1" applyFont="1" applyFill="1" applyBorder="1" applyAlignment="1">
      <alignment horizontal="center" vertical="center"/>
    </xf>
    <xf numFmtId="165" fontId="25" fillId="17" borderId="76" xfId="368" applyNumberFormat="1" applyFont="1" applyFill="1" applyBorder="1" applyAlignment="1">
      <alignment vertical="center"/>
    </xf>
    <xf numFmtId="0" fontId="22" fillId="0" borderId="2" xfId="0" applyFont="1" applyBorder="1" applyAlignment="1" applyProtection="1">
      <alignment horizontal="center" vertical="center" wrapText="1"/>
    </xf>
    <xf numFmtId="41" fontId="22" fillId="0" borderId="2" xfId="0" applyNumberFormat="1" applyFont="1" applyBorder="1" applyAlignment="1" applyProtection="1">
      <alignment horizontal="center" vertical="center" wrapText="1"/>
    </xf>
    <xf numFmtId="0" fontId="23" fillId="0" borderId="2" xfId="0" applyFont="1" applyBorder="1" applyAlignment="1">
      <alignment horizontal="center" vertical="center" wrapText="1"/>
    </xf>
    <xf numFmtId="41" fontId="12" fillId="17" borderId="204" xfId="0" applyNumberFormat="1" applyFont="1" applyFill="1" applyBorder="1" applyAlignment="1" applyProtection="1">
      <alignment vertical="center"/>
    </xf>
    <xf numFmtId="41" fontId="12" fillId="17" borderId="170" xfId="0" applyNumberFormat="1" applyFont="1" applyFill="1" applyBorder="1" applyAlignment="1" applyProtection="1">
      <alignment vertical="center"/>
    </xf>
    <xf numFmtId="41" fontId="12" fillId="17" borderId="215" xfId="0" applyNumberFormat="1" applyFont="1" applyFill="1" applyBorder="1" applyAlignment="1" applyProtection="1">
      <alignment vertical="center"/>
    </xf>
    <xf numFmtId="41" fontId="4" fillId="0" borderId="203" xfId="0" applyNumberFormat="1" applyFont="1" applyBorder="1" applyAlignment="1" applyProtection="1">
      <alignment horizontal="center" vertical="center"/>
    </xf>
    <xf numFmtId="41" fontId="6" fillId="0" borderId="205" xfId="0" applyNumberFormat="1" applyFont="1" applyBorder="1" applyAlignment="1" applyProtection="1">
      <alignment horizontal="center" vertical="center"/>
    </xf>
    <xf numFmtId="41" fontId="12" fillId="17" borderId="57" xfId="0" applyNumberFormat="1" applyFont="1" applyFill="1" applyBorder="1" applyAlignment="1" applyProtection="1">
      <alignment vertical="center"/>
    </xf>
    <xf numFmtId="41" fontId="4" fillId="0" borderId="145" xfId="0" applyNumberFormat="1" applyFont="1" applyBorder="1" applyAlignment="1" applyProtection="1">
      <alignment horizontal="center" vertical="center"/>
    </xf>
    <xf numFmtId="0" fontId="12" fillId="0" borderId="28" xfId="1176" applyFont="1" applyBorder="1" applyAlignment="1">
      <alignment horizontal="center" vertical="center"/>
    </xf>
    <xf numFmtId="41" fontId="3" fillId="17" borderId="51" xfId="1176" applyNumberFormat="1" applyFont="1" applyFill="1" applyBorder="1" applyAlignment="1">
      <alignment vertical="center"/>
    </xf>
    <xf numFmtId="165" fontId="3" fillId="17" borderId="51" xfId="1" applyNumberFormat="1" applyFont="1" applyFill="1" applyBorder="1" applyAlignment="1">
      <alignment vertical="center"/>
    </xf>
    <xf numFmtId="0" fontId="12" fillId="0" borderId="26" xfId="1176" applyFont="1" applyBorder="1" applyAlignment="1">
      <alignment horizontal="center" vertical="center"/>
    </xf>
    <xf numFmtId="0" fontId="14" fillId="0" borderId="163" xfId="1176" applyFont="1" applyBorder="1" applyAlignment="1">
      <alignment horizontal="center" vertical="center"/>
    </xf>
    <xf numFmtId="0" fontId="14" fillId="0" borderId="53" xfId="1176" applyFont="1" applyBorder="1" applyAlignment="1">
      <alignment horizontal="center" vertical="center"/>
    </xf>
    <xf numFmtId="0" fontId="14" fillId="0" borderId="166" xfId="1176" applyFont="1" applyBorder="1" applyAlignment="1">
      <alignment horizontal="center" vertical="center"/>
    </xf>
    <xf numFmtId="0" fontId="84" fillId="0" borderId="31" xfId="1069" applyFont="1" applyBorder="1"/>
    <xf numFmtId="0" fontId="84" fillId="0" borderId="86" xfId="1069" applyFont="1" applyBorder="1"/>
    <xf numFmtId="0" fontId="84" fillId="5" borderId="86" xfId="1069" applyFont="1" applyFill="1" applyBorder="1"/>
    <xf numFmtId="0" fontId="84" fillId="5" borderId="33" xfId="1069" applyFont="1" applyFill="1" applyBorder="1"/>
    <xf numFmtId="0" fontId="81" fillId="0" borderId="31" xfId="1069" applyFont="1" applyBorder="1" applyAlignment="1">
      <alignment horizontal="justify" vertical="center"/>
    </xf>
    <xf numFmtId="0" fontId="86" fillId="0" borderId="86" xfId="1069" applyFont="1" applyBorder="1" applyAlignment="1">
      <alignment vertical="center"/>
    </xf>
    <xf numFmtId="0" fontId="86" fillId="5" borderId="86" xfId="1069" applyFont="1" applyFill="1" applyBorder="1" applyAlignment="1">
      <alignment vertical="center"/>
    </xf>
    <xf numFmtId="0" fontId="86" fillId="5" borderId="33" xfId="1069" applyFont="1" applyFill="1" applyBorder="1" applyAlignment="1">
      <alignment vertical="center"/>
    </xf>
    <xf numFmtId="0" fontId="82" fillId="5" borderId="77" xfId="1069" applyFont="1" applyFill="1" applyBorder="1" applyAlignment="1">
      <alignment horizontal="center" vertical="center"/>
    </xf>
    <xf numFmtId="0" fontId="82" fillId="5" borderId="29" xfId="1069" applyFont="1" applyFill="1" applyBorder="1" applyAlignment="1">
      <alignment horizontal="center" vertical="center"/>
    </xf>
    <xf numFmtId="0" fontId="82" fillId="5" borderId="83" xfId="1069" applyFont="1" applyFill="1" applyBorder="1" applyAlignment="1">
      <alignment horizontal="center" vertical="center"/>
    </xf>
    <xf numFmtId="0" fontId="81" fillId="0" borderId="31" xfId="1069" applyFont="1" applyBorder="1" applyAlignment="1">
      <alignment horizontal="center" vertical="center"/>
    </xf>
    <xf numFmtId="0" fontId="86" fillId="0" borderId="86" xfId="1069" applyFont="1" applyBorder="1" applyAlignment="1">
      <alignment horizontal="center" vertical="center"/>
    </xf>
    <xf numFmtId="0" fontId="86" fillId="5" borderId="86" xfId="1069" applyFont="1" applyFill="1" applyBorder="1" applyAlignment="1">
      <alignment horizontal="center" vertical="center"/>
    </xf>
    <xf numFmtId="0" fontId="86" fillId="5" borderId="33" xfId="1069" applyFont="1" applyFill="1" applyBorder="1" applyAlignment="1">
      <alignment horizontal="center" vertical="center"/>
    </xf>
    <xf numFmtId="0" fontId="202" fillId="0" borderId="0" xfId="1069" applyFont="1" applyAlignment="1">
      <alignment horizontal="center" vertical="center"/>
    </xf>
    <xf numFmtId="0" fontId="201" fillId="0" borderId="0" xfId="1069" applyFont="1" applyAlignment="1">
      <alignment horizontal="center" vertical="center"/>
    </xf>
    <xf numFmtId="0" fontId="201" fillId="5" borderId="0" xfId="1069" applyFont="1" applyFill="1" applyAlignment="1">
      <alignment horizontal="center" vertical="center"/>
    </xf>
    <xf numFmtId="0" fontId="203" fillId="0" borderId="0" xfId="1069" applyFont="1" applyAlignment="1">
      <alignment horizontal="center" vertical="center"/>
    </xf>
    <xf numFmtId="0" fontId="204" fillId="0" borderId="0" xfId="1069" applyFont="1" applyAlignment="1">
      <alignment horizontal="center" vertical="center"/>
    </xf>
    <xf numFmtId="0" fontId="204" fillId="5" borderId="0" xfId="1069" applyFont="1" applyFill="1" applyAlignment="1">
      <alignment horizontal="center" vertical="center"/>
    </xf>
    <xf numFmtId="0" fontId="22" fillId="0" borderId="54" xfId="0" applyFont="1" applyBorder="1" applyAlignment="1" applyProtection="1">
      <alignment horizontal="center" vertical="center" textRotation="90" wrapText="1"/>
    </xf>
    <xf numFmtId="0" fontId="22" fillId="0" borderId="2" xfId="0" applyFont="1" applyBorder="1" applyAlignment="1" applyProtection="1">
      <alignment horizontal="center" vertical="center" textRotation="90" wrapText="1"/>
    </xf>
    <xf numFmtId="41" fontId="22" fillId="0" borderId="2" xfId="0" applyNumberFormat="1" applyFont="1" applyFill="1" applyBorder="1" applyAlignment="1">
      <alignment horizontal="center" vertical="center" wrapText="1"/>
    </xf>
    <xf numFmtId="41" fontId="22" fillId="0" borderId="80" xfId="0" applyNumberFormat="1" applyFont="1" applyFill="1" applyBorder="1" applyAlignment="1">
      <alignment horizontal="center" vertical="center" wrapText="1"/>
    </xf>
    <xf numFmtId="1" fontId="4" fillId="0" borderId="163" xfId="0" applyNumberFormat="1" applyFont="1" applyFill="1" applyBorder="1" applyAlignment="1">
      <alignment horizontal="center" vertical="center" wrapText="1"/>
    </xf>
    <xf numFmtId="1" fontId="4" fillId="0" borderId="53" xfId="0" applyNumberFormat="1" applyFont="1" applyFill="1" applyBorder="1" applyAlignment="1">
      <alignment horizontal="center" vertical="center" wrapText="1"/>
    </xf>
    <xf numFmtId="0" fontId="22" fillId="0" borderId="53" xfId="0" applyFont="1" applyBorder="1" applyAlignment="1" applyProtection="1">
      <alignment horizontal="center" vertical="center" textRotation="90" wrapText="1"/>
    </xf>
    <xf numFmtId="1" fontId="46" fillId="0" borderId="53" xfId="0" applyNumberFormat="1" applyFont="1" applyFill="1" applyBorder="1" applyAlignment="1">
      <alignment horizontal="center" vertical="center" wrapText="1"/>
    </xf>
    <xf numFmtId="37" fontId="46" fillId="0" borderId="53" xfId="0" applyNumberFormat="1" applyFont="1" applyFill="1" applyBorder="1" applyAlignment="1">
      <alignment horizontal="center" vertical="center" wrapText="1"/>
    </xf>
    <xf numFmtId="1" fontId="46" fillId="0" borderId="166" xfId="0" applyNumberFormat="1" applyFont="1" applyFill="1" applyBorder="1" applyAlignment="1">
      <alignment horizontal="center" vertical="center" wrapText="1"/>
    </xf>
    <xf numFmtId="0" fontId="37" fillId="0" borderId="80" xfId="1173" applyFont="1" applyBorder="1" applyAlignment="1">
      <alignment horizontal="center" vertical="center"/>
    </xf>
    <xf numFmtId="0" fontId="37" fillId="0" borderId="2" xfId="1173" applyFont="1" applyBorder="1" applyAlignment="1">
      <alignment vertical="center"/>
    </xf>
    <xf numFmtId="41" fontId="37" fillId="0" borderId="2" xfId="1173" applyNumberFormat="1" applyFont="1" applyBorder="1" applyAlignment="1">
      <alignment vertical="center"/>
    </xf>
    <xf numFmtId="41" fontId="37" fillId="0" borderId="80" xfId="1173" applyNumberFormat="1" applyFont="1" applyBorder="1" applyAlignment="1">
      <alignment vertical="center"/>
    </xf>
    <xf numFmtId="41" fontId="12" fillId="0" borderId="53" xfId="1173" applyNumberFormat="1" applyFont="1" applyBorder="1" applyAlignment="1">
      <alignment horizontal="center" vertical="center"/>
    </xf>
    <xf numFmtId="41" fontId="12" fillId="0" borderId="166" xfId="1173" applyNumberFormat="1" applyFont="1" applyBorder="1" applyAlignment="1">
      <alignment horizontal="center" vertical="center"/>
    </xf>
    <xf numFmtId="0" fontId="37" fillId="0" borderId="51" xfId="1173" applyFont="1" applyBorder="1" applyAlignment="1">
      <alignment horizontal="center" vertical="center"/>
    </xf>
    <xf numFmtId="0" fontId="12" fillId="0" borderId="51" xfId="1173" applyFont="1" applyBorder="1" applyAlignment="1">
      <alignment horizontal="center" vertical="center"/>
    </xf>
    <xf numFmtId="0" fontId="12" fillId="0" borderId="52" xfId="1173" applyFont="1" applyBorder="1" applyAlignment="1">
      <alignment horizontal="center" vertical="center"/>
    </xf>
    <xf numFmtId="0" fontId="37" fillId="0" borderId="46" xfId="1173" applyFont="1" applyBorder="1" applyAlignment="1">
      <alignment horizontal="left" vertical="center"/>
    </xf>
    <xf numFmtId="0" fontId="37" fillId="0" borderId="2" xfId="1173" quotePrefix="1" applyFont="1" applyBorder="1" applyAlignment="1">
      <alignment horizontal="center" vertical="center"/>
    </xf>
    <xf numFmtId="41" fontId="12" fillId="0" borderId="2" xfId="1173" applyNumberFormat="1" applyFont="1" applyBorder="1" applyAlignment="1" applyProtection="1">
      <alignment vertical="center"/>
    </xf>
    <xf numFmtId="0" fontId="37" fillId="0" borderId="46" xfId="1173" applyFont="1" applyBorder="1" applyAlignment="1">
      <alignment horizontal="center" vertical="center"/>
    </xf>
    <xf numFmtId="41" fontId="12" fillId="0" borderId="80" xfId="1173" applyNumberFormat="1" applyFont="1" applyBorder="1" applyAlignment="1" applyProtection="1">
      <alignment vertical="center"/>
    </xf>
    <xf numFmtId="0" fontId="37" fillId="0" borderId="163" xfId="1173" applyFont="1" applyBorder="1" applyAlignment="1">
      <alignment vertical="center"/>
    </xf>
    <xf numFmtId="0" fontId="37" fillId="0" borderId="45" xfId="1173" applyFont="1" applyBorder="1" applyAlignment="1">
      <alignment horizontal="center" vertical="center"/>
    </xf>
    <xf numFmtId="0" fontId="37" fillId="0" borderId="52" xfId="1173" applyFont="1" applyBorder="1" applyAlignment="1">
      <alignment horizontal="center" vertical="center"/>
    </xf>
    <xf numFmtId="41" fontId="37" fillId="0" borderId="52" xfId="1173" applyNumberFormat="1" applyFont="1" applyFill="1" applyBorder="1" applyAlignment="1">
      <alignment vertical="center"/>
    </xf>
    <xf numFmtId="0" fontId="37" fillId="0" borderId="30" xfId="1173" applyFont="1" applyBorder="1" applyAlignment="1">
      <alignment horizontal="center" vertical="center"/>
    </xf>
    <xf numFmtId="0" fontId="12" fillId="0" borderId="30" xfId="1173" applyFont="1" applyBorder="1" applyAlignment="1">
      <alignment horizontal="center" vertical="center"/>
    </xf>
    <xf numFmtId="0" fontId="12" fillId="0" borderId="159" xfId="1173" applyFont="1" applyBorder="1" applyAlignment="1">
      <alignment horizontal="center" vertical="center"/>
    </xf>
    <xf numFmtId="41" fontId="12" fillId="0" borderId="44" xfId="1173" applyNumberFormat="1" applyFont="1" applyBorder="1" applyAlignment="1">
      <alignment horizontal="center" vertical="center"/>
    </xf>
    <xf numFmtId="41" fontId="12" fillId="0" borderId="50" xfId="1173" applyNumberFormat="1" applyFont="1" applyBorder="1" applyAlignment="1">
      <alignment horizontal="center" vertical="center"/>
    </xf>
    <xf numFmtId="0" fontId="37" fillId="0" borderId="51" xfId="1173" quotePrefix="1" applyFont="1" applyBorder="1" applyAlignment="1">
      <alignment horizontal="center" vertical="center"/>
    </xf>
    <xf numFmtId="0" fontId="37" fillId="0" borderId="261" xfId="1173" applyFont="1" applyBorder="1" applyAlignment="1">
      <alignment horizontal="center" vertical="center"/>
    </xf>
    <xf numFmtId="0" fontId="37" fillId="0" borderId="159" xfId="1173" applyFont="1" applyBorder="1" applyAlignment="1">
      <alignment horizontal="center" vertical="center"/>
    </xf>
    <xf numFmtId="0" fontId="37" fillId="0" borderId="43" xfId="1173" applyFont="1" applyBorder="1" applyAlignment="1">
      <alignment horizontal="left" vertical="center"/>
    </xf>
    <xf numFmtId="9" fontId="37" fillId="0" borderId="17" xfId="1173" applyNumberFormat="1" applyFont="1" applyBorder="1" applyAlignment="1" applyProtection="1">
      <alignment horizontal="center" vertical="center"/>
      <protection locked="0"/>
    </xf>
    <xf numFmtId="41" fontId="37" fillId="0" borderId="17" xfId="1173" applyNumberFormat="1" applyFont="1" applyBorder="1" applyAlignment="1" applyProtection="1">
      <alignment vertical="center"/>
    </xf>
    <xf numFmtId="41" fontId="37" fillId="0" borderId="81" xfId="1173" applyNumberFormat="1" applyFont="1" applyBorder="1" applyAlignment="1" applyProtection="1">
      <alignment vertical="center"/>
    </xf>
    <xf numFmtId="41" fontId="12" fillId="0" borderId="54" xfId="1173" applyNumberFormat="1" applyFont="1" applyBorder="1" applyAlignment="1" applyProtection="1">
      <alignment vertical="center"/>
    </xf>
    <xf numFmtId="41" fontId="12" fillId="0" borderId="167" xfId="1173" applyNumberFormat="1" applyFont="1" applyBorder="1" applyAlignment="1" applyProtection="1">
      <alignment vertical="center"/>
    </xf>
    <xf numFmtId="0" fontId="11" fillId="0" borderId="0" xfId="861" applyFont="1" applyFill="1" applyAlignment="1">
      <alignment horizontal="center" vertical="center"/>
    </xf>
    <xf numFmtId="0" fontId="14" fillId="0" borderId="0" xfId="861" applyFont="1" applyFill="1" applyBorder="1" applyAlignment="1">
      <alignment horizontal="center" vertical="center"/>
    </xf>
    <xf numFmtId="0" fontId="14" fillId="0" borderId="0" xfId="0" applyFont="1" applyFill="1" applyBorder="1" applyAlignment="1">
      <alignment horizontal="center" vertical="center"/>
    </xf>
    <xf numFmtId="0" fontId="14" fillId="0" borderId="0" xfId="861" applyFont="1" applyFill="1" applyAlignment="1">
      <alignment horizontal="center" vertical="center"/>
    </xf>
    <xf numFmtId="165" fontId="1" fillId="0" borderId="228" xfId="693" applyNumberFormat="1" applyFont="1" applyFill="1" applyBorder="1" applyAlignment="1">
      <alignment horizontal="center" vertical="center"/>
    </xf>
    <xf numFmtId="9" fontId="1" fillId="0" borderId="230" xfId="1182" applyFont="1" applyFill="1" applyBorder="1" applyAlignment="1">
      <alignment horizontal="center" vertical="center"/>
    </xf>
    <xf numFmtId="165" fontId="1" fillId="0" borderId="0" xfId="693" applyNumberFormat="1" applyFont="1" applyFill="1" applyAlignment="1">
      <alignment horizontal="center" vertical="center"/>
    </xf>
    <xf numFmtId="165" fontId="1" fillId="0" borderId="229" xfId="693" applyNumberFormat="1" applyFont="1" applyFill="1" applyBorder="1" applyAlignment="1">
      <alignment horizontal="center" vertical="center"/>
    </xf>
    <xf numFmtId="165" fontId="1" fillId="0" borderId="222" xfId="693" applyNumberFormat="1" applyFont="1" applyFill="1" applyBorder="1" applyAlignment="1">
      <alignment horizontal="center" vertical="center" wrapText="1"/>
    </xf>
    <xf numFmtId="9" fontId="1" fillId="0" borderId="225" xfId="1182" applyFont="1" applyFill="1" applyBorder="1" applyAlignment="1">
      <alignment horizontal="center" vertical="center"/>
    </xf>
    <xf numFmtId="9" fontId="11" fillId="0" borderId="221" xfId="1182" applyFont="1" applyFill="1" applyBorder="1" applyAlignment="1">
      <alignment horizontal="center" vertical="center"/>
    </xf>
    <xf numFmtId="165" fontId="11" fillId="0" borderId="221" xfId="693" applyNumberFormat="1" applyFont="1" applyFill="1" applyBorder="1" applyAlignment="1">
      <alignment horizontal="center" vertical="center"/>
    </xf>
    <xf numFmtId="165" fontId="1" fillId="0" borderId="230" xfId="693" applyNumberFormat="1" applyFont="1" applyFill="1" applyBorder="1" applyAlignment="1">
      <alignment horizontal="center" vertical="center"/>
    </xf>
    <xf numFmtId="165" fontId="1" fillId="0" borderId="225" xfId="693" applyNumberFormat="1" applyFont="1" applyFill="1" applyBorder="1" applyAlignment="1">
      <alignment horizontal="center" vertical="center"/>
    </xf>
    <xf numFmtId="0" fontId="37" fillId="0" borderId="0" xfId="1173" applyFont="1" applyFill="1" applyBorder="1" applyAlignment="1">
      <alignment horizontal="left" vertical="center"/>
    </xf>
    <xf numFmtId="0" fontId="37" fillId="0" borderId="0" xfId="1173" applyFont="1" applyBorder="1" applyAlignment="1">
      <alignment horizontal="left" vertical="center"/>
    </xf>
    <xf numFmtId="0" fontId="37" fillId="0" borderId="0" xfId="1173" applyFont="1" applyAlignment="1">
      <alignment horizontal="left" vertical="center"/>
    </xf>
    <xf numFmtId="41" fontId="39" fillId="0" borderId="0" xfId="1173" applyNumberFormat="1" applyFont="1" applyAlignment="1">
      <alignment horizontal="left"/>
    </xf>
    <xf numFmtId="41" fontId="37" fillId="0" borderId="0" xfId="1173" applyNumberFormat="1" applyFont="1" applyAlignment="1">
      <alignment horizontal="left"/>
    </xf>
    <xf numFmtId="0" fontId="0" fillId="0" borderId="51" xfId="0" applyBorder="1" applyAlignment="1">
      <alignment vertical="center"/>
    </xf>
    <xf numFmtId="41" fontId="0" fillId="0" borderId="51" xfId="2" applyFont="1" applyBorder="1" applyAlignment="1">
      <alignment vertical="center"/>
    </xf>
    <xf numFmtId="41" fontId="0" fillId="0" borderId="52" xfId="2" applyFont="1" applyBorder="1" applyAlignment="1">
      <alignment vertical="center"/>
    </xf>
    <xf numFmtId="41" fontId="0" fillId="0" borderId="83" xfId="2" applyFont="1" applyBorder="1" applyAlignment="1">
      <alignment vertical="center"/>
    </xf>
    <xf numFmtId="41" fontId="12" fillId="0" borderId="53" xfId="2" applyFont="1" applyBorder="1" applyAlignment="1">
      <alignment horizontal="center" vertical="center" wrapText="1"/>
    </xf>
    <xf numFmtId="41" fontId="12" fillId="0" borderId="166" xfId="2" applyFont="1" applyBorder="1" applyAlignment="1">
      <alignment horizontal="center" vertical="center" wrapText="1"/>
    </xf>
    <xf numFmtId="41" fontId="12" fillId="0" borderId="165" xfId="2" applyFont="1" applyBorder="1" applyAlignment="1">
      <alignment horizontal="center" vertical="center" wrapText="1"/>
    </xf>
    <xf numFmtId="41" fontId="37" fillId="38" borderId="2" xfId="275" applyNumberFormat="1" applyFont="1" applyFill="1" applyBorder="1" applyAlignment="1" applyProtection="1">
      <alignment vertical="center"/>
      <protection locked="0"/>
    </xf>
    <xf numFmtId="41" fontId="37" fillId="38" borderId="51" xfId="275" applyNumberFormat="1" applyFont="1" applyFill="1" applyBorder="1" applyAlignment="1" applyProtection="1">
      <alignment vertical="center"/>
      <protection locked="0"/>
    </xf>
    <xf numFmtId="41" fontId="37" fillId="38" borderId="51" xfId="2" applyFont="1" applyFill="1" applyBorder="1" applyAlignment="1" applyProtection="1">
      <alignment vertical="center"/>
      <protection locked="0"/>
    </xf>
    <xf numFmtId="0" fontId="0" fillId="0" borderId="2" xfId="0" applyBorder="1"/>
    <xf numFmtId="41" fontId="37" fillId="38" borderId="17" xfId="275" applyNumberFormat="1" applyFont="1" applyFill="1" applyBorder="1" applyAlignment="1" applyProtection="1">
      <alignment vertical="center"/>
      <protection locked="0"/>
    </xf>
    <xf numFmtId="0" fontId="0" fillId="0" borderId="2" xfId="0" applyBorder="1" applyAlignment="1">
      <alignment vertical="center"/>
    </xf>
    <xf numFmtId="41" fontId="205" fillId="0" borderId="146" xfId="1176" applyNumberFormat="1" applyFont="1" applyFill="1" applyBorder="1" applyAlignment="1" applyProtection="1">
      <alignment horizontal="left" vertical="center" wrapText="1"/>
      <protection locked="0"/>
    </xf>
    <xf numFmtId="171" fontId="206" fillId="5" borderId="0" xfId="1069" quotePrefix="1" applyNumberFormat="1" applyFont="1" applyFill="1" applyBorder="1" applyAlignment="1">
      <alignment horizontal="center" vertical="center"/>
    </xf>
    <xf numFmtId="41" fontId="0" fillId="0" borderId="20" xfId="2" applyFont="1" applyBorder="1" applyAlignment="1">
      <alignment vertical="center"/>
    </xf>
    <xf numFmtId="41" fontId="5" fillId="16" borderId="2" xfId="2" applyFont="1" applyFill="1" applyBorder="1" applyAlignment="1">
      <alignment horizontal="center" vertical="center"/>
    </xf>
    <xf numFmtId="0" fontId="12" fillId="0" borderId="30" xfId="0" applyFont="1" applyFill="1" applyBorder="1" applyAlignment="1">
      <alignment vertical="center"/>
    </xf>
    <xf numFmtId="164" fontId="37" fillId="0" borderId="2" xfId="0" applyNumberFormat="1" applyFont="1" applyFill="1" applyBorder="1" applyAlignment="1">
      <alignment vertical="center"/>
    </xf>
    <xf numFmtId="165" fontId="0" fillId="0" borderId="51" xfId="1" applyNumberFormat="1" applyFont="1" applyBorder="1"/>
    <xf numFmtId="165" fontId="0" fillId="0" borderId="52" xfId="1" applyNumberFormat="1" applyFont="1" applyBorder="1"/>
    <xf numFmtId="165" fontId="0" fillId="0" borderId="83" xfId="1" applyNumberFormat="1" applyFont="1" applyBorder="1"/>
    <xf numFmtId="165" fontId="0" fillId="0" borderId="51" xfId="1" applyNumberFormat="1" applyFont="1" applyBorder="1" applyAlignment="1">
      <alignment horizontal="center" vertical="center" wrapText="1"/>
    </xf>
    <xf numFmtId="165" fontId="0" fillId="0" borderId="65" xfId="1" applyNumberFormat="1" applyFont="1" applyBorder="1" applyAlignment="1">
      <alignment horizontal="center" vertical="center" wrapText="1"/>
    </xf>
    <xf numFmtId="165" fontId="0" fillId="0" borderId="2" xfId="1" applyNumberFormat="1" applyFont="1" applyBorder="1"/>
    <xf numFmtId="165" fontId="0" fillId="0" borderId="80" xfId="1" applyNumberFormat="1" applyFont="1" applyBorder="1"/>
    <xf numFmtId="165" fontId="0" fillId="0" borderId="20" xfId="1" applyNumberFormat="1" applyFont="1" applyBorder="1"/>
    <xf numFmtId="165" fontId="0" fillId="0" borderId="2" xfId="1" applyNumberFormat="1" applyFont="1" applyBorder="1" applyAlignment="1">
      <alignment horizontal="center" vertical="center" wrapText="1"/>
    </xf>
    <xf numFmtId="165" fontId="0" fillId="0" borderId="24" xfId="1" applyNumberFormat="1" applyFont="1" applyBorder="1" applyAlignment="1">
      <alignment horizontal="center" vertical="center" wrapText="1"/>
    </xf>
    <xf numFmtId="165" fontId="0" fillId="0" borderId="24" xfId="1" applyNumberFormat="1" applyFont="1" applyBorder="1"/>
    <xf numFmtId="165" fontId="13" fillId="0" borderId="2" xfId="1" applyNumberFormat="1" applyFont="1" applyFill="1" applyBorder="1" applyAlignment="1">
      <alignment vertical="center"/>
    </xf>
    <xf numFmtId="165" fontId="13" fillId="0" borderId="80" xfId="1" applyNumberFormat="1" applyFont="1" applyFill="1" applyBorder="1" applyAlignment="1">
      <alignment vertical="center"/>
    </xf>
    <xf numFmtId="165" fontId="13" fillId="0" borderId="20" xfId="1" applyNumberFormat="1" applyFont="1" applyFill="1" applyBorder="1" applyAlignment="1">
      <alignment vertical="center"/>
    </xf>
    <xf numFmtId="165" fontId="13" fillId="0" borderId="24" xfId="1" applyNumberFormat="1" applyFont="1" applyFill="1" applyBorder="1" applyAlignment="1">
      <alignment vertical="center"/>
    </xf>
    <xf numFmtId="165" fontId="13" fillId="0" borderId="17" xfId="1" applyNumberFormat="1" applyFont="1" applyFill="1" applyBorder="1" applyAlignment="1">
      <alignment vertical="center"/>
    </xf>
    <xf numFmtId="165" fontId="13" fillId="0" borderId="31" xfId="1" applyNumberFormat="1" applyFont="1" applyFill="1" applyBorder="1" applyAlignment="1">
      <alignment vertical="center"/>
    </xf>
    <xf numFmtId="165" fontId="13" fillId="0" borderId="81" xfId="1" applyNumberFormat="1" applyFont="1" applyFill="1" applyBorder="1" applyAlignment="1">
      <alignment vertical="center"/>
    </xf>
    <xf numFmtId="165" fontId="13" fillId="0" borderId="33" xfId="1" applyNumberFormat="1" applyFont="1" applyFill="1" applyBorder="1" applyAlignment="1">
      <alignment vertical="center"/>
    </xf>
    <xf numFmtId="165" fontId="13" fillId="0" borderId="32" xfId="1" applyNumberFormat="1" applyFont="1" applyFill="1" applyBorder="1" applyAlignment="1">
      <alignment vertical="center"/>
    </xf>
    <xf numFmtId="165" fontId="13" fillId="0" borderId="90" xfId="1" applyNumberFormat="1" applyFont="1" applyFill="1" applyBorder="1" applyAlignment="1">
      <alignment vertical="center"/>
    </xf>
    <xf numFmtId="165" fontId="6" fillId="38" borderId="126" xfId="1" applyNumberFormat="1" applyFont="1" applyFill="1" applyBorder="1" applyAlignment="1">
      <alignment vertical="center"/>
    </xf>
    <xf numFmtId="41" fontId="37" fillId="33" borderId="67" xfId="0" applyNumberFormat="1" applyFont="1" applyFill="1" applyBorder="1" applyAlignment="1" applyProtection="1">
      <alignment vertical="center"/>
      <protection locked="0"/>
    </xf>
    <xf numFmtId="41" fontId="37" fillId="33" borderId="51" xfId="0" applyNumberFormat="1" applyFont="1" applyFill="1" applyBorder="1" applyAlignment="1" applyProtection="1">
      <alignment vertical="center"/>
      <protection locked="0"/>
    </xf>
    <xf numFmtId="41" fontId="37" fillId="33" borderId="51" xfId="0" applyNumberFormat="1" applyFont="1" applyFill="1" applyBorder="1" applyAlignment="1" applyProtection="1">
      <alignment horizontal="center" vertical="center"/>
      <protection locked="0"/>
    </xf>
    <xf numFmtId="14" fontId="37" fillId="33" borderId="51" xfId="275" applyNumberFormat="1" applyFont="1" applyFill="1" applyBorder="1" applyAlignment="1" applyProtection="1">
      <alignment vertical="center"/>
      <protection locked="0"/>
    </xf>
    <xf numFmtId="9" fontId="37" fillId="33" borderId="51" xfId="275" applyNumberFormat="1" applyFont="1" applyFill="1" applyBorder="1" applyAlignment="1" applyProtection="1">
      <alignment vertical="center"/>
      <protection locked="0"/>
    </xf>
    <xf numFmtId="41" fontId="37" fillId="33" borderId="51" xfId="275" applyNumberFormat="1" applyFont="1" applyFill="1" applyBorder="1" applyAlignment="1" applyProtection="1">
      <alignment vertical="center"/>
      <protection locked="0"/>
    </xf>
    <xf numFmtId="41" fontId="37" fillId="33" borderId="51" xfId="0" applyNumberFormat="1" applyFont="1" applyFill="1" applyBorder="1" applyAlignment="1" applyProtection="1">
      <alignment vertical="center"/>
    </xf>
    <xf numFmtId="41" fontId="193" fillId="17" borderId="65" xfId="275" applyNumberFormat="1" applyFont="1" applyFill="1" applyBorder="1" applyAlignment="1" applyProtection="1">
      <alignment vertical="center"/>
      <protection locked="0"/>
    </xf>
    <xf numFmtId="41" fontId="37" fillId="36" borderId="2" xfId="275" applyNumberFormat="1" applyFont="1" applyFill="1" applyBorder="1" applyAlignment="1" applyProtection="1">
      <alignment vertical="center"/>
      <protection locked="0"/>
    </xf>
    <xf numFmtId="0" fontId="0" fillId="0" borderId="2" xfId="0" applyBorder="1"/>
    <xf numFmtId="0" fontId="0" fillId="0" borderId="2" xfId="0" applyBorder="1" applyAlignment="1">
      <alignment horizontal="center" wrapText="1"/>
    </xf>
    <xf numFmtId="41" fontId="4" fillId="8" borderId="2" xfId="0" applyNumberFormat="1" applyFont="1" applyFill="1" applyBorder="1" applyAlignment="1">
      <alignment horizontal="center" vertical="center" wrapText="1"/>
    </xf>
    <xf numFmtId="41" fontId="3" fillId="0" borderId="83" xfId="1" applyNumberFormat="1" applyFont="1" applyFill="1" applyBorder="1" applyAlignment="1">
      <alignment horizontal="left" vertical="center"/>
    </xf>
    <xf numFmtId="41" fontId="3" fillId="0" borderId="82" xfId="1" applyNumberFormat="1" applyFont="1" applyFill="1" applyBorder="1" applyAlignment="1">
      <alignment horizontal="left" vertical="center"/>
    </xf>
    <xf numFmtId="41" fontId="3" fillId="0" borderId="65" xfId="1" applyNumberFormat="1" applyFont="1" applyFill="1" applyBorder="1" applyAlignment="1">
      <alignment horizontal="left" vertical="center"/>
    </xf>
    <xf numFmtId="41" fontId="3" fillId="0" borderId="45" xfId="1" applyNumberFormat="1" applyFont="1" applyFill="1" applyBorder="1" applyAlignment="1">
      <alignment horizontal="left" vertical="center"/>
    </xf>
    <xf numFmtId="41" fontId="3" fillId="0" borderId="51" xfId="1" applyNumberFormat="1" applyFont="1" applyFill="1" applyBorder="1" applyAlignment="1">
      <alignment horizontal="left" vertical="center"/>
    </xf>
    <xf numFmtId="41" fontId="3" fillId="0" borderId="52" xfId="1" applyNumberFormat="1" applyFont="1" applyFill="1" applyBorder="1" applyAlignment="1">
      <alignment horizontal="left" vertical="center"/>
    </xf>
    <xf numFmtId="164" fontId="37" fillId="0" borderId="46" xfId="0" applyNumberFormat="1" applyFont="1" applyFill="1" applyBorder="1" applyAlignment="1">
      <alignment vertical="center"/>
    </xf>
    <xf numFmtId="0" fontId="12" fillId="0" borderId="49" xfId="0" applyFont="1" applyFill="1" applyBorder="1" applyAlignment="1">
      <alignment horizontal="left" vertical="center"/>
    </xf>
    <xf numFmtId="0" fontId="37" fillId="0" borderId="54" xfId="1" applyNumberFormat="1" applyFont="1" applyFill="1" applyBorder="1" applyAlignment="1">
      <alignment vertical="center"/>
    </xf>
    <xf numFmtId="0" fontId="37" fillId="0" borderId="2" xfId="1" applyNumberFormat="1" applyFont="1" applyFill="1" applyBorder="1" applyAlignment="1">
      <alignment vertical="center"/>
    </xf>
    <xf numFmtId="41" fontId="37" fillId="0" borderId="33" xfId="0" applyNumberFormat="1" applyFont="1" applyFill="1" applyBorder="1" applyAlignment="1" applyProtection="1">
      <alignment vertical="center"/>
      <protection locked="0"/>
    </xf>
    <xf numFmtId="41" fontId="37" fillId="0" borderId="17" xfId="0" applyNumberFormat="1" applyFont="1" applyFill="1" applyBorder="1" applyAlignment="1" applyProtection="1">
      <alignment horizontal="center" vertical="center"/>
      <protection locked="0"/>
    </xf>
    <xf numFmtId="14" fontId="37" fillId="0" borderId="17" xfId="275" applyNumberFormat="1" applyFont="1" applyBorder="1" applyAlignment="1" applyProtection="1">
      <alignment vertical="center"/>
      <protection locked="0"/>
    </xf>
    <xf numFmtId="41" fontId="37" fillId="0" borderId="17" xfId="275" applyNumberFormat="1" applyFont="1" applyFill="1" applyBorder="1" applyAlignment="1" applyProtection="1">
      <alignment vertical="center"/>
      <protection locked="0"/>
    </xf>
    <xf numFmtId="41" fontId="0" fillId="0" borderId="28" xfId="2" applyFont="1" applyBorder="1"/>
    <xf numFmtId="41" fontId="37" fillId="33" borderId="2" xfId="275" applyNumberFormat="1" applyFont="1" applyFill="1" applyBorder="1" applyAlignment="1" applyProtection="1">
      <alignment vertical="center"/>
      <protection locked="0"/>
    </xf>
    <xf numFmtId="0" fontId="36" fillId="0" borderId="0" xfId="1346" applyFont="1" applyFill="1" applyAlignment="1">
      <alignment vertical="center"/>
    </xf>
    <xf numFmtId="0" fontId="12" fillId="0" borderId="0" xfId="1346" applyFont="1" applyFill="1" applyAlignment="1">
      <alignment horizontal="center" vertical="center"/>
    </xf>
    <xf numFmtId="164" fontId="12" fillId="0" borderId="0" xfId="1346" applyNumberFormat="1" applyFont="1" applyFill="1" applyAlignment="1">
      <alignment horizontal="center" vertical="center"/>
    </xf>
    <xf numFmtId="0" fontId="37" fillId="0" borderId="0" xfId="1346" applyFont="1" applyFill="1" applyAlignment="1">
      <alignment vertical="center"/>
    </xf>
    <xf numFmtId="0" fontId="12" fillId="0" borderId="0" xfId="1346" applyFont="1" applyFill="1" applyAlignment="1">
      <alignment vertical="center"/>
    </xf>
    <xf numFmtId="0" fontId="4" fillId="0" borderId="0" xfId="1346" applyFont="1" applyFill="1" applyAlignment="1">
      <alignment horizontal="left" vertical="center"/>
    </xf>
    <xf numFmtId="41" fontId="4" fillId="0" borderId="0" xfId="1346" applyNumberFormat="1" applyFont="1" applyFill="1" applyAlignment="1">
      <alignment horizontal="left" vertical="center"/>
    </xf>
    <xf numFmtId="41" fontId="4" fillId="33" borderId="56" xfId="1346" applyNumberFormat="1" applyFont="1" applyFill="1" applyBorder="1" applyAlignment="1" applyProtection="1">
      <alignment vertical="center"/>
      <protection locked="0"/>
    </xf>
    <xf numFmtId="0" fontId="3" fillId="0" borderId="0" xfId="1346" applyFont="1" applyFill="1" applyAlignment="1">
      <alignment vertical="center"/>
    </xf>
    <xf numFmtId="0" fontId="4" fillId="0" borderId="0" xfId="1346" applyFont="1" applyFill="1" applyAlignment="1">
      <alignment vertical="center"/>
    </xf>
    <xf numFmtId="0" fontId="3" fillId="0" borderId="0" xfId="1346" applyFont="1" applyFill="1" applyBorder="1" applyAlignment="1">
      <alignment vertical="center"/>
    </xf>
    <xf numFmtId="164" fontId="4" fillId="0" borderId="70" xfId="1346" applyNumberFormat="1" applyFont="1" applyFill="1" applyBorder="1" applyAlignment="1">
      <alignment horizontal="center" vertical="center"/>
    </xf>
    <xf numFmtId="0" fontId="4" fillId="0" borderId="21" xfId="1346" applyFont="1" applyFill="1" applyBorder="1" applyAlignment="1">
      <alignment horizontal="left" vertical="center"/>
    </xf>
    <xf numFmtId="164" fontId="4" fillId="0" borderId="71" xfId="1346" applyNumberFormat="1" applyFont="1" applyFill="1" applyBorder="1" applyAlignment="1">
      <alignment horizontal="center" vertical="center"/>
    </xf>
    <xf numFmtId="0" fontId="4" fillId="0" borderId="72" xfId="1346" applyFont="1" applyFill="1" applyBorder="1" applyAlignment="1">
      <alignment horizontal="left" vertical="center"/>
    </xf>
    <xf numFmtId="164" fontId="37" fillId="0" borderId="0" xfId="1346" applyNumberFormat="1" applyFont="1" applyFill="1" applyAlignment="1">
      <alignment vertical="center"/>
    </xf>
    <xf numFmtId="0" fontId="38" fillId="0" borderId="0" xfId="1346" applyFont="1" applyFill="1" applyAlignment="1">
      <alignment vertical="center"/>
    </xf>
    <xf numFmtId="41" fontId="37" fillId="0" borderId="0" xfId="1346" applyNumberFormat="1" applyFont="1" applyFill="1" applyAlignment="1">
      <alignment vertical="center"/>
    </xf>
    <xf numFmtId="164" fontId="3" fillId="0" borderId="0" xfId="1346" applyNumberFormat="1" applyFont="1" applyFill="1" applyAlignment="1">
      <alignment horizontal="center" vertical="center"/>
    </xf>
    <xf numFmtId="0" fontId="3" fillId="0" borderId="0" xfId="1346" applyFont="1" applyFill="1" applyAlignment="1">
      <alignment horizontal="center" vertical="center"/>
    </xf>
    <xf numFmtId="0" fontId="37" fillId="0" borderId="0" xfId="1346" applyFont="1" applyFill="1" applyAlignment="1">
      <alignment horizontal="center" vertical="center"/>
    </xf>
    <xf numFmtId="41" fontId="3" fillId="0" borderId="0" xfId="1346" applyNumberFormat="1" applyFont="1" applyFill="1" applyAlignment="1">
      <alignment horizontal="center" vertical="center"/>
    </xf>
    <xf numFmtId="41" fontId="37" fillId="0" borderId="0" xfId="1346" applyNumberFormat="1" applyFont="1" applyFill="1" applyAlignment="1">
      <alignment horizontal="center" vertical="center"/>
    </xf>
    <xf numFmtId="41" fontId="8" fillId="0" borderId="0" xfId="1346" applyNumberFormat="1" applyFont="1" applyFill="1" applyAlignment="1">
      <alignment horizontal="center" vertical="center"/>
    </xf>
    <xf numFmtId="0" fontId="1" fillId="0" borderId="0" xfId="1346" applyFont="1" applyFill="1" applyAlignment="1">
      <alignment vertical="center"/>
    </xf>
    <xf numFmtId="0" fontId="39" fillId="0" borderId="0" xfId="1346" applyFont="1" applyFill="1" applyAlignment="1">
      <alignment horizontal="center" vertical="center"/>
    </xf>
    <xf numFmtId="0" fontId="1" fillId="0" borderId="0" xfId="1346" applyFill="1" applyAlignment="1">
      <alignment vertical="center"/>
    </xf>
    <xf numFmtId="164" fontId="4" fillId="0" borderId="0" xfId="1346" applyNumberFormat="1" applyFont="1" applyFill="1" applyAlignment="1">
      <alignment horizontal="center" vertical="center"/>
    </xf>
    <xf numFmtId="164" fontId="1" fillId="0" borderId="0" xfId="1346" applyNumberFormat="1" applyFont="1" applyFill="1" applyAlignment="1">
      <alignment vertical="center"/>
    </xf>
    <xf numFmtId="0" fontId="16" fillId="0" borderId="0" xfId="1346" applyFont="1" applyFill="1" applyAlignment="1">
      <alignment vertical="center"/>
    </xf>
    <xf numFmtId="0" fontId="6" fillId="0" borderId="0" xfId="1346" applyFont="1" applyFill="1" applyAlignment="1">
      <alignment vertical="center"/>
    </xf>
    <xf numFmtId="164" fontId="5" fillId="0" borderId="0" xfId="1346" applyNumberFormat="1" applyFont="1" applyFill="1" applyAlignment="1">
      <alignment horizontal="center" vertical="center"/>
    </xf>
    <xf numFmtId="0" fontId="5" fillId="0" borderId="0" xfId="1346" applyFont="1" applyFill="1" applyAlignment="1">
      <alignment horizontal="center" vertical="center"/>
    </xf>
    <xf numFmtId="164" fontId="3" fillId="0" borderId="0" xfId="1346" applyNumberFormat="1" applyFont="1" applyFill="1" applyAlignment="1">
      <alignment vertical="center"/>
    </xf>
    <xf numFmtId="0" fontId="4" fillId="0" borderId="0" xfId="1346" applyFont="1" applyFill="1" applyAlignment="1">
      <alignment horizontal="left" vertical="center" indent="4"/>
    </xf>
    <xf numFmtId="41" fontId="4" fillId="0" borderId="0" xfId="1346" applyNumberFormat="1" applyFont="1" applyFill="1" applyAlignment="1">
      <alignment vertical="center"/>
    </xf>
    <xf numFmtId="0" fontId="4" fillId="0" borderId="0" xfId="1346" applyFont="1" applyFill="1" applyAlignment="1">
      <alignment horizontal="right" vertical="center"/>
    </xf>
    <xf numFmtId="0" fontId="4" fillId="0" borderId="41" xfId="1346" applyFont="1" applyFill="1" applyBorder="1" applyAlignment="1">
      <alignment horizontal="center" vertical="center"/>
    </xf>
    <xf numFmtId="164" fontId="4" fillId="33" borderId="75" xfId="1346" applyNumberFormat="1" applyFont="1" applyFill="1" applyBorder="1" applyAlignment="1" applyProtection="1">
      <alignment horizontal="center" vertical="center"/>
      <protection locked="0"/>
    </xf>
    <xf numFmtId="0" fontId="4" fillId="33" borderId="75" xfId="1346" applyFont="1" applyFill="1" applyBorder="1" applyAlignment="1" applyProtection="1">
      <alignment horizontal="left" vertical="center"/>
      <protection locked="0"/>
    </xf>
    <xf numFmtId="0" fontId="4" fillId="33" borderId="75" xfId="1346" applyFont="1" applyFill="1" applyBorder="1" applyAlignment="1" applyProtection="1">
      <alignment horizontal="center" vertical="center"/>
      <protection locked="0"/>
    </xf>
    <xf numFmtId="41" fontId="4" fillId="33" borderId="75" xfId="1346" applyNumberFormat="1" applyFont="1" applyFill="1" applyBorder="1" applyAlignment="1" applyProtection="1">
      <alignment vertical="center"/>
      <protection locked="0"/>
    </xf>
    <xf numFmtId="41" fontId="4" fillId="33" borderId="93" xfId="1346" applyNumberFormat="1" applyFont="1" applyFill="1" applyBorder="1" applyAlignment="1" applyProtection="1">
      <alignment vertical="center"/>
      <protection locked="0"/>
    </xf>
    <xf numFmtId="41" fontId="4" fillId="33" borderId="102" xfId="1346" applyNumberFormat="1" applyFont="1" applyFill="1" applyBorder="1" applyAlignment="1" applyProtection="1">
      <alignment vertical="center"/>
      <protection locked="0"/>
    </xf>
    <xf numFmtId="41" fontId="4" fillId="33" borderId="101" xfId="1346" applyNumberFormat="1" applyFont="1" applyFill="1" applyBorder="1" applyAlignment="1" applyProtection="1">
      <alignment vertical="center"/>
      <protection locked="0"/>
    </xf>
    <xf numFmtId="1" fontId="4" fillId="39" borderId="106" xfId="1346" applyNumberFormat="1" applyFont="1" applyFill="1" applyBorder="1" applyAlignment="1" applyProtection="1">
      <alignment vertical="center"/>
      <protection locked="0"/>
    </xf>
    <xf numFmtId="164" fontId="4" fillId="39" borderId="106" xfId="1346" applyNumberFormat="1" applyFont="1" applyFill="1" applyBorder="1" applyAlignment="1" applyProtection="1">
      <alignment vertical="center"/>
      <protection locked="0"/>
    </xf>
    <xf numFmtId="0" fontId="4" fillId="39" borderId="76" xfId="1346" applyFont="1" applyFill="1" applyBorder="1" applyAlignment="1" applyProtection="1">
      <alignment horizontal="center" vertical="center" wrapText="1"/>
      <protection locked="0"/>
    </xf>
    <xf numFmtId="0" fontId="4" fillId="39" borderId="106" xfId="1346" applyFont="1" applyFill="1" applyBorder="1" applyAlignment="1" applyProtection="1">
      <alignment vertical="center"/>
      <protection locked="0"/>
    </xf>
    <xf numFmtId="41" fontId="4" fillId="39" borderId="60" xfId="1346" applyNumberFormat="1" applyFont="1" applyFill="1" applyBorder="1" applyAlignment="1" applyProtection="1">
      <alignment vertical="center"/>
      <protection locked="0"/>
    </xf>
    <xf numFmtId="41" fontId="4" fillId="39" borderId="61" xfId="1346" applyNumberFormat="1" applyFont="1" applyFill="1" applyBorder="1" applyAlignment="1" applyProtection="1">
      <alignment vertical="center"/>
      <protection locked="0"/>
    </xf>
    <xf numFmtId="41" fontId="4" fillId="39" borderId="55" xfId="1346" applyNumberFormat="1" applyFont="1" applyFill="1" applyBorder="1" applyAlignment="1" applyProtection="1">
      <alignment vertical="center"/>
      <protection locked="0"/>
    </xf>
    <xf numFmtId="41" fontId="4" fillId="39" borderId="104" xfId="1346" applyNumberFormat="1" applyFont="1" applyFill="1" applyBorder="1" applyAlignment="1" applyProtection="1">
      <alignment vertical="center"/>
      <protection locked="0"/>
    </xf>
    <xf numFmtId="1" fontId="3" fillId="0" borderId="75" xfId="1346" applyNumberFormat="1" applyFont="1" applyFill="1" applyBorder="1" applyAlignment="1" applyProtection="1">
      <alignment vertical="center"/>
      <protection locked="0"/>
    </xf>
    <xf numFmtId="0" fontId="3" fillId="0" borderId="75" xfId="1346" applyFont="1" applyFill="1" applyBorder="1" applyAlignment="1" applyProtection="1">
      <alignment vertical="center"/>
      <protection locked="0"/>
    </xf>
    <xf numFmtId="41" fontId="1" fillId="0" borderId="2" xfId="86" applyFont="1" applyBorder="1" applyAlignment="1" applyProtection="1">
      <alignment vertical="center"/>
      <protection locked="0"/>
    </xf>
    <xf numFmtId="41" fontId="3" fillId="39" borderId="154" xfId="277" applyNumberFormat="1" applyFont="1" applyFill="1" applyBorder="1" applyAlignment="1">
      <alignment horizontal="left" vertical="center"/>
    </xf>
    <xf numFmtId="1" fontId="3" fillId="0" borderId="69" xfId="1346" applyNumberFormat="1" applyFont="1" applyFill="1" applyBorder="1" applyAlignment="1" applyProtection="1">
      <alignment vertical="center"/>
      <protection locked="0"/>
    </xf>
    <xf numFmtId="0" fontId="3" fillId="0" borderId="69" xfId="1346" applyFont="1" applyFill="1" applyBorder="1" applyAlignment="1" applyProtection="1">
      <alignment vertical="center"/>
      <protection locked="0"/>
    </xf>
    <xf numFmtId="164" fontId="3" fillId="0" borderId="69" xfId="1346" applyNumberFormat="1" applyFont="1" applyFill="1" applyBorder="1" applyAlignment="1" applyProtection="1">
      <alignment vertical="center"/>
      <protection locked="0"/>
    </xf>
    <xf numFmtId="1" fontId="3" fillId="0" borderId="106" xfId="1346" applyNumberFormat="1" applyFont="1" applyFill="1" applyBorder="1" applyAlignment="1" applyProtection="1">
      <alignment vertical="center"/>
      <protection locked="0"/>
    </xf>
    <xf numFmtId="164" fontId="3" fillId="0" borderId="106" xfId="1346" applyNumberFormat="1" applyFont="1" applyFill="1" applyBorder="1" applyAlignment="1" applyProtection="1">
      <alignment vertical="center"/>
      <protection locked="0"/>
    </xf>
    <xf numFmtId="0" fontId="3" fillId="0" borderId="106" xfId="1346" applyFont="1" applyFill="1" applyBorder="1" applyAlignment="1" applyProtection="1">
      <alignment vertical="center"/>
      <protection locked="0"/>
    </xf>
    <xf numFmtId="0" fontId="4" fillId="0" borderId="21" xfId="1346" applyFont="1" applyFill="1" applyBorder="1" applyAlignment="1">
      <alignment horizontal="center" vertical="center"/>
    </xf>
    <xf numFmtId="41" fontId="4" fillId="0" borderId="22" xfId="1346" applyNumberFormat="1" applyFont="1" applyFill="1" applyBorder="1" applyAlignment="1">
      <alignment vertical="center"/>
    </xf>
    <xf numFmtId="41" fontId="3" fillId="0" borderId="0" xfId="1346" applyNumberFormat="1" applyFont="1" applyFill="1" applyAlignment="1">
      <alignment vertical="center"/>
    </xf>
    <xf numFmtId="0" fontId="4" fillId="0" borderId="72" xfId="1346" applyFont="1" applyFill="1" applyBorder="1" applyAlignment="1">
      <alignment horizontal="center" vertical="center"/>
    </xf>
    <xf numFmtId="41" fontId="4" fillId="0" borderId="73" xfId="1346" applyNumberFormat="1" applyFont="1" applyFill="1" applyBorder="1" applyAlignment="1">
      <alignment vertical="center"/>
    </xf>
    <xf numFmtId="0" fontId="35" fillId="0" borderId="0" xfId="1346" applyFont="1" applyFill="1" applyAlignment="1">
      <alignment vertical="center"/>
    </xf>
    <xf numFmtId="164" fontId="6" fillId="0" borderId="0" xfId="1346" applyNumberFormat="1" applyFont="1" applyFill="1" applyAlignment="1">
      <alignment horizontal="center" vertical="center"/>
    </xf>
    <xf numFmtId="0" fontId="6" fillId="0" borderId="0" xfId="1346" applyFont="1" applyFill="1" applyAlignment="1">
      <alignment horizontal="center" vertical="center"/>
    </xf>
    <xf numFmtId="0" fontId="5" fillId="0" borderId="0" xfId="1346" applyFont="1" applyFill="1" applyAlignment="1">
      <alignment vertical="center"/>
    </xf>
    <xf numFmtId="164" fontId="6" fillId="0" borderId="0" xfId="1346" applyNumberFormat="1" applyFont="1" applyFill="1" applyAlignment="1">
      <alignment vertical="center"/>
    </xf>
    <xf numFmtId="0" fontId="6" fillId="38" borderId="132" xfId="861" applyFont="1" applyFill="1" applyBorder="1" applyAlignment="1">
      <alignment vertical="center"/>
    </xf>
    <xf numFmtId="165" fontId="5" fillId="38" borderId="126" xfId="1" applyNumberFormat="1" applyFont="1" applyFill="1" applyBorder="1" applyAlignment="1">
      <alignment vertical="center"/>
    </xf>
    <xf numFmtId="0" fontId="6" fillId="38" borderId="128" xfId="861" applyFont="1" applyFill="1" applyBorder="1" applyAlignment="1">
      <alignment vertical="center"/>
    </xf>
    <xf numFmtId="165" fontId="6" fillId="38" borderId="128" xfId="1" applyNumberFormat="1" applyFont="1" applyFill="1" applyBorder="1" applyAlignment="1">
      <alignment vertical="center"/>
    </xf>
    <xf numFmtId="165" fontId="6" fillId="38" borderId="132" xfId="1" applyNumberFormat="1" applyFont="1" applyFill="1" applyBorder="1" applyAlignment="1">
      <alignment vertical="center"/>
    </xf>
    <xf numFmtId="0" fontId="3" fillId="0" borderId="115" xfId="1346" applyFont="1" applyFill="1" applyBorder="1" applyAlignment="1" applyProtection="1">
      <alignment vertical="center"/>
      <protection locked="0"/>
    </xf>
    <xf numFmtId="41" fontId="37" fillId="0" borderId="68" xfId="0" applyNumberFormat="1" applyFont="1" applyFill="1" applyBorder="1" applyAlignment="1" applyProtection="1">
      <alignment vertical="center"/>
      <protection locked="0"/>
    </xf>
    <xf numFmtId="41" fontId="1" fillId="0" borderId="24" xfId="86" applyFont="1" applyBorder="1" applyAlignment="1" applyProtection="1">
      <alignment vertical="center"/>
      <protection locked="0"/>
    </xf>
    <xf numFmtId="41" fontId="37" fillId="0" borderId="250" xfId="1346" applyNumberFormat="1" applyFont="1" applyFill="1" applyBorder="1" applyAlignment="1">
      <alignment vertical="center"/>
    </xf>
    <xf numFmtId="41" fontId="37" fillId="0" borderId="176" xfId="1346" applyNumberFormat="1" applyFont="1" applyFill="1" applyBorder="1" applyAlignment="1">
      <alignment vertical="center"/>
    </xf>
    <xf numFmtId="41" fontId="4" fillId="33" borderId="100" xfId="1346" applyNumberFormat="1" applyFont="1" applyFill="1" applyBorder="1" applyAlignment="1" applyProtection="1">
      <alignment vertical="center"/>
      <protection locked="0"/>
    </xf>
    <xf numFmtId="41" fontId="4" fillId="39" borderId="174" xfId="1346" applyNumberFormat="1" applyFont="1" applyFill="1" applyBorder="1" applyAlignment="1" applyProtection="1">
      <alignment vertical="center"/>
      <protection locked="0"/>
    </xf>
    <xf numFmtId="41" fontId="1" fillId="0" borderId="46" xfId="86" applyFont="1" applyBorder="1" applyAlignment="1" applyProtection="1">
      <alignment vertical="center"/>
      <protection locked="0"/>
    </xf>
    <xf numFmtId="41" fontId="1" fillId="0" borderId="80" xfId="86" applyFont="1" applyBorder="1" applyAlignment="1" applyProtection="1">
      <alignment vertical="center"/>
      <protection locked="0"/>
    </xf>
    <xf numFmtId="41" fontId="1" fillId="0" borderId="163" xfId="86" applyFont="1" applyBorder="1" applyAlignment="1" applyProtection="1">
      <alignment vertical="center"/>
      <protection locked="0"/>
    </xf>
    <xf numFmtId="41" fontId="1" fillId="0" borderId="53" xfId="86" applyFont="1" applyBorder="1" applyAlignment="1" applyProtection="1">
      <alignment vertical="center"/>
      <protection locked="0"/>
    </xf>
    <xf numFmtId="41" fontId="1" fillId="0" borderId="166" xfId="86" applyFont="1" applyBorder="1" applyAlignment="1" applyProtection="1">
      <alignment vertical="center"/>
      <protection locked="0"/>
    </xf>
    <xf numFmtId="0" fontId="4" fillId="0" borderId="174" xfId="1346" applyFont="1" applyFill="1" applyBorder="1" applyAlignment="1">
      <alignment horizontal="center" vertical="center" wrapText="1"/>
    </xf>
    <xf numFmtId="0" fontId="4" fillId="0" borderId="55" xfId="1346" applyFont="1" applyFill="1" applyBorder="1" applyAlignment="1">
      <alignment horizontal="center" vertical="center"/>
    </xf>
    <xf numFmtId="41" fontId="4" fillId="37" borderId="170" xfId="1346" applyNumberFormat="1" applyFont="1" applyFill="1" applyBorder="1" applyAlignment="1">
      <alignment vertical="center"/>
    </xf>
    <xf numFmtId="41" fontId="4" fillId="37" borderId="168" xfId="1346" applyNumberFormat="1" applyFont="1" applyFill="1" applyBorder="1" applyAlignment="1">
      <alignment vertical="center"/>
    </xf>
    <xf numFmtId="41" fontId="4" fillId="37" borderId="278" xfId="1346" applyNumberFormat="1" applyFont="1" applyFill="1" applyBorder="1" applyAlignment="1">
      <alignment vertical="center"/>
    </xf>
    <xf numFmtId="41" fontId="4" fillId="37" borderId="62" xfId="1346" applyNumberFormat="1" applyFont="1" applyFill="1" applyBorder="1" applyAlignment="1">
      <alignment vertical="center"/>
    </xf>
    <xf numFmtId="41" fontId="4" fillId="37" borderId="175" xfId="1346" applyNumberFormat="1" applyFont="1" applyFill="1" applyBorder="1" applyAlignment="1">
      <alignment vertical="center"/>
    </xf>
    <xf numFmtId="41" fontId="4" fillId="37" borderId="297" xfId="1346" applyNumberFormat="1" applyFont="1" applyFill="1" applyBorder="1" applyAlignment="1">
      <alignment vertical="center"/>
    </xf>
    <xf numFmtId="41" fontId="4" fillId="37" borderId="296" xfId="1346" applyNumberFormat="1" applyFont="1" applyFill="1" applyBorder="1" applyAlignment="1">
      <alignment vertical="center"/>
    </xf>
    <xf numFmtId="41" fontId="4" fillId="37" borderId="172" xfId="1346" applyNumberFormat="1" applyFont="1" applyFill="1" applyBorder="1" applyAlignment="1">
      <alignment vertical="center"/>
    </xf>
    <xf numFmtId="41" fontId="4" fillId="37" borderId="169" xfId="1346" applyNumberFormat="1" applyFont="1" applyFill="1" applyBorder="1" applyAlignment="1">
      <alignment vertical="center"/>
    </xf>
    <xf numFmtId="41" fontId="4" fillId="37" borderId="282" xfId="1346" applyNumberFormat="1" applyFont="1" applyFill="1" applyBorder="1" applyAlignment="1">
      <alignment vertical="center"/>
    </xf>
    <xf numFmtId="41" fontId="4" fillId="37" borderId="298" xfId="1346" applyNumberFormat="1" applyFont="1" applyFill="1" applyBorder="1" applyAlignment="1">
      <alignment vertical="center"/>
    </xf>
    <xf numFmtId="1" fontId="4" fillId="33" borderId="36" xfId="0" applyNumberFormat="1" applyFont="1" applyFill="1" applyBorder="1" applyAlignment="1">
      <alignment vertical="center"/>
    </xf>
    <xf numFmtId="164" fontId="4" fillId="33" borderId="36" xfId="0" applyNumberFormat="1" applyFont="1" applyFill="1" applyBorder="1" applyAlignment="1">
      <alignment vertical="center"/>
    </xf>
    <xf numFmtId="0" fontId="4" fillId="33" borderId="36" xfId="0" applyFont="1" applyFill="1" applyBorder="1" applyAlignment="1">
      <alignment horizontal="center" vertical="center" wrapText="1"/>
    </xf>
    <xf numFmtId="0" fontId="4" fillId="33" borderId="36" xfId="0" applyFont="1" applyFill="1" applyBorder="1" applyAlignment="1">
      <alignment vertical="center"/>
    </xf>
    <xf numFmtId="164" fontId="3" fillId="0" borderId="88" xfId="0" applyNumberFormat="1" applyFont="1" applyFill="1" applyBorder="1" applyAlignment="1">
      <alignment vertical="center"/>
    </xf>
    <xf numFmtId="1" fontId="4" fillId="17" borderId="297" xfId="0" applyNumberFormat="1" applyFont="1" applyFill="1" applyBorder="1" applyAlignment="1">
      <alignment vertical="center"/>
    </xf>
    <xf numFmtId="164" fontId="4" fillId="17" borderId="297" xfId="0" applyNumberFormat="1" applyFont="1" applyFill="1" applyBorder="1" applyAlignment="1">
      <alignment vertical="center"/>
    </xf>
    <xf numFmtId="0" fontId="4" fillId="17" borderId="297" xfId="0" applyFont="1" applyFill="1" applyBorder="1" applyAlignment="1">
      <alignment horizontal="center" vertical="center" wrapText="1"/>
    </xf>
    <xf numFmtId="0" fontId="4" fillId="17" borderId="297" xfId="0" applyFont="1" applyFill="1" applyBorder="1" applyAlignment="1">
      <alignment vertical="center"/>
    </xf>
    <xf numFmtId="41" fontId="209" fillId="0" borderId="156" xfId="1173" applyNumberFormat="1" applyFont="1" applyFill="1" applyBorder="1" applyAlignment="1">
      <alignment vertical="center"/>
    </xf>
    <xf numFmtId="0" fontId="0" fillId="0" borderId="2" xfId="0" applyBorder="1"/>
    <xf numFmtId="41" fontId="44" fillId="0" borderId="156" xfId="2" applyFont="1" applyFill="1" applyBorder="1" applyAlignment="1">
      <alignment vertical="center"/>
    </xf>
    <xf numFmtId="0" fontId="0" fillId="33" borderId="17" xfId="0" applyFill="1" applyBorder="1"/>
    <xf numFmtId="41" fontId="37" fillId="33" borderId="2" xfId="0" applyNumberFormat="1" applyFont="1" applyFill="1" applyBorder="1" applyAlignment="1" applyProtection="1">
      <alignment vertical="center"/>
    </xf>
    <xf numFmtId="41" fontId="37" fillId="33" borderId="146" xfId="0" applyNumberFormat="1" applyFont="1" applyFill="1" applyBorder="1" applyAlignment="1" applyProtection="1">
      <alignment vertical="center"/>
    </xf>
    <xf numFmtId="0" fontId="0" fillId="36" borderId="17" xfId="0" applyFill="1" applyBorder="1"/>
    <xf numFmtId="41" fontId="37" fillId="36" borderId="2" xfId="0" applyNumberFormat="1" applyFont="1" applyFill="1" applyBorder="1" applyAlignment="1" applyProtection="1">
      <alignment vertical="center"/>
    </xf>
    <xf numFmtId="41" fontId="37" fillId="36" borderId="51" xfId="0" applyNumberFormat="1" applyFont="1" applyFill="1" applyBorder="1" applyAlignment="1" applyProtection="1">
      <alignment vertical="center"/>
    </xf>
    <xf numFmtId="41" fontId="37" fillId="36" borderId="146" xfId="0" applyNumberFormat="1" applyFont="1" applyFill="1" applyBorder="1" applyAlignment="1" applyProtection="1">
      <alignment vertical="center"/>
    </xf>
    <xf numFmtId="41" fontId="120" fillId="17" borderId="62" xfId="0" applyNumberFormat="1" applyFont="1" applyFill="1" applyBorder="1" applyAlignment="1" applyProtection="1">
      <alignment vertical="center"/>
    </xf>
    <xf numFmtId="14" fontId="210" fillId="0" borderId="75" xfId="989" applyNumberFormat="1" applyFont="1" applyBorder="1" applyAlignment="1" applyProtection="1">
      <alignment horizontal="center" vertical="center"/>
      <protection locked="0"/>
    </xf>
    <xf numFmtId="14" fontId="210" fillId="0" borderId="69" xfId="989" applyNumberFormat="1" applyFont="1" applyBorder="1" applyAlignment="1" applyProtection="1">
      <alignment horizontal="center" vertical="center"/>
      <protection locked="0"/>
    </xf>
    <xf numFmtId="14" fontId="210" fillId="0" borderId="69" xfId="1346" applyNumberFormat="1" applyFont="1" applyFill="1" applyBorder="1" applyAlignment="1" applyProtection="1">
      <alignment horizontal="center" vertical="center"/>
      <protection locked="0"/>
    </xf>
    <xf numFmtId="41" fontId="37" fillId="40" borderId="51" xfId="275" applyNumberFormat="1" applyFont="1" applyFill="1" applyBorder="1" applyAlignment="1" applyProtection="1">
      <alignment vertical="center"/>
      <protection locked="0"/>
    </xf>
    <xf numFmtId="41" fontId="211" fillId="0" borderId="0" xfId="0" applyNumberFormat="1" applyFont="1" applyFill="1" applyAlignment="1">
      <alignment vertical="center"/>
    </xf>
    <xf numFmtId="41" fontId="193" fillId="38" borderId="51" xfId="275" applyNumberFormat="1" applyFont="1" applyFill="1" applyBorder="1" applyAlignment="1" applyProtection="1">
      <alignment vertical="center"/>
      <protection locked="0"/>
    </xf>
    <xf numFmtId="41" fontId="37" fillId="38" borderId="51" xfId="0" applyNumberFormat="1" applyFont="1" applyFill="1" applyBorder="1" applyAlignment="1" applyProtection="1">
      <alignment vertical="center"/>
      <protection locked="0"/>
    </xf>
    <xf numFmtId="41" fontId="194" fillId="38" borderId="51" xfId="2" applyFont="1" applyFill="1" applyBorder="1" applyAlignment="1" applyProtection="1">
      <alignment vertical="center"/>
      <protection locked="0"/>
    </xf>
    <xf numFmtId="41" fontId="37" fillId="38" borderId="2" xfId="2" applyFont="1" applyFill="1" applyBorder="1" applyAlignment="1" applyProtection="1">
      <alignment vertical="center"/>
      <protection locked="0"/>
    </xf>
    <xf numFmtId="41" fontId="193" fillId="38" borderId="2" xfId="275" applyNumberFormat="1" applyFont="1" applyFill="1" applyBorder="1" applyAlignment="1" applyProtection="1">
      <alignment vertical="center"/>
      <protection locked="0"/>
    </xf>
    <xf numFmtId="41" fontId="37" fillId="38" borderId="2" xfId="2" applyFont="1" applyFill="1" applyBorder="1" applyAlignment="1">
      <alignment vertical="center"/>
    </xf>
    <xf numFmtId="41" fontId="37" fillId="33" borderId="67" xfId="0" applyNumberFormat="1" applyFont="1" applyFill="1" applyBorder="1" applyAlignment="1" applyProtection="1">
      <alignment horizontal="center" vertical="center"/>
      <protection locked="0"/>
    </xf>
    <xf numFmtId="41" fontId="37" fillId="33" borderId="83" xfId="0" applyNumberFormat="1" applyFont="1" applyFill="1" applyBorder="1" applyAlignment="1" applyProtection="1">
      <alignment horizontal="center" vertical="center" wrapText="1"/>
    </xf>
    <xf numFmtId="41" fontId="37" fillId="33" borderId="51" xfId="0" applyNumberFormat="1" applyFont="1" applyFill="1" applyBorder="1" applyAlignment="1" applyProtection="1">
      <alignment horizontal="center" vertical="center" wrapText="1"/>
    </xf>
    <xf numFmtId="41" fontId="37" fillId="33" borderId="146" xfId="0" applyNumberFormat="1" applyFont="1" applyFill="1" applyBorder="1" applyAlignment="1" applyProtection="1">
      <alignment horizontal="center" vertical="center" wrapText="1"/>
    </xf>
    <xf numFmtId="41" fontId="37" fillId="33" borderId="0" xfId="0" applyNumberFormat="1" applyFont="1" applyFill="1" applyAlignment="1" applyProtection="1">
      <alignment vertical="center"/>
    </xf>
    <xf numFmtId="41" fontId="37" fillId="0" borderId="209" xfId="0" applyNumberFormat="1" applyFont="1" applyFill="1" applyBorder="1" applyAlignment="1" applyProtection="1">
      <alignment vertical="center"/>
      <protection locked="0"/>
    </xf>
    <xf numFmtId="0" fontId="0" fillId="0" borderId="2" xfId="0" applyBorder="1"/>
    <xf numFmtId="41" fontId="37" fillId="33" borderId="17" xfId="275" applyNumberFormat="1" applyFont="1" applyFill="1" applyBorder="1" applyAlignment="1" applyProtection="1">
      <alignment vertical="center"/>
      <protection locked="0"/>
    </xf>
    <xf numFmtId="14" fontId="3" fillId="0" borderId="69" xfId="0" applyNumberFormat="1" applyFont="1" applyFill="1" applyBorder="1" applyAlignment="1">
      <alignment horizontal="center" vertical="center"/>
    </xf>
    <xf numFmtId="0" fontId="141" fillId="0" borderId="20" xfId="989" applyFont="1" applyBorder="1" applyAlignment="1" applyProtection="1">
      <alignment vertical="center"/>
      <protection locked="0"/>
    </xf>
    <xf numFmtId="0" fontId="141" fillId="0" borderId="115" xfId="1346" applyFont="1" applyFill="1" applyBorder="1" applyAlignment="1" applyProtection="1">
      <alignment vertical="center"/>
      <protection locked="0"/>
    </xf>
    <xf numFmtId="41" fontId="37" fillId="0" borderId="0" xfId="2" applyFont="1" applyFill="1" applyAlignment="1">
      <alignment vertical="center"/>
    </xf>
    <xf numFmtId="41" fontId="1" fillId="0" borderId="0" xfId="2" applyFont="1" applyFill="1" applyAlignment="1">
      <alignment vertical="center"/>
    </xf>
    <xf numFmtId="41" fontId="37" fillId="33" borderId="17" xfId="0" applyNumberFormat="1" applyFont="1" applyFill="1" applyBorder="1" applyAlignment="1" applyProtection="1">
      <alignment vertical="center"/>
      <protection locked="0"/>
    </xf>
    <xf numFmtId="41" fontId="37" fillId="33" borderId="17" xfId="0" applyNumberFormat="1" applyFont="1" applyFill="1" applyBorder="1" applyAlignment="1" applyProtection="1">
      <alignment horizontal="center" vertical="center"/>
      <protection locked="0"/>
    </xf>
    <xf numFmtId="41" fontId="37" fillId="33" borderId="2" xfId="0" applyNumberFormat="1" applyFont="1" applyFill="1" applyBorder="1" applyAlignment="1" applyProtection="1">
      <alignment vertical="center"/>
      <protection locked="0"/>
    </xf>
    <xf numFmtId="41" fontId="37" fillId="33" borderId="217" xfId="0" applyNumberFormat="1" applyFont="1" applyFill="1" applyBorder="1" applyAlignment="1" applyProtection="1">
      <alignment horizontal="center" vertical="center"/>
      <protection locked="0"/>
    </xf>
    <xf numFmtId="0" fontId="12" fillId="0" borderId="34" xfId="1346" applyFont="1" applyFill="1" applyBorder="1" applyAlignment="1">
      <alignment horizontal="center" vertical="center"/>
    </xf>
    <xf numFmtId="0" fontId="12" fillId="0" borderId="36" xfId="1346" applyFont="1" applyFill="1" applyBorder="1" applyAlignment="1">
      <alignment horizontal="center" vertical="center"/>
    </xf>
    <xf numFmtId="0" fontId="12" fillId="0" borderId="41" xfId="1346" applyFont="1" applyFill="1" applyBorder="1" applyAlignment="1">
      <alignment horizontal="center" vertical="center"/>
    </xf>
    <xf numFmtId="0" fontId="0" fillId="0" borderId="2" xfId="0" applyBorder="1" applyAlignment="1">
      <alignment horizontal="center" vertical="center" wrapText="1"/>
    </xf>
    <xf numFmtId="0" fontId="12" fillId="0" borderId="2" xfId="0" applyFont="1" applyFill="1" applyBorder="1" applyAlignment="1">
      <alignment horizontal="center" vertical="center" wrapText="1"/>
    </xf>
    <xf numFmtId="0" fontId="12" fillId="0" borderId="2" xfId="0" applyFont="1" applyFill="1" applyBorder="1" applyAlignment="1">
      <alignment horizontal="center" vertical="center"/>
    </xf>
    <xf numFmtId="164" fontId="4" fillId="0" borderId="45" xfId="0" applyNumberFormat="1" applyFont="1" applyFill="1" applyBorder="1" applyAlignment="1">
      <alignment horizontal="center" vertical="center"/>
    </xf>
    <xf numFmtId="0" fontId="4" fillId="0" borderId="51" xfId="0" applyFont="1" applyFill="1" applyBorder="1" applyAlignment="1">
      <alignment horizontal="center" vertical="center"/>
    </xf>
    <xf numFmtId="164" fontId="3" fillId="0" borderId="174" xfId="0" applyNumberFormat="1" applyFont="1" applyFill="1" applyBorder="1" applyAlignment="1">
      <alignment horizontal="right" vertical="center"/>
    </xf>
    <xf numFmtId="0" fontId="3" fillId="0" borderId="55" xfId="0" applyFont="1" applyFill="1" applyBorder="1" applyAlignment="1">
      <alignment vertical="center"/>
    </xf>
    <xf numFmtId="41" fontId="4" fillId="0" borderId="154" xfId="0" applyNumberFormat="1" applyFont="1" applyFill="1" applyBorder="1" applyAlignment="1">
      <alignment vertical="center"/>
    </xf>
    <xf numFmtId="41" fontId="4" fillId="0" borderId="170" xfId="0" applyNumberFormat="1" applyFont="1" applyFill="1" applyBorder="1" applyAlignment="1">
      <alignment vertical="center"/>
    </xf>
    <xf numFmtId="41" fontId="4" fillId="0" borderId="171" xfId="0" applyNumberFormat="1" applyFont="1" applyFill="1" applyBorder="1" applyAlignment="1">
      <alignment vertical="center"/>
    </xf>
    <xf numFmtId="41" fontId="4" fillId="0" borderId="168" xfId="0" applyNumberFormat="1" applyFont="1" applyFill="1" applyBorder="1" applyAlignment="1">
      <alignment vertical="center"/>
    </xf>
    <xf numFmtId="41" fontId="4" fillId="0" borderId="172" xfId="0" applyNumberFormat="1" applyFont="1" applyFill="1" applyBorder="1" applyAlignment="1">
      <alignment vertical="center"/>
    </xf>
    <xf numFmtId="41" fontId="4" fillId="0" borderId="173" xfId="0" applyNumberFormat="1" applyFont="1" applyFill="1" applyBorder="1" applyAlignment="1">
      <alignment vertical="center"/>
    </xf>
    <xf numFmtId="41" fontId="4" fillId="0" borderId="169" xfId="0" applyNumberFormat="1" applyFont="1" applyFill="1" applyBorder="1" applyAlignment="1">
      <alignment vertical="center"/>
    </xf>
    <xf numFmtId="164" fontId="12" fillId="0" borderId="34" xfId="1346" applyNumberFormat="1" applyFont="1" applyFill="1" applyBorder="1" applyAlignment="1">
      <alignment horizontal="center" vertical="center"/>
    </xf>
    <xf numFmtId="164" fontId="12" fillId="0" borderId="36" xfId="1346" applyNumberFormat="1" applyFont="1" applyFill="1" applyBorder="1" applyAlignment="1">
      <alignment horizontal="center" vertical="center"/>
    </xf>
    <xf numFmtId="164" fontId="12" fillId="0" borderId="41" xfId="1346" applyNumberFormat="1" applyFont="1" applyFill="1" applyBorder="1" applyAlignment="1">
      <alignment horizontal="center" vertical="center"/>
    </xf>
    <xf numFmtId="0" fontId="12" fillId="33" borderId="75" xfId="1346" applyFont="1" applyFill="1" applyBorder="1" applyAlignment="1" applyProtection="1">
      <alignment horizontal="center" vertical="center"/>
      <protection locked="0"/>
    </xf>
    <xf numFmtId="41" fontId="4" fillId="33" borderId="75" xfId="2" applyFont="1" applyFill="1" applyBorder="1" applyAlignment="1" applyProtection="1">
      <alignment vertical="center"/>
      <protection locked="0"/>
    </xf>
    <xf numFmtId="41" fontId="4" fillId="33" borderId="75" xfId="2" applyFont="1" applyFill="1" applyBorder="1" applyAlignment="1">
      <alignment vertical="center"/>
    </xf>
    <xf numFmtId="0" fontId="12" fillId="39" borderId="76" xfId="1346" applyFont="1" applyFill="1" applyBorder="1" applyAlignment="1" applyProtection="1">
      <alignment vertical="center"/>
      <protection locked="0"/>
    </xf>
    <xf numFmtId="164" fontId="12" fillId="39" borderId="76" xfId="1346" applyNumberFormat="1" applyFont="1" applyFill="1" applyBorder="1" applyAlignment="1" applyProtection="1">
      <alignment vertical="center"/>
      <protection locked="0"/>
    </xf>
    <xf numFmtId="41" fontId="12" fillId="39" borderId="76" xfId="2" applyFont="1" applyFill="1" applyBorder="1" applyAlignment="1" applyProtection="1">
      <alignment vertical="center"/>
      <protection locked="0"/>
    </xf>
    <xf numFmtId="41" fontId="12" fillId="39" borderId="76" xfId="2" applyFont="1" applyFill="1" applyBorder="1" applyAlignment="1">
      <alignment vertical="center"/>
    </xf>
    <xf numFmtId="0" fontId="3" fillId="0" borderId="152" xfId="1346" applyFont="1" applyFill="1" applyBorder="1" applyAlignment="1" applyProtection="1">
      <alignment horizontal="center" vertical="center"/>
      <protection locked="0"/>
    </xf>
    <xf numFmtId="14" fontId="3" fillId="0" borderId="152" xfId="1346" applyNumberFormat="1" applyFont="1" applyFill="1" applyBorder="1" applyAlignment="1" applyProtection="1">
      <alignment horizontal="left" vertical="center"/>
      <protection locked="0"/>
    </xf>
    <xf numFmtId="0" fontId="3" fillId="0" borderId="152" xfId="1346" applyFont="1" applyFill="1" applyBorder="1" applyAlignment="1" applyProtection="1">
      <alignment vertical="center"/>
      <protection locked="0"/>
    </xf>
    <xf numFmtId="41" fontId="3" fillId="0" borderId="152" xfId="2" applyFont="1" applyFill="1" applyBorder="1" applyAlignment="1" applyProtection="1">
      <alignment vertical="center"/>
      <protection locked="0"/>
    </xf>
    <xf numFmtId="41" fontId="3" fillId="39" borderId="152" xfId="2" applyFont="1" applyFill="1" applyBorder="1" applyAlignment="1">
      <alignment vertical="center"/>
    </xf>
    <xf numFmtId="0" fontId="3" fillId="0" borderId="69" xfId="1346" applyFont="1" applyFill="1" applyBorder="1" applyAlignment="1" applyProtection="1">
      <alignment horizontal="center" vertical="center"/>
      <protection locked="0"/>
    </xf>
    <xf numFmtId="14" fontId="3" fillId="0" borderId="69" xfId="1346" applyNumberFormat="1" applyFont="1" applyFill="1" applyBorder="1" applyAlignment="1" applyProtection="1">
      <alignment horizontal="left" vertical="center"/>
      <protection locked="0"/>
    </xf>
    <xf numFmtId="41" fontId="3" fillId="0" borderId="69" xfId="2" applyFont="1" applyFill="1" applyBorder="1" applyAlignment="1" applyProtection="1">
      <alignment vertical="center"/>
      <protection locked="0"/>
    </xf>
    <xf numFmtId="41" fontId="3" fillId="39" borderId="69" xfId="2" applyFont="1" applyFill="1" applyBorder="1" applyAlignment="1">
      <alignment vertical="center"/>
    </xf>
    <xf numFmtId="164" fontId="3" fillId="0" borderId="69" xfId="1346" applyNumberFormat="1" applyFont="1" applyFill="1" applyBorder="1" applyAlignment="1" applyProtection="1">
      <alignment horizontal="left" vertical="center"/>
      <protection locked="0"/>
    </xf>
    <xf numFmtId="0" fontId="3" fillId="0" borderId="113" xfId="1346" applyFont="1" applyFill="1" applyBorder="1" applyAlignment="1" applyProtection="1">
      <alignment horizontal="center" vertical="center"/>
      <protection locked="0"/>
    </xf>
    <xf numFmtId="164" fontId="3" fillId="0" borderId="113" xfId="1346" applyNumberFormat="1" applyFont="1" applyFill="1" applyBorder="1" applyAlignment="1" applyProtection="1">
      <alignment horizontal="left" vertical="center"/>
      <protection locked="0"/>
    </xf>
    <xf numFmtId="0" fontId="3" fillId="0" borderId="113" xfId="1346" applyFont="1" applyFill="1" applyBorder="1" applyAlignment="1" applyProtection="1">
      <alignment vertical="center"/>
      <protection locked="0"/>
    </xf>
    <xf numFmtId="41" fontId="3" fillId="0" borderId="113" xfId="2" applyFont="1" applyFill="1" applyBorder="1" applyAlignment="1" applyProtection="1">
      <alignment vertical="center"/>
      <protection locked="0"/>
    </xf>
    <xf numFmtId="41" fontId="3" fillId="39" borderId="88" xfId="2" applyFont="1" applyFill="1" applyBorder="1" applyAlignment="1">
      <alignment vertical="center"/>
    </xf>
    <xf numFmtId="41" fontId="3" fillId="39" borderId="113" xfId="2" applyFont="1" applyFill="1" applyBorder="1" applyAlignment="1">
      <alignment vertical="center"/>
    </xf>
    <xf numFmtId="164" fontId="4" fillId="37" borderId="297" xfId="1346" applyNumberFormat="1" applyFont="1" applyFill="1" applyBorder="1" applyAlignment="1">
      <alignment horizontal="center" vertical="center"/>
    </xf>
    <xf numFmtId="0" fontId="4" fillId="37" borderId="297" xfId="1346" applyFont="1" applyFill="1" applyBorder="1" applyAlignment="1">
      <alignment horizontal="left" vertical="center"/>
    </xf>
    <xf numFmtId="0" fontId="12" fillId="37" borderId="297" xfId="1346" applyFont="1" applyFill="1" applyBorder="1" applyAlignment="1">
      <alignment horizontal="center" vertical="center"/>
    </xf>
    <xf numFmtId="41" fontId="12" fillId="37" borderId="297" xfId="1346" applyNumberFormat="1" applyFont="1" applyFill="1" applyBorder="1" applyAlignment="1">
      <alignment vertical="center"/>
    </xf>
    <xf numFmtId="41" fontId="12" fillId="37" borderId="297" xfId="2" applyFont="1" applyFill="1" applyBorder="1" applyAlignment="1">
      <alignment vertical="center"/>
    </xf>
    <xf numFmtId="164" fontId="4" fillId="37" borderId="298" xfId="1346" applyNumberFormat="1" applyFont="1" applyFill="1" applyBorder="1" applyAlignment="1">
      <alignment horizontal="center" vertical="center"/>
    </xf>
    <xf numFmtId="0" fontId="4" fillId="37" borderId="298" xfId="1346" applyFont="1" applyFill="1" applyBorder="1" applyAlignment="1">
      <alignment horizontal="left" vertical="center"/>
    </xf>
    <xf numFmtId="0" fontId="12" fillId="37" borderId="298" xfId="1346" applyFont="1" applyFill="1" applyBorder="1" applyAlignment="1">
      <alignment horizontal="center" vertical="center"/>
    </xf>
    <xf numFmtId="41" fontId="12" fillId="37" borderId="298" xfId="1346" applyNumberFormat="1" applyFont="1" applyFill="1" applyBorder="1" applyAlignment="1">
      <alignment vertical="center"/>
    </xf>
    <xf numFmtId="41" fontId="12" fillId="37" borderId="298" xfId="2" applyFont="1" applyFill="1" applyBorder="1" applyAlignment="1">
      <alignment vertical="center"/>
    </xf>
    <xf numFmtId="41" fontId="3" fillId="0" borderId="174" xfId="1" applyNumberFormat="1" applyFont="1" applyFill="1" applyBorder="1" applyAlignment="1">
      <alignment horizontal="left" vertical="center"/>
    </xf>
    <xf numFmtId="41" fontId="4" fillId="17" borderId="296" xfId="0" applyNumberFormat="1" applyFont="1" applyFill="1" applyBorder="1" applyAlignment="1">
      <alignment vertical="center"/>
    </xf>
    <xf numFmtId="41" fontId="4" fillId="17" borderId="282" xfId="0" applyNumberFormat="1" applyFont="1" applyFill="1" applyBorder="1" applyAlignment="1">
      <alignment vertical="center"/>
    </xf>
    <xf numFmtId="165" fontId="37" fillId="0" borderId="51" xfId="1" applyNumberFormat="1" applyFont="1" applyFill="1" applyBorder="1" applyAlignment="1">
      <alignment horizontal="right" vertical="center"/>
    </xf>
    <xf numFmtId="0" fontId="0" fillId="0" borderId="0" xfId="0" applyAlignment="1">
      <alignment horizontal="center"/>
    </xf>
    <xf numFmtId="0" fontId="0" fillId="0" borderId="0" xfId="0" applyAlignment="1">
      <alignment horizontal="center" vertical="center" wrapText="1"/>
    </xf>
    <xf numFmtId="41" fontId="37" fillId="0" borderId="67" xfId="0" applyNumberFormat="1" applyFont="1" applyFill="1" applyBorder="1" applyAlignment="1" applyProtection="1">
      <alignment horizontal="center" vertical="center" wrapText="1"/>
      <protection locked="0"/>
    </xf>
    <xf numFmtId="0" fontId="22" fillId="0" borderId="0" xfId="0" applyFont="1" applyAlignment="1" applyProtection="1">
      <alignment horizontal="center" vertical="center" wrapText="1"/>
    </xf>
    <xf numFmtId="0" fontId="212" fillId="0" borderId="0" xfId="0" applyFont="1" applyAlignment="1" applyProtection="1">
      <alignment horizontal="center" vertical="center" wrapText="1"/>
    </xf>
    <xf numFmtId="41" fontId="23" fillId="0" borderId="0" xfId="0" applyNumberFormat="1" applyFont="1" applyAlignment="1" applyProtection="1">
      <alignment horizontal="center" vertical="center" wrapText="1"/>
    </xf>
    <xf numFmtId="41" fontId="45" fillId="0" borderId="0" xfId="0" applyNumberFormat="1" applyFont="1" applyAlignment="1" applyProtection="1">
      <alignment horizontal="center" vertical="center" wrapText="1"/>
    </xf>
    <xf numFmtId="0" fontId="23" fillId="0" borderId="0" xfId="0" applyFont="1" applyAlignment="1">
      <alignment horizontal="center" vertical="center" wrapText="1"/>
    </xf>
    <xf numFmtId="41" fontId="23" fillId="0" borderId="67" xfId="0" applyNumberFormat="1" applyFont="1" applyFill="1" applyBorder="1" applyAlignment="1" applyProtection="1">
      <alignment horizontal="center" vertical="center" wrapText="1"/>
      <protection locked="0"/>
    </xf>
    <xf numFmtId="41" fontId="23" fillId="0" borderId="209" xfId="0" applyNumberFormat="1" applyFont="1" applyFill="1" applyBorder="1" applyAlignment="1" applyProtection="1">
      <alignment horizontal="center" vertical="center" wrapText="1"/>
      <protection locked="0"/>
    </xf>
    <xf numFmtId="41" fontId="23" fillId="0" borderId="206" xfId="0" applyNumberFormat="1" applyFont="1" applyFill="1" applyBorder="1" applyAlignment="1" applyProtection="1">
      <alignment horizontal="center" vertical="center" wrapText="1"/>
    </xf>
    <xf numFmtId="41" fontId="22" fillId="0" borderId="147" xfId="0" applyNumberFormat="1" applyFont="1" applyFill="1" applyBorder="1" applyAlignment="1" applyProtection="1">
      <alignment horizontal="center" vertical="center" wrapText="1"/>
    </xf>
    <xf numFmtId="0" fontId="23" fillId="0" borderId="20" xfId="0" applyFont="1" applyBorder="1" applyAlignment="1">
      <alignment horizontal="center" vertical="center" wrapText="1"/>
    </xf>
    <xf numFmtId="0" fontId="56" fillId="0" borderId="0" xfId="861" applyFont="1" applyAlignment="1">
      <alignment horizontal="center" vertical="center"/>
    </xf>
    <xf numFmtId="0" fontId="62" fillId="0" borderId="0" xfId="861" applyFont="1" applyAlignment="1">
      <alignment horizontal="center" vertical="center"/>
    </xf>
    <xf numFmtId="0" fontId="0" fillId="0" borderId="2" xfId="0" applyBorder="1"/>
    <xf numFmtId="0" fontId="0" fillId="0" borderId="2" xfId="0" applyBorder="1" applyAlignment="1">
      <alignment horizontal="center" vertical="center"/>
    </xf>
    <xf numFmtId="41" fontId="4" fillId="0" borderId="126" xfId="4" applyFont="1" applyBorder="1" applyAlignment="1">
      <alignment vertical="center"/>
    </xf>
    <xf numFmtId="165" fontId="25" fillId="33" borderId="69" xfId="368" applyNumberFormat="1" applyFont="1" applyFill="1" applyBorder="1" applyAlignment="1">
      <alignment vertical="center"/>
    </xf>
    <xf numFmtId="41" fontId="110" fillId="0" borderId="29" xfId="249" applyFont="1" applyBorder="1" applyAlignment="1">
      <alignment horizontal="left" vertical="center"/>
    </xf>
    <xf numFmtId="41" fontId="153" fillId="0" borderId="29" xfId="249" applyFont="1" applyFill="1" applyBorder="1" applyAlignment="1">
      <alignment vertical="center"/>
    </xf>
    <xf numFmtId="14" fontId="4" fillId="8" borderId="45" xfId="0" applyNumberFormat="1" applyFont="1" applyFill="1" applyBorder="1" applyAlignment="1">
      <alignment horizontal="center" vertical="center"/>
    </xf>
    <xf numFmtId="14" fontId="37" fillId="0" borderId="51" xfId="0" applyNumberFormat="1" applyFont="1" applyFill="1" applyBorder="1" applyAlignment="1" applyProtection="1">
      <alignment vertical="center"/>
      <protection locked="0"/>
    </xf>
    <xf numFmtId="41" fontId="1" fillId="0" borderId="51" xfId="2" applyFont="1" applyFill="1" applyBorder="1" applyAlignment="1" applyProtection="1">
      <alignment vertical="center"/>
      <protection locked="0"/>
    </xf>
    <xf numFmtId="41" fontId="37" fillId="33" borderId="2" xfId="0" applyNumberFormat="1" applyFont="1" applyFill="1" applyBorder="1" applyAlignment="1" applyProtection="1">
      <alignment horizontal="center" vertical="center"/>
      <protection locked="0"/>
    </xf>
    <xf numFmtId="14" fontId="37" fillId="33" borderId="2" xfId="275" applyNumberFormat="1" applyFont="1" applyFill="1" applyBorder="1" applyAlignment="1" applyProtection="1">
      <alignment vertical="center"/>
      <protection locked="0"/>
    </xf>
    <xf numFmtId="9" fontId="37" fillId="33" borderId="2" xfId="275" applyNumberFormat="1" applyFont="1" applyFill="1" applyBorder="1" applyAlignment="1" applyProtection="1">
      <alignment vertical="center"/>
      <protection locked="0"/>
    </xf>
    <xf numFmtId="0" fontId="0" fillId="33" borderId="2" xfId="0" applyFill="1" applyBorder="1"/>
    <xf numFmtId="41" fontId="0" fillId="33" borderId="2" xfId="2" applyFont="1" applyFill="1" applyBorder="1"/>
    <xf numFmtId="0" fontId="1" fillId="33" borderId="2" xfId="0" applyFont="1" applyFill="1" applyBorder="1"/>
    <xf numFmtId="0" fontId="4" fillId="0" borderId="71" xfId="0" applyFont="1" applyFill="1" applyBorder="1" applyAlignment="1">
      <alignment horizontal="center" vertical="center"/>
    </xf>
    <xf numFmtId="0" fontId="12" fillId="0" borderId="46" xfId="0" applyFont="1" applyFill="1" applyBorder="1" applyAlignment="1">
      <alignment horizontal="center" vertical="center" wrapText="1"/>
    </xf>
    <xf numFmtId="165" fontId="6" fillId="34" borderId="2" xfId="1" applyNumberFormat="1" applyFont="1" applyFill="1" applyBorder="1"/>
    <xf numFmtId="0" fontId="1" fillId="34" borderId="2" xfId="861" applyFont="1" applyFill="1" applyBorder="1"/>
    <xf numFmtId="0" fontId="1" fillId="34" borderId="2" xfId="861" applyFill="1" applyBorder="1"/>
    <xf numFmtId="165" fontId="1" fillId="34" borderId="0" xfId="1" applyNumberFormat="1" applyFont="1" applyFill="1" applyBorder="1"/>
    <xf numFmtId="0" fontId="1" fillId="34" borderId="0" xfId="861" applyFill="1" applyBorder="1"/>
    <xf numFmtId="165" fontId="5" fillId="34" borderId="2" xfId="1" applyNumberFormat="1" applyFont="1" applyFill="1" applyBorder="1"/>
    <xf numFmtId="0" fontId="11" fillId="34" borderId="2" xfId="861" applyFont="1" applyFill="1" applyBorder="1"/>
    <xf numFmtId="165" fontId="6" fillId="37" borderId="2" xfId="1" applyNumberFormat="1" applyFont="1" applyFill="1" applyBorder="1"/>
    <xf numFmtId="165" fontId="1" fillId="37" borderId="2" xfId="1" applyNumberFormat="1" applyFont="1" applyFill="1" applyBorder="1" applyAlignment="1">
      <alignment vertical="center"/>
    </xf>
    <xf numFmtId="165" fontId="1" fillId="37" borderId="2" xfId="1" applyNumberFormat="1" applyFont="1" applyFill="1" applyBorder="1"/>
    <xf numFmtId="165" fontId="1" fillId="37" borderId="2" xfId="1" applyNumberFormat="1" applyFill="1" applyBorder="1"/>
    <xf numFmtId="41" fontId="30" fillId="37" borderId="51" xfId="1176" applyNumberFormat="1" applyFont="1" applyFill="1" applyBorder="1" applyAlignment="1">
      <alignment vertical="center"/>
    </xf>
    <xf numFmtId="41" fontId="3" fillId="37" borderId="51" xfId="1176" applyNumberFormat="1" applyFont="1" applyFill="1" applyBorder="1" applyAlignment="1">
      <alignment vertical="center"/>
    </xf>
    <xf numFmtId="165" fontId="1" fillId="41" borderId="2" xfId="1" applyNumberFormat="1" applyFont="1" applyFill="1" applyBorder="1" applyAlignment="1">
      <alignment vertical="center"/>
    </xf>
    <xf numFmtId="165" fontId="6" fillId="41" borderId="2" xfId="1" applyNumberFormat="1" applyFont="1" applyFill="1" applyBorder="1"/>
    <xf numFmtId="165" fontId="1" fillId="41" borderId="2" xfId="1" applyNumberFormat="1" applyFill="1" applyBorder="1"/>
    <xf numFmtId="165" fontId="1" fillId="41" borderId="2" xfId="1" applyNumberFormat="1" applyFont="1" applyFill="1" applyBorder="1"/>
    <xf numFmtId="41" fontId="56" fillId="41" borderId="69" xfId="2" applyFont="1" applyFill="1" applyBorder="1" applyAlignment="1">
      <alignment vertical="center" wrapText="1"/>
    </xf>
    <xf numFmtId="41" fontId="215" fillId="0" borderId="69" xfId="2" applyFont="1" applyBorder="1" applyAlignment="1">
      <alignment vertical="center" wrapText="1"/>
    </xf>
    <xf numFmtId="41" fontId="215" fillId="41" borderId="69" xfId="2" applyFont="1" applyFill="1" applyBorder="1" applyAlignment="1">
      <alignment vertical="center" wrapText="1"/>
    </xf>
    <xf numFmtId="41" fontId="216" fillId="0" borderId="0" xfId="0" applyNumberFormat="1" applyFont="1" applyFill="1" applyAlignment="1">
      <alignment vertical="center"/>
    </xf>
    <xf numFmtId="0" fontId="0" fillId="0" borderId="2" xfId="0" applyBorder="1"/>
    <xf numFmtId="41" fontId="37" fillId="38" borderId="2" xfId="0" applyNumberFormat="1" applyFont="1" applyFill="1" applyBorder="1" applyAlignment="1" applyProtection="1">
      <alignment vertical="center"/>
      <protection locked="0"/>
    </xf>
    <xf numFmtId="41" fontId="37" fillId="38" borderId="2" xfId="0" applyNumberFormat="1" applyFont="1" applyFill="1" applyBorder="1" applyAlignment="1" applyProtection="1">
      <alignment vertical="center"/>
    </xf>
    <xf numFmtId="41" fontId="12" fillId="38" borderId="62" xfId="0" applyNumberFormat="1" applyFont="1" applyFill="1" applyBorder="1" applyAlignment="1" applyProtection="1">
      <alignment vertical="center"/>
    </xf>
    <xf numFmtId="41" fontId="6" fillId="38" borderId="0" xfId="0" applyNumberFormat="1" applyFont="1" applyFill="1" applyAlignment="1" applyProtection="1">
      <alignment vertical="center"/>
    </xf>
    <xf numFmtId="41" fontId="10" fillId="38" borderId="0" xfId="0" applyNumberFormat="1" applyFont="1" applyFill="1" applyAlignment="1" applyProtection="1">
      <alignment vertical="center"/>
    </xf>
    <xf numFmtId="41" fontId="0" fillId="38" borderId="0" xfId="0" applyNumberFormat="1" applyFill="1" applyAlignment="1" applyProtection="1">
      <alignment vertical="center"/>
    </xf>
    <xf numFmtId="41" fontId="25" fillId="38" borderId="0" xfId="0" applyNumberFormat="1" applyFont="1" applyFill="1" applyAlignment="1" applyProtection="1">
      <alignment vertical="center"/>
    </xf>
    <xf numFmtId="41" fontId="193" fillId="33" borderId="51" xfId="275" applyNumberFormat="1" applyFont="1" applyFill="1" applyBorder="1" applyAlignment="1" applyProtection="1">
      <alignment vertical="center"/>
      <protection locked="0"/>
    </xf>
    <xf numFmtId="0" fontId="0" fillId="0" borderId="2" xfId="0" applyBorder="1"/>
    <xf numFmtId="0" fontId="23" fillId="0" borderId="2" xfId="0" applyFont="1" applyBorder="1" applyAlignment="1"/>
    <xf numFmtId="41" fontId="37" fillId="38" borderId="17" xfId="0" applyNumberFormat="1" applyFont="1" applyFill="1" applyBorder="1" applyAlignment="1" applyProtection="1">
      <alignment vertical="center"/>
      <protection locked="0"/>
    </xf>
    <xf numFmtId="165" fontId="37" fillId="33" borderId="51" xfId="1" applyNumberFormat="1" applyFont="1" applyFill="1" applyBorder="1" applyAlignment="1">
      <alignment vertical="center"/>
    </xf>
    <xf numFmtId="165" fontId="37" fillId="33" borderId="51" xfId="1" applyNumberFormat="1" applyFont="1" applyFill="1" applyBorder="1" applyAlignment="1">
      <alignment horizontal="right" vertical="center"/>
    </xf>
    <xf numFmtId="41" fontId="4" fillId="0" borderId="2" xfId="0" applyNumberFormat="1" applyFont="1" applyFill="1" applyBorder="1" applyAlignment="1">
      <alignment horizontal="center" vertical="center" wrapText="1"/>
    </xf>
    <xf numFmtId="14" fontId="210" fillId="0" borderId="88" xfId="989" applyNumberFormat="1" applyFont="1" applyBorder="1" applyAlignment="1" applyProtection="1">
      <alignment horizontal="center" vertical="center"/>
      <protection locked="0"/>
    </xf>
    <xf numFmtId="0" fontId="3" fillId="33" borderId="0" xfId="0" applyFont="1" applyFill="1" applyAlignment="1">
      <alignment vertical="center"/>
    </xf>
    <xf numFmtId="41" fontId="3" fillId="33" borderId="51" xfId="0" applyNumberFormat="1" applyFont="1" applyFill="1" applyBorder="1" applyAlignment="1">
      <alignment vertical="center"/>
    </xf>
    <xf numFmtId="14" fontId="37" fillId="0" borderId="17" xfId="0" applyNumberFormat="1" applyFont="1" applyBorder="1" applyAlignment="1" applyProtection="1">
      <alignment horizontal="center" vertical="center"/>
      <protection locked="0"/>
    </xf>
    <xf numFmtId="164" fontId="12" fillId="0" borderId="34" xfId="0" applyNumberFormat="1" applyFont="1" applyFill="1" applyBorder="1" applyAlignment="1">
      <alignment horizontal="center" vertical="center"/>
    </xf>
    <xf numFmtId="164" fontId="12" fillId="0" borderId="36" xfId="0" applyNumberFormat="1" applyFont="1" applyFill="1" applyBorder="1" applyAlignment="1">
      <alignment horizontal="center" vertical="center"/>
    </xf>
    <xf numFmtId="164" fontId="12" fillId="0" borderId="275" xfId="0" applyNumberFormat="1" applyFont="1" applyFill="1" applyBorder="1" applyAlignment="1">
      <alignment horizontal="center" vertical="center"/>
    </xf>
    <xf numFmtId="0" fontId="12" fillId="0" borderId="275" xfId="0" applyFont="1" applyFill="1" applyBorder="1" applyAlignment="1">
      <alignment horizontal="center" vertical="center"/>
    </xf>
    <xf numFmtId="0" fontId="12" fillId="0" borderId="69" xfId="0" applyFont="1" applyFill="1" applyBorder="1" applyAlignment="1">
      <alignment horizontal="center" vertical="center" wrapText="1"/>
    </xf>
    <xf numFmtId="0" fontId="12" fillId="0" borderId="106" xfId="0" applyFont="1" applyFill="1" applyBorder="1" applyAlignment="1">
      <alignment horizontal="center" vertical="center" wrapText="1"/>
    </xf>
    <xf numFmtId="164" fontId="4" fillId="8" borderId="88" xfId="0" applyNumberFormat="1" applyFont="1" applyFill="1" applyBorder="1" applyAlignment="1">
      <alignment horizontal="center" vertical="center"/>
    </xf>
    <xf numFmtId="0" fontId="4" fillId="8" borderId="88" xfId="0" applyFont="1" applyFill="1" applyBorder="1" applyAlignment="1">
      <alignment horizontal="left" vertical="center"/>
    </xf>
    <xf numFmtId="0" fontId="4" fillId="8" borderId="88" xfId="0" applyFont="1" applyFill="1" applyBorder="1" applyAlignment="1">
      <alignment horizontal="center" vertical="center"/>
    </xf>
    <xf numFmtId="41" fontId="4" fillId="8" borderId="88" xfId="0" applyNumberFormat="1" applyFont="1" applyFill="1" applyBorder="1" applyAlignment="1">
      <alignment vertical="center"/>
    </xf>
    <xf numFmtId="41" fontId="4" fillId="8" borderId="65" xfId="0" applyNumberFormat="1" applyFont="1" applyFill="1" applyBorder="1" applyAlignment="1">
      <alignment vertical="center"/>
    </xf>
    <xf numFmtId="41" fontId="37" fillId="8" borderId="154" xfId="0" applyNumberFormat="1" applyFont="1" applyFill="1" applyBorder="1" applyAlignment="1">
      <alignment vertical="center"/>
    </xf>
    <xf numFmtId="0" fontId="11" fillId="0" borderId="76" xfId="0" applyFont="1" applyFill="1" applyBorder="1" applyAlignment="1">
      <alignment horizontal="center" vertical="center"/>
    </xf>
    <xf numFmtId="0" fontId="11" fillId="0" borderId="76" xfId="0" applyFont="1" applyFill="1" applyBorder="1" applyAlignment="1">
      <alignment horizontal="center" vertical="center" wrapText="1"/>
    </xf>
    <xf numFmtId="15" fontId="0" fillId="0" borderId="2" xfId="0" applyNumberFormat="1" applyBorder="1"/>
    <xf numFmtId="41" fontId="11" fillId="37" borderId="297" xfId="2" applyFont="1" applyFill="1" applyBorder="1" applyAlignment="1">
      <alignment vertical="center"/>
    </xf>
    <xf numFmtId="41" fontId="11" fillId="37" borderId="298" xfId="2" applyFont="1" applyFill="1" applyBorder="1" applyAlignment="1">
      <alignment vertical="center"/>
    </xf>
    <xf numFmtId="165" fontId="37" fillId="33" borderId="0" xfId="0" applyNumberFormat="1" applyFont="1" applyFill="1" applyAlignment="1">
      <alignment vertical="center"/>
    </xf>
    <xf numFmtId="0" fontId="22" fillId="0" borderId="53" xfId="0" applyFont="1" applyBorder="1" applyAlignment="1">
      <alignment horizontal="center" vertical="center" wrapText="1"/>
    </xf>
    <xf numFmtId="41" fontId="37" fillId="40" borderId="17" xfId="275" applyNumberFormat="1" applyFont="1" applyFill="1" applyBorder="1" applyAlignment="1" applyProtection="1">
      <alignment vertical="center"/>
      <protection locked="0"/>
    </xf>
    <xf numFmtId="41" fontId="217" fillId="0" borderId="0" xfId="0" applyNumberFormat="1" applyFont="1" applyFill="1" applyAlignment="1">
      <alignment vertical="center"/>
    </xf>
    <xf numFmtId="0" fontId="0" fillId="0" borderId="2" xfId="0" applyBorder="1"/>
    <xf numFmtId="41" fontId="6" fillId="0" borderId="0" xfId="2" applyFont="1"/>
    <xf numFmtId="41" fontId="31" fillId="0" borderId="0" xfId="2" applyFont="1"/>
    <xf numFmtId="41" fontId="218" fillId="0" borderId="0" xfId="0" applyNumberFormat="1" applyFont="1"/>
    <xf numFmtId="41" fontId="218" fillId="0" borderId="0" xfId="2" applyFont="1"/>
    <xf numFmtId="14" fontId="0" fillId="37" borderId="2" xfId="0" applyNumberFormat="1" applyFill="1" applyBorder="1"/>
    <xf numFmtId="17" fontId="33" fillId="0" borderId="6" xfId="0" applyNumberFormat="1" applyFont="1" applyBorder="1" applyAlignment="1" applyProtection="1">
      <alignment vertical="center"/>
      <protection locked="0"/>
    </xf>
    <xf numFmtId="41" fontId="1" fillId="0" borderId="0" xfId="861" applyNumberFormat="1" applyAlignment="1">
      <alignment vertical="center"/>
    </xf>
    <xf numFmtId="17" fontId="4" fillId="0" borderId="0" xfId="0" applyNumberFormat="1" applyFont="1" applyFill="1" applyAlignment="1">
      <alignment horizontal="left" vertical="center"/>
    </xf>
    <xf numFmtId="14" fontId="37" fillId="38" borderId="17" xfId="275" applyNumberFormat="1" applyFont="1" applyFill="1" applyBorder="1" applyAlignment="1" applyProtection="1">
      <alignment vertical="center"/>
      <protection locked="0"/>
    </xf>
    <xf numFmtId="0" fontId="0" fillId="0" borderId="2" xfId="0" applyBorder="1"/>
    <xf numFmtId="41" fontId="37" fillId="40" borderId="2" xfId="275" applyNumberFormat="1" applyFont="1" applyFill="1" applyBorder="1" applyAlignment="1" applyProtection="1">
      <alignment vertical="center"/>
      <protection locked="0"/>
    </xf>
    <xf numFmtId="43" fontId="0" fillId="37" borderId="2" xfId="1" applyFont="1" applyFill="1" applyBorder="1"/>
    <xf numFmtId="43" fontId="0" fillId="0" borderId="2" xfId="1" applyFont="1" applyBorder="1"/>
    <xf numFmtId="164" fontId="1" fillId="0" borderId="2" xfId="0" applyNumberFormat="1" applyFont="1" applyFill="1" applyBorder="1" applyAlignment="1">
      <alignment horizontal="left" vertical="center"/>
    </xf>
    <xf numFmtId="164" fontId="1" fillId="0" borderId="17" xfId="0" applyNumberFormat="1" applyFont="1" applyFill="1" applyBorder="1" applyAlignment="1">
      <alignment horizontal="left" vertical="center"/>
    </xf>
    <xf numFmtId="0" fontId="0" fillId="0" borderId="2" xfId="0" applyBorder="1"/>
    <xf numFmtId="0" fontId="0" fillId="0" borderId="2" xfId="0" applyBorder="1"/>
    <xf numFmtId="43" fontId="37" fillId="2" borderId="51" xfId="1" applyNumberFormat="1" applyFont="1" applyFill="1" applyBorder="1" applyAlignment="1">
      <alignment horizontal="right" vertical="center"/>
    </xf>
    <xf numFmtId="43" fontId="37" fillId="2" borderId="51" xfId="1" applyNumberFormat="1" applyFont="1" applyFill="1" applyBorder="1" applyAlignment="1">
      <alignment vertical="center"/>
    </xf>
    <xf numFmtId="41" fontId="3" fillId="0" borderId="80" xfId="2" applyFont="1" applyFill="1" applyBorder="1" applyAlignment="1">
      <alignment horizontal="left" vertical="center"/>
    </xf>
    <xf numFmtId="0" fontId="0" fillId="0" borderId="2" xfId="0" applyBorder="1"/>
    <xf numFmtId="0" fontId="3" fillId="38" borderId="69" xfId="0" applyFont="1" applyFill="1" applyBorder="1" applyAlignment="1">
      <alignment vertical="center"/>
    </xf>
    <xf numFmtId="41" fontId="3" fillId="38" borderId="46" xfId="1" applyNumberFormat="1" applyFont="1" applyFill="1" applyBorder="1" applyAlignment="1">
      <alignment horizontal="left" vertical="center"/>
    </xf>
    <xf numFmtId="41" fontId="3" fillId="38" borderId="24" xfId="1" applyNumberFormat="1" applyFont="1" applyFill="1" applyBorder="1" applyAlignment="1">
      <alignment horizontal="left" vertical="center"/>
    </xf>
    <xf numFmtId="41" fontId="3" fillId="38" borderId="80" xfId="1" applyNumberFormat="1" applyFont="1" applyFill="1" applyBorder="1" applyAlignment="1">
      <alignment horizontal="left" vertical="center"/>
    </xf>
    <xf numFmtId="41" fontId="3" fillId="38" borderId="2" xfId="1" applyNumberFormat="1" applyFont="1" applyFill="1" applyBorder="1" applyAlignment="1">
      <alignment horizontal="left" vertical="center"/>
    </xf>
    <xf numFmtId="41" fontId="37" fillId="0" borderId="0" xfId="2" applyFont="1" applyFill="1" applyAlignment="1">
      <alignment horizontal="center" vertical="center"/>
    </xf>
    <xf numFmtId="0" fontId="0" fillId="0" borderId="2" xfId="0" applyBorder="1"/>
    <xf numFmtId="41" fontId="193" fillId="17" borderId="51" xfId="0" applyNumberFormat="1" applyFont="1" applyFill="1" applyBorder="1" applyAlignment="1" applyProtection="1">
      <alignment vertical="center"/>
    </xf>
    <xf numFmtId="3" fontId="219" fillId="0" borderId="0" xfId="0" applyNumberFormat="1" applyFont="1"/>
    <xf numFmtId="3" fontId="0" fillId="0" borderId="0" xfId="0" applyNumberFormat="1"/>
    <xf numFmtId="41" fontId="1" fillId="0" borderId="108" xfId="2" applyFont="1" applyBorder="1" applyAlignment="1">
      <alignment vertical="center"/>
    </xf>
    <xf numFmtId="41" fontId="1" fillId="0" borderId="0" xfId="2" applyFont="1" applyBorder="1" applyAlignment="1">
      <alignment vertical="center"/>
    </xf>
    <xf numFmtId="41" fontId="21" fillId="0" borderId="0" xfId="2" applyFont="1" applyBorder="1" applyAlignment="1">
      <alignment vertical="center"/>
    </xf>
    <xf numFmtId="41" fontId="10" fillId="17" borderId="44" xfId="2" applyFont="1" applyFill="1" applyBorder="1" applyAlignment="1">
      <alignment horizontal="center" vertical="center" wrapText="1"/>
    </xf>
    <xf numFmtId="41" fontId="72" fillId="0" borderId="28" xfId="2" applyFont="1" applyFill="1" applyBorder="1" applyAlignment="1">
      <alignment horizontal="center" vertical="center"/>
    </xf>
    <xf numFmtId="41" fontId="72" fillId="17" borderId="44" xfId="2" applyFont="1" applyFill="1" applyBorder="1" applyAlignment="1">
      <alignment vertical="center"/>
    </xf>
    <xf numFmtId="41" fontId="72" fillId="0" borderId="51" xfId="2" applyFont="1" applyFill="1" applyBorder="1" applyAlignment="1">
      <alignment vertical="center"/>
    </xf>
    <xf numFmtId="41" fontId="72" fillId="0" borderId="2" xfId="2" applyFont="1" applyFill="1" applyBorder="1" applyAlignment="1">
      <alignment vertical="center"/>
    </xf>
    <xf numFmtId="41" fontId="73" fillId="0" borderId="28" xfId="2" applyFont="1" applyBorder="1" applyAlignment="1">
      <alignment vertical="center"/>
    </xf>
    <xf numFmtId="41" fontId="72" fillId="0" borderId="17" xfId="2" applyFont="1" applyFill="1" applyBorder="1" applyAlignment="1">
      <alignment vertical="center"/>
    </xf>
    <xf numFmtId="41" fontId="73" fillId="0" borderId="17" xfId="2" applyFont="1" applyBorder="1" applyAlignment="1">
      <alignment vertical="center"/>
    </xf>
    <xf numFmtId="41" fontId="72" fillId="17" borderId="44" xfId="2" applyFont="1" applyFill="1" applyBorder="1" applyAlignment="1">
      <alignment horizontal="center" vertical="center"/>
    </xf>
    <xf numFmtId="41" fontId="1" fillId="0" borderId="2" xfId="2" applyFont="1" applyBorder="1" applyAlignment="1">
      <alignment vertical="center"/>
    </xf>
    <xf numFmtId="41" fontId="1" fillId="0" borderId="17" xfId="2" applyFont="1" applyBorder="1" applyAlignment="1">
      <alignment vertical="center"/>
    </xf>
    <xf numFmtId="41" fontId="72" fillId="0" borderId="28" xfId="2" applyFont="1" applyFill="1" applyBorder="1" applyAlignment="1">
      <alignment vertical="center"/>
    </xf>
    <xf numFmtId="41" fontId="11" fillId="0" borderId="28" xfId="2" applyFont="1" applyFill="1" applyBorder="1" applyAlignment="1">
      <alignment vertical="center"/>
    </xf>
    <xf numFmtId="41" fontId="37" fillId="0" borderId="28" xfId="2" applyFont="1" applyBorder="1" applyAlignment="1">
      <alignment vertical="center"/>
    </xf>
    <xf numFmtId="41" fontId="37" fillId="0" borderId="47" xfId="2" applyFont="1" applyBorder="1" applyAlignment="1">
      <alignment vertical="center"/>
    </xf>
    <xf numFmtId="41" fontId="37" fillId="0" borderId="0" xfId="2" applyFont="1" applyBorder="1" applyAlignment="1">
      <alignment vertical="center"/>
    </xf>
    <xf numFmtId="41" fontId="1" fillId="0" borderId="117" xfId="2" applyFont="1" applyBorder="1" applyAlignment="1">
      <alignment horizontal="center" vertical="center"/>
    </xf>
    <xf numFmtId="41" fontId="1" fillId="0" borderId="0" xfId="2" applyFont="1" applyAlignment="1">
      <alignment vertical="center"/>
    </xf>
    <xf numFmtId="14" fontId="37" fillId="0" borderId="17" xfId="0" applyNumberFormat="1" applyFont="1" applyFill="1" applyBorder="1" applyAlignment="1">
      <alignment vertical="center"/>
    </xf>
    <xf numFmtId="41" fontId="37" fillId="38" borderId="2" xfId="0" applyNumberFormat="1" applyFont="1" applyFill="1" applyBorder="1" applyAlignment="1" applyProtection="1">
      <alignment horizontal="center" vertical="center"/>
      <protection locked="0"/>
    </xf>
    <xf numFmtId="14" fontId="37" fillId="38" borderId="2" xfId="275" applyNumberFormat="1" applyFont="1" applyFill="1" applyBorder="1" applyAlignment="1" applyProtection="1">
      <alignment vertical="center"/>
      <protection locked="0"/>
    </xf>
    <xf numFmtId="9" fontId="37" fillId="38" borderId="2" xfId="275" applyNumberFormat="1" applyFont="1" applyFill="1" applyBorder="1" applyAlignment="1" applyProtection="1">
      <alignment vertical="center"/>
      <protection locked="0"/>
    </xf>
    <xf numFmtId="41" fontId="37" fillId="38" borderId="83" xfId="0" applyNumberFormat="1" applyFont="1" applyFill="1" applyBorder="1" applyAlignment="1" applyProtection="1">
      <alignment horizontal="center" vertical="center" wrapText="1"/>
    </xf>
    <xf numFmtId="41" fontId="37" fillId="38" borderId="51" xfId="0" applyNumberFormat="1" applyFont="1" applyFill="1" applyBorder="1" applyAlignment="1" applyProtection="1">
      <alignment horizontal="center" vertical="center" wrapText="1"/>
    </xf>
    <xf numFmtId="41" fontId="37" fillId="38" borderId="146" xfId="0" applyNumberFormat="1" applyFont="1" applyFill="1" applyBorder="1" applyAlignment="1" applyProtection="1">
      <alignment horizontal="center" vertical="center" wrapText="1"/>
    </xf>
    <xf numFmtId="41" fontId="37" fillId="38" borderId="0" xfId="0" applyNumberFormat="1" applyFont="1" applyFill="1" applyAlignment="1" applyProtection="1">
      <alignment vertical="center"/>
    </xf>
    <xf numFmtId="41" fontId="37" fillId="36" borderId="2" xfId="0" applyNumberFormat="1" applyFont="1" applyFill="1" applyBorder="1" applyAlignment="1" applyProtection="1">
      <alignment vertical="center"/>
      <protection locked="0"/>
    </xf>
    <xf numFmtId="41" fontId="37" fillId="36" borderId="2" xfId="0" applyNumberFormat="1" applyFont="1" applyFill="1" applyBorder="1" applyAlignment="1" applyProtection="1">
      <alignment horizontal="center" vertical="center"/>
      <protection locked="0"/>
    </xf>
    <xf numFmtId="14" fontId="37" fillId="36" borderId="2" xfId="275" applyNumberFormat="1" applyFont="1" applyFill="1" applyBorder="1" applyAlignment="1" applyProtection="1">
      <alignment vertical="center"/>
      <protection locked="0"/>
    </xf>
    <xf numFmtId="9" fontId="37" fillId="36" borderId="2" xfId="275" applyNumberFormat="1" applyFont="1" applyFill="1" applyBorder="1" applyAlignment="1" applyProtection="1">
      <alignment vertical="center"/>
      <protection locked="0"/>
    </xf>
    <xf numFmtId="41" fontId="37" fillId="36" borderId="83" xfId="0" applyNumberFormat="1" applyFont="1" applyFill="1" applyBorder="1" applyAlignment="1" applyProtection="1">
      <alignment horizontal="center" vertical="center" wrapText="1"/>
    </xf>
    <xf numFmtId="41" fontId="37" fillId="36" borderId="51" xfId="0" applyNumberFormat="1" applyFont="1" applyFill="1" applyBorder="1" applyAlignment="1" applyProtection="1">
      <alignment horizontal="center" vertical="center" wrapText="1"/>
    </xf>
    <xf numFmtId="41" fontId="37" fillId="36" borderId="146" xfId="0" applyNumberFormat="1" applyFont="1" applyFill="1" applyBorder="1" applyAlignment="1" applyProtection="1">
      <alignment horizontal="center" vertical="center" wrapText="1"/>
    </xf>
    <xf numFmtId="41" fontId="37" fillId="36" borderId="0" xfId="0" applyNumberFormat="1" applyFont="1" applyFill="1" applyAlignment="1" applyProtection="1">
      <alignment vertical="center"/>
    </xf>
    <xf numFmtId="41" fontId="37" fillId="36" borderId="67" xfId="0" applyNumberFormat="1" applyFont="1" applyFill="1" applyBorder="1" applyAlignment="1" applyProtection="1">
      <alignment vertical="center"/>
      <protection locked="0"/>
    </xf>
    <xf numFmtId="41" fontId="37" fillId="36" borderId="51" xfId="0" applyNumberFormat="1" applyFont="1" applyFill="1" applyBorder="1" applyAlignment="1" applyProtection="1">
      <alignment vertical="center"/>
      <protection locked="0"/>
    </xf>
    <xf numFmtId="41" fontId="37" fillId="36" borderId="51" xfId="0" applyNumberFormat="1" applyFont="1" applyFill="1" applyBorder="1" applyAlignment="1" applyProtection="1">
      <alignment horizontal="center" vertical="center"/>
      <protection locked="0"/>
    </xf>
    <xf numFmtId="14" fontId="37" fillId="36" borderId="51" xfId="275" applyNumberFormat="1" applyFont="1" applyFill="1" applyBorder="1" applyAlignment="1" applyProtection="1">
      <alignment vertical="center"/>
      <protection locked="0"/>
    </xf>
    <xf numFmtId="9" fontId="37" fillId="36" borderId="51" xfId="275" applyNumberFormat="1" applyFont="1" applyFill="1" applyBorder="1" applyAlignment="1" applyProtection="1">
      <alignment vertical="center"/>
      <protection locked="0"/>
    </xf>
    <xf numFmtId="41" fontId="37" fillId="36" borderId="67" xfId="0" applyNumberFormat="1" applyFont="1" applyFill="1" applyBorder="1" applyAlignment="1" applyProtection="1">
      <alignment horizontal="center" vertical="center"/>
      <protection locked="0"/>
    </xf>
    <xf numFmtId="41" fontId="193" fillId="36" borderId="51" xfId="0" applyNumberFormat="1" applyFont="1" applyFill="1" applyBorder="1" applyAlignment="1" applyProtection="1">
      <alignment vertical="center"/>
    </xf>
    <xf numFmtId="41" fontId="37" fillId="36" borderId="51" xfId="2" applyFont="1" applyFill="1" applyBorder="1" applyAlignment="1" applyProtection="1">
      <alignment vertical="center"/>
      <protection locked="0"/>
    </xf>
    <xf numFmtId="14" fontId="37" fillId="36" borderId="51" xfId="0" applyNumberFormat="1" applyFont="1" applyFill="1" applyBorder="1" applyAlignment="1" applyProtection="1">
      <alignment vertical="center"/>
      <protection locked="0"/>
    </xf>
    <xf numFmtId="41" fontId="193" fillId="0" borderId="51" xfId="275" applyNumberFormat="1" applyFont="1" applyFill="1" applyBorder="1" applyAlignment="1" applyProtection="1">
      <alignment vertical="center"/>
      <protection locked="0"/>
    </xf>
    <xf numFmtId="41" fontId="193" fillId="0" borderId="51" xfId="0" applyNumberFormat="1" applyFont="1" applyBorder="1" applyAlignment="1" applyProtection="1">
      <alignment vertical="center"/>
      <protection locked="0"/>
    </xf>
    <xf numFmtId="41" fontId="193" fillId="17" borderId="146" xfId="0" applyNumberFormat="1" applyFont="1" applyFill="1" applyBorder="1" applyAlignment="1" applyProtection="1">
      <alignment vertical="center"/>
    </xf>
    <xf numFmtId="41" fontId="193" fillId="0" borderId="2" xfId="275" applyNumberFormat="1" applyFont="1" applyFill="1" applyBorder="1" applyAlignment="1" applyProtection="1">
      <alignment vertical="center"/>
      <protection locked="0"/>
    </xf>
    <xf numFmtId="41" fontId="193" fillId="0" borderId="2" xfId="0" applyNumberFormat="1" applyFont="1" applyBorder="1" applyAlignment="1" applyProtection="1">
      <alignment vertical="center"/>
      <protection locked="0"/>
    </xf>
    <xf numFmtId="41" fontId="193" fillId="17" borderId="2" xfId="0" applyNumberFormat="1" applyFont="1" applyFill="1" applyBorder="1" applyAlignment="1" applyProtection="1">
      <alignment vertical="center"/>
    </xf>
    <xf numFmtId="41" fontId="193" fillId="0" borderId="17" xfId="0" applyNumberFormat="1" applyFont="1" applyFill="1" applyBorder="1" applyAlignment="1" applyProtection="1">
      <alignment vertical="center"/>
      <protection locked="0"/>
    </xf>
    <xf numFmtId="41" fontId="193" fillId="0" borderId="17" xfId="0" applyNumberFormat="1" applyFont="1" applyBorder="1" applyAlignment="1" applyProtection="1">
      <alignment vertical="center"/>
      <protection locked="0"/>
    </xf>
    <xf numFmtId="41" fontId="193" fillId="0" borderId="17" xfId="275" applyNumberFormat="1" applyFont="1" applyFill="1" applyBorder="1" applyAlignment="1" applyProtection="1">
      <alignment vertical="center"/>
      <protection locked="0"/>
    </xf>
    <xf numFmtId="41" fontId="193" fillId="38" borderId="17" xfId="275" applyNumberFormat="1" applyFont="1" applyFill="1" applyBorder="1" applyAlignment="1" applyProtection="1">
      <alignment vertical="center"/>
      <protection locked="0"/>
    </xf>
    <xf numFmtId="165" fontId="12" fillId="0" borderId="85" xfId="439" applyNumberFormat="1" applyFont="1" applyFill="1" applyBorder="1" applyAlignment="1">
      <alignment horizontal="center" vertical="center"/>
    </xf>
    <xf numFmtId="165" fontId="12" fillId="0" borderId="159" xfId="439" applyNumberFormat="1" applyFont="1" applyFill="1" applyBorder="1" applyAlignment="1">
      <alignment horizontal="center" vertical="center"/>
    </xf>
    <xf numFmtId="164" fontId="4" fillId="17" borderId="43" xfId="0" applyNumberFormat="1" applyFont="1" applyFill="1" applyBorder="1" applyAlignment="1">
      <alignment vertical="center"/>
    </xf>
    <xf numFmtId="0" fontId="4" fillId="17" borderId="17" xfId="0" applyFont="1" applyFill="1" applyBorder="1" applyAlignment="1">
      <alignment horizontal="center" vertical="center" wrapText="1"/>
    </xf>
    <xf numFmtId="0" fontId="3" fillId="17" borderId="17" xfId="0" applyFont="1" applyFill="1" applyBorder="1" applyAlignment="1">
      <alignment vertical="center"/>
    </xf>
    <xf numFmtId="41" fontId="4" fillId="17" borderId="17" xfId="0" applyNumberFormat="1" applyFont="1" applyFill="1" applyBorder="1" applyAlignment="1">
      <alignment vertical="center"/>
    </xf>
    <xf numFmtId="43" fontId="16" fillId="0" borderId="0" xfId="1" applyFont="1" applyFill="1" applyAlignment="1">
      <alignment vertical="center"/>
    </xf>
    <xf numFmtId="43" fontId="6" fillId="0" borderId="0" xfId="1" applyFont="1" applyFill="1" applyAlignment="1">
      <alignment vertical="center"/>
    </xf>
    <xf numFmtId="43" fontId="3" fillId="0" borderId="0" xfId="1" applyFont="1" applyFill="1" applyAlignment="1">
      <alignment vertical="center"/>
    </xf>
    <xf numFmtId="43" fontId="4" fillId="0" borderId="0" xfId="1" applyFont="1" applyFill="1" applyAlignment="1">
      <alignment vertical="center"/>
    </xf>
    <xf numFmtId="166" fontId="3" fillId="0" borderId="0" xfId="0" applyNumberFormat="1" applyFont="1" applyFill="1" applyAlignment="1">
      <alignment vertical="center" wrapText="1"/>
    </xf>
    <xf numFmtId="166" fontId="4" fillId="0" borderId="0" xfId="0" applyNumberFormat="1" applyFont="1" applyFill="1" applyAlignment="1">
      <alignment vertical="center" wrapText="1"/>
    </xf>
    <xf numFmtId="166" fontId="4" fillId="8" borderId="261" xfId="0" applyNumberFormat="1" applyFont="1" applyFill="1" applyBorder="1" applyAlignment="1">
      <alignment horizontal="center" vertical="center" wrapText="1"/>
    </xf>
    <xf numFmtId="166" fontId="0" fillId="0" borderId="0" xfId="0" applyNumberFormat="1"/>
    <xf numFmtId="166" fontId="45" fillId="0" borderId="43" xfId="0" applyNumberFormat="1" applyFont="1" applyFill="1" applyBorder="1" applyAlignment="1">
      <alignment vertical="center" wrapText="1"/>
    </xf>
    <xf numFmtId="166" fontId="4" fillId="0" borderId="70" xfId="0" applyNumberFormat="1" applyFont="1" applyFill="1" applyBorder="1" applyAlignment="1">
      <alignment horizontal="center" vertical="center"/>
    </xf>
    <xf numFmtId="166" fontId="4" fillId="0" borderId="71" xfId="0" applyNumberFormat="1" applyFont="1" applyFill="1" applyBorder="1" applyAlignment="1">
      <alignment horizontal="center" vertical="center"/>
    </xf>
    <xf numFmtId="166" fontId="6" fillId="0" borderId="0" xfId="0" applyNumberFormat="1" applyFont="1" applyFill="1" applyAlignment="1">
      <alignment vertical="center" wrapText="1"/>
    </xf>
    <xf numFmtId="41" fontId="193" fillId="38" borderId="17" xfId="0" applyNumberFormat="1" applyFont="1" applyFill="1" applyBorder="1" applyAlignment="1" applyProtection="1">
      <alignment vertical="center"/>
      <protection locked="0"/>
    </xf>
    <xf numFmtId="41" fontId="3" fillId="0" borderId="266" xfId="1" applyNumberFormat="1" applyFont="1" applyFill="1" applyBorder="1" applyAlignment="1">
      <alignment horizontal="left" vertical="center"/>
    </xf>
    <xf numFmtId="41" fontId="3" fillId="0" borderId="196" xfId="1" applyNumberFormat="1" applyFont="1" applyFill="1" applyBorder="1" applyAlignment="1">
      <alignment horizontal="left" vertical="center"/>
    </xf>
    <xf numFmtId="41" fontId="4" fillId="0" borderId="28" xfId="0" applyNumberFormat="1" applyFont="1" applyFill="1" applyBorder="1" applyAlignment="1">
      <alignment horizontal="center" vertical="center" wrapText="1"/>
    </xf>
    <xf numFmtId="41" fontId="4" fillId="0" borderId="30" xfId="0" applyNumberFormat="1" applyFont="1" applyFill="1" applyBorder="1" applyAlignment="1">
      <alignment horizontal="center" vertical="center" wrapText="1"/>
    </xf>
    <xf numFmtId="0" fontId="22" fillId="0" borderId="53" xfId="0" applyFont="1" applyFill="1" applyBorder="1" applyAlignment="1">
      <alignment horizontal="center" vertical="center" wrapText="1"/>
    </xf>
    <xf numFmtId="1" fontId="3" fillId="38" borderId="69" xfId="0" applyNumberFormat="1" applyFont="1" applyFill="1" applyBorder="1" applyAlignment="1">
      <alignment vertical="center"/>
    </xf>
    <xf numFmtId="41" fontId="31" fillId="0" borderId="58" xfId="1176" quotePrefix="1" applyNumberFormat="1" applyFont="1" applyFill="1" applyBorder="1" applyAlignment="1" applyProtection="1">
      <alignment horizontal="center" vertical="center" wrapText="1"/>
      <protection locked="0"/>
    </xf>
    <xf numFmtId="3" fontId="0" fillId="0" borderId="0" xfId="0" applyNumberFormat="1" applyAlignment="1">
      <alignment horizontal="right" wrapText="1"/>
    </xf>
    <xf numFmtId="41" fontId="0" fillId="0" borderId="0" xfId="0" applyNumberFormat="1" applyAlignment="1">
      <alignment horizontal="right" wrapText="1"/>
    </xf>
    <xf numFmtId="0" fontId="0" fillId="0" borderId="2" xfId="0" applyBorder="1"/>
    <xf numFmtId="176" fontId="6" fillId="0" borderId="0" xfId="2" applyNumberFormat="1" applyFont="1"/>
    <xf numFmtId="41" fontId="220" fillId="0" borderId="0" xfId="2" applyFont="1"/>
    <xf numFmtId="0" fontId="0" fillId="0" borderId="2" xfId="0" applyBorder="1"/>
    <xf numFmtId="41" fontId="37" fillId="40" borderId="51" xfId="2" applyFont="1" applyFill="1" applyBorder="1" applyAlignment="1" applyProtection="1">
      <alignment vertical="center"/>
      <protection locked="0"/>
    </xf>
    <xf numFmtId="41" fontId="37" fillId="33" borderId="209" xfId="0" applyNumberFormat="1" applyFont="1" applyFill="1" applyBorder="1" applyAlignment="1" applyProtection="1">
      <alignment vertical="center"/>
      <protection locked="0"/>
    </xf>
    <xf numFmtId="14" fontId="37" fillId="33" borderId="17" xfId="0" applyNumberFormat="1" applyFont="1" applyFill="1" applyBorder="1" applyAlignment="1" applyProtection="1">
      <alignment horizontal="center" vertical="center"/>
      <protection locked="0"/>
    </xf>
    <xf numFmtId="9" fontId="37" fillId="33" borderId="17" xfId="0" applyNumberFormat="1" applyFont="1" applyFill="1" applyBorder="1" applyAlignment="1" applyProtection="1">
      <alignment horizontal="center" vertical="center"/>
      <protection locked="0"/>
    </xf>
    <xf numFmtId="0" fontId="0" fillId="0" borderId="2" xfId="0" applyBorder="1"/>
    <xf numFmtId="0" fontId="117" fillId="5" borderId="0" xfId="1069" quotePrefix="1" applyNumberFormat="1" applyFont="1" applyFill="1" applyBorder="1" applyAlignment="1">
      <alignment horizontal="center" vertical="center"/>
    </xf>
    <xf numFmtId="0" fontId="33" fillId="0" borderId="5" xfId="0" quotePrefix="1" applyFont="1" applyFill="1" applyBorder="1" applyAlignment="1" applyProtection="1">
      <alignment vertical="center"/>
      <protection locked="0"/>
    </xf>
    <xf numFmtId="0" fontId="33" fillId="0" borderId="6" xfId="0" quotePrefix="1" applyFont="1" applyFill="1" applyBorder="1" applyAlignment="1" applyProtection="1">
      <alignment vertical="center"/>
      <protection locked="0"/>
    </xf>
    <xf numFmtId="41" fontId="3" fillId="0" borderId="279" xfId="1" applyNumberFormat="1" applyFont="1" applyFill="1" applyBorder="1" applyAlignment="1">
      <alignment horizontal="left" vertical="center"/>
    </xf>
    <xf numFmtId="0" fontId="1" fillId="0" borderId="0" xfId="0" applyFont="1" applyFill="1" applyBorder="1"/>
    <xf numFmtId="0" fontId="0" fillId="0" borderId="0" xfId="0" applyFill="1"/>
    <xf numFmtId="0" fontId="1" fillId="0" borderId="0" xfId="861" applyFont="1" applyFill="1" applyAlignment="1">
      <alignment horizontal="center" vertical="center"/>
    </xf>
    <xf numFmtId="41" fontId="37" fillId="40" borderId="17" xfId="0" applyNumberFormat="1" applyFont="1" applyFill="1" applyBorder="1" applyAlignment="1" applyProtection="1">
      <alignment vertical="center"/>
      <protection locked="0"/>
    </xf>
    <xf numFmtId="0" fontId="135" fillId="0" borderId="0" xfId="0" applyFont="1" applyFill="1"/>
    <xf numFmtId="0" fontId="135" fillId="0" borderId="0" xfId="0" applyFont="1" applyFill="1" applyAlignment="1"/>
    <xf numFmtId="0" fontId="15" fillId="0" borderId="0" xfId="0" applyFont="1" applyFill="1"/>
    <xf numFmtId="0" fontId="15" fillId="0" borderId="0" xfId="0" applyFont="1" applyFill="1" applyAlignment="1"/>
    <xf numFmtId="0" fontId="0" fillId="0" borderId="2" xfId="0" applyBorder="1"/>
    <xf numFmtId="41" fontId="194" fillId="38" borderId="17" xfId="275" applyNumberFormat="1" applyFont="1" applyFill="1" applyBorder="1" applyAlignment="1" applyProtection="1">
      <alignment vertical="center"/>
      <protection locked="0"/>
    </xf>
    <xf numFmtId="41" fontId="5" fillId="0" borderId="51" xfId="0" applyNumberFormat="1" applyFont="1" applyFill="1" applyBorder="1" applyAlignment="1">
      <alignment vertical="center"/>
    </xf>
    <xf numFmtId="41" fontId="5" fillId="0" borderId="89" xfId="0" applyNumberFormat="1" applyFont="1" applyFill="1" applyBorder="1" applyAlignment="1">
      <alignment vertical="center"/>
    </xf>
    <xf numFmtId="41" fontId="5" fillId="0" borderId="52" xfId="0" applyNumberFormat="1" applyFont="1" applyFill="1" applyBorder="1" applyAlignment="1">
      <alignment vertical="center"/>
    </xf>
    <xf numFmtId="41" fontId="5" fillId="0" borderId="55" xfId="0" applyNumberFormat="1" applyFont="1" applyFill="1" applyBorder="1" applyAlignment="1">
      <alignment vertical="center"/>
    </xf>
    <xf numFmtId="41" fontId="5" fillId="0" borderId="94" xfId="0" applyNumberFormat="1" applyFont="1" applyFill="1" applyBorder="1" applyAlignment="1">
      <alignment vertical="center"/>
    </xf>
    <xf numFmtId="41" fontId="5" fillId="0" borderId="60" xfId="0" applyNumberFormat="1" applyFont="1" applyFill="1" applyBorder="1" applyAlignment="1">
      <alignment vertical="center"/>
    </xf>
    <xf numFmtId="41" fontId="5" fillId="0" borderId="104" xfId="0" applyNumberFormat="1" applyFont="1" applyFill="1" applyBorder="1" applyAlignment="1">
      <alignment vertical="center"/>
    </xf>
    <xf numFmtId="41" fontId="194" fillId="40" borderId="17" xfId="275" applyNumberFormat="1" applyFont="1" applyFill="1" applyBorder="1" applyAlignment="1" applyProtection="1">
      <alignment vertical="center"/>
      <protection locked="0"/>
    </xf>
    <xf numFmtId="41" fontId="3" fillId="38" borderId="51" xfId="0" applyNumberFormat="1" applyFont="1" applyFill="1" applyBorder="1" applyAlignment="1">
      <alignment vertical="center"/>
    </xf>
    <xf numFmtId="41" fontId="31" fillId="0" borderId="31" xfId="1" applyNumberFormat="1" applyFont="1" applyFill="1" applyBorder="1" applyAlignment="1">
      <alignment vertical="center" wrapText="1"/>
    </xf>
    <xf numFmtId="41" fontId="37" fillId="33" borderId="67" xfId="0" applyNumberFormat="1" applyFont="1" applyFill="1" applyBorder="1" applyAlignment="1">
      <alignment vertical="center"/>
    </xf>
    <xf numFmtId="41" fontId="37" fillId="33" borderId="82" xfId="0" applyNumberFormat="1" applyFont="1" applyFill="1" applyBorder="1" applyAlignment="1">
      <alignment vertical="center"/>
    </xf>
    <xf numFmtId="41" fontId="37" fillId="33" borderId="2" xfId="0" applyNumberFormat="1" applyFont="1" applyFill="1" applyBorder="1" applyAlignment="1">
      <alignment horizontal="center" vertical="center"/>
    </xf>
    <xf numFmtId="41" fontId="37" fillId="33" borderId="51" xfId="0" applyNumberFormat="1" applyFont="1" applyFill="1" applyBorder="1" applyAlignment="1">
      <alignment horizontal="center" vertical="center"/>
    </xf>
    <xf numFmtId="41" fontId="3" fillId="33" borderId="2" xfId="0" applyNumberFormat="1" applyFont="1" applyFill="1" applyBorder="1" applyAlignment="1">
      <alignment vertical="center"/>
    </xf>
    <xf numFmtId="41" fontId="3" fillId="33" borderId="146" xfId="0" applyNumberFormat="1" applyFont="1" applyFill="1" applyBorder="1" applyAlignment="1">
      <alignment vertical="center"/>
    </xf>
    <xf numFmtId="41" fontId="3" fillId="33" borderId="67" xfId="0" applyNumberFormat="1" applyFont="1" applyFill="1" applyBorder="1" applyAlignment="1">
      <alignment vertical="center"/>
    </xf>
    <xf numFmtId="41" fontId="37" fillId="33" borderId="20" xfId="0" applyNumberFormat="1" applyFont="1" applyFill="1" applyBorder="1" applyAlignment="1">
      <alignment horizontal="center" vertical="center" wrapText="1"/>
    </xf>
    <xf numFmtId="41" fontId="37" fillId="33" borderId="2" xfId="0" applyNumberFormat="1" applyFont="1" applyFill="1" applyBorder="1" applyAlignment="1">
      <alignment horizontal="center" vertical="center" wrapText="1"/>
    </xf>
    <xf numFmtId="41" fontId="37" fillId="33" borderId="58" xfId="0" applyNumberFormat="1" applyFont="1" applyFill="1" applyBorder="1" applyAlignment="1">
      <alignment horizontal="center" vertical="center" wrapText="1"/>
    </xf>
    <xf numFmtId="0" fontId="43" fillId="33" borderId="0" xfId="1173" applyFont="1" applyFill="1" applyAlignment="1">
      <alignment vertical="center"/>
    </xf>
    <xf numFmtId="14" fontId="3" fillId="0" borderId="196" xfId="0" applyNumberFormat="1" applyFont="1" applyFill="1" applyBorder="1" applyAlignment="1">
      <alignment horizontal="center" vertical="center"/>
    </xf>
    <xf numFmtId="14" fontId="37" fillId="0" borderId="17" xfId="275" applyNumberFormat="1" applyFont="1" applyBorder="1" applyAlignment="1" applyProtection="1">
      <alignment horizontal="right" vertical="center"/>
      <protection locked="0"/>
    </xf>
    <xf numFmtId="14" fontId="37" fillId="0" borderId="2" xfId="275" applyNumberFormat="1" applyFont="1" applyBorder="1" applyAlignment="1" applyProtection="1">
      <alignment horizontal="right" vertical="center"/>
      <protection locked="0"/>
    </xf>
    <xf numFmtId="14" fontId="37" fillId="0" borderId="51" xfId="275" applyNumberFormat="1" applyFont="1" applyBorder="1" applyAlignment="1" applyProtection="1">
      <alignment horizontal="right" vertical="center"/>
      <protection locked="0"/>
    </xf>
    <xf numFmtId="14" fontId="37" fillId="0" borderId="17" xfId="275" applyNumberFormat="1" applyFont="1" applyFill="1" applyBorder="1" applyAlignment="1" applyProtection="1">
      <alignment vertical="center"/>
      <protection locked="0"/>
    </xf>
    <xf numFmtId="9" fontId="37" fillId="0" borderId="2" xfId="275" applyNumberFormat="1" applyFont="1" applyFill="1" applyBorder="1" applyAlignment="1" applyProtection="1">
      <alignment vertical="center"/>
      <protection locked="0"/>
    </xf>
    <xf numFmtId="41" fontId="37" fillId="0" borderId="146" xfId="0" applyNumberFormat="1" applyFont="1" applyFill="1" applyBorder="1" applyAlignment="1" applyProtection="1">
      <alignment vertical="center"/>
    </xf>
    <xf numFmtId="41" fontId="37" fillId="0" borderId="83" xfId="0" applyNumberFormat="1" applyFont="1" applyFill="1" applyBorder="1" applyAlignment="1" applyProtection="1">
      <alignment horizontal="center" vertical="center" wrapText="1"/>
    </xf>
    <xf numFmtId="41" fontId="37" fillId="0" borderId="51" xfId="0" applyNumberFormat="1" applyFont="1" applyFill="1" applyBorder="1" applyAlignment="1" applyProtection="1">
      <alignment horizontal="center" vertical="center" wrapText="1"/>
    </xf>
    <xf numFmtId="41" fontId="37" fillId="0" borderId="146" xfId="0" applyNumberFormat="1" applyFont="1" applyFill="1" applyBorder="1" applyAlignment="1" applyProtection="1">
      <alignment horizontal="center" vertical="center" wrapText="1"/>
    </xf>
    <xf numFmtId="41" fontId="37" fillId="0" borderId="0" xfId="0" applyNumberFormat="1" applyFont="1" applyFill="1" applyAlignment="1" applyProtection="1">
      <alignment vertical="center"/>
    </xf>
    <xf numFmtId="41" fontId="194" fillId="0" borderId="17" xfId="275" applyNumberFormat="1" applyFont="1" applyFill="1" applyBorder="1" applyAlignment="1" applyProtection="1">
      <alignment vertical="center"/>
      <protection locked="0"/>
    </xf>
    <xf numFmtId="14" fontId="37" fillId="0" borderId="51" xfId="275" applyNumberFormat="1" applyFont="1" applyFill="1" applyBorder="1" applyAlignment="1" applyProtection="1">
      <alignment vertical="center"/>
      <protection locked="0"/>
    </xf>
    <xf numFmtId="9" fontId="37" fillId="0" borderId="51" xfId="275" applyNumberFormat="1" applyFont="1" applyFill="1" applyBorder="1" applyAlignment="1" applyProtection="1">
      <alignment vertical="center"/>
      <protection locked="0"/>
    </xf>
    <xf numFmtId="41" fontId="4" fillId="17" borderId="167" xfId="0" applyNumberFormat="1" applyFont="1" applyFill="1" applyBorder="1" applyAlignment="1">
      <alignment horizontal="center" vertical="center" wrapText="1"/>
    </xf>
    <xf numFmtId="41" fontId="4" fillId="17" borderId="80" xfId="0" applyNumberFormat="1" applyFont="1" applyFill="1" applyBorder="1" applyAlignment="1">
      <alignment horizontal="center" vertical="center" wrapText="1"/>
    </xf>
    <xf numFmtId="41" fontId="4" fillId="33" borderId="30" xfId="0" applyNumberFormat="1" applyFont="1" applyFill="1" applyBorder="1" applyAlignment="1">
      <alignment horizontal="center" vertical="center" wrapText="1"/>
    </xf>
    <xf numFmtId="41" fontId="3" fillId="0" borderId="51" xfId="1" applyNumberFormat="1" applyFont="1" applyFill="1" applyBorder="1" applyAlignment="1">
      <alignment vertical="center" wrapText="1"/>
    </xf>
    <xf numFmtId="41" fontId="4" fillId="17" borderId="54" xfId="0" applyNumberFormat="1" applyFont="1" applyFill="1" applyBorder="1" applyAlignment="1">
      <alignment horizontal="center" vertical="center" wrapText="1"/>
    </xf>
    <xf numFmtId="41" fontId="12" fillId="17" borderId="75" xfId="0" applyNumberFormat="1" applyFont="1" applyFill="1" applyBorder="1" applyAlignment="1">
      <alignment vertical="center"/>
    </xf>
    <xf numFmtId="41" fontId="12" fillId="17" borderId="69" xfId="0" applyNumberFormat="1" applyFont="1" applyFill="1" applyBorder="1" applyAlignment="1">
      <alignment vertical="center"/>
    </xf>
    <xf numFmtId="0" fontId="4" fillId="17" borderId="74" xfId="0" applyFont="1" applyFill="1" applyBorder="1" applyAlignment="1">
      <alignment horizontal="center" vertical="center" wrapText="1"/>
    </xf>
    <xf numFmtId="41" fontId="3" fillId="40" borderId="51" xfId="0" applyNumberFormat="1" applyFont="1" applyFill="1" applyBorder="1" applyAlignment="1">
      <alignment vertical="center"/>
    </xf>
    <xf numFmtId="41" fontId="3" fillId="40" borderId="56" xfId="0" applyNumberFormat="1" applyFont="1" applyFill="1" applyBorder="1" applyAlignment="1">
      <alignment vertical="center"/>
    </xf>
    <xf numFmtId="165" fontId="37" fillId="38" borderId="51" xfId="1" applyNumberFormat="1" applyFont="1" applyFill="1" applyBorder="1" applyAlignment="1">
      <alignment vertical="center"/>
    </xf>
    <xf numFmtId="0" fontId="0" fillId="0" borderId="2" xfId="0" applyBorder="1"/>
    <xf numFmtId="0" fontId="37" fillId="0" borderId="261" xfId="439" applyNumberFormat="1" applyFont="1" applyFill="1" applyBorder="1" applyAlignment="1">
      <alignment horizontal="center" vertical="center"/>
    </xf>
    <xf numFmtId="41" fontId="194" fillId="33" borderId="17" xfId="0" applyNumberFormat="1" applyFont="1" applyFill="1" applyBorder="1" applyAlignment="1" applyProtection="1">
      <alignment vertical="center"/>
      <protection locked="0"/>
    </xf>
    <xf numFmtId="166" fontId="45" fillId="0" borderId="2" xfId="0" applyNumberFormat="1" applyFont="1" applyFill="1" applyBorder="1" applyAlignment="1">
      <alignment vertical="center" wrapText="1"/>
    </xf>
    <xf numFmtId="166" fontId="45" fillId="0" borderId="17" xfId="0" applyNumberFormat="1" applyFont="1" applyFill="1" applyBorder="1" applyAlignment="1">
      <alignment vertical="center" wrapText="1"/>
    </xf>
    <xf numFmtId="41" fontId="5" fillId="0" borderId="65" xfId="0" applyNumberFormat="1" applyFont="1" applyFill="1" applyBorder="1" applyAlignment="1">
      <alignment vertical="center"/>
    </xf>
    <xf numFmtId="41" fontId="5" fillId="0" borderId="2" xfId="0" applyNumberFormat="1" applyFont="1" applyFill="1" applyBorder="1" applyAlignment="1">
      <alignment vertical="center"/>
    </xf>
    <xf numFmtId="0" fontId="0" fillId="0" borderId="17" xfId="0" applyFill="1" applyBorder="1"/>
    <xf numFmtId="41" fontId="37" fillId="0" borderId="2" xfId="0" applyNumberFormat="1" applyFont="1" applyFill="1" applyBorder="1" applyAlignment="1" applyProtection="1">
      <alignment vertical="center"/>
    </xf>
    <xf numFmtId="41" fontId="1" fillId="0" borderId="68" xfId="0" applyNumberFormat="1" applyFont="1" applyFill="1" applyBorder="1" applyAlignment="1" applyProtection="1">
      <alignment vertical="center"/>
      <protection locked="0"/>
    </xf>
    <xf numFmtId="41" fontId="218" fillId="0" borderId="68" xfId="0" applyNumberFormat="1" applyFont="1" applyFill="1" applyBorder="1" applyAlignment="1" applyProtection="1">
      <alignment vertical="center"/>
      <protection locked="0"/>
    </xf>
    <xf numFmtId="14" fontId="37" fillId="0" borderId="2" xfId="275" applyNumberFormat="1" applyFont="1" applyFill="1" applyBorder="1" applyAlignment="1" applyProtection="1">
      <alignment vertical="center"/>
      <protection locked="0"/>
    </xf>
    <xf numFmtId="41" fontId="3" fillId="0" borderId="91" xfId="0" applyNumberFormat="1" applyFont="1" applyFill="1" applyBorder="1" applyAlignment="1">
      <alignment vertical="center"/>
    </xf>
    <xf numFmtId="0" fontId="0" fillId="0" borderId="2" xfId="0" applyBorder="1"/>
    <xf numFmtId="41" fontId="37" fillId="33" borderId="68" xfId="0" applyNumberFormat="1" applyFont="1" applyFill="1" applyBorder="1" applyAlignment="1" applyProtection="1">
      <alignment vertical="center"/>
      <protection locked="0"/>
    </xf>
    <xf numFmtId="41" fontId="23" fillId="33" borderId="67" xfId="0" applyNumberFormat="1" applyFont="1" applyFill="1" applyBorder="1" applyAlignment="1" applyProtection="1">
      <alignment horizontal="center" vertical="center" wrapText="1"/>
      <protection locked="0"/>
    </xf>
    <xf numFmtId="41" fontId="218" fillId="33" borderId="68" xfId="0" applyNumberFormat="1" applyFont="1" applyFill="1" applyBorder="1" applyAlignment="1" applyProtection="1">
      <alignment vertical="center"/>
      <protection locked="0"/>
    </xf>
    <xf numFmtId="41" fontId="3" fillId="0" borderId="0" xfId="0" applyNumberFormat="1" applyFont="1" applyAlignment="1" applyProtection="1">
      <alignment vertical="center"/>
    </xf>
    <xf numFmtId="0" fontId="174" fillId="13" borderId="0" xfId="0" applyFont="1" applyFill="1" applyAlignment="1">
      <alignment horizontal="center" vertical="center"/>
    </xf>
    <xf numFmtId="0" fontId="182" fillId="15" borderId="0" xfId="0" applyFont="1" applyFill="1" applyAlignment="1">
      <alignment horizontal="center" vertical="center"/>
    </xf>
    <xf numFmtId="0" fontId="174" fillId="13" borderId="252" xfId="0" applyFont="1" applyFill="1" applyBorder="1" applyAlignment="1">
      <alignment horizontal="center" vertical="center"/>
    </xf>
    <xf numFmtId="0" fontId="174" fillId="13" borderId="253" xfId="0" applyFont="1" applyFill="1" applyBorder="1" applyAlignment="1">
      <alignment horizontal="center" vertical="center"/>
    </xf>
    <xf numFmtId="0" fontId="174" fillId="13" borderId="254" xfId="0" applyFont="1" applyFill="1" applyBorder="1" applyAlignment="1">
      <alignment horizontal="center" vertical="center"/>
    </xf>
    <xf numFmtId="0" fontId="174" fillId="13" borderId="236" xfId="0" applyFont="1" applyFill="1" applyBorder="1" applyAlignment="1">
      <alignment horizontal="center" vertical="center"/>
    </xf>
    <xf numFmtId="0" fontId="174" fillId="13" borderId="0" xfId="0" applyFont="1" applyFill="1" applyBorder="1" applyAlignment="1">
      <alignment horizontal="center" vertical="center"/>
    </xf>
    <xf numFmtId="0" fontId="174" fillId="13" borderId="237" xfId="0" applyFont="1" applyFill="1" applyBorder="1" applyAlignment="1">
      <alignment horizontal="center" vertical="center"/>
    </xf>
    <xf numFmtId="0" fontId="1" fillId="11" borderId="0" xfId="0" applyFont="1" applyFill="1" applyAlignment="1">
      <alignment horizontal="left" vertical="top" wrapText="1"/>
    </xf>
    <xf numFmtId="0" fontId="0" fillId="11" borderId="0" xfId="0" applyFill="1" applyAlignment="1">
      <alignment horizontal="left" vertical="top" wrapText="1"/>
    </xf>
    <xf numFmtId="0" fontId="0" fillId="11" borderId="0" xfId="0" applyFill="1" applyAlignment="1">
      <alignment horizontal="center" vertical="center" wrapText="1"/>
    </xf>
    <xf numFmtId="0" fontId="170" fillId="11" borderId="0" xfId="848" applyFont="1" applyFill="1" applyAlignment="1" applyProtection="1">
      <alignment horizontal="left" vertical="center"/>
    </xf>
    <xf numFmtId="0" fontId="0" fillId="11" borderId="0" xfId="0" applyFill="1" applyAlignment="1">
      <alignment horizontal="right" vertical="center"/>
    </xf>
    <xf numFmtId="0" fontId="182" fillId="30" borderId="255" xfId="0" applyFont="1" applyFill="1" applyBorder="1" applyAlignment="1">
      <alignment horizontal="center" vertical="center"/>
    </xf>
    <xf numFmtId="0" fontId="182" fillId="30" borderId="256" xfId="0" applyFont="1" applyFill="1" applyBorder="1" applyAlignment="1">
      <alignment horizontal="center" vertical="center"/>
    </xf>
    <xf numFmtId="0" fontId="182" fillId="30" borderId="257" xfId="0" applyFont="1" applyFill="1" applyBorder="1" applyAlignment="1">
      <alignment horizontal="center" vertical="center"/>
    </xf>
    <xf numFmtId="0" fontId="169" fillId="21" borderId="2" xfId="0" applyFont="1" applyFill="1" applyBorder="1" applyAlignment="1">
      <alignment horizontal="center" vertical="center"/>
    </xf>
    <xf numFmtId="0" fontId="174" fillId="13" borderId="31" xfId="0" applyFont="1" applyFill="1" applyBorder="1" applyAlignment="1">
      <alignment horizontal="center" vertical="center"/>
    </xf>
    <xf numFmtId="0" fontId="174" fillId="13" borderId="86" xfId="0" applyFont="1" applyFill="1" applyBorder="1" applyAlignment="1">
      <alignment horizontal="center" vertical="center"/>
    </xf>
    <xf numFmtId="0" fontId="174" fillId="13" borderId="33" xfId="0" applyFont="1" applyFill="1" applyBorder="1" applyAlignment="1">
      <alignment horizontal="center" vertical="center"/>
    </xf>
    <xf numFmtId="0" fontId="174" fillId="13" borderId="65" xfId="0" applyFont="1" applyFill="1" applyBorder="1" applyAlignment="1">
      <alignment horizontal="center" vertical="center"/>
    </xf>
    <xf numFmtId="0" fontId="174" fillId="13" borderId="82" xfId="0" applyFont="1" applyFill="1" applyBorder="1" applyAlignment="1">
      <alignment horizontal="center" vertical="center"/>
    </xf>
    <xf numFmtId="0" fontId="174" fillId="13" borderId="83" xfId="0" applyFont="1" applyFill="1" applyBorder="1" applyAlignment="1">
      <alignment horizontal="center" vertical="center"/>
    </xf>
    <xf numFmtId="0" fontId="174" fillId="13" borderId="77" xfId="0" applyFont="1" applyFill="1" applyBorder="1" applyAlignment="1">
      <alignment horizontal="center" vertical="center"/>
    </xf>
    <xf numFmtId="0" fontId="174" fillId="13" borderId="29" xfId="0" applyFont="1" applyFill="1" applyBorder="1" applyAlignment="1">
      <alignment horizontal="center" vertical="center"/>
    </xf>
    <xf numFmtId="0" fontId="176" fillId="21" borderId="2" xfId="0" applyFont="1" applyFill="1" applyBorder="1" applyAlignment="1">
      <alignment horizontal="center" vertical="center"/>
    </xf>
    <xf numFmtId="0" fontId="11" fillId="0" borderId="258" xfId="0" applyFont="1" applyBorder="1" applyAlignment="1" applyProtection="1">
      <alignment horizontal="center" vertical="center" wrapText="1"/>
    </xf>
    <xf numFmtId="0" fontId="11" fillId="0" borderId="259" xfId="0" applyFont="1" applyBorder="1" applyAlignment="1" applyProtection="1">
      <alignment horizontal="center" vertical="center" wrapText="1"/>
    </xf>
    <xf numFmtId="0" fontId="11" fillId="0" borderId="236" xfId="0" applyFont="1" applyBorder="1" applyAlignment="1" applyProtection="1">
      <alignment horizontal="center" vertical="center" wrapText="1"/>
    </xf>
    <xf numFmtId="0" fontId="11" fillId="0" borderId="29" xfId="0" applyFont="1" applyBorder="1" applyAlignment="1" applyProtection="1">
      <alignment horizontal="center" vertical="center" wrapText="1"/>
    </xf>
    <xf numFmtId="0" fontId="11" fillId="0" borderId="238" xfId="0" applyFont="1" applyBorder="1" applyAlignment="1" applyProtection="1">
      <alignment horizontal="center" vertical="center" wrapText="1"/>
    </xf>
    <xf numFmtId="0" fontId="11" fillId="0" borderId="260" xfId="0" applyFont="1" applyBorder="1" applyAlignment="1" applyProtection="1">
      <alignment horizontal="center" vertical="center" wrapText="1"/>
    </xf>
    <xf numFmtId="0" fontId="183" fillId="8" borderId="24" xfId="861" applyFont="1" applyFill="1" applyBorder="1" applyAlignment="1" applyProtection="1">
      <alignment horizontal="center" vertical="center"/>
      <protection hidden="1"/>
    </xf>
    <xf numFmtId="0" fontId="183" fillId="8" borderId="66" xfId="861" applyFont="1" applyFill="1" applyBorder="1" applyAlignment="1" applyProtection="1">
      <alignment horizontal="center" vertical="center"/>
      <protection hidden="1"/>
    </xf>
    <xf numFmtId="0" fontId="183" fillId="8" borderId="20" xfId="861" applyFont="1" applyFill="1" applyBorder="1" applyAlignment="1" applyProtection="1">
      <alignment horizontal="center" vertical="center"/>
      <protection hidden="1"/>
    </xf>
    <xf numFmtId="41" fontId="4" fillId="25" borderId="54" xfId="1174" applyNumberFormat="1" applyFont="1" applyFill="1" applyBorder="1" applyAlignment="1">
      <alignment horizontal="center" vertical="center"/>
    </xf>
    <xf numFmtId="41" fontId="4" fillId="25" borderId="167" xfId="1174" applyNumberFormat="1" applyFont="1" applyFill="1" applyBorder="1" applyAlignment="1">
      <alignment horizontal="center" vertical="center"/>
    </xf>
    <xf numFmtId="0" fontId="4" fillId="0" borderId="196" xfId="1174" applyFont="1" applyBorder="1" applyAlignment="1">
      <alignment horizontal="center" vertical="center"/>
    </xf>
    <xf numFmtId="0" fontId="4" fillId="0" borderId="20" xfId="1174" applyFont="1" applyBorder="1" applyAlignment="1">
      <alignment horizontal="center" vertical="center"/>
    </xf>
    <xf numFmtId="0" fontId="160" fillId="0" borderId="17" xfId="1174" applyFont="1" applyBorder="1" applyAlignment="1">
      <alignment horizontal="center" vertical="center"/>
    </xf>
    <xf numFmtId="0" fontId="160" fillId="0" borderId="51" xfId="1174" applyFont="1" applyBorder="1" applyAlignment="1">
      <alignment horizontal="center" vertical="center"/>
    </xf>
    <xf numFmtId="165" fontId="160" fillId="16" borderId="17" xfId="1" applyNumberFormat="1" applyFont="1" applyFill="1" applyBorder="1" applyAlignment="1">
      <alignment horizontal="center" vertical="center"/>
    </xf>
    <xf numFmtId="165" fontId="160" fillId="16" borderId="51" xfId="1" applyNumberFormat="1" applyFont="1" applyFill="1" applyBorder="1" applyAlignment="1">
      <alignment horizontal="center" vertical="center"/>
    </xf>
    <xf numFmtId="165" fontId="160" fillId="0" borderId="17" xfId="1" applyNumberFormat="1" applyFont="1" applyBorder="1" applyAlignment="1">
      <alignment horizontal="center" vertical="center"/>
    </xf>
    <xf numFmtId="165" fontId="160" fillId="0" borderId="51" xfId="1" applyNumberFormat="1" applyFont="1" applyBorder="1" applyAlignment="1">
      <alignment horizontal="center" vertical="center"/>
    </xf>
    <xf numFmtId="165" fontId="160" fillId="0" borderId="81" xfId="1" applyNumberFormat="1" applyFont="1" applyBorder="1" applyAlignment="1">
      <alignment horizontal="center" vertical="center"/>
    </xf>
    <xf numFmtId="165" fontId="160" fillId="0" borderId="52" xfId="1" applyNumberFormat="1" applyFont="1" applyBorder="1" applyAlignment="1">
      <alignment horizontal="center" vertical="center"/>
    </xf>
    <xf numFmtId="0" fontId="160" fillId="0" borderId="43" xfId="1174" applyFont="1" applyBorder="1" applyAlignment="1">
      <alignment horizontal="center" vertical="center" wrapText="1"/>
    </xf>
    <xf numFmtId="0" fontId="160" fillId="0" borderId="45" xfId="1174" applyFont="1" applyBorder="1" applyAlignment="1">
      <alignment horizontal="center" vertical="center" wrapText="1"/>
    </xf>
    <xf numFmtId="0" fontId="160" fillId="0" borderId="43" xfId="1174" applyFont="1" applyBorder="1" applyAlignment="1">
      <alignment horizontal="center" vertical="center"/>
    </xf>
    <xf numFmtId="0" fontId="160" fillId="0" borderId="261" xfId="1174" applyFont="1" applyBorder="1" applyAlignment="1">
      <alignment horizontal="center" vertical="center"/>
    </xf>
    <xf numFmtId="0" fontId="160" fillId="0" borderId="30" xfId="1174" applyFont="1" applyBorder="1" applyAlignment="1">
      <alignment horizontal="center" vertical="center"/>
    </xf>
    <xf numFmtId="165" fontId="160" fillId="0" borderId="17" xfId="1" applyNumberFormat="1" applyFont="1" applyFill="1" applyBorder="1" applyAlignment="1">
      <alignment horizontal="center" vertical="center"/>
    </xf>
    <xf numFmtId="165" fontId="160" fillId="0" borderId="30" xfId="1" applyNumberFormat="1" applyFont="1" applyFill="1" applyBorder="1" applyAlignment="1">
      <alignment horizontal="center" vertical="center"/>
    </xf>
    <xf numFmtId="165" fontId="160" fillId="0" borderId="30" xfId="1" applyNumberFormat="1" applyFont="1" applyBorder="1" applyAlignment="1">
      <alignment horizontal="center" vertical="center"/>
    </xf>
    <xf numFmtId="165" fontId="160" fillId="0" borderId="159" xfId="1" applyNumberFormat="1" applyFont="1" applyBorder="1" applyAlignment="1">
      <alignment horizontal="center" vertical="center"/>
    </xf>
    <xf numFmtId="0" fontId="4" fillId="0" borderId="197" xfId="1174" applyFont="1" applyBorder="1" applyAlignment="1">
      <alignment horizontal="center" vertical="center"/>
    </xf>
    <xf numFmtId="0" fontId="4" fillId="0" borderId="165" xfId="1174" applyFont="1" applyBorder="1" applyAlignment="1">
      <alignment horizontal="center" vertical="center"/>
    </xf>
    <xf numFmtId="0" fontId="4" fillId="0" borderId="263" xfId="1174" applyFont="1" applyBorder="1" applyAlignment="1">
      <alignment horizontal="center" vertical="center"/>
    </xf>
    <xf numFmtId="0" fontId="161" fillId="20" borderId="54" xfId="1174" applyFont="1" applyFill="1" applyBorder="1" applyAlignment="1">
      <alignment horizontal="center" vertical="center"/>
    </xf>
    <xf numFmtId="0" fontId="161" fillId="20" borderId="167" xfId="1174" applyFont="1" applyFill="1" applyBorder="1" applyAlignment="1">
      <alignment horizontal="center" vertical="center"/>
    </xf>
    <xf numFmtId="0" fontId="161" fillId="20" borderId="104" xfId="1174" applyFont="1" applyFill="1" applyBorder="1" applyAlignment="1">
      <alignment horizontal="center" vertical="center"/>
    </xf>
    <xf numFmtId="0" fontId="161" fillId="20" borderId="95" xfId="1174" applyFont="1" applyFill="1" applyBorder="1" applyAlignment="1">
      <alignment horizontal="center" vertical="center"/>
    </xf>
    <xf numFmtId="0" fontId="161" fillId="20" borderId="174" xfId="1174" applyFont="1" applyFill="1" applyBorder="1" applyAlignment="1">
      <alignment horizontal="center" vertical="center"/>
    </xf>
    <xf numFmtId="0" fontId="161" fillId="20" borderId="26" xfId="1174" applyFont="1" applyFill="1" applyBorder="1" applyAlignment="1">
      <alignment horizontal="center" vertical="center"/>
    </xf>
    <xf numFmtId="0" fontId="161" fillId="20" borderId="62" xfId="1174" applyFont="1" applyFill="1" applyBorder="1" applyAlignment="1">
      <alignment horizontal="center" vertical="center"/>
    </xf>
    <xf numFmtId="0" fontId="161" fillId="15" borderId="54" xfId="1174" applyFont="1" applyFill="1" applyBorder="1" applyAlignment="1">
      <alignment horizontal="center" vertical="center"/>
    </xf>
    <xf numFmtId="0" fontId="161" fillId="15" borderId="167" xfId="1174" applyFont="1" applyFill="1" applyBorder="1" applyAlignment="1">
      <alignment horizontal="center" vertical="center"/>
    </xf>
    <xf numFmtId="0" fontId="161" fillId="15" borderId="104" xfId="1174" applyFont="1" applyFill="1" applyBorder="1" applyAlignment="1">
      <alignment horizontal="center" vertical="center"/>
    </xf>
    <xf numFmtId="0" fontId="161" fillId="15" borderId="26" xfId="1174" applyFont="1" applyFill="1" applyBorder="1" applyAlignment="1">
      <alignment horizontal="center" vertical="center"/>
    </xf>
    <xf numFmtId="0" fontId="161" fillId="15" borderId="62" xfId="1174" applyFont="1" applyFill="1" applyBorder="1" applyAlignment="1">
      <alignment horizontal="center" vertical="center"/>
    </xf>
    <xf numFmtId="0" fontId="185" fillId="13" borderId="218" xfId="1174" applyFont="1" applyFill="1" applyBorder="1" applyAlignment="1">
      <alignment horizontal="center" vertical="center" textRotation="255" wrapText="1"/>
    </xf>
    <xf numFmtId="0" fontId="185" fillId="13" borderId="112" xfId="1174" applyFont="1" applyFill="1" applyBorder="1" applyAlignment="1">
      <alignment horizontal="center" vertical="center" textRotation="255" wrapText="1"/>
    </xf>
    <xf numFmtId="0" fontId="185" fillId="13" borderId="261" xfId="1174" applyFont="1" applyFill="1" applyBorder="1" applyAlignment="1">
      <alignment horizontal="center" vertical="center" textRotation="255" wrapText="1"/>
    </xf>
    <xf numFmtId="0" fontId="184" fillId="15" borderId="25" xfId="1174" applyFont="1" applyFill="1" applyBorder="1" applyAlignment="1">
      <alignment horizontal="center" vertical="center" wrapText="1"/>
    </xf>
    <xf numFmtId="0" fontId="184" fillId="15" borderId="264" xfId="1174" applyFont="1" applyFill="1" applyBorder="1" applyAlignment="1">
      <alignment horizontal="center" vertical="center" wrapText="1"/>
    </xf>
    <xf numFmtId="0" fontId="184" fillId="15" borderId="27" xfId="1174" applyFont="1" applyFill="1" applyBorder="1" applyAlignment="1">
      <alignment horizontal="center" vertical="center" wrapText="1"/>
    </xf>
    <xf numFmtId="0" fontId="184" fillId="15" borderId="29" xfId="1174" applyFont="1" applyFill="1" applyBorder="1" applyAlignment="1">
      <alignment horizontal="center" vertical="center" wrapText="1"/>
    </xf>
    <xf numFmtId="0" fontId="184" fillId="15" borderId="265" xfId="1174" applyFont="1" applyFill="1" applyBorder="1" applyAlignment="1">
      <alignment horizontal="center" vertical="center" wrapText="1"/>
    </xf>
    <xf numFmtId="0" fontId="184" fillId="15" borderId="204" xfId="1174" applyFont="1" applyFill="1" applyBorder="1" applyAlignment="1">
      <alignment horizontal="center" vertical="center" wrapText="1"/>
    </xf>
    <xf numFmtId="0" fontId="4" fillId="0" borderId="266" xfId="1174" applyFont="1" applyBorder="1" applyAlignment="1">
      <alignment horizontal="center" vertical="center"/>
    </xf>
    <xf numFmtId="0" fontId="4" fillId="0" borderId="93" xfId="1174" applyFont="1" applyBorder="1" applyAlignment="1">
      <alignment horizontal="center" vertical="center"/>
    </xf>
    <xf numFmtId="0" fontId="184" fillId="24" borderId="258" xfId="1174" applyFont="1" applyFill="1" applyBorder="1" applyAlignment="1">
      <alignment horizontal="center" vertical="center" wrapText="1"/>
    </xf>
    <xf numFmtId="0" fontId="184" fillId="24" borderId="259" xfId="1174" applyFont="1" applyFill="1" applyBorder="1" applyAlignment="1">
      <alignment horizontal="center" vertical="center" wrapText="1"/>
    </xf>
    <xf numFmtId="0" fontId="184" fillId="24" borderId="236" xfId="1174" applyFont="1" applyFill="1" applyBorder="1" applyAlignment="1">
      <alignment horizontal="center" vertical="center" wrapText="1"/>
    </xf>
    <xf numFmtId="0" fontId="184" fillId="24" borderId="29" xfId="1174" applyFont="1" applyFill="1" applyBorder="1" applyAlignment="1">
      <alignment horizontal="center" vertical="center" wrapText="1"/>
    </xf>
    <xf numFmtId="0" fontId="184" fillId="24" borderId="267" xfId="1174" applyFont="1" applyFill="1" applyBorder="1" applyAlignment="1">
      <alignment horizontal="center" vertical="center" wrapText="1"/>
    </xf>
    <xf numFmtId="0" fontId="184" fillId="24" borderId="204" xfId="1174" applyFont="1" applyFill="1" applyBorder="1" applyAlignment="1">
      <alignment horizontal="center" vertical="center" wrapText="1"/>
    </xf>
    <xf numFmtId="0" fontId="4" fillId="0" borderId="268" xfId="1174" applyFont="1" applyBorder="1" applyAlignment="1">
      <alignment horizontal="center" vertical="center"/>
    </xf>
    <xf numFmtId="0" fontId="4" fillId="0" borderId="262" xfId="1174" applyFont="1" applyBorder="1" applyAlignment="1">
      <alignment horizontal="center" vertical="center"/>
    </xf>
    <xf numFmtId="41" fontId="4" fillId="25" borderId="4" xfId="1174" applyNumberFormat="1" applyFont="1" applyFill="1" applyBorder="1" applyAlignment="1">
      <alignment horizontal="center" vertical="center"/>
    </xf>
    <xf numFmtId="41" fontId="4" fillId="25" borderId="5" xfId="1174" applyNumberFormat="1" applyFont="1" applyFill="1" applyBorder="1" applyAlignment="1">
      <alignment horizontal="center" vertical="center"/>
    </xf>
    <xf numFmtId="0" fontId="185" fillId="31" borderId="218" xfId="1174" applyFont="1" applyFill="1" applyBorder="1" applyAlignment="1">
      <alignment horizontal="center" vertical="center" textRotation="255" wrapText="1"/>
    </xf>
    <xf numFmtId="0" fontId="185" fillId="31" borderId="112" xfId="1174" applyFont="1" applyFill="1" applyBorder="1" applyAlignment="1">
      <alignment horizontal="center" vertical="center" textRotation="255" wrapText="1"/>
    </xf>
    <xf numFmtId="0" fontId="185" fillId="31" borderId="261" xfId="1174" applyFont="1" applyFill="1" applyBorder="1" applyAlignment="1">
      <alignment horizontal="center" vertical="center" textRotation="255" wrapText="1"/>
    </xf>
    <xf numFmtId="0" fontId="186" fillId="8" borderId="218" xfId="1174" applyFont="1" applyFill="1" applyBorder="1" applyAlignment="1">
      <alignment horizontal="center" vertical="center" textRotation="255" wrapText="1"/>
    </xf>
    <xf numFmtId="0" fontId="186" fillId="8" borderId="112" xfId="1174" applyFont="1" applyFill="1" applyBorder="1" applyAlignment="1">
      <alignment horizontal="center" vertical="center" textRotation="255" wrapText="1"/>
    </xf>
    <xf numFmtId="0" fontId="186" fillId="8" borderId="261" xfId="1174" applyFont="1" applyFill="1" applyBorder="1" applyAlignment="1">
      <alignment horizontal="center" vertical="center" textRotation="255" wrapText="1"/>
    </xf>
    <xf numFmtId="0" fontId="184" fillId="13" borderId="25" xfId="1174" applyFont="1" applyFill="1" applyBorder="1" applyAlignment="1">
      <alignment horizontal="center" vertical="center" wrapText="1"/>
    </xf>
    <xf numFmtId="0" fontId="184" fillId="13" borderId="264" xfId="1174" applyFont="1" applyFill="1" applyBorder="1" applyAlignment="1">
      <alignment horizontal="center" vertical="center" wrapText="1"/>
    </xf>
    <xf numFmtId="0" fontId="184" fillId="13" borderId="27" xfId="1174" applyFont="1" applyFill="1" applyBorder="1" applyAlignment="1">
      <alignment horizontal="center" vertical="center" wrapText="1"/>
    </xf>
    <xf numFmtId="0" fontId="184" fillId="13" borderId="29" xfId="1174" applyFont="1" applyFill="1" applyBorder="1" applyAlignment="1">
      <alignment horizontal="center" vertical="center" wrapText="1"/>
    </xf>
    <xf numFmtId="0" fontId="184" fillId="13" borderId="265" xfId="1174" applyFont="1" applyFill="1" applyBorder="1" applyAlignment="1">
      <alignment horizontal="center" vertical="center" wrapText="1"/>
    </xf>
    <xf numFmtId="0" fontId="184" fillId="13" borderId="204" xfId="1174" applyFont="1" applyFill="1" applyBorder="1" applyAlignment="1">
      <alignment horizontal="center" vertical="center" wrapText="1"/>
    </xf>
    <xf numFmtId="0" fontId="184" fillId="23" borderId="25" xfId="1174" applyFont="1" applyFill="1" applyBorder="1" applyAlignment="1">
      <alignment horizontal="center" vertical="center" wrapText="1"/>
    </xf>
    <xf numFmtId="0" fontId="184" fillId="23" borderId="264" xfId="1174" applyFont="1" applyFill="1" applyBorder="1" applyAlignment="1">
      <alignment horizontal="center" vertical="center" wrapText="1"/>
    </xf>
    <xf numFmtId="0" fontId="184" fillId="23" borderId="27" xfId="1174" applyFont="1" applyFill="1" applyBorder="1" applyAlignment="1">
      <alignment horizontal="center" vertical="center" wrapText="1"/>
    </xf>
    <xf numFmtId="0" fontId="184" fillId="23" borderId="29" xfId="1174" applyFont="1" applyFill="1" applyBorder="1" applyAlignment="1">
      <alignment horizontal="center" vertical="center" wrapText="1"/>
    </xf>
    <xf numFmtId="0" fontId="184" fillId="23" borderId="265" xfId="1174" applyFont="1" applyFill="1" applyBorder="1" applyAlignment="1">
      <alignment horizontal="center" vertical="center" wrapText="1"/>
    </xf>
    <xf numFmtId="0" fontId="184" fillId="23" borderId="204" xfId="1174" applyFont="1" applyFill="1" applyBorder="1" applyAlignment="1">
      <alignment horizontal="center" vertical="center" wrapText="1"/>
    </xf>
    <xf numFmtId="0" fontId="184" fillId="20" borderId="25" xfId="1174" applyFont="1" applyFill="1" applyBorder="1" applyAlignment="1">
      <alignment horizontal="center" vertical="center" wrapText="1"/>
    </xf>
    <xf numFmtId="0" fontId="184" fillId="20" borderId="264" xfId="1174" applyFont="1" applyFill="1" applyBorder="1" applyAlignment="1">
      <alignment horizontal="center" vertical="center" wrapText="1"/>
    </xf>
    <xf numFmtId="0" fontId="184" fillId="20" borderId="27" xfId="1174" applyFont="1" applyFill="1" applyBorder="1" applyAlignment="1">
      <alignment horizontal="center" vertical="center" wrapText="1"/>
    </xf>
    <xf numFmtId="0" fontId="184" fillId="20" borderId="29" xfId="1174" applyFont="1" applyFill="1" applyBorder="1" applyAlignment="1">
      <alignment horizontal="center" vertical="center" wrapText="1"/>
    </xf>
    <xf numFmtId="0" fontId="184" fillId="20" borderId="265" xfId="1174" applyFont="1" applyFill="1" applyBorder="1" applyAlignment="1">
      <alignment horizontal="center" vertical="center" wrapText="1"/>
    </xf>
    <xf numFmtId="0" fontId="184" fillId="20" borderId="204" xfId="1174" applyFont="1" applyFill="1" applyBorder="1" applyAlignment="1">
      <alignment horizontal="center" vertical="center" wrapText="1"/>
    </xf>
    <xf numFmtId="0" fontId="184" fillId="22" borderId="25" xfId="1174" applyFont="1" applyFill="1" applyBorder="1" applyAlignment="1">
      <alignment horizontal="center" vertical="center" wrapText="1"/>
    </xf>
    <xf numFmtId="0" fontId="184" fillId="22" borderId="264" xfId="1174" applyFont="1" applyFill="1" applyBorder="1" applyAlignment="1">
      <alignment horizontal="center" vertical="center" wrapText="1"/>
    </xf>
    <xf numFmtId="0" fontId="184" fillId="22" borderId="27" xfId="1174" applyFont="1" applyFill="1" applyBorder="1" applyAlignment="1">
      <alignment horizontal="center" vertical="center" wrapText="1"/>
    </xf>
    <xf numFmtId="0" fontId="184" fillId="22" borderId="29" xfId="1174" applyFont="1" applyFill="1" applyBorder="1" applyAlignment="1">
      <alignment horizontal="center" vertical="center" wrapText="1"/>
    </xf>
    <xf numFmtId="0" fontId="184" fillId="22" borderId="265" xfId="1174" applyFont="1" applyFill="1" applyBorder="1" applyAlignment="1">
      <alignment horizontal="center" vertical="center" wrapText="1"/>
    </xf>
    <xf numFmtId="0" fontId="184" fillId="22" borderId="204" xfId="1174" applyFont="1" applyFill="1" applyBorder="1" applyAlignment="1">
      <alignment horizontal="center" vertical="center" wrapText="1"/>
    </xf>
    <xf numFmtId="0" fontId="185" fillId="22" borderId="218" xfId="1174" applyFont="1" applyFill="1" applyBorder="1" applyAlignment="1">
      <alignment horizontal="center" vertical="center" textRotation="255" wrapText="1"/>
    </xf>
    <xf numFmtId="0" fontId="185" fillId="22" borderId="112" xfId="1174" applyFont="1" applyFill="1" applyBorder="1" applyAlignment="1">
      <alignment horizontal="center" vertical="center" textRotation="255" wrapText="1"/>
    </xf>
    <xf numFmtId="0" fontId="185" fillId="22" borderId="261" xfId="1174" applyFont="1" applyFill="1" applyBorder="1" applyAlignment="1">
      <alignment horizontal="center" vertical="center" textRotation="255" wrapText="1"/>
    </xf>
    <xf numFmtId="0" fontId="185" fillId="11" borderId="218" xfId="1174" applyFont="1" applyFill="1" applyBorder="1" applyAlignment="1">
      <alignment horizontal="center" vertical="center" textRotation="255" wrapText="1"/>
    </xf>
    <xf numFmtId="0" fontId="185" fillId="11" borderId="112" xfId="1174" applyFont="1" applyFill="1" applyBorder="1" applyAlignment="1">
      <alignment horizontal="center" vertical="center" textRotation="255" wrapText="1"/>
    </xf>
    <xf numFmtId="0" fontId="185" fillId="11" borderId="261" xfId="1174" applyFont="1" applyFill="1" applyBorder="1" applyAlignment="1">
      <alignment horizontal="center" vertical="center" textRotation="255" wrapText="1"/>
    </xf>
    <xf numFmtId="0" fontId="185" fillId="23" borderId="218" xfId="1174" applyFont="1" applyFill="1" applyBorder="1" applyAlignment="1">
      <alignment horizontal="center" vertical="center" textRotation="255" wrapText="1"/>
    </xf>
    <xf numFmtId="0" fontId="185" fillId="23" borderId="112" xfId="1174" applyFont="1" applyFill="1" applyBorder="1" applyAlignment="1">
      <alignment horizontal="center" vertical="center" textRotation="255" wrapText="1"/>
    </xf>
    <xf numFmtId="0" fontId="185" fillId="23" borderId="261" xfId="1174" applyFont="1" applyFill="1" applyBorder="1" applyAlignment="1">
      <alignment horizontal="center" vertical="center" textRotation="255" wrapText="1"/>
    </xf>
    <xf numFmtId="0" fontId="185" fillId="8" borderId="218" xfId="1174" applyFont="1" applyFill="1" applyBorder="1" applyAlignment="1">
      <alignment horizontal="center" vertical="center" textRotation="255" wrapText="1"/>
    </xf>
    <xf numFmtId="0" fontId="185" fillId="8" borderId="112" xfId="1174" applyFont="1" applyFill="1" applyBorder="1" applyAlignment="1">
      <alignment horizontal="center" vertical="center" textRotation="255" wrapText="1"/>
    </xf>
    <xf numFmtId="0" fontId="185" fillId="8" borderId="261" xfId="1174" applyFont="1" applyFill="1" applyBorder="1" applyAlignment="1">
      <alignment horizontal="center" vertical="center" textRotation="255" wrapText="1"/>
    </xf>
    <xf numFmtId="0" fontId="185" fillId="32" borderId="218" xfId="1174" applyFont="1" applyFill="1" applyBorder="1" applyAlignment="1">
      <alignment horizontal="center" vertical="center" textRotation="255" wrapText="1"/>
    </xf>
    <xf numFmtId="0" fontId="185" fillId="32" borderId="112" xfId="1174" applyFont="1" applyFill="1" applyBorder="1" applyAlignment="1">
      <alignment horizontal="center" vertical="center" textRotation="255" wrapText="1"/>
    </xf>
    <xf numFmtId="0" fontId="185" fillId="32" borderId="261" xfId="1174" applyFont="1" applyFill="1" applyBorder="1" applyAlignment="1">
      <alignment horizontal="center" vertical="center" textRotation="255" wrapText="1"/>
    </xf>
    <xf numFmtId="0" fontId="207" fillId="8" borderId="218" xfId="1174" applyFont="1" applyFill="1" applyBorder="1" applyAlignment="1">
      <alignment horizontal="center" vertical="center" textRotation="255" wrapText="1"/>
    </xf>
    <xf numFmtId="0" fontId="207" fillId="8" borderId="112" xfId="1174" applyFont="1" applyFill="1" applyBorder="1" applyAlignment="1">
      <alignment horizontal="center" vertical="center" textRotation="255" wrapText="1"/>
    </xf>
    <xf numFmtId="0" fontId="207" fillId="8" borderId="261" xfId="1174" applyFont="1" applyFill="1" applyBorder="1" applyAlignment="1">
      <alignment horizontal="center" vertical="center" textRotation="255" wrapText="1"/>
    </xf>
    <xf numFmtId="0" fontId="47" fillId="0" borderId="0" xfId="861" applyFont="1" applyAlignment="1">
      <alignment horizontal="center"/>
    </xf>
    <xf numFmtId="0" fontId="48" fillId="0" borderId="0" xfId="861" applyFont="1" applyAlignment="1">
      <alignment horizontal="center"/>
    </xf>
    <xf numFmtId="0" fontId="5" fillId="0" borderId="0" xfId="861" applyFont="1" applyAlignment="1">
      <alignment horizontal="center"/>
    </xf>
    <xf numFmtId="0" fontId="5" fillId="0" borderId="85" xfId="861" applyFont="1" applyBorder="1" applyAlignment="1">
      <alignment horizontal="center"/>
    </xf>
    <xf numFmtId="0" fontId="56" fillId="0" borderId="0" xfId="861" applyFont="1" applyAlignment="1">
      <alignment horizontal="center"/>
    </xf>
    <xf numFmtId="0" fontId="62" fillId="0" borderId="0" xfId="861" applyFont="1" applyAlignment="1">
      <alignment horizontal="center"/>
    </xf>
    <xf numFmtId="0" fontId="172" fillId="0" borderId="85" xfId="861" applyFont="1" applyBorder="1" applyAlignment="1">
      <alignment horizontal="center" vertical="center"/>
    </xf>
    <xf numFmtId="0" fontId="56" fillId="0" borderId="34" xfId="861" applyFont="1" applyBorder="1" applyAlignment="1">
      <alignment horizontal="justify" vertical="top" wrapText="1"/>
    </xf>
    <xf numFmtId="0" fontId="56" fillId="0" borderId="36" xfId="861" applyFont="1" applyBorder="1" applyAlignment="1">
      <alignment horizontal="justify" vertical="top" wrapText="1"/>
    </xf>
    <xf numFmtId="0" fontId="56" fillId="0" borderId="41" xfId="861" applyFont="1" applyBorder="1" applyAlignment="1">
      <alignment horizontal="justify" vertical="top" wrapText="1"/>
    </xf>
    <xf numFmtId="0" fontId="11" fillId="0" borderId="27" xfId="861" applyFont="1" applyBorder="1" applyAlignment="1">
      <alignment vertical="center" wrapText="1"/>
    </xf>
    <xf numFmtId="0" fontId="57" fillId="8" borderId="0" xfId="861" applyFont="1" applyFill="1" applyAlignment="1">
      <alignment horizontal="center"/>
    </xf>
    <xf numFmtId="0" fontId="56" fillId="0" borderId="47" xfId="861" applyFont="1" applyBorder="1" applyAlignment="1">
      <alignment horizontal="center"/>
    </xf>
    <xf numFmtId="0" fontId="65" fillId="0" borderId="0" xfId="861" applyFont="1" applyAlignment="1">
      <alignment horizontal="center"/>
    </xf>
    <xf numFmtId="0" fontId="66" fillId="0" borderId="0" xfId="861" applyFont="1" applyAlignment="1">
      <alignment horizontal="center"/>
    </xf>
    <xf numFmtId="0" fontId="67" fillId="0" borderId="34" xfId="861" applyFont="1" applyBorder="1" applyAlignment="1">
      <alignment horizontal="center" vertical="top" wrapText="1"/>
    </xf>
    <xf numFmtId="0" fontId="67" fillId="0" borderId="41" xfId="861" applyFont="1" applyBorder="1" applyAlignment="1">
      <alignment horizontal="center" vertical="top" wrapText="1"/>
    </xf>
    <xf numFmtId="0" fontId="67" fillId="0" borderId="99" xfId="861" applyFont="1" applyBorder="1" applyAlignment="1">
      <alignment horizontal="center" vertical="top" wrapText="1"/>
    </xf>
    <xf numFmtId="0" fontId="67" fillId="0" borderId="105" xfId="861" applyFont="1" applyBorder="1" applyAlignment="1">
      <alignment horizontal="center" vertical="top" wrapText="1"/>
    </xf>
    <xf numFmtId="0" fontId="67" fillId="0" borderId="183" xfId="861" applyFont="1" applyBorder="1" applyAlignment="1">
      <alignment horizontal="center" vertical="top" wrapText="1"/>
    </xf>
    <xf numFmtId="0" fontId="68" fillId="0" borderId="269" xfId="861" applyFont="1" applyBorder="1" applyAlignment="1">
      <alignment horizontal="center" vertical="top" wrapText="1"/>
    </xf>
    <xf numFmtId="0" fontId="68" fillId="0" borderId="270" xfId="861" applyFont="1" applyBorder="1" applyAlignment="1">
      <alignment horizontal="center" vertical="top" wrapText="1"/>
    </xf>
    <xf numFmtId="0" fontId="70" fillId="25" borderId="0" xfId="861" applyFont="1" applyFill="1" applyAlignment="1">
      <alignment horizontal="center" vertical="center"/>
    </xf>
    <xf numFmtId="0" fontId="65" fillId="0" borderId="0" xfId="861" applyFont="1" applyAlignment="1">
      <alignment horizontal="center" vertical="center"/>
    </xf>
    <xf numFmtId="0" fontId="56" fillId="0" borderId="0" xfId="861" applyFont="1" applyAlignment="1">
      <alignment horizontal="center" vertical="center"/>
    </xf>
    <xf numFmtId="0" fontId="71" fillId="0" borderId="99" xfId="861" applyFont="1" applyBorder="1" applyAlignment="1">
      <alignment horizontal="center" vertical="center" wrapText="1"/>
    </xf>
    <xf numFmtId="0" fontId="71" fillId="0" borderId="183" xfId="861" applyFont="1" applyBorder="1" applyAlignment="1">
      <alignment horizontal="center" vertical="center" wrapText="1"/>
    </xf>
    <xf numFmtId="0" fontId="71" fillId="0" borderId="105" xfId="861" applyFont="1" applyBorder="1" applyAlignment="1">
      <alignment horizontal="center" vertical="center" wrapText="1"/>
    </xf>
    <xf numFmtId="0" fontId="62" fillId="0" borderId="0" xfId="861" applyFont="1" applyAlignment="1">
      <alignment horizontal="center" vertical="center"/>
    </xf>
    <xf numFmtId="0" fontId="70" fillId="15" borderId="0" xfId="861" applyFont="1" applyFill="1" applyAlignment="1">
      <alignment horizontal="center" vertical="center"/>
    </xf>
    <xf numFmtId="0" fontId="1" fillId="0" borderId="0" xfId="861" applyAlignment="1">
      <alignment horizontal="center" vertical="center"/>
    </xf>
    <xf numFmtId="0" fontId="70" fillId="21" borderId="0" xfId="861" applyFont="1" applyFill="1" applyAlignment="1">
      <alignment horizontal="center" vertical="center"/>
    </xf>
    <xf numFmtId="0" fontId="70" fillId="8" borderId="0" xfId="861" applyFont="1" applyFill="1" applyAlignment="1">
      <alignment horizontal="center" vertical="center"/>
    </xf>
    <xf numFmtId="0" fontId="0" fillId="18" borderId="17" xfId="0" applyFill="1" applyBorder="1" applyAlignment="1" applyProtection="1">
      <alignment horizontal="center" vertical="center" wrapText="1"/>
    </xf>
    <xf numFmtId="0" fontId="0" fillId="18" borderId="51" xfId="0" applyFill="1" applyBorder="1" applyAlignment="1" applyProtection="1">
      <alignment horizontal="center" vertical="center" wrapText="1"/>
    </xf>
    <xf numFmtId="0" fontId="0" fillId="8" borderId="24" xfId="0" applyFill="1" applyBorder="1" applyAlignment="1" applyProtection="1">
      <alignment horizontal="center" vertical="center" wrapText="1"/>
    </xf>
    <xf numFmtId="0" fontId="0" fillId="8" borderId="20" xfId="0" applyFill="1" applyBorder="1" applyAlignment="1" applyProtection="1">
      <alignment horizontal="center" vertical="center" wrapText="1"/>
    </xf>
    <xf numFmtId="0" fontId="1" fillId="8" borderId="17" xfId="0" applyFont="1" applyFill="1" applyBorder="1" applyAlignment="1" applyProtection="1">
      <alignment horizontal="center" vertical="center" wrapText="1"/>
    </xf>
    <xf numFmtId="0" fontId="1" fillId="8" borderId="51" xfId="0" applyFont="1" applyFill="1" applyBorder="1" applyAlignment="1" applyProtection="1">
      <alignment horizontal="center" vertical="center" wrapText="1"/>
    </xf>
    <xf numFmtId="0" fontId="12" fillId="0" borderId="0" xfId="0" applyFont="1" applyAlignment="1" applyProtection="1">
      <alignment horizontal="center"/>
    </xf>
    <xf numFmtId="41" fontId="11" fillId="0" borderId="0" xfId="0" applyNumberFormat="1" applyFont="1" applyAlignment="1" applyProtection="1">
      <alignment horizontal="center"/>
    </xf>
    <xf numFmtId="0" fontId="9" fillId="0" borderId="0" xfId="0" applyFont="1" applyFill="1" applyAlignment="1">
      <alignment horizontal="center" vertical="center"/>
    </xf>
    <xf numFmtId="41" fontId="94" fillId="0" borderId="78" xfId="0" applyNumberFormat="1" applyFont="1" applyFill="1" applyBorder="1" applyAlignment="1">
      <alignment horizontal="center" vertical="center"/>
    </xf>
    <xf numFmtId="41" fontId="94" fillId="0" borderId="183" xfId="0" applyNumberFormat="1" applyFont="1" applyFill="1" applyBorder="1" applyAlignment="1">
      <alignment horizontal="center" vertical="center"/>
    </xf>
    <xf numFmtId="41" fontId="94" fillId="0" borderId="271" xfId="0" applyNumberFormat="1" applyFont="1" applyFill="1" applyBorder="1" applyAlignment="1">
      <alignment horizontal="center" vertical="center"/>
    </xf>
    <xf numFmtId="41" fontId="94" fillId="0" borderId="47" xfId="0" applyNumberFormat="1" applyFont="1" applyFill="1" applyBorder="1" applyAlignment="1">
      <alignment horizontal="center" vertical="center"/>
    </xf>
    <xf numFmtId="41" fontId="94" fillId="0" borderId="35" xfId="0" applyNumberFormat="1" applyFont="1" applyFill="1" applyBorder="1" applyAlignment="1">
      <alignment horizontal="center" vertical="center"/>
    </xf>
    <xf numFmtId="41" fontId="2" fillId="0" borderId="34" xfId="0" applyNumberFormat="1" applyFont="1" applyFill="1" applyBorder="1" applyAlignment="1">
      <alignment horizontal="center" vertical="center"/>
    </xf>
    <xf numFmtId="41" fontId="2" fillId="0" borderId="36" xfId="0" applyNumberFormat="1" applyFont="1" applyFill="1" applyBorder="1" applyAlignment="1">
      <alignment horizontal="center" vertical="center"/>
    </xf>
    <xf numFmtId="41" fontId="2" fillId="0" borderId="41" xfId="0" applyNumberFormat="1" applyFont="1" applyFill="1" applyBorder="1" applyAlignment="1">
      <alignment horizontal="center" vertical="center"/>
    </xf>
    <xf numFmtId="41" fontId="4" fillId="0" borderId="26" xfId="0" applyNumberFormat="1" applyFont="1" applyFill="1" applyBorder="1" applyAlignment="1">
      <alignment horizontal="center" vertical="center" wrapText="1"/>
    </xf>
    <xf numFmtId="41" fontId="4" fillId="0" borderId="28" xfId="0" applyNumberFormat="1" applyFont="1" applyFill="1" applyBorder="1" applyAlignment="1">
      <alignment horizontal="center" vertical="center" wrapText="1"/>
    </xf>
    <xf numFmtId="41" fontId="4" fillId="0" borderId="30" xfId="0" applyNumberFormat="1" applyFont="1" applyFill="1" applyBorder="1" applyAlignment="1">
      <alignment horizontal="center" vertical="center" wrapText="1"/>
    </xf>
    <xf numFmtId="41" fontId="4" fillId="0" borderId="272" xfId="0" applyNumberFormat="1" applyFont="1" applyFill="1" applyBorder="1" applyAlignment="1">
      <alignment horizontal="center" vertical="center" wrapText="1"/>
    </xf>
    <xf numFmtId="41" fontId="4" fillId="0" borderId="87" xfId="0" applyNumberFormat="1" applyFont="1" applyFill="1" applyBorder="1" applyAlignment="1">
      <alignment horizontal="center" vertical="center" wrapText="1"/>
    </xf>
    <xf numFmtId="0" fontId="0" fillId="0" borderId="0" xfId="0"/>
    <xf numFmtId="41" fontId="94" fillId="0" borderId="2" xfId="0" applyNumberFormat="1" applyFont="1" applyFill="1" applyBorder="1" applyAlignment="1">
      <alignment horizontal="center" vertical="center" wrapText="1"/>
    </xf>
    <xf numFmtId="41" fontId="4" fillId="0" borderId="2" xfId="0" applyNumberFormat="1" applyFont="1" applyFill="1" applyBorder="1" applyAlignment="1">
      <alignment horizontal="center" vertical="center" wrapText="1"/>
    </xf>
    <xf numFmtId="0" fontId="0" fillId="0" borderId="2" xfId="0" applyBorder="1" applyAlignment="1">
      <alignment horizontal="center" vertical="center" wrapText="1"/>
    </xf>
    <xf numFmtId="41" fontId="2" fillId="0" borderId="2" xfId="0" applyNumberFormat="1" applyFont="1" applyFill="1" applyBorder="1" applyAlignment="1">
      <alignment horizontal="center" vertical="center" wrapText="1"/>
    </xf>
    <xf numFmtId="0" fontId="11" fillId="0" borderId="2" xfId="0" applyFont="1" applyBorder="1" applyAlignment="1">
      <alignment horizontal="center" vertical="center" wrapText="1"/>
    </xf>
    <xf numFmtId="41" fontId="4" fillId="0" borderId="54" xfId="0" applyNumberFormat="1" applyFont="1" applyFill="1" applyBorder="1" applyAlignment="1">
      <alignment horizontal="center" vertical="center" wrapText="1"/>
    </xf>
    <xf numFmtId="41" fontId="4" fillId="0" borderId="167" xfId="0" applyNumberFormat="1" applyFont="1" applyFill="1" applyBorder="1" applyAlignment="1">
      <alignment horizontal="center" vertical="center" wrapText="1"/>
    </xf>
    <xf numFmtId="41" fontId="4" fillId="0" borderId="98" xfId="0" applyNumberFormat="1" applyFont="1" applyFill="1" applyBorder="1" applyAlignment="1">
      <alignment horizontal="center" vertical="center" wrapText="1"/>
    </xf>
    <xf numFmtId="41" fontId="4" fillId="0" borderId="80" xfId="0" applyNumberFormat="1" applyFont="1" applyFill="1" applyBorder="1" applyAlignment="1">
      <alignment horizontal="center" vertical="center" wrapText="1"/>
    </xf>
    <xf numFmtId="41" fontId="4" fillId="0" borderId="166" xfId="0" applyNumberFormat="1" applyFont="1" applyFill="1" applyBorder="1" applyAlignment="1">
      <alignment horizontal="center" vertical="center" wrapText="1"/>
    </xf>
    <xf numFmtId="41" fontId="4" fillId="0" borderId="53" xfId="0" applyNumberFormat="1" applyFont="1" applyFill="1" applyBorder="1" applyAlignment="1">
      <alignment horizontal="center" vertical="center" wrapText="1"/>
    </xf>
    <xf numFmtId="0" fontId="4" fillId="0" borderId="166" xfId="0" applyFont="1" applyBorder="1" applyAlignment="1">
      <alignment horizontal="center" vertical="center" wrapText="1"/>
    </xf>
    <xf numFmtId="0" fontId="4" fillId="0" borderId="20" xfId="0" applyFont="1" applyBorder="1" applyAlignment="1">
      <alignment horizontal="center" vertical="center" wrapText="1"/>
    </xf>
    <xf numFmtId="0" fontId="4" fillId="0" borderId="2" xfId="0" applyFont="1" applyBorder="1" applyAlignment="1">
      <alignment horizontal="center" vertical="center" wrapText="1"/>
    </xf>
    <xf numFmtId="0" fontId="4" fillId="0" borderId="53" xfId="0" applyFont="1" applyBorder="1" applyAlignment="1">
      <alignment horizontal="center" vertical="center" wrapText="1"/>
    </xf>
    <xf numFmtId="0" fontId="4" fillId="0" borderId="165" xfId="0" applyFont="1" applyBorder="1" applyAlignment="1">
      <alignment horizontal="center" vertical="center" wrapText="1"/>
    </xf>
    <xf numFmtId="41" fontId="94" fillId="0" borderId="54" xfId="0" applyNumberFormat="1" applyFont="1" applyFill="1" applyBorder="1" applyAlignment="1">
      <alignment horizontal="center" vertical="center" wrapText="1"/>
    </xf>
    <xf numFmtId="41" fontId="94" fillId="0" borderId="167" xfId="0" applyNumberFormat="1" applyFont="1" applyFill="1" applyBorder="1" applyAlignment="1">
      <alignment horizontal="center" vertical="center" wrapText="1"/>
    </xf>
    <xf numFmtId="41" fontId="94" fillId="0" borderId="98" xfId="0" applyNumberFormat="1" applyFont="1" applyFill="1" applyBorder="1" applyAlignment="1">
      <alignment horizontal="center" vertical="center" wrapText="1"/>
    </xf>
    <xf numFmtId="41" fontId="2" fillId="0" borderId="167" xfId="0" applyNumberFormat="1" applyFont="1" applyFill="1" applyBorder="1" applyAlignment="1">
      <alignment horizontal="center" vertical="center" wrapText="1"/>
    </xf>
    <xf numFmtId="41" fontId="2" fillId="0" borderId="80" xfId="0" applyNumberFormat="1" applyFont="1" applyFill="1" applyBorder="1" applyAlignment="1">
      <alignment horizontal="center" vertical="center" wrapText="1"/>
    </xf>
    <xf numFmtId="41" fontId="2" fillId="0" borderId="104" xfId="0" applyNumberFormat="1" applyFont="1" applyFill="1" applyBorder="1" applyAlignment="1">
      <alignment horizontal="center" vertical="center" wrapText="1"/>
    </xf>
    <xf numFmtId="41" fontId="4" fillId="0" borderId="55" xfId="0" applyNumberFormat="1" applyFont="1" applyFill="1" applyBorder="1" applyAlignment="1">
      <alignment horizontal="center" vertical="center" wrapText="1"/>
    </xf>
    <xf numFmtId="0" fontId="0" fillId="0" borderId="104" xfId="0" applyBorder="1" applyAlignment="1">
      <alignment horizontal="center" vertical="center" wrapText="1"/>
    </xf>
    <xf numFmtId="0" fontId="0" fillId="0" borderId="20" xfId="0" applyBorder="1" applyAlignment="1">
      <alignment horizontal="center" vertical="center" wrapText="1"/>
    </xf>
    <xf numFmtId="0" fontId="0" fillId="0" borderId="55" xfId="0" applyBorder="1" applyAlignment="1">
      <alignment horizontal="center" vertical="center" wrapText="1"/>
    </xf>
    <xf numFmtId="0" fontId="0" fillId="0" borderId="60" xfId="0" applyBorder="1" applyAlignment="1">
      <alignment horizontal="center" vertical="center" wrapText="1"/>
    </xf>
    <xf numFmtId="41" fontId="94" fillId="0" borderId="96" xfId="0" applyNumberFormat="1" applyFont="1" applyFill="1" applyBorder="1" applyAlignment="1">
      <alignment horizontal="center" vertical="center" wrapText="1"/>
    </xf>
    <xf numFmtId="41" fontId="94" fillId="0" borderId="95" xfId="0" applyNumberFormat="1" applyFont="1" applyFill="1" applyBorder="1" applyAlignment="1">
      <alignment horizontal="center" vertical="center" wrapText="1"/>
    </xf>
    <xf numFmtId="41" fontId="4" fillId="0" borderId="24" xfId="0" applyNumberFormat="1" applyFont="1" applyFill="1" applyBorder="1" applyAlignment="1">
      <alignment horizontal="center" vertical="center" wrapText="1"/>
    </xf>
    <xf numFmtId="0" fontId="0" fillId="0" borderId="61" xfId="0" applyBorder="1" applyAlignment="1">
      <alignment horizontal="center" vertical="center" wrapText="1"/>
    </xf>
    <xf numFmtId="0" fontId="0" fillId="0" borderId="46" xfId="0" applyBorder="1" applyAlignment="1">
      <alignment horizontal="center" vertical="center" wrapText="1"/>
    </xf>
    <xf numFmtId="0" fontId="0" fillId="0" borderId="174" xfId="0" applyBorder="1" applyAlignment="1">
      <alignment horizontal="center" vertical="center" wrapText="1"/>
    </xf>
    <xf numFmtId="0" fontId="11" fillId="0" borderId="55" xfId="0" applyFont="1" applyBorder="1" applyAlignment="1">
      <alignment horizontal="center" vertical="center" wrapText="1"/>
    </xf>
    <xf numFmtId="0" fontId="22" fillId="0" borderId="54"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53" xfId="0" applyFont="1" applyBorder="1" applyAlignment="1">
      <alignment horizontal="center" vertical="center" wrapText="1"/>
    </xf>
    <xf numFmtId="0" fontId="22" fillId="0" borderId="91" xfId="0" applyFont="1" applyBorder="1" applyAlignment="1">
      <alignment horizontal="center" vertical="center" wrapText="1"/>
    </xf>
    <xf numFmtId="0" fontId="22" fillId="0" borderId="300" xfId="0" applyFont="1" applyBorder="1" applyAlignment="1">
      <alignment horizontal="center" vertical="center" wrapText="1"/>
    </xf>
    <xf numFmtId="0" fontId="22" fillId="0" borderId="98" xfId="0" applyFont="1" applyBorder="1" applyAlignment="1">
      <alignment horizontal="center" vertical="center" wrapText="1"/>
    </xf>
    <xf numFmtId="0" fontId="192" fillId="0" borderId="0" xfId="0" applyFont="1" applyAlignment="1">
      <alignment horizontal="center" vertical="center"/>
    </xf>
    <xf numFmtId="0" fontId="22" fillId="0" borderId="24" xfId="0" applyFont="1" applyBorder="1" applyAlignment="1">
      <alignment horizontal="center" vertical="center" wrapText="1"/>
    </xf>
    <xf numFmtId="0" fontId="22" fillId="0" borderId="200" xfId="0" applyFont="1" applyBorder="1" applyAlignment="1">
      <alignment horizontal="center" vertical="center" wrapText="1"/>
    </xf>
    <xf numFmtId="0" fontId="22" fillId="0" borderId="2" xfId="0" applyFont="1" applyFill="1" applyBorder="1" applyAlignment="1">
      <alignment horizontal="center" vertical="center" wrapText="1"/>
    </xf>
    <xf numFmtId="0" fontId="22" fillId="0" borderId="53" xfId="0" applyFont="1" applyFill="1" applyBorder="1" applyAlignment="1">
      <alignment horizontal="center" vertical="center" wrapText="1"/>
    </xf>
    <xf numFmtId="0" fontId="22" fillId="0" borderId="167" xfId="0" applyFont="1" applyBorder="1" applyAlignment="1">
      <alignment horizontal="center" vertical="center" wrapText="1"/>
    </xf>
    <xf numFmtId="166" fontId="22" fillId="0" borderId="95" xfId="0" applyNumberFormat="1" applyFont="1" applyBorder="1" applyAlignment="1">
      <alignment horizontal="center" vertical="center" wrapText="1"/>
    </xf>
    <xf numFmtId="166" fontId="22" fillId="0" borderId="46" xfId="0" applyNumberFormat="1" applyFont="1" applyBorder="1" applyAlignment="1">
      <alignment horizontal="center" vertical="center" wrapText="1"/>
    </xf>
    <xf numFmtId="166" fontId="22" fillId="0" borderId="163" xfId="0" applyNumberFormat="1" applyFont="1" applyBorder="1" applyAlignment="1">
      <alignment horizontal="center" vertical="center" wrapText="1"/>
    </xf>
    <xf numFmtId="0" fontId="22" fillId="0" borderId="80" xfId="0" applyFont="1" applyBorder="1" applyAlignment="1">
      <alignment horizontal="center" vertical="center" wrapText="1"/>
    </xf>
    <xf numFmtId="0" fontId="22" fillId="0" borderId="166" xfId="0" applyFont="1" applyBorder="1" applyAlignment="1">
      <alignment horizontal="center" vertical="center" wrapText="1"/>
    </xf>
    <xf numFmtId="0" fontId="11" fillId="0" borderId="54" xfId="0" applyFont="1" applyBorder="1" applyAlignment="1">
      <alignment horizontal="center" vertical="center" wrapText="1"/>
    </xf>
    <xf numFmtId="0" fontId="11" fillId="0" borderId="167" xfId="0" applyFont="1" applyBorder="1" applyAlignment="1">
      <alignment horizontal="center" vertical="center" wrapText="1"/>
    </xf>
    <xf numFmtId="0" fontId="11" fillId="0" borderId="80" xfId="0" applyFont="1" applyBorder="1" applyAlignment="1">
      <alignment horizontal="center" vertical="center" wrapText="1"/>
    </xf>
    <xf numFmtId="0" fontId="11" fillId="0" borderId="166" xfId="0" applyFont="1" applyBorder="1" applyAlignment="1">
      <alignment horizontal="center" vertical="center" wrapText="1"/>
    </xf>
    <xf numFmtId="0" fontId="11" fillId="0" borderId="46" xfId="0" applyFont="1" applyBorder="1" applyAlignment="1">
      <alignment horizontal="center" vertical="center" wrapText="1"/>
    </xf>
    <xf numFmtId="0" fontId="11" fillId="0" borderId="163" xfId="0" applyFont="1" applyBorder="1" applyAlignment="1">
      <alignment horizontal="center" vertical="center" wrapText="1"/>
    </xf>
    <xf numFmtId="0" fontId="11" fillId="0" borderId="53" xfId="0" applyFont="1" applyBorder="1" applyAlignment="1">
      <alignment horizontal="center" vertical="center" wrapText="1"/>
    </xf>
    <xf numFmtId="0" fontId="0" fillId="0" borderId="47" xfId="0" applyFill="1" applyBorder="1"/>
    <xf numFmtId="0" fontId="12" fillId="0" borderId="2" xfId="0" applyFont="1" applyFill="1" applyBorder="1" applyAlignment="1">
      <alignment horizontal="center" vertical="center"/>
    </xf>
    <xf numFmtId="0" fontId="12" fillId="0" borderId="80" xfId="0" applyFont="1" applyFill="1" applyBorder="1" applyAlignment="1">
      <alignment horizontal="center" vertical="center"/>
    </xf>
    <xf numFmtId="0" fontId="12" fillId="0" borderId="46" xfId="0" applyFont="1" applyFill="1" applyBorder="1" applyAlignment="1">
      <alignment horizontal="center" vertical="center"/>
    </xf>
    <xf numFmtId="0" fontId="0" fillId="0" borderId="54" xfId="0" applyBorder="1" applyAlignment="1">
      <alignment horizontal="center" vertical="center" wrapText="1"/>
    </xf>
    <xf numFmtId="0" fontId="0" fillId="0" borderId="167" xfId="0" applyBorder="1" applyAlignment="1">
      <alignment horizontal="center" vertical="center" wrapText="1"/>
    </xf>
    <xf numFmtId="0" fontId="0" fillId="0" borderId="98" xfId="0" applyBorder="1" applyAlignment="1">
      <alignment horizontal="center" vertical="center" wrapText="1"/>
    </xf>
    <xf numFmtId="0" fontId="0" fillId="0" borderId="80" xfId="0" applyBorder="1" applyAlignment="1">
      <alignment horizontal="center" vertical="center" wrapText="1"/>
    </xf>
    <xf numFmtId="0" fontId="0" fillId="0" borderId="166" xfId="0" applyBorder="1" applyAlignment="1">
      <alignment horizontal="center" vertical="center" wrapText="1"/>
    </xf>
    <xf numFmtId="0" fontId="0" fillId="0" borderId="163" xfId="0" applyBorder="1" applyAlignment="1">
      <alignment horizontal="center" vertical="center" wrapText="1"/>
    </xf>
    <xf numFmtId="0" fontId="0" fillId="0" borderId="53" xfId="0" applyBorder="1" applyAlignment="1">
      <alignment horizontal="center" vertical="center" wrapText="1"/>
    </xf>
    <xf numFmtId="0" fontId="0" fillId="0" borderId="165" xfId="0" applyBorder="1" applyAlignment="1">
      <alignment horizontal="center" vertical="center" wrapText="1"/>
    </xf>
    <xf numFmtId="0" fontId="37" fillId="0" borderId="0" xfId="1346" applyFont="1" applyFill="1" applyAlignment="1">
      <alignment horizontal="center" vertical="center"/>
    </xf>
    <xf numFmtId="0" fontId="12" fillId="0" borderId="34" xfId="1346" applyFont="1" applyFill="1" applyBorder="1" applyAlignment="1">
      <alignment horizontal="center" vertical="center" wrapText="1"/>
    </xf>
    <xf numFmtId="0" fontId="12" fillId="0" borderId="36" xfId="1346" applyFont="1" applyFill="1" applyBorder="1" applyAlignment="1">
      <alignment horizontal="center" vertical="center" wrapText="1"/>
    </xf>
    <xf numFmtId="0" fontId="12" fillId="0" borderId="275" xfId="1346" applyFont="1" applyFill="1" applyBorder="1" applyAlignment="1">
      <alignment horizontal="center" vertical="center" wrapText="1"/>
    </xf>
    <xf numFmtId="0" fontId="12" fillId="0" borderId="34" xfId="1346" applyFont="1" applyFill="1" applyBorder="1" applyAlignment="1">
      <alignment horizontal="center" vertical="center"/>
    </xf>
    <xf numFmtId="0" fontId="12" fillId="0" borderId="36" xfId="1346" applyFont="1" applyFill="1" applyBorder="1" applyAlignment="1">
      <alignment horizontal="center" vertical="center"/>
    </xf>
    <xf numFmtId="0" fontId="12" fillId="0" borderId="41" xfId="1346" applyFont="1" applyFill="1" applyBorder="1" applyAlignment="1">
      <alignment horizontal="center" vertical="center"/>
    </xf>
    <xf numFmtId="0" fontId="12" fillId="0" borderId="275" xfId="1346" applyFont="1" applyFill="1" applyBorder="1" applyAlignment="1">
      <alignment horizontal="center" vertical="center"/>
    </xf>
    <xf numFmtId="0" fontId="19" fillId="0" borderId="0" xfId="1346" applyFont="1" applyFill="1" applyAlignment="1">
      <alignment horizontal="center" vertical="center"/>
    </xf>
    <xf numFmtId="0" fontId="37" fillId="0" borderId="41" xfId="1346" applyFont="1" applyFill="1" applyBorder="1" applyAlignment="1">
      <alignment horizontal="center" vertical="center"/>
    </xf>
    <xf numFmtId="0" fontId="95" fillId="0" borderId="153" xfId="1346" applyFont="1" applyFill="1" applyBorder="1" applyAlignment="1">
      <alignment horizontal="center" vertical="center"/>
    </xf>
    <xf numFmtId="0" fontId="95" fillId="0" borderId="34" xfId="1346" applyFont="1" applyFill="1" applyBorder="1" applyAlignment="1">
      <alignment horizontal="center" vertical="center"/>
    </xf>
    <xf numFmtId="0" fontId="95" fillId="0" borderId="36" xfId="1346" applyFont="1" applyFill="1" applyBorder="1" applyAlignment="1">
      <alignment horizontal="center" vertical="center"/>
    </xf>
    <xf numFmtId="0" fontId="95" fillId="0" borderId="41" xfId="1346" applyFont="1" applyFill="1" applyBorder="1" applyAlignment="1">
      <alignment horizontal="center" vertical="center"/>
    </xf>
    <xf numFmtId="0" fontId="12" fillId="0" borderId="41" xfId="1346" applyFont="1" applyFill="1" applyBorder="1" applyAlignment="1">
      <alignment horizontal="center" vertical="center" wrapText="1"/>
    </xf>
    <xf numFmtId="0" fontId="10" fillId="0" borderId="153" xfId="1346" applyFont="1" applyFill="1" applyBorder="1" applyAlignment="1">
      <alignment horizontal="center" vertical="center"/>
    </xf>
    <xf numFmtId="0" fontId="12" fillId="0" borderId="167" xfId="0" applyFont="1" applyBorder="1" applyAlignment="1">
      <alignment horizontal="center" vertical="center" wrapText="1"/>
    </xf>
    <xf numFmtId="0" fontId="12" fillId="0" borderId="80" xfId="0" applyFont="1" applyBorder="1" applyAlignment="1">
      <alignment horizontal="center" vertical="center" wrapText="1"/>
    </xf>
    <xf numFmtId="0" fontId="12" fillId="0" borderId="2" xfId="0" applyFont="1" applyBorder="1" applyAlignment="1">
      <alignment horizontal="center" vertical="center" wrapText="1"/>
    </xf>
    <xf numFmtId="0" fontId="12" fillId="0" borderId="54" xfId="0" applyFont="1" applyBorder="1" applyAlignment="1">
      <alignment horizontal="center" vertical="center" wrapText="1"/>
    </xf>
    <xf numFmtId="0" fontId="191" fillId="0" borderId="0" xfId="0" applyFont="1" applyAlignment="1">
      <alignment horizontal="center" vertical="center"/>
    </xf>
    <xf numFmtId="0" fontId="12" fillId="0" borderId="95" xfId="0" applyFont="1" applyBorder="1" applyAlignment="1">
      <alignment horizontal="center" vertical="center" wrapText="1"/>
    </xf>
    <xf numFmtId="0" fontId="12" fillId="0" borderId="46" xfId="0" applyFont="1" applyBorder="1" applyAlignment="1">
      <alignment horizontal="center" vertical="center" wrapText="1"/>
    </xf>
    <xf numFmtId="0" fontId="19" fillId="0" borderId="0" xfId="0" applyFont="1" applyAlignment="1">
      <alignment horizontal="center"/>
    </xf>
    <xf numFmtId="0" fontId="12" fillId="0" borderId="24" xfId="0" applyFont="1" applyBorder="1" applyAlignment="1">
      <alignment horizontal="center" vertical="center" wrapText="1"/>
    </xf>
    <xf numFmtId="0" fontId="12" fillId="0" borderId="98" xfId="0" applyFont="1" applyBorder="1" applyAlignment="1">
      <alignment horizontal="center" vertical="center" wrapText="1"/>
    </xf>
    <xf numFmtId="0" fontId="12" fillId="0" borderId="96" xfId="0" applyFont="1" applyBorder="1" applyAlignment="1">
      <alignment horizontal="center" vertical="center" wrapText="1"/>
    </xf>
    <xf numFmtId="0" fontId="22" fillId="0" borderId="113" xfId="0" applyFont="1" applyBorder="1" applyAlignment="1">
      <alignment horizontal="center" vertical="center"/>
    </xf>
    <xf numFmtId="0" fontId="22" fillId="0" borderId="36" xfId="0" applyFont="1" applyBorder="1" applyAlignment="1">
      <alignment horizontal="center" vertical="center"/>
    </xf>
    <xf numFmtId="0" fontId="22" fillId="0" borderId="88" xfId="0" applyFont="1" applyBorder="1" applyAlignment="1">
      <alignment horizontal="center" vertical="center"/>
    </xf>
    <xf numFmtId="0" fontId="12" fillId="0" borderId="20" xfId="0" applyFont="1" applyBorder="1" applyAlignment="1">
      <alignment horizontal="center" vertical="center" wrapText="1"/>
    </xf>
    <xf numFmtId="0" fontId="11" fillId="0" borderId="69" xfId="0" applyFont="1" applyBorder="1" applyAlignment="1">
      <alignment horizontal="center" vertical="center" wrapText="1"/>
    </xf>
    <xf numFmtId="0" fontId="11" fillId="0" borderId="106" xfId="0" applyFont="1" applyBorder="1" applyAlignment="1">
      <alignment horizontal="center" vertical="center" wrapText="1"/>
    </xf>
    <xf numFmtId="0" fontId="0" fillId="0" borderId="0" xfId="0" applyAlignment="1">
      <alignment horizontal="center"/>
    </xf>
    <xf numFmtId="0" fontId="1" fillId="0" borderId="0" xfId="0" applyFont="1" applyAlignment="1">
      <alignment horizontal="center"/>
    </xf>
    <xf numFmtId="0" fontId="0" fillId="0" borderId="34" xfId="0" applyBorder="1" applyAlignment="1">
      <alignment horizontal="center" vertical="center"/>
    </xf>
    <xf numFmtId="0" fontId="0" fillId="0" borderId="36" xfId="0" applyBorder="1" applyAlignment="1">
      <alignment horizontal="center" vertical="center"/>
    </xf>
    <xf numFmtId="0" fontId="0" fillId="0" borderId="275" xfId="0" applyBorder="1" applyAlignment="1">
      <alignment horizontal="center" vertical="center"/>
    </xf>
    <xf numFmtId="0" fontId="11" fillId="0" borderId="152" xfId="0" applyFont="1" applyBorder="1" applyAlignment="1">
      <alignment horizontal="center" vertical="center" wrapText="1"/>
    </xf>
    <xf numFmtId="0" fontId="0" fillId="0" borderId="152" xfId="0" applyBorder="1" applyAlignment="1">
      <alignment vertical="center"/>
    </xf>
    <xf numFmtId="0" fontId="0" fillId="0" borderId="69" xfId="0" applyBorder="1" applyAlignment="1">
      <alignment vertical="center"/>
    </xf>
    <xf numFmtId="0" fontId="0" fillId="0" borderId="106" xfId="0" applyBorder="1" applyAlignment="1">
      <alignment vertical="center"/>
    </xf>
    <xf numFmtId="0" fontId="12" fillId="0" borderId="53" xfId="0" applyFont="1" applyBorder="1" applyAlignment="1">
      <alignment horizontal="center" vertical="center" wrapText="1"/>
    </xf>
    <xf numFmtId="0" fontId="12" fillId="0" borderId="166" xfId="0" applyFont="1" applyBorder="1" applyAlignment="1">
      <alignment horizontal="center" vertical="center" wrapText="1"/>
    </xf>
    <xf numFmtId="0" fontId="95" fillId="0" borderId="0" xfId="0" applyFont="1" applyAlignment="1">
      <alignment horizontal="center" vertical="center"/>
    </xf>
    <xf numFmtId="0" fontId="12" fillId="0" borderId="163" xfId="0" applyFont="1" applyBorder="1" applyAlignment="1">
      <alignment horizontal="center" vertical="center" wrapText="1"/>
    </xf>
    <xf numFmtId="0" fontId="12" fillId="0" borderId="165" xfId="0" applyFont="1" applyBorder="1" applyAlignment="1">
      <alignment horizontal="center" vertical="center" wrapText="1"/>
    </xf>
    <xf numFmtId="0" fontId="12" fillId="0" borderId="54" xfId="0" applyFont="1" applyBorder="1" applyAlignment="1">
      <alignment horizontal="center" vertical="center"/>
    </xf>
    <xf numFmtId="0" fontId="12" fillId="0" borderId="167" xfId="0" applyFont="1" applyBorder="1" applyAlignment="1">
      <alignment horizontal="center" vertical="center"/>
    </xf>
    <xf numFmtId="0" fontId="12" fillId="0" borderId="80" xfId="0" applyFont="1" applyBorder="1" applyAlignment="1">
      <alignment horizontal="center" vertical="center"/>
    </xf>
    <xf numFmtId="0" fontId="12" fillId="0" borderId="2" xfId="0" applyFont="1" applyBorder="1" applyAlignment="1">
      <alignment horizontal="center" vertical="center"/>
    </xf>
    <xf numFmtId="0" fontId="12" fillId="0" borderId="95" xfId="0" applyFont="1" applyBorder="1" applyAlignment="1">
      <alignment horizontal="center" vertical="center"/>
    </xf>
    <xf numFmtId="0" fontId="12" fillId="0" borderId="46" xfId="0" applyFont="1" applyBorder="1" applyAlignment="1">
      <alignment horizontal="center" vertical="center"/>
    </xf>
    <xf numFmtId="41" fontId="11" fillId="0" borderId="95" xfId="2" applyFont="1" applyBorder="1" applyAlignment="1">
      <alignment horizontal="center" vertical="center" wrapText="1"/>
    </xf>
    <xf numFmtId="41" fontId="11" fillId="0" borderId="46" xfId="2" applyFont="1" applyBorder="1" applyAlignment="1">
      <alignment horizontal="center" vertical="center" wrapText="1"/>
    </xf>
    <xf numFmtId="41" fontId="11" fillId="0" borderId="54" xfId="2" applyFont="1" applyBorder="1" applyAlignment="1">
      <alignment horizontal="center" vertical="center" wrapText="1"/>
    </xf>
    <xf numFmtId="41" fontId="11" fillId="0" borderId="2" xfId="2" applyFont="1" applyBorder="1" applyAlignment="1">
      <alignment horizontal="center" vertical="center" wrapText="1"/>
    </xf>
    <xf numFmtId="41" fontId="11" fillId="0" borderId="167" xfId="2" applyFont="1" applyBorder="1" applyAlignment="1">
      <alignment horizontal="center" vertical="center" wrapText="1"/>
    </xf>
    <xf numFmtId="41" fontId="11" fillId="0" borderId="98" xfId="2" applyFont="1" applyBorder="1" applyAlignment="1">
      <alignment horizontal="center" vertical="center" wrapText="1"/>
    </xf>
    <xf numFmtId="41" fontId="11" fillId="0" borderId="80" xfId="2" applyFont="1" applyBorder="1" applyAlignment="1">
      <alignment horizontal="center" vertical="center" wrapText="1"/>
    </xf>
    <xf numFmtId="0" fontId="22" fillId="0" borderId="95" xfId="0" applyFont="1" applyBorder="1" applyAlignment="1">
      <alignment horizontal="center" vertical="center" wrapText="1"/>
    </xf>
    <xf numFmtId="0" fontId="22" fillId="0" borderId="46" xfId="0" applyFont="1" applyBorder="1" applyAlignment="1">
      <alignment horizontal="center" vertical="center" wrapText="1"/>
    </xf>
    <xf numFmtId="0" fontId="22" fillId="0" borderId="163" xfId="0" applyFont="1" applyBorder="1" applyAlignment="1">
      <alignment horizontal="center" vertical="center" wrapText="1"/>
    </xf>
    <xf numFmtId="0" fontId="0" fillId="0" borderId="2" xfId="0" applyBorder="1" applyAlignment="1">
      <alignment horizontal="center" wrapText="1"/>
    </xf>
    <xf numFmtId="0" fontId="22" fillId="0" borderId="152" xfId="0" applyFont="1" applyBorder="1" applyAlignment="1">
      <alignment horizontal="center" vertical="center" wrapText="1"/>
    </xf>
    <xf numFmtId="0" fontId="22" fillId="0" borderId="69" xfId="0" applyFont="1" applyBorder="1" applyAlignment="1">
      <alignment horizontal="center" vertical="center" wrapText="1"/>
    </xf>
    <xf numFmtId="0" fontId="22" fillId="0" borderId="76" xfId="0" applyFont="1" applyBorder="1" applyAlignment="1">
      <alignment horizontal="center" vertical="center" wrapText="1"/>
    </xf>
    <xf numFmtId="0" fontId="22" fillId="0" borderId="96" xfId="0" applyFont="1" applyBorder="1" applyAlignment="1">
      <alignment horizontal="center" vertical="center" wrapText="1"/>
    </xf>
    <xf numFmtId="0" fontId="22" fillId="0" borderId="20" xfId="0" applyFont="1" applyBorder="1" applyAlignment="1">
      <alignment horizontal="center" vertical="center" wrapText="1"/>
    </xf>
    <xf numFmtId="0" fontId="22" fillId="0" borderId="165" xfId="0" applyFont="1" applyBorder="1" applyAlignment="1">
      <alignment horizontal="center" vertical="center" wrapText="1"/>
    </xf>
    <xf numFmtId="0" fontId="12" fillId="0" borderId="152" xfId="0" applyFont="1" applyBorder="1" applyAlignment="1">
      <alignment horizontal="center" vertical="center" wrapText="1"/>
    </xf>
    <xf numFmtId="0" fontId="12" fillId="0" borderId="69" xfId="0" applyFont="1" applyBorder="1" applyAlignment="1">
      <alignment horizontal="center" vertical="center" wrapText="1"/>
    </xf>
    <xf numFmtId="0" fontId="12" fillId="0" borderId="76" xfId="0" applyFont="1" applyBorder="1" applyAlignment="1">
      <alignment horizontal="center" vertical="center" wrapText="1"/>
    </xf>
    <xf numFmtId="0" fontId="12" fillId="0" borderId="250" xfId="0" applyFont="1" applyBorder="1" applyAlignment="1">
      <alignment horizontal="center" vertical="center" wrapText="1"/>
    </xf>
    <xf numFmtId="0" fontId="12" fillId="0" borderId="115" xfId="0" applyFont="1" applyBorder="1" applyAlignment="1">
      <alignment horizontal="center" vertical="center" wrapText="1"/>
    </xf>
    <xf numFmtId="0" fontId="12" fillId="0" borderId="199" xfId="0" applyFont="1" applyBorder="1" applyAlignment="1">
      <alignment horizontal="center" vertical="center" wrapText="1"/>
    </xf>
    <xf numFmtId="0" fontId="4" fillId="0" borderId="80" xfId="1346" applyFont="1" applyFill="1" applyBorder="1" applyAlignment="1">
      <alignment horizontal="center" vertical="center" wrapText="1"/>
    </xf>
    <xf numFmtId="0" fontId="4" fillId="0" borderId="104" xfId="1346" applyFont="1" applyFill="1" applyBorder="1" applyAlignment="1">
      <alignment horizontal="center" vertical="center" wrapText="1"/>
    </xf>
    <xf numFmtId="0" fontId="4" fillId="0" borderId="46" xfId="1346" applyFont="1" applyFill="1" applyBorder="1" applyAlignment="1">
      <alignment horizontal="center" vertical="center" wrapText="1"/>
    </xf>
    <xf numFmtId="0" fontId="4" fillId="0" borderId="174" xfId="1346" applyFont="1" applyFill="1" applyBorder="1" applyAlignment="1">
      <alignment horizontal="center" vertical="center" wrapText="1"/>
    </xf>
    <xf numFmtId="0" fontId="4" fillId="0" borderId="2" xfId="1346" applyFont="1" applyFill="1" applyBorder="1" applyAlignment="1">
      <alignment horizontal="center" vertical="center" wrapText="1"/>
    </xf>
    <xf numFmtId="0" fontId="4" fillId="0" borderId="55" xfId="1346" applyFont="1" applyFill="1" applyBorder="1" applyAlignment="1">
      <alignment horizontal="center" vertical="center" wrapText="1"/>
    </xf>
    <xf numFmtId="0" fontId="9" fillId="0" borderId="0" xfId="1346" applyFont="1" applyFill="1" applyAlignment="1">
      <alignment horizontal="center" vertical="center"/>
    </xf>
    <xf numFmtId="0" fontId="4" fillId="0" borderId="34" xfId="1346" applyFont="1" applyFill="1" applyBorder="1" applyAlignment="1">
      <alignment horizontal="center" vertical="center"/>
    </xf>
    <xf numFmtId="0" fontId="4" fillId="0" borderId="36" xfId="1346" applyFont="1" applyFill="1" applyBorder="1" applyAlignment="1">
      <alignment horizontal="center" vertical="center"/>
    </xf>
    <xf numFmtId="0" fontId="4" fillId="0" borderId="275" xfId="1346" applyFont="1" applyFill="1" applyBorder="1" applyAlignment="1">
      <alignment horizontal="center" vertical="center"/>
    </xf>
    <xf numFmtId="164" fontId="4" fillId="0" borderId="34" xfId="1346" applyNumberFormat="1" applyFont="1" applyFill="1" applyBorder="1" applyAlignment="1">
      <alignment horizontal="center" vertical="center"/>
    </xf>
    <xf numFmtId="164" fontId="4" fillId="0" borderId="36" xfId="1346" applyNumberFormat="1" applyFont="1" applyFill="1" applyBorder="1" applyAlignment="1">
      <alignment horizontal="center" vertical="center"/>
    </xf>
    <xf numFmtId="164" fontId="4" fillId="0" borderId="275" xfId="1346" applyNumberFormat="1" applyFont="1" applyFill="1" applyBorder="1" applyAlignment="1">
      <alignment horizontal="center" vertical="center"/>
    </xf>
    <xf numFmtId="0" fontId="208" fillId="0" borderId="95" xfId="1346" applyFont="1" applyFill="1" applyBorder="1" applyAlignment="1">
      <alignment horizontal="center" vertical="center"/>
    </xf>
    <xf numFmtId="0" fontId="208" fillId="0" borderId="54" xfId="1346" applyFont="1" applyFill="1" applyBorder="1" applyAlignment="1">
      <alignment horizontal="center" vertical="center"/>
    </xf>
    <xf numFmtId="0" fontId="208" fillId="0" borderId="167" xfId="1346" applyFont="1" applyFill="1" applyBorder="1" applyAlignment="1">
      <alignment horizontal="center" vertical="center"/>
    </xf>
    <xf numFmtId="0" fontId="4" fillId="0" borderId="37" xfId="1346" applyFont="1" applyFill="1" applyBorder="1" applyAlignment="1">
      <alignment horizontal="center" vertical="center"/>
    </xf>
    <xf numFmtId="0" fontId="4" fillId="0" borderId="46" xfId="1346" applyFont="1" applyFill="1" applyBorder="1" applyAlignment="1">
      <alignment horizontal="center" vertical="center"/>
    </xf>
    <xf numFmtId="0" fontId="4" fillId="0" borderId="2" xfId="1346" applyFont="1" applyFill="1" applyBorder="1" applyAlignment="1">
      <alignment horizontal="center" vertical="center"/>
    </xf>
    <xf numFmtId="0" fontId="22" fillId="0" borderId="250" xfId="0" applyFont="1" applyBorder="1" applyAlignment="1">
      <alignment horizontal="center" vertical="center" wrapText="1"/>
    </xf>
    <xf numFmtId="0" fontId="22" fillId="0" borderId="115" xfId="0" applyFont="1" applyBorder="1" applyAlignment="1">
      <alignment horizontal="center" vertical="center" wrapText="1"/>
    </xf>
    <xf numFmtId="0" fontId="22" fillId="0" borderId="199" xfId="0" applyFont="1" applyBorder="1" applyAlignment="1">
      <alignment horizontal="center" vertical="center" wrapText="1"/>
    </xf>
    <xf numFmtId="0" fontId="12" fillId="0" borderId="200" xfId="0" applyFont="1" applyBorder="1" applyAlignment="1">
      <alignment horizontal="center" vertical="center" wrapText="1"/>
    </xf>
    <xf numFmtId="0" fontId="11" fillId="0" borderId="152" xfId="0" applyFont="1" applyBorder="1" applyAlignment="1">
      <alignment horizontal="center" vertical="center"/>
    </xf>
    <xf numFmtId="0" fontId="11" fillId="0" borderId="69" xfId="0" applyFont="1" applyBorder="1" applyAlignment="1">
      <alignment horizontal="center" vertical="center"/>
    </xf>
    <xf numFmtId="0" fontId="11" fillId="0" borderId="76" xfId="0" applyFont="1" applyBorder="1" applyAlignment="1">
      <alignment horizontal="center" vertical="center"/>
    </xf>
    <xf numFmtId="0" fontId="37" fillId="0" borderId="152" xfId="0" applyFont="1" applyBorder="1" applyAlignment="1">
      <alignment horizontal="center" vertical="center" wrapText="1"/>
    </xf>
    <xf numFmtId="0" fontId="37" fillId="0" borderId="69" xfId="0" applyFont="1" applyBorder="1" applyAlignment="1">
      <alignment horizontal="center" vertical="center" wrapText="1"/>
    </xf>
    <xf numFmtId="0" fontId="37" fillId="0" borderId="113" xfId="0" applyFont="1" applyBorder="1" applyAlignment="1">
      <alignment horizontal="center" vertical="center" wrapText="1"/>
    </xf>
    <xf numFmtId="0" fontId="37" fillId="0" borderId="95" xfId="0" applyFont="1" applyBorder="1" applyAlignment="1">
      <alignment horizontal="center" vertical="center" wrapText="1"/>
    </xf>
    <xf numFmtId="0" fontId="37" fillId="0" borderId="54" xfId="0" applyFont="1" applyBorder="1" applyAlignment="1">
      <alignment horizontal="center" vertical="center" wrapText="1"/>
    </xf>
    <xf numFmtId="0" fontId="37" fillId="0" borderId="167" xfId="0" applyFont="1" applyBorder="1" applyAlignment="1">
      <alignment horizontal="center" vertical="center" wrapText="1"/>
    </xf>
    <xf numFmtId="0" fontId="37" fillId="0" borderId="80" xfId="0" applyFont="1" applyBorder="1" applyAlignment="1">
      <alignment horizontal="center" vertical="center" wrapText="1"/>
    </xf>
    <xf numFmtId="0" fontId="37" fillId="0" borderId="81" xfId="0" applyFont="1" applyBorder="1" applyAlignment="1">
      <alignment horizontal="center" vertical="center" wrapText="1"/>
    </xf>
    <xf numFmtId="0" fontId="37" fillId="0" borderId="46" xfId="0" applyFont="1" applyBorder="1" applyAlignment="1">
      <alignment horizontal="center" vertical="center" wrapText="1"/>
    </xf>
    <xf numFmtId="0" fontId="37" fillId="0" borderId="2" xfId="0" applyFont="1" applyBorder="1" applyAlignment="1">
      <alignment horizontal="center" vertical="center" wrapText="1"/>
    </xf>
    <xf numFmtId="0" fontId="37" fillId="0" borderId="43" xfId="0" applyFont="1" applyBorder="1" applyAlignment="1">
      <alignment horizontal="center" vertical="center" wrapText="1"/>
    </xf>
    <xf numFmtId="0" fontId="37" fillId="0" borderId="17" xfId="0" applyFont="1" applyBorder="1" applyAlignment="1">
      <alignment horizontal="center" vertical="center" wrapText="1"/>
    </xf>
    <xf numFmtId="0" fontId="10" fillId="0" borderId="0" xfId="0" applyFont="1" applyAlignment="1">
      <alignment horizontal="center" vertical="center"/>
    </xf>
    <xf numFmtId="0" fontId="11" fillId="0" borderId="17" xfId="0" applyFont="1" applyBorder="1" applyAlignment="1">
      <alignment horizontal="center" vertical="center"/>
    </xf>
    <xf numFmtId="0" fontId="11" fillId="0" borderId="28" xfId="0" applyFont="1" applyBorder="1" applyAlignment="1">
      <alignment horizontal="center" vertical="center"/>
    </xf>
    <xf numFmtId="0" fontId="11" fillId="0" borderId="51" xfId="0" applyFont="1" applyBorder="1" applyAlignment="1">
      <alignment horizontal="center" vertical="center"/>
    </xf>
    <xf numFmtId="0" fontId="12" fillId="0" borderId="0" xfId="0" applyFont="1" applyAlignment="1">
      <alignment horizontal="center" vertical="center"/>
    </xf>
    <xf numFmtId="0" fontId="11" fillId="0" borderId="25" xfId="0" applyFont="1" applyBorder="1" applyAlignment="1">
      <alignment vertical="center"/>
    </xf>
    <xf numFmtId="0" fontId="11" fillId="0" borderId="27" xfId="0" applyFont="1" applyBorder="1" applyAlignment="1">
      <alignment vertical="center"/>
    </xf>
    <xf numFmtId="0" fontId="11" fillId="0" borderId="23" xfId="0" applyFont="1" applyBorder="1" applyAlignment="1">
      <alignment vertical="center"/>
    </xf>
    <xf numFmtId="0" fontId="11" fillId="0" borderId="299" xfId="0" applyFont="1" applyBorder="1" applyAlignment="1">
      <alignment horizontal="center" vertical="center"/>
    </xf>
    <xf numFmtId="0" fontId="11" fillId="0" borderId="47" xfId="0" applyFont="1" applyBorder="1" applyAlignment="1">
      <alignment horizontal="center" vertical="center"/>
    </xf>
    <xf numFmtId="0" fontId="11" fillId="0" borderId="264" xfId="0" applyFont="1" applyBorder="1" applyAlignment="1">
      <alignment horizontal="center" vertical="center"/>
    </xf>
    <xf numFmtId="0" fontId="22" fillId="0" borderId="28" xfId="0" applyFont="1" applyBorder="1" applyAlignment="1">
      <alignment horizontal="center" vertical="center" wrapText="1"/>
    </xf>
    <xf numFmtId="0" fontId="22" fillId="0" borderId="30" xfId="0" applyFont="1" applyBorder="1" applyAlignment="1">
      <alignment horizontal="center" vertical="center" wrapText="1"/>
    </xf>
    <xf numFmtId="0" fontId="22" fillId="0" borderId="79" xfId="0" applyFont="1" applyBorder="1" applyAlignment="1">
      <alignment horizontal="center" vertical="center" wrapText="1"/>
    </xf>
    <xf numFmtId="0" fontId="22" fillId="0" borderId="159" xfId="0" applyFont="1" applyBorder="1" applyAlignment="1">
      <alignment horizontal="center" vertical="center" wrapText="1"/>
    </xf>
    <xf numFmtId="0" fontId="19" fillId="0" borderId="0" xfId="0" applyFont="1" applyAlignment="1">
      <alignment horizontal="center" vertical="center"/>
    </xf>
    <xf numFmtId="0" fontId="22" fillId="0" borderId="26" xfId="0" applyFont="1" applyBorder="1" applyAlignment="1">
      <alignment horizontal="center" vertical="center" wrapText="1"/>
    </xf>
    <xf numFmtId="0" fontId="0" fillId="0" borderId="163" xfId="0" applyBorder="1" applyAlignment="1">
      <alignment horizontal="center" vertical="center"/>
    </xf>
    <xf numFmtId="0" fontId="0" fillId="0" borderId="53" xfId="0" applyBorder="1" applyAlignment="1">
      <alignment horizontal="center" vertical="center"/>
    </xf>
    <xf numFmtId="0" fontId="124" fillId="0" borderId="0" xfId="0" applyFont="1" applyAlignment="1">
      <alignment horizontal="center" vertical="center"/>
    </xf>
    <xf numFmtId="0" fontId="12" fillId="0" borderId="155" xfId="0" applyFont="1" applyBorder="1" applyAlignment="1">
      <alignment horizontal="center" vertical="center"/>
    </xf>
    <xf numFmtId="0" fontId="12" fillId="0" borderId="156" xfId="0" applyFont="1" applyBorder="1" applyAlignment="1">
      <alignment horizontal="center" vertical="center"/>
    </xf>
    <xf numFmtId="0" fontId="11" fillId="0" borderId="196" xfId="0" applyFont="1" applyBorder="1" applyAlignment="1">
      <alignment horizontal="left" vertical="center"/>
    </xf>
    <xf numFmtId="0" fontId="11" fillId="0" borderId="66" xfId="0" applyFont="1" applyBorder="1" applyAlignment="1">
      <alignment horizontal="left" vertical="center"/>
    </xf>
    <xf numFmtId="0" fontId="11" fillId="0" borderId="20" xfId="0" applyFont="1" applyBorder="1" applyAlignment="1">
      <alignment horizontal="left" vertical="center"/>
    </xf>
    <xf numFmtId="0" fontId="11" fillId="0" borderId="197" xfId="0" applyFont="1" applyBorder="1" applyAlignment="1">
      <alignment horizontal="left" vertical="center"/>
    </xf>
    <xf numFmtId="0" fontId="11" fillId="0" borderId="198" xfId="0" applyFont="1" applyBorder="1" applyAlignment="1">
      <alignment horizontal="left" vertical="center"/>
    </xf>
    <xf numFmtId="0" fontId="11" fillId="0" borderId="165" xfId="0" applyFont="1" applyBorder="1" applyAlignment="1">
      <alignment horizontal="left" vertical="center"/>
    </xf>
    <xf numFmtId="0" fontId="36" fillId="0" borderId="0" xfId="0" applyFont="1" applyAlignment="1">
      <alignment horizontal="center" vertical="center"/>
    </xf>
    <xf numFmtId="0" fontId="22" fillId="0" borderId="25" xfId="0" applyFont="1" applyBorder="1" applyAlignment="1">
      <alignment horizontal="center" vertical="center" wrapText="1"/>
    </xf>
    <xf numFmtId="0" fontId="22" fillId="0" borderId="47" xfId="0" applyFont="1" applyBorder="1" applyAlignment="1">
      <alignment horizontal="center" vertical="center" wrapText="1"/>
    </xf>
    <xf numFmtId="0" fontId="22" fillId="0" borderId="265" xfId="0" applyFont="1" applyBorder="1" applyAlignment="1">
      <alignment horizontal="center" vertical="center" wrapText="1"/>
    </xf>
    <xf numFmtId="0" fontId="22" fillId="0" borderId="3" xfId="0" applyFont="1" applyBorder="1" applyAlignment="1">
      <alignment horizontal="center" vertical="center" wrapText="1"/>
    </xf>
    <xf numFmtId="0" fontId="22" fillId="0" borderId="62" xfId="0" applyFont="1" applyBorder="1" applyAlignment="1">
      <alignment horizontal="center" vertical="center" wrapText="1"/>
    </xf>
    <xf numFmtId="0" fontId="22" fillId="0" borderId="48" xfId="0" applyFont="1" applyBorder="1" applyAlignment="1">
      <alignment horizontal="center" vertical="center" wrapText="1"/>
    </xf>
    <xf numFmtId="0" fontId="22" fillId="0" borderId="175" xfId="0" applyFont="1" applyBorder="1" applyAlignment="1">
      <alignment horizontal="center" vertical="center" wrapText="1"/>
    </xf>
    <xf numFmtId="0" fontId="0" fillId="0" borderId="196" xfId="0" applyBorder="1"/>
    <xf numFmtId="0" fontId="0" fillId="0" borderId="66" xfId="0" applyBorder="1"/>
    <xf numFmtId="0" fontId="0" fillId="0" borderId="20" xfId="0" applyBorder="1"/>
    <xf numFmtId="0" fontId="11" fillId="0" borderId="2" xfId="0" applyFont="1" applyBorder="1" applyAlignment="1">
      <alignment vertical="center"/>
    </xf>
    <xf numFmtId="0" fontId="12" fillId="0" borderId="2" xfId="0" applyFont="1" applyBorder="1" applyAlignment="1">
      <alignment vertical="center"/>
    </xf>
    <xf numFmtId="0" fontId="11" fillId="0" borderId="24" xfId="0" applyFont="1" applyBorder="1" applyAlignment="1">
      <alignment vertical="center"/>
    </xf>
    <xf numFmtId="0" fontId="11" fillId="0" borderId="66" xfId="0" applyFont="1" applyBorder="1" applyAlignment="1">
      <alignment vertical="center"/>
    </xf>
    <xf numFmtId="0" fontId="11" fillId="0" borderId="20" xfId="0" applyFont="1" applyBorder="1" applyAlignment="1">
      <alignment vertical="center"/>
    </xf>
    <xf numFmtId="0" fontId="0" fillId="0" borderId="24" xfId="0" applyBorder="1" applyAlignment="1">
      <alignment vertical="center"/>
    </xf>
    <xf numFmtId="0" fontId="0" fillId="0" borderId="66" xfId="0" applyBorder="1" applyAlignment="1">
      <alignment vertical="center"/>
    </xf>
    <xf numFmtId="0" fontId="10" fillId="0" borderId="249" xfId="0" applyFont="1" applyBorder="1" applyAlignment="1">
      <alignment vertical="center"/>
    </xf>
    <xf numFmtId="0" fontId="10" fillId="0" borderId="250" xfId="0" applyFont="1" applyBorder="1" applyAlignment="1">
      <alignment vertical="center"/>
    </xf>
    <xf numFmtId="0" fontId="10" fillId="0" borderId="196" xfId="0" applyFont="1" applyBorder="1" applyAlignment="1">
      <alignment vertical="center"/>
    </xf>
    <xf numFmtId="0" fontId="10" fillId="0" borderId="115" xfId="0" applyFont="1" applyBorder="1" applyAlignment="1">
      <alignment vertical="center"/>
    </xf>
    <xf numFmtId="0" fontId="10" fillId="0" borderId="197" xfId="0" applyFont="1" applyBorder="1" applyAlignment="1">
      <alignment vertical="center"/>
    </xf>
    <xf numFmtId="0" fontId="10" fillId="0" borderId="199" xfId="0" applyFont="1" applyBorder="1" applyAlignment="1">
      <alignment vertical="center"/>
    </xf>
    <xf numFmtId="0" fontId="10" fillId="0" borderId="153" xfId="0" applyFont="1" applyBorder="1" applyAlignment="1">
      <alignment horizontal="center" vertical="center" wrapText="1"/>
    </xf>
    <xf numFmtId="0" fontId="12" fillId="0" borderId="282" xfId="0" applyFont="1" applyBorder="1" applyAlignment="1">
      <alignment horizontal="center" vertical="center"/>
    </xf>
    <xf numFmtId="0" fontId="12" fillId="0" borderId="172" xfId="0" applyFont="1" applyBorder="1" applyAlignment="1">
      <alignment horizontal="center" vertical="center"/>
    </xf>
    <xf numFmtId="0" fontId="12" fillId="0" borderId="169" xfId="0" applyFont="1" applyBorder="1" applyAlignment="1">
      <alignment horizontal="center" vertical="center"/>
    </xf>
    <xf numFmtId="0" fontId="10" fillId="0" borderId="74" xfId="0" applyFont="1" applyBorder="1" applyAlignment="1">
      <alignment vertical="center"/>
    </xf>
    <xf numFmtId="0" fontId="0" fillId="0" borderId="2" xfId="0" applyBorder="1"/>
    <xf numFmtId="0" fontId="37" fillId="0" borderId="0" xfId="0" applyFont="1"/>
    <xf numFmtId="0" fontId="12" fillId="0" borderId="25" xfId="0" applyFont="1" applyBorder="1" applyAlignment="1">
      <alignment horizontal="center" vertical="center"/>
    </xf>
    <xf numFmtId="0" fontId="12" fillId="0" borderId="27" xfId="0" applyFont="1" applyBorder="1" applyAlignment="1">
      <alignment horizontal="center" vertical="center"/>
    </xf>
    <xf numFmtId="0" fontId="12" fillId="0" borderId="35" xfId="0" applyFont="1" applyBorder="1" applyAlignment="1">
      <alignment horizontal="center" vertical="center"/>
    </xf>
    <xf numFmtId="0" fontId="12" fillId="0" borderId="37" xfId="0" applyFont="1" applyBorder="1" applyAlignment="1">
      <alignment horizontal="center" vertical="center"/>
    </xf>
    <xf numFmtId="41" fontId="3" fillId="17" borderId="179" xfId="1176" applyNumberFormat="1" applyFill="1" applyBorder="1" applyAlignment="1">
      <alignment horizontal="center" vertical="center"/>
    </xf>
    <xf numFmtId="41" fontId="3" fillId="17" borderId="21" xfId="1176" applyNumberFormat="1" applyFill="1" applyBorder="1" applyAlignment="1">
      <alignment horizontal="center" vertical="center"/>
    </xf>
    <xf numFmtId="41" fontId="3" fillId="17" borderId="22" xfId="1176" applyNumberFormat="1" applyFill="1" applyBorder="1" applyAlignment="1">
      <alignment horizontal="center" vertical="center"/>
    </xf>
    <xf numFmtId="0" fontId="19" fillId="0" borderId="0" xfId="0" applyFont="1" applyBorder="1" applyAlignment="1">
      <alignment horizontal="center" vertical="center"/>
    </xf>
    <xf numFmtId="0" fontId="10" fillId="0" borderId="24" xfId="0" applyFont="1" applyBorder="1"/>
    <xf numFmtId="0" fontId="10" fillId="0" borderId="20" xfId="0" applyFont="1" applyBorder="1"/>
    <xf numFmtId="0" fontId="10" fillId="0" borderId="24" xfId="0" applyFont="1" applyBorder="1" applyAlignment="1">
      <alignment horizontal="center" vertical="center"/>
    </xf>
    <xf numFmtId="0" fontId="10" fillId="0" borderId="20" xfId="0" applyFont="1" applyBorder="1" applyAlignment="1">
      <alignment horizontal="center" vertical="center"/>
    </xf>
    <xf numFmtId="0" fontId="19" fillId="0" borderId="31" xfId="0" applyFont="1" applyBorder="1" applyAlignment="1">
      <alignment horizontal="center" vertical="center"/>
    </xf>
    <xf numFmtId="0" fontId="19" fillId="0" borderId="86" xfId="0" applyFont="1" applyBorder="1" applyAlignment="1">
      <alignment horizontal="center" vertical="center"/>
    </xf>
    <xf numFmtId="0" fontId="19" fillId="0" borderId="33" xfId="0" applyFont="1" applyBorder="1" applyAlignment="1">
      <alignment horizontal="center" vertical="center"/>
    </xf>
    <xf numFmtId="0" fontId="19" fillId="0" borderId="77" xfId="0" applyFont="1" applyBorder="1" applyAlignment="1">
      <alignment horizontal="center" vertical="center"/>
    </xf>
    <xf numFmtId="0" fontId="19" fillId="0" borderId="29" xfId="0" applyFont="1" applyBorder="1" applyAlignment="1">
      <alignment horizontal="center" vertical="center"/>
    </xf>
    <xf numFmtId="0" fontId="19" fillId="0" borderId="65" xfId="0" applyFont="1" applyBorder="1" applyAlignment="1">
      <alignment horizontal="center" vertical="center"/>
    </xf>
    <xf numFmtId="0" fontId="19" fillId="0" borderId="82" xfId="0" applyFont="1" applyBorder="1" applyAlignment="1">
      <alignment horizontal="center" vertical="center"/>
    </xf>
    <xf numFmtId="0" fontId="19" fillId="0" borderId="83" xfId="0" applyFont="1" applyBorder="1" applyAlignment="1">
      <alignment horizontal="center" vertical="center"/>
    </xf>
    <xf numFmtId="0" fontId="19" fillId="0" borderId="24" xfId="0" applyFont="1" applyBorder="1" applyAlignment="1">
      <alignment horizontal="center" vertical="center"/>
    </xf>
    <xf numFmtId="0" fontId="19" fillId="0" borderId="20" xfId="0" applyFont="1" applyBorder="1" applyAlignment="1">
      <alignment horizontal="center" vertical="center"/>
    </xf>
    <xf numFmtId="0" fontId="123" fillId="0" borderId="0" xfId="0" applyFont="1" applyAlignment="1">
      <alignment horizontal="center" vertical="center"/>
    </xf>
    <xf numFmtId="0" fontId="12" fillId="0" borderId="24" xfId="0" applyFont="1" applyBorder="1"/>
    <xf numFmtId="0" fontId="12" fillId="0" borderId="20" xfId="0" applyFont="1" applyBorder="1"/>
    <xf numFmtId="0" fontId="0" fillId="0" borderId="77" xfId="0" applyBorder="1"/>
    <xf numFmtId="0" fontId="0" fillId="0" borderId="0" xfId="0" applyBorder="1"/>
    <xf numFmtId="0" fontId="0" fillId="0" borderId="29" xfId="0" applyBorder="1"/>
    <xf numFmtId="0" fontId="81" fillId="6" borderId="24" xfId="1069" applyFont="1" applyFill="1" applyBorder="1" applyAlignment="1">
      <alignment horizontal="center" vertical="center"/>
    </xf>
    <xf numFmtId="0" fontId="81" fillId="6" borderId="20" xfId="1069" applyFont="1" applyFill="1" applyBorder="1" applyAlignment="1">
      <alignment horizontal="center" vertical="center"/>
    </xf>
    <xf numFmtId="0" fontId="201" fillId="5" borderId="24" xfId="1069" applyFont="1" applyFill="1" applyBorder="1" applyAlignment="1">
      <alignment horizontal="center" vertical="center"/>
    </xf>
    <xf numFmtId="0" fontId="201" fillId="5" borderId="20" xfId="1069" applyFont="1" applyFill="1" applyBorder="1" applyAlignment="1">
      <alignment horizontal="center" vertical="center"/>
    </xf>
    <xf numFmtId="0" fontId="10" fillId="0" borderId="24" xfId="0" applyFont="1" applyBorder="1" applyAlignment="1">
      <alignment horizontal="center"/>
    </xf>
    <xf numFmtId="0" fontId="10" fillId="0" borderId="20" xfId="0" applyFont="1" applyBorder="1" applyAlignment="1">
      <alignment horizontal="center"/>
    </xf>
    <xf numFmtId="0" fontId="0" fillId="0" borderId="77" xfId="0" applyBorder="1" applyAlignment="1">
      <alignment horizontal="center"/>
    </xf>
    <xf numFmtId="0" fontId="0" fillId="0" borderId="0" xfId="0" applyBorder="1" applyAlignment="1">
      <alignment horizontal="center"/>
    </xf>
    <xf numFmtId="0" fontId="0" fillId="0" borderId="29" xfId="0" applyBorder="1" applyAlignment="1">
      <alignment horizontal="center"/>
    </xf>
    <xf numFmtId="0" fontId="25" fillId="0" borderId="0" xfId="0" applyFont="1" applyAlignment="1">
      <alignment horizontal="center" vertical="center"/>
    </xf>
    <xf numFmtId="0" fontId="10" fillId="0" borderId="77" xfId="0" applyFont="1" applyBorder="1" applyAlignment="1">
      <alignment horizontal="center" vertical="center"/>
    </xf>
    <xf numFmtId="0" fontId="10" fillId="0" borderId="0" xfId="0" applyFont="1" applyBorder="1" applyAlignment="1">
      <alignment horizontal="center" vertical="center"/>
    </xf>
    <xf numFmtId="0" fontId="10" fillId="0" borderId="29" xfId="0" applyFont="1" applyBorder="1" applyAlignment="1">
      <alignment horizontal="center" vertical="center"/>
    </xf>
    <xf numFmtId="0" fontId="0" fillId="0" borderId="31" xfId="0" applyBorder="1"/>
    <xf numFmtId="0" fontId="0" fillId="0" borderId="86" xfId="0" applyBorder="1"/>
    <xf numFmtId="0" fontId="0" fillId="0" borderId="33" xfId="0" applyBorder="1"/>
    <xf numFmtId="0" fontId="10" fillId="0" borderId="65" xfId="0" applyFont="1" applyBorder="1" applyAlignment="1">
      <alignment horizontal="center" vertical="center"/>
    </xf>
    <xf numFmtId="0" fontId="10" fillId="0" borderId="82" xfId="0" applyFont="1" applyBorder="1" applyAlignment="1">
      <alignment horizontal="center" vertical="center"/>
    </xf>
    <xf numFmtId="0" fontId="10" fillId="0" borderId="83" xfId="0" applyFont="1" applyBorder="1" applyAlignment="1">
      <alignment horizontal="center" vertical="center"/>
    </xf>
    <xf numFmtId="0" fontId="10" fillId="0" borderId="31" xfId="0" applyFont="1" applyBorder="1" applyAlignment="1">
      <alignment horizontal="center" vertical="center"/>
    </xf>
    <xf numFmtId="0" fontId="10" fillId="0" borderId="86" xfId="0" applyFont="1" applyBorder="1" applyAlignment="1">
      <alignment horizontal="center" vertical="center"/>
    </xf>
    <xf numFmtId="0" fontId="10" fillId="0" borderId="33" xfId="0" applyFont="1" applyBorder="1" applyAlignment="1">
      <alignment horizontal="center" vertical="center"/>
    </xf>
    <xf numFmtId="0" fontId="23" fillId="0" borderId="54" xfId="0" applyFont="1" applyBorder="1" applyAlignment="1">
      <alignment horizontal="center" vertical="center" wrapText="1"/>
    </xf>
    <xf numFmtId="0" fontId="23" fillId="0" borderId="2" xfId="0" applyFont="1" applyBorder="1" applyAlignment="1">
      <alignment horizontal="center" vertical="center" wrapText="1"/>
    </xf>
    <xf numFmtId="0" fontId="23" fillId="0" borderId="53" xfId="0" applyFont="1" applyBorder="1" applyAlignment="1">
      <alignment horizontal="center" vertical="center" wrapText="1"/>
    </xf>
    <xf numFmtId="0" fontId="23" fillId="0" borderId="167" xfId="0" applyFont="1" applyBorder="1" applyAlignment="1">
      <alignment horizontal="center" vertical="center" wrapText="1"/>
    </xf>
    <xf numFmtId="0" fontId="0" fillId="0" borderId="53" xfId="0" applyBorder="1" applyAlignment="1">
      <alignment vertical="center"/>
    </xf>
    <xf numFmtId="0" fontId="0" fillId="0" borderId="80" xfId="0" applyBorder="1" applyAlignment="1">
      <alignment vertical="center"/>
    </xf>
    <xf numFmtId="0" fontId="0" fillId="0" borderId="166" xfId="0" applyBorder="1" applyAlignment="1">
      <alignment vertical="center"/>
    </xf>
    <xf numFmtId="0" fontId="0" fillId="0" borderId="46" xfId="0" applyBorder="1" applyAlignment="1">
      <alignment vertical="center"/>
    </xf>
    <xf numFmtId="0" fontId="0" fillId="0" borderId="2" xfId="0" applyBorder="1" applyAlignment="1">
      <alignment vertical="center"/>
    </xf>
    <xf numFmtId="0" fontId="0" fillId="0" borderId="54" xfId="0" applyBorder="1" applyAlignment="1">
      <alignment horizontal="center" vertical="center"/>
    </xf>
    <xf numFmtId="0" fontId="0" fillId="0" borderId="2" xfId="0" applyBorder="1" applyAlignment="1">
      <alignment horizontal="center" vertical="center"/>
    </xf>
    <xf numFmtId="0" fontId="0" fillId="0" borderId="95" xfId="0" applyBorder="1" applyAlignment="1">
      <alignment horizontal="center" vertical="center"/>
    </xf>
    <xf numFmtId="0" fontId="0" fillId="0" borderId="46" xfId="0" applyBorder="1" applyAlignment="1">
      <alignment horizontal="center" vertical="center"/>
    </xf>
    <xf numFmtId="0" fontId="0" fillId="0" borderId="0" xfId="0" applyAlignment="1">
      <alignment horizontal="left"/>
    </xf>
    <xf numFmtId="10" fontId="0" fillId="0" borderId="80" xfId="1182" applyNumberFormat="1" applyFont="1" applyBorder="1" applyAlignment="1">
      <alignment vertical="center"/>
    </xf>
    <xf numFmtId="10" fontId="0" fillId="0" borderId="166" xfId="1182" applyNumberFormat="1" applyFont="1" applyBorder="1" applyAlignment="1">
      <alignment vertical="center"/>
    </xf>
    <xf numFmtId="0" fontId="0" fillId="0" borderId="95" xfId="0" applyBorder="1" applyAlignment="1">
      <alignment vertical="center"/>
    </xf>
    <xf numFmtId="0" fontId="0" fillId="0" borderId="54" xfId="0" applyBorder="1" applyAlignment="1">
      <alignment vertical="center"/>
    </xf>
    <xf numFmtId="0" fontId="0" fillId="0" borderId="49" xfId="0" applyBorder="1" applyAlignment="1">
      <alignment horizontal="center" vertical="center"/>
    </xf>
    <xf numFmtId="0" fontId="0" fillId="0" borderId="44" xfId="0" applyBorder="1" applyAlignment="1">
      <alignment horizontal="center" vertical="center"/>
    </xf>
    <xf numFmtId="0" fontId="19" fillId="0" borderId="0" xfId="0" applyFont="1" applyFill="1" applyAlignment="1">
      <alignment horizontal="center" vertical="center"/>
    </xf>
    <xf numFmtId="0" fontId="0" fillId="0" borderId="292" xfId="0" applyFill="1" applyBorder="1" applyAlignment="1">
      <alignment horizontal="center" vertical="center" wrapText="1"/>
    </xf>
    <xf numFmtId="0" fontId="0" fillId="0" borderId="224" xfId="0" applyFill="1" applyBorder="1" applyAlignment="1">
      <alignment horizontal="center" vertical="center" wrapText="1"/>
    </xf>
    <xf numFmtId="0" fontId="0" fillId="0" borderId="295" xfId="0" applyFill="1" applyBorder="1" applyAlignment="1">
      <alignment horizontal="center" vertical="center" wrapText="1"/>
    </xf>
    <xf numFmtId="0" fontId="0" fillId="0" borderId="293" xfId="0" applyFill="1" applyBorder="1" applyAlignment="1">
      <alignment horizontal="center" vertical="center" wrapText="1"/>
    </xf>
    <xf numFmtId="0" fontId="0" fillId="0" borderId="223" xfId="0" applyFill="1" applyBorder="1" applyAlignment="1">
      <alignment horizontal="center" vertical="center" wrapText="1"/>
    </xf>
    <xf numFmtId="0" fontId="0" fillId="0" borderId="232" xfId="0" applyFill="1" applyBorder="1" applyAlignment="1">
      <alignment horizontal="center" vertical="center" wrapText="1"/>
    </xf>
    <xf numFmtId="0" fontId="0" fillId="0" borderId="225" xfId="0" applyFill="1" applyBorder="1" applyAlignment="1">
      <alignment horizontal="center" vertical="center" wrapText="1"/>
    </xf>
    <xf numFmtId="0" fontId="0" fillId="0" borderId="0" xfId="0" applyFill="1"/>
    <xf numFmtId="0" fontId="0" fillId="0" borderId="233" xfId="0" applyFill="1" applyBorder="1" applyAlignment="1">
      <alignment horizontal="center" vertical="center" wrapText="1"/>
    </xf>
    <xf numFmtId="0" fontId="0" fillId="0" borderId="294" xfId="0" applyFill="1" applyBorder="1" applyAlignment="1">
      <alignment horizontal="center" vertical="center" wrapText="1"/>
    </xf>
    <xf numFmtId="0" fontId="1" fillId="0" borderId="0" xfId="861" applyFont="1" applyFill="1" applyAlignment="1">
      <alignment horizontal="center" vertical="center"/>
    </xf>
    <xf numFmtId="0" fontId="0" fillId="0" borderId="0" xfId="0" applyFill="1" applyAlignment="1">
      <alignment horizontal="center" vertical="center" wrapText="1"/>
    </xf>
    <xf numFmtId="0" fontId="0" fillId="0" borderId="77" xfId="0" applyFill="1" applyBorder="1" applyAlignment="1">
      <alignment horizontal="center" vertical="center" wrapText="1"/>
    </xf>
    <xf numFmtId="0" fontId="0" fillId="0" borderId="29" xfId="0" applyFill="1" applyBorder="1" applyAlignment="1">
      <alignment horizontal="center" vertical="center" wrapText="1"/>
    </xf>
    <xf numFmtId="0" fontId="0" fillId="0" borderId="0" xfId="0" applyAlignment="1">
      <alignment vertical="center"/>
    </xf>
    <xf numFmtId="0" fontId="0" fillId="38" borderId="0" xfId="0" applyFill="1"/>
    <xf numFmtId="0" fontId="0" fillId="0" borderId="77" xfId="0" applyBorder="1" applyAlignment="1">
      <alignment horizontal="center" vertical="center" wrapText="1"/>
    </xf>
    <xf numFmtId="0" fontId="0" fillId="0" borderId="64" xfId="0" applyBorder="1" applyAlignment="1">
      <alignment vertical="center"/>
    </xf>
    <xf numFmtId="0" fontId="0" fillId="0" borderId="285" xfId="0" applyBorder="1" applyAlignment="1">
      <alignment vertical="center"/>
    </xf>
    <xf numFmtId="0" fontId="25" fillId="0" borderId="0" xfId="0" applyFont="1"/>
    <xf numFmtId="0" fontId="0" fillId="0" borderId="65" xfId="0" applyBorder="1"/>
    <xf numFmtId="0" fontId="0" fillId="0" borderId="0" xfId="0" applyAlignment="1">
      <alignment horizontal="center" vertical="center" wrapText="1"/>
    </xf>
    <xf numFmtId="0" fontId="12" fillId="0" borderId="280" xfId="0" applyFont="1" applyBorder="1" applyAlignment="1">
      <alignment horizontal="left" vertical="center"/>
    </xf>
    <xf numFmtId="0" fontId="12" fillId="0" borderId="3" xfId="0" applyFont="1" applyBorder="1" applyAlignment="1">
      <alignment horizontal="left" vertical="center"/>
    </xf>
    <xf numFmtId="0" fontId="12" fillId="0" borderId="286" xfId="0" applyFont="1" applyBorder="1" applyAlignment="1">
      <alignment horizontal="left" vertical="center"/>
    </xf>
    <xf numFmtId="0" fontId="12" fillId="0" borderId="64" xfId="0" applyFont="1" applyBorder="1" applyAlignment="1">
      <alignment horizontal="left" vertical="center"/>
    </xf>
    <xf numFmtId="0" fontId="12" fillId="0" borderId="214" xfId="0" applyFont="1" applyBorder="1" applyAlignment="1">
      <alignment vertical="center"/>
    </xf>
    <xf numFmtId="0" fontId="12" fillId="0" borderId="56" xfId="0" applyFont="1" applyBorder="1" applyAlignment="1">
      <alignment vertical="center"/>
    </xf>
    <xf numFmtId="0" fontId="22" fillId="0" borderId="59" xfId="0" applyFont="1" applyBorder="1" applyAlignment="1">
      <alignment vertical="center"/>
    </xf>
    <xf numFmtId="0" fontId="22" fillId="0" borderId="55" xfId="0" applyFont="1" applyBorder="1" applyAlignment="1">
      <alignment vertical="center"/>
    </xf>
    <xf numFmtId="0" fontId="25" fillId="0" borderId="0" xfId="0" applyFont="1" applyAlignment="1">
      <alignment vertical="center"/>
    </xf>
    <xf numFmtId="0" fontId="37" fillId="0" borderId="280" xfId="0" applyFont="1" applyBorder="1" applyAlignment="1">
      <alignment vertical="center"/>
    </xf>
    <xf numFmtId="0" fontId="37" fillId="0" borderId="3" xfId="0" applyFont="1" applyBorder="1" applyAlignment="1">
      <alignment vertical="center"/>
    </xf>
    <xf numFmtId="0" fontId="37" fillId="0" borderId="281" xfId="0" applyFont="1" applyBorder="1" applyAlignment="1">
      <alignment vertical="center"/>
    </xf>
    <xf numFmtId="0" fontId="37" fillId="0" borderId="286" xfId="0" applyFont="1" applyBorder="1" applyAlignment="1">
      <alignment vertical="center"/>
    </xf>
    <xf numFmtId="0" fontId="37" fillId="0" borderId="64" xfId="0" applyFont="1" applyBorder="1" applyAlignment="1">
      <alignment vertical="center"/>
    </xf>
    <xf numFmtId="0" fontId="37" fillId="0" borderId="287" xfId="0" applyFont="1" applyBorder="1" applyAlignment="1">
      <alignment vertical="center"/>
    </xf>
    <xf numFmtId="0" fontId="23" fillId="0" borderId="0" xfId="0" applyFont="1" applyAlignment="1">
      <alignment horizontal="center" vertical="center" wrapText="1"/>
    </xf>
    <xf numFmtId="0" fontId="95" fillId="0" borderId="0" xfId="0" applyFont="1" applyAlignment="1">
      <alignment horizontal="center" vertical="center" wrapText="1"/>
    </xf>
    <xf numFmtId="0" fontId="12" fillId="0" borderId="288" xfId="0" applyFont="1" applyBorder="1" applyAlignment="1">
      <alignment vertical="center"/>
    </xf>
    <xf numFmtId="0" fontId="12" fillId="0" borderId="181" xfId="0" applyFont="1" applyBorder="1" applyAlignment="1">
      <alignment vertical="center"/>
    </xf>
    <xf numFmtId="0" fontId="12" fillId="0" borderId="289" xfId="0" applyFont="1" applyBorder="1" applyAlignment="1">
      <alignment vertical="center"/>
    </xf>
    <xf numFmtId="0" fontId="22" fillId="0" borderId="290" xfId="0" applyFont="1" applyBorder="1" applyAlignment="1">
      <alignment vertical="center"/>
    </xf>
    <xf numFmtId="0" fontId="22" fillId="0" borderId="182" xfId="0" applyFont="1" applyBorder="1" applyAlignment="1">
      <alignment vertical="center"/>
    </xf>
    <xf numFmtId="0" fontId="22" fillId="0" borderId="291" xfId="0" applyFont="1" applyBorder="1" applyAlignment="1">
      <alignment vertical="center"/>
    </xf>
    <xf numFmtId="41" fontId="3" fillId="0" borderId="2" xfId="2" applyFont="1" applyFill="1" applyBorder="1" applyAlignment="1">
      <alignment vertical="center" wrapText="1"/>
    </xf>
    <xf numFmtId="41" fontId="3" fillId="0" borderId="31" xfId="2" applyFont="1" applyFill="1" applyBorder="1" applyAlignment="1">
      <alignment vertical="center" wrapText="1"/>
    </xf>
  </cellXfs>
  <cellStyles count="1347">
    <cellStyle name="Comma" xfId="1" builtinId="3"/>
    <cellStyle name="Comma [0]" xfId="2" builtinId="6"/>
    <cellStyle name="Comma [0] 2" xfId="3"/>
    <cellStyle name="Comma [0] 2 10" xfId="4"/>
    <cellStyle name="Comma [0] 2 11" xfId="5"/>
    <cellStyle name="Comma [0] 2 12" xfId="6"/>
    <cellStyle name="Comma [0] 2 13" xfId="7"/>
    <cellStyle name="Comma [0] 2 14" xfId="8"/>
    <cellStyle name="Comma [0] 2 15" xfId="9"/>
    <cellStyle name="Comma [0] 2 16" xfId="10"/>
    <cellStyle name="Comma [0] 2 17" xfId="11"/>
    <cellStyle name="Comma [0] 2 18" xfId="12"/>
    <cellStyle name="Comma [0] 2 19" xfId="13"/>
    <cellStyle name="Comma [0] 2 2" xfId="14"/>
    <cellStyle name="Comma [0] 2 20" xfId="15"/>
    <cellStyle name="Comma [0] 2 21" xfId="16"/>
    <cellStyle name="Comma [0] 2 22" xfId="17"/>
    <cellStyle name="Comma [0] 2 23" xfId="18"/>
    <cellStyle name="Comma [0] 2 24" xfId="19"/>
    <cellStyle name="Comma [0] 2 25" xfId="20"/>
    <cellStyle name="Comma [0] 2 26" xfId="21"/>
    <cellStyle name="Comma [0] 2 27" xfId="22"/>
    <cellStyle name="Comma [0] 2 28" xfId="23"/>
    <cellStyle name="Comma [0] 2 29" xfId="24"/>
    <cellStyle name="Comma [0] 2 3" xfId="25"/>
    <cellStyle name="Comma [0] 2 30" xfId="26"/>
    <cellStyle name="Comma [0] 2 31" xfId="27"/>
    <cellStyle name="Comma [0] 2 32" xfId="28"/>
    <cellStyle name="Comma [0] 2 33" xfId="29"/>
    <cellStyle name="Comma [0] 2 34" xfId="30"/>
    <cellStyle name="Comma [0] 2 35" xfId="31"/>
    <cellStyle name="Comma [0] 2 36" xfId="32"/>
    <cellStyle name="Comma [0] 2 37" xfId="33"/>
    <cellStyle name="Comma [0] 2 38" xfId="34"/>
    <cellStyle name="Comma [0] 2 39" xfId="35"/>
    <cellStyle name="Comma [0] 2 4" xfId="36"/>
    <cellStyle name="Comma [0] 2 40" xfId="37"/>
    <cellStyle name="Comma [0] 2 41" xfId="38"/>
    <cellStyle name="Comma [0] 2 42" xfId="39"/>
    <cellStyle name="Comma [0] 2 43" xfId="40"/>
    <cellStyle name="Comma [0] 2 44" xfId="41"/>
    <cellStyle name="Comma [0] 2 45" xfId="42"/>
    <cellStyle name="Comma [0] 2 46" xfId="43"/>
    <cellStyle name="Comma [0] 2 47" xfId="44"/>
    <cellStyle name="Comma [0] 2 48" xfId="45"/>
    <cellStyle name="Comma [0] 2 49" xfId="46"/>
    <cellStyle name="Comma [0] 2 5" xfId="47"/>
    <cellStyle name="Comma [0] 2 50" xfId="48"/>
    <cellStyle name="Comma [0] 2 51" xfId="49"/>
    <cellStyle name="Comma [0] 2 52" xfId="50"/>
    <cellStyle name="Comma [0] 2 53" xfId="51"/>
    <cellStyle name="Comma [0] 2 54" xfId="52"/>
    <cellStyle name="Comma [0] 2 55" xfId="53"/>
    <cellStyle name="Comma [0] 2 56" xfId="54"/>
    <cellStyle name="Comma [0] 2 57" xfId="55"/>
    <cellStyle name="Comma [0] 2 58" xfId="56"/>
    <cellStyle name="Comma [0] 2 59" xfId="57"/>
    <cellStyle name="Comma [0] 2 6" xfId="58"/>
    <cellStyle name="Comma [0] 2 60" xfId="59"/>
    <cellStyle name="Comma [0] 2 61" xfId="60"/>
    <cellStyle name="Comma [0] 2 62" xfId="61"/>
    <cellStyle name="Comma [0] 2 63" xfId="62"/>
    <cellStyle name="Comma [0] 2 64" xfId="63"/>
    <cellStyle name="Comma [0] 2 65" xfId="64"/>
    <cellStyle name="Comma [0] 2 66" xfId="65"/>
    <cellStyle name="Comma [0] 2 67" xfId="66"/>
    <cellStyle name="Comma [0] 2 68" xfId="67"/>
    <cellStyle name="Comma [0] 2 69" xfId="68"/>
    <cellStyle name="Comma [0] 2 7" xfId="69"/>
    <cellStyle name="Comma [0] 2 70" xfId="70"/>
    <cellStyle name="Comma [0] 2 71" xfId="71"/>
    <cellStyle name="Comma [0] 2 72" xfId="72"/>
    <cellStyle name="Comma [0] 2 73" xfId="73"/>
    <cellStyle name="Comma [0] 2 74" xfId="74"/>
    <cellStyle name="Comma [0] 2 75" xfId="75"/>
    <cellStyle name="Comma [0] 2 76" xfId="76"/>
    <cellStyle name="Comma [0] 2 77" xfId="77"/>
    <cellStyle name="Comma [0] 2 78" xfId="78"/>
    <cellStyle name="Comma [0] 2 79" xfId="79"/>
    <cellStyle name="Comma [0] 2 8" xfId="80"/>
    <cellStyle name="Comma [0] 2 80" xfId="81"/>
    <cellStyle name="Comma [0] 2 81" xfId="82"/>
    <cellStyle name="Comma [0] 2 82" xfId="83"/>
    <cellStyle name="Comma [0] 2 9" xfId="84"/>
    <cellStyle name="Comma [0] 3" xfId="85"/>
    <cellStyle name="Comma [0] 3 10" xfId="86"/>
    <cellStyle name="Comma [0] 3 11" xfId="87"/>
    <cellStyle name="Comma [0] 3 12" xfId="88"/>
    <cellStyle name="Comma [0] 3 13" xfId="89"/>
    <cellStyle name="Comma [0] 3 14" xfId="90"/>
    <cellStyle name="Comma [0] 3 15" xfId="91"/>
    <cellStyle name="Comma [0] 3 16" xfId="92"/>
    <cellStyle name="Comma [0] 3 17" xfId="93"/>
    <cellStyle name="Comma [0] 3 18" xfId="94"/>
    <cellStyle name="Comma [0] 3 19" xfId="95"/>
    <cellStyle name="Comma [0] 3 2" xfId="96"/>
    <cellStyle name="Comma [0] 3 20" xfId="97"/>
    <cellStyle name="Comma [0] 3 21" xfId="98"/>
    <cellStyle name="Comma [0] 3 22" xfId="99"/>
    <cellStyle name="Comma [0] 3 23" xfId="100"/>
    <cellStyle name="Comma [0] 3 24" xfId="101"/>
    <cellStyle name="Comma [0] 3 25" xfId="102"/>
    <cellStyle name="Comma [0] 3 26" xfId="103"/>
    <cellStyle name="Comma [0] 3 27" xfId="104"/>
    <cellStyle name="Comma [0] 3 28" xfId="105"/>
    <cellStyle name="Comma [0] 3 29" xfId="106"/>
    <cellStyle name="Comma [0] 3 3" xfId="107"/>
    <cellStyle name="Comma [0] 3 30" xfId="108"/>
    <cellStyle name="Comma [0] 3 31" xfId="109"/>
    <cellStyle name="Comma [0] 3 32" xfId="110"/>
    <cellStyle name="Comma [0] 3 33" xfId="111"/>
    <cellStyle name="Comma [0] 3 34" xfId="112"/>
    <cellStyle name="Comma [0] 3 35" xfId="113"/>
    <cellStyle name="Comma [0] 3 36" xfId="114"/>
    <cellStyle name="Comma [0] 3 37" xfId="115"/>
    <cellStyle name="Comma [0] 3 38" xfId="116"/>
    <cellStyle name="Comma [0] 3 39" xfId="117"/>
    <cellStyle name="Comma [0] 3 4" xfId="118"/>
    <cellStyle name="Comma [0] 3 40" xfId="119"/>
    <cellStyle name="Comma [0] 3 41" xfId="120"/>
    <cellStyle name="Comma [0] 3 42" xfId="121"/>
    <cellStyle name="Comma [0] 3 43" xfId="122"/>
    <cellStyle name="Comma [0] 3 44" xfId="123"/>
    <cellStyle name="Comma [0] 3 45" xfId="124"/>
    <cellStyle name="Comma [0] 3 46" xfId="125"/>
    <cellStyle name="Comma [0] 3 47" xfId="126"/>
    <cellStyle name="Comma [0] 3 48" xfId="127"/>
    <cellStyle name="Comma [0] 3 49" xfId="128"/>
    <cellStyle name="Comma [0] 3 5" xfId="129"/>
    <cellStyle name="Comma [0] 3 50" xfId="130"/>
    <cellStyle name="Comma [0] 3 51" xfId="131"/>
    <cellStyle name="Comma [0] 3 52" xfId="132"/>
    <cellStyle name="Comma [0] 3 53" xfId="133"/>
    <cellStyle name="Comma [0] 3 54" xfId="134"/>
    <cellStyle name="Comma [0] 3 55" xfId="135"/>
    <cellStyle name="Comma [0] 3 56" xfId="136"/>
    <cellStyle name="Comma [0] 3 57" xfId="137"/>
    <cellStyle name="Comma [0] 3 58" xfId="138"/>
    <cellStyle name="Comma [0] 3 59" xfId="139"/>
    <cellStyle name="Comma [0] 3 6" xfId="140"/>
    <cellStyle name="Comma [0] 3 60" xfId="141"/>
    <cellStyle name="Comma [0] 3 61" xfId="142"/>
    <cellStyle name="Comma [0] 3 62" xfId="143"/>
    <cellStyle name="Comma [0] 3 63" xfId="144"/>
    <cellStyle name="Comma [0] 3 64" xfId="145"/>
    <cellStyle name="Comma [0] 3 65" xfId="146"/>
    <cellStyle name="Comma [0] 3 66" xfId="147"/>
    <cellStyle name="Comma [0] 3 67" xfId="148"/>
    <cellStyle name="Comma [0] 3 68" xfId="149"/>
    <cellStyle name="Comma [0] 3 69" xfId="150"/>
    <cellStyle name="Comma [0] 3 7" xfId="151"/>
    <cellStyle name="Comma [0] 3 70" xfId="152"/>
    <cellStyle name="Comma [0] 3 71" xfId="153"/>
    <cellStyle name="Comma [0] 3 72" xfId="154"/>
    <cellStyle name="Comma [0] 3 73" xfId="155"/>
    <cellStyle name="Comma [0] 3 74" xfId="156"/>
    <cellStyle name="Comma [0] 3 75" xfId="157"/>
    <cellStyle name="Comma [0] 3 76" xfId="158"/>
    <cellStyle name="Comma [0] 3 77" xfId="159"/>
    <cellStyle name="Comma [0] 3 78" xfId="160"/>
    <cellStyle name="Comma [0] 3 79" xfId="161"/>
    <cellStyle name="Comma [0] 3 8" xfId="162"/>
    <cellStyle name="Comma [0] 3 80" xfId="163"/>
    <cellStyle name="Comma [0] 3 81" xfId="164"/>
    <cellStyle name="Comma [0] 3 82" xfId="165"/>
    <cellStyle name="Comma [0] 3 9" xfId="166"/>
    <cellStyle name="Comma [0] 30" xfId="167"/>
    <cellStyle name="Comma [0] 4" xfId="168"/>
    <cellStyle name="Comma [0] 4 10" xfId="169"/>
    <cellStyle name="Comma [0] 4 11" xfId="170"/>
    <cellStyle name="Comma [0] 4 12" xfId="171"/>
    <cellStyle name="Comma [0] 4 13" xfId="172"/>
    <cellStyle name="Comma [0] 4 14" xfId="173"/>
    <cellStyle name="Comma [0] 4 15" xfId="174"/>
    <cellStyle name="Comma [0] 4 16" xfId="175"/>
    <cellStyle name="Comma [0] 4 17" xfId="176"/>
    <cellStyle name="Comma [0] 4 18" xfId="177"/>
    <cellStyle name="Comma [0] 4 19" xfId="178"/>
    <cellStyle name="Comma [0] 4 2" xfId="179"/>
    <cellStyle name="Comma [0] 4 20" xfId="180"/>
    <cellStyle name="Comma [0] 4 21" xfId="181"/>
    <cellStyle name="Comma [0] 4 22" xfId="182"/>
    <cellStyle name="Comma [0] 4 23" xfId="183"/>
    <cellStyle name="Comma [0] 4 24" xfId="184"/>
    <cellStyle name="Comma [0] 4 25" xfId="185"/>
    <cellStyle name="Comma [0] 4 26" xfId="186"/>
    <cellStyle name="Comma [0] 4 27" xfId="187"/>
    <cellStyle name="Comma [0] 4 28" xfId="188"/>
    <cellStyle name="Comma [0] 4 29" xfId="189"/>
    <cellStyle name="Comma [0] 4 3" xfId="190"/>
    <cellStyle name="Comma [0] 4 30" xfId="191"/>
    <cellStyle name="Comma [0] 4 31" xfId="192"/>
    <cellStyle name="Comma [0] 4 32" xfId="193"/>
    <cellStyle name="Comma [0] 4 33" xfId="194"/>
    <cellStyle name="Comma [0] 4 34" xfId="195"/>
    <cellStyle name="Comma [0] 4 35" xfId="196"/>
    <cellStyle name="Comma [0] 4 36" xfId="197"/>
    <cellStyle name="Comma [0] 4 37" xfId="198"/>
    <cellStyle name="Comma [0] 4 38" xfId="199"/>
    <cellStyle name="Comma [0] 4 39" xfId="200"/>
    <cellStyle name="Comma [0] 4 4" xfId="201"/>
    <cellStyle name="Comma [0] 4 40" xfId="202"/>
    <cellStyle name="Comma [0] 4 41" xfId="203"/>
    <cellStyle name="Comma [0] 4 42" xfId="204"/>
    <cellStyle name="Comma [0] 4 43" xfId="205"/>
    <cellStyle name="Comma [0] 4 44" xfId="206"/>
    <cellStyle name="Comma [0] 4 45" xfId="207"/>
    <cellStyle name="Comma [0] 4 46" xfId="208"/>
    <cellStyle name="Comma [0] 4 47" xfId="209"/>
    <cellStyle name="Comma [0] 4 48" xfId="210"/>
    <cellStyle name="Comma [0] 4 49" xfId="211"/>
    <cellStyle name="Comma [0] 4 5" xfId="212"/>
    <cellStyle name="Comma [0] 4 50" xfId="213"/>
    <cellStyle name="Comma [0] 4 51" xfId="214"/>
    <cellStyle name="Comma [0] 4 52" xfId="215"/>
    <cellStyle name="Comma [0] 4 53" xfId="216"/>
    <cellStyle name="Comma [0] 4 54" xfId="217"/>
    <cellStyle name="Comma [0] 4 55" xfId="218"/>
    <cellStyle name="Comma [0] 4 56" xfId="219"/>
    <cellStyle name="Comma [0] 4 57" xfId="220"/>
    <cellStyle name="Comma [0] 4 58" xfId="221"/>
    <cellStyle name="Comma [0] 4 59" xfId="222"/>
    <cellStyle name="Comma [0] 4 6" xfId="223"/>
    <cellStyle name="Comma [0] 4 60" xfId="224"/>
    <cellStyle name="Comma [0] 4 61" xfId="225"/>
    <cellStyle name="Comma [0] 4 62" xfId="226"/>
    <cellStyle name="Comma [0] 4 63" xfId="227"/>
    <cellStyle name="Comma [0] 4 64" xfId="228"/>
    <cellStyle name="Comma [0] 4 65" xfId="229"/>
    <cellStyle name="Comma [0] 4 66" xfId="230"/>
    <cellStyle name="Comma [0] 4 67" xfId="231"/>
    <cellStyle name="Comma [0] 4 68" xfId="232"/>
    <cellStyle name="Comma [0] 4 69" xfId="233"/>
    <cellStyle name="Comma [0] 4 7" xfId="234"/>
    <cellStyle name="Comma [0] 4 70" xfId="235"/>
    <cellStyle name="Comma [0] 4 71" xfId="236"/>
    <cellStyle name="Comma [0] 4 72" xfId="237"/>
    <cellStyle name="Comma [0] 4 73" xfId="238"/>
    <cellStyle name="Comma [0] 4 74" xfId="239"/>
    <cellStyle name="Comma [0] 4 75" xfId="240"/>
    <cellStyle name="Comma [0] 4 76" xfId="241"/>
    <cellStyle name="Comma [0] 4 77" xfId="242"/>
    <cellStyle name="Comma [0] 4 78" xfId="243"/>
    <cellStyle name="Comma [0] 4 79" xfId="244"/>
    <cellStyle name="Comma [0] 4 8" xfId="245"/>
    <cellStyle name="Comma [0] 4 80" xfId="246"/>
    <cellStyle name="Comma [0] 4 81" xfId="247"/>
    <cellStyle name="Comma [0] 4 9" xfId="248"/>
    <cellStyle name="Comma [0] 5" xfId="249"/>
    <cellStyle name="Comma [0] 5 10" xfId="250"/>
    <cellStyle name="Comma [0] 5 11" xfId="251"/>
    <cellStyle name="Comma [0] 5 12" xfId="252"/>
    <cellStyle name="Comma [0] 5 13" xfId="253"/>
    <cellStyle name="Comma [0] 5 14" xfId="254"/>
    <cellStyle name="Comma [0] 5 15" xfId="255"/>
    <cellStyle name="Comma [0] 5 16" xfId="256"/>
    <cellStyle name="Comma [0] 5 17" xfId="257"/>
    <cellStyle name="Comma [0] 5 18" xfId="258"/>
    <cellStyle name="Comma [0] 5 19" xfId="259"/>
    <cellStyle name="Comma [0] 5 2" xfId="260"/>
    <cellStyle name="Comma [0] 5 20" xfId="261"/>
    <cellStyle name="Comma [0] 5 21" xfId="262"/>
    <cellStyle name="Comma [0] 5 22" xfId="263"/>
    <cellStyle name="Comma [0] 5 23" xfId="264"/>
    <cellStyle name="Comma [0] 5 24" xfId="265"/>
    <cellStyle name="Comma [0] 5 25" xfId="266"/>
    <cellStyle name="Comma [0] 5 26" xfId="267"/>
    <cellStyle name="Comma [0] 5 3" xfId="268"/>
    <cellStyle name="Comma [0] 5 4" xfId="269"/>
    <cellStyle name="Comma [0] 5 5" xfId="270"/>
    <cellStyle name="Comma [0] 5 6" xfId="271"/>
    <cellStyle name="Comma [0] 5 7" xfId="272"/>
    <cellStyle name="Comma [0] 5 8" xfId="273"/>
    <cellStyle name="Comma [0] 5 9" xfId="274"/>
    <cellStyle name="Comma [0] 6" xfId="275"/>
    <cellStyle name="Comma 2" xfId="276"/>
    <cellStyle name="Comma 2 10" xfId="277"/>
    <cellStyle name="Comma 2 11" xfId="278"/>
    <cellStyle name="Comma 2 12" xfId="279"/>
    <cellStyle name="Comma 2 13" xfId="280"/>
    <cellStyle name="Comma 2 14" xfId="281"/>
    <cellStyle name="Comma 2 15" xfId="282"/>
    <cellStyle name="Comma 2 16" xfId="283"/>
    <cellStyle name="Comma 2 17" xfId="284"/>
    <cellStyle name="Comma 2 18" xfId="285"/>
    <cellStyle name="Comma 2 19" xfId="286"/>
    <cellStyle name="Comma 2 2" xfId="287"/>
    <cellStyle name="Comma 2 20" xfId="288"/>
    <cellStyle name="Comma 2 21" xfId="289"/>
    <cellStyle name="Comma 2 22" xfId="290"/>
    <cellStyle name="Comma 2 23" xfId="291"/>
    <cellStyle name="Comma 2 24" xfId="292"/>
    <cellStyle name="Comma 2 25" xfId="293"/>
    <cellStyle name="Comma 2 26" xfId="294"/>
    <cellStyle name="Comma 2 27" xfId="295"/>
    <cellStyle name="Comma 2 28" xfId="296"/>
    <cellStyle name="Comma 2 29" xfId="297"/>
    <cellStyle name="Comma 2 3" xfId="298"/>
    <cellStyle name="Comma 2 30" xfId="299"/>
    <cellStyle name="Comma 2 31" xfId="300"/>
    <cellStyle name="Comma 2 32" xfId="301"/>
    <cellStyle name="Comma 2 33" xfId="302"/>
    <cellStyle name="Comma 2 34" xfId="303"/>
    <cellStyle name="Comma 2 35" xfId="304"/>
    <cellStyle name="Comma 2 36" xfId="305"/>
    <cellStyle name="Comma 2 37" xfId="306"/>
    <cellStyle name="Comma 2 38" xfId="307"/>
    <cellStyle name="Comma 2 39" xfId="308"/>
    <cellStyle name="Comma 2 4" xfId="309"/>
    <cellStyle name="Comma 2 40" xfId="310"/>
    <cellStyle name="Comma 2 41" xfId="311"/>
    <cellStyle name="Comma 2 42" xfId="312"/>
    <cellStyle name="Comma 2 43" xfId="313"/>
    <cellStyle name="Comma 2 44" xfId="314"/>
    <cellStyle name="Comma 2 45" xfId="315"/>
    <cellStyle name="Comma 2 46" xfId="316"/>
    <cellStyle name="Comma 2 47" xfId="317"/>
    <cellStyle name="Comma 2 48" xfId="318"/>
    <cellStyle name="Comma 2 49" xfId="319"/>
    <cellStyle name="Comma 2 5" xfId="320"/>
    <cellStyle name="Comma 2 50" xfId="321"/>
    <cellStyle name="Comma 2 51" xfId="322"/>
    <cellStyle name="Comma 2 52" xfId="323"/>
    <cellStyle name="Comma 2 53" xfId="324"/>
    <cellStyle name="Comma 2 54" xfId="325"/>
    <cellStyle name="Comma 2 55" xfId="326"/>
    <cellStyle name="Comma 2 56" xfId="327"/>
    <cellStyle name="Comma 2 57" xfId="328"/>
    <cellStyle name="Comma 2 58" xfId="329"/>
    <cellStyle name="Comma 2 59" xfId="330"/>
    <cellStyle name="Comma 2 6" xfId="331"/>
    <cellStyle name="Comma 2 60" xfId="332"/>
    <cellStyle name="Comma 2 61" xfId="333"/>
    <cellStyle name="Comma 2 62" xfId="334"/>
    <cellStyle name="Comma 2 63" xfId="335"/>
    <cellStyle name="Comma 2 64" xfId="336"/>
    <cellStyle name="Comma 2 65" xfId="337"/>
    <cellStyle name="Comma 2 66" xfId="338"/>
    <cellStyle name="Comma 2 67" xfId="339"/>
    <cellStyle name="Comma 2 68" xfId="340"/>
    <cellStyle name="Comma 2 69" xfId="341"/>
    <cellStyle name="Comma 2 7" xfId="342"/>
    <cellStyle name="Comma 2 70" xfId="343"/>
    <cellStyle name="Comma 2 71" xfId="344"/>
    <cellStyle name="Comma 2 72" xfId="345"/>
    <cellStyle name="Comma 2 73" xfId="346"/>
    <cellStyle name="Comma 2 74" xfId="347"/>
    <cellStyle name="Comma 2 75" xfId="348"/>
    <cellStyle name="Comma 2 76" xfId="349"/>
    <cellStyle name="Comma 2 77" xfId="350"/>
    <cellStyle name="Comma 2 78" xfId="351"/>
    <cellStyle name="Comma 2 79" xfId="352"/>
    <cellStyle name="Comma 2 8" xfId="353"/>
    <cellStyle name="Comma 2 80" xfId="354"/>
    <cellStyle name="Comma 2 81" xfId="355"/>
    <cellStyle name="Comma 2 9" xfId="356"/>
    <cellStyle name="Comma 3" xfId="357"/>
    <cellStyle name="Comma 3 10" xfId="358"/>
    <cellStyle name="Comma 3 11" xfId="359"/>
    <cellStyle name="Comma 3 12" xfId="360"/>
    <cellStyle name="Comma 3 13" xfId="361"/>
    <cellStyle name="Comma 3 14" xfId="362"/>
    <cellStyle name="Comma 3 15" xfId="363"/>
    <cellStyle name="Comma 3 16" xfId="364"/>
    <cellStyle name="Comma 3 17" xfId="365"/>
    <cellStyle name="Comma 3 18" xfId="366"/>
    <cellStyle name="Comma 3 19" xfId="367"/>
    <cellStyle name="Comma 3 2" xfId="368"/>
    <cellStyle name="Comma 3 20" xfId="369"/>
    <cellStyle name="Comma 3 21" xfId="370"/>
    <cellStyle name="Comma 3 22" xfId="371"/>
    <cellStyle name="Comma 3 23" xfId="372"/>
    <cellStyle name="Comma 3 24" xfId="373"/>
    <cellStyle name="Comma 3 25" xfId="374"/>
    <cellStyle name="Comma 3 26" xfId="375"/>
    <cellStyle name="Comma 3 27" xfId="376"/>
    <cellStyle name="Comma 3 28" xfId="377"/>
    <cellStyle name="Comma 3 29" xfId="378"/>
    <cellStyle name="Comma 3 3" xfId="379"/>
    <cellStyle name="Comma 3 30" xfId="380"/>
    <cellStyle name="Comma 3 31" xfId="381"/>
    <cellStyle name="Comma 3 32" xfId="382"/>
    <cellStyle name="Comma 3 33" xfId="383"/>
    <cellStyle name="Comma 3 34" xfId="384"/>
    <cellStyle name="Comma 3 35" xfId="385"/>
    <cellStyle name="Comma 3 36" xfId="386"/>
    <cellStyle name="Comma 3 37" xfId="387"/>
    <cellStyle name="Comma 3 38" xfId="388"/>
    <cellStyle name="Comma 3 39" xfId="389"/>
    <cellStyle name="Comma 3 4" xfId="390"/>
    <cellStyle name="Comma 3 40" xfId="391"/>
    <cellStyle name="Comma 3 41" xfId="392"/>
    <cellStyle name="Comma 3 42" xfId="393"/>
    <cellStyle name="Comma 3 43" xfId="394"/>
    <cellStyle name="Comma 3 44" xfId="395"/>
    <cellStyle name="Comma 3 45" xfId="396"/>
    <cellStyle name="Comma 3 46" xfId="397"/>
    <cellStyle name="Comma 3 47" xfId="398"/>
    <cellStyle name="Comma 3 48" xfId="399"/>
    <cellStyle name="Comma 3 49" xfId="400"/>
    <cellStyle name="Comma 3 5" xfId="401"/>
    <cellStyle name="Comma 3 50" xfId="402"/>
    <cellStyle name="Comma 3 51" xfId="403"/>
    <cellStyle name="Comma 3 52" xfId="404"/>
    <cellStyle name="Comma 3 53" xfId="405"/>
    <cellStyle name="Comma 3 54" xfId="406"/>
    <cellStyle name="Comma 3 55" xfId="407"/>
    <cellStyle name="Comma 3 56" xfId="408"/>
    <cellStyle name="Comma 3 57" xfId="409"/>
    <cellStyle name="Comma 3 58" xfId="410"/>
    <cellStyle name="Comma 3 59" xfId="411"/>
    <cellStyle name="Comma 3 6" xfId="412"/>
    <cellStyle name="Comma 3 60" xfId="413"/>
    <cellStyle name="Comma 3 61" xfId="414"/>
    <cellStyle name="Comma 3 62" xfId="415"/>
    <cellStyle name="Comma 3 63" xfId="416"/>
    <cellStyle name="Comma 3 64" xfId="417"/>
    <cellStyle name="Comma 3 65" xfId="418"/>
    <cellStyle name="Comma 3 66" xfId="419"/>
    <cellStyle name="Comma 3 67" xfId="420"/>
    <cellStyle name="Comma 3 68" xfId="421"/>
    <cellStyle name="Comma 3 69" xfId="422"/>
    <cellStyle name="Comma 3 7" xfId="423"/>
    <cellStyle name="Comma 3 70" xfId="424"/>
    <cellStyle name="Comma 3 71" xfId="425"/>
    <cellStyle name="Comma 3 72" xfId="426"/>
    <cellStyle name="Comma 3 73" xfId="427"/>
    <cellStyle name="Comma 3 74" xfId="428"/>
    <cellStyle name="Comma 3 75" xfId="429"/>
    <cellStyle name="Comma 3 76" xfId="430"/>
    <cellStyle name="Comma 3 77" xfId="431"/>
    <cellStyle name="Comma 3 78" xfId="432"/>
    <cellStyle name="Comma 3 79" xfId="433"/>
    <cellStyle name="Comma 3 8" xfId="434"/>
    <cellStyle name="Comma 3 80" xfId="435"/>
    <cellStyle name="Comma 3 81" xfId="436"/>
    <cellStyle name="Comma 3 82" xfId="437"/>
    <cellStyle name="Comma 3 9" xfId="438"/>
    <cellStyle name="Comma 4" xfId="439"/>
    <cellStyle name="Comma 4 10" xfId="440"/>
    <cellStyle name="Comma 4 11" xfId="441"/>
    <cellStyle name="Comma 4 12" xfId="442"/>
    <cellStyle name="Comma 4 13" xfId="443"/>
    <cellStyle name="Comma 4 14" xfId="444"/>
    <cellStyle name="Comma 4 15" xfId="445"/>
    <cellStyle name="Comma 4 16" xfId="446"/>
    <cellStyle name="Comma 4 17" xfId="447"/>
    <cellStyle name="Comma 4 18" xfId="448"/>
    <cellStyle name="Comma 4 19" xfId="449"/>
    <cellStyle name="Comma 4 2" xfId="450"/>
    <cellStyle name="Comma 4 2 10" xfId="451"/>
    <cellStyle name="Comma 4 2 11" xfId="452"/>
    <cellStyle name="Comma 4 2 12" xfId="453"/>
    <cellStyle name="Comma 4 2 13" xfId="454"/>
    <cellStyle name="Comma 4 2 14" xfId="455"/>
    <cellStyle name="Comma 4 2 15" xfId="456"/>
    <cellStyle name="Comma 4 2 16" xfId="457"/>
    <cellStyle name="Comma 4 2 17" xfId="458"/>
    <cellStyle name="Comma 4 2 18" xfId="459"/>
    <cellStyle name="Comma 4 2 19" xfId="460"/>
    <cellStyle name="Comma 4 2 2" xfId="461"/>
    <cellStyle name="Comma 4 2 20" xfId="462"/>
    <cellStyle name="Comma 4 2 21" xfId="463"/>
    <cellStyle name="Comma 4 2 22" xfId="464"/>
    <cellStyle name="Comma 4 2 23" xfId="465"/>
    <cellStyle name="Comma 4 2 24" xfId="466"/>
    <cellStyle name="Comma 4 2 25" xfId="467"/>
    <cellStyle name="Comma 4 2 26" xfId="468"/>
    <cellStyle name="Comma 4 2 27" xfId="469"/>
    <cellStyle name="Comma 4 2 28" xfId="470"/>
    <cellStyle name="Comma 4 2 29" xfId="471"/>
    <cellStyle name="Comma 4 2 3" xfId="472"/>
    <cellStyle name="Comma 4 2 30" xfId="473"/>
    <cellStyle name="Comma 4 2 31" xfId="474"/>
    <cellStyle name="Comma 4 2 32" xfId="475"/>
    <cellStyle name="Comma 4 2 33" xfId="476"/>
    <cellStyle name="Comma 4 2 34" xfId="477"/>
    <cellStyle name="Comma 4 2 35" xfId="478"/>
    <cellStyle name="Comma 4 2 36" xfId="479"/>
    <cellStyle name="Comma 4 2 37" xfId="480"/>
    <cellStyle name="Comma 4 2 38" xfId="481"/>
    <cellStyle name="Comma 4 2 39" xfId="482"/>
    <cellStyle name="Comma 4 2 4" xfId="483"/>
    <cellStyle name="Comma 4 2 40" xfId="484"/>
    <cellStyle name="Comma 4 2 41" xfId="485"/>
    <cellStyle name="Comma 4 2 42" xfId="486"/>
    <cellStyle name="Comma 4 2 43" xfId="487"/>
    <cellStyle name="Comma 4 2 44" xfId="488"/>
    <cellStyle name="Comma 4 2 45" xfId="489"/>
    <cellStyle name="Comma 4 2 46" xfId="490"/>
    <cellStyle name="Comma 4 2 47" xfId="491"/>
    <cellStyle name="Comma 4 2 48" xfId="492"/>
    <cellStyle name="Comma 4 2 49" xfId="493"/>
    <cellStyle name="Comma 4 2 5" xfId="494"/>
    <cellStyle name="Comma 4 2 50" xfId="495"/>
    <cellStyle name="Comma 4 2 51" xfId="496"/>
    <cellStyle name="Comma 4 2 52" xfId="497"/>
    <cellStyle name="Comma 4 2 53" xfId="498"/>
    <cellStyle name="Comma 4 2 54" xfId="499"/>
    <cellStyle name="Comma 4 2 55" xfId="500"/>
    <cellStyle name="Comma 4 2 56" xfId="501"/>
    <cellStyle name="Comma 4 2 57" xfId="502"/>
    <cellStyle name="Comma 4 2 58" xfId="503"/>
    <cellStyle name="Comma 4 2 59" xfId="504"/>
    <cellStyle name="Comma 4 2 6" xfId="505"/>
    <cellStyle name="Comma 4 2 60" xfId="506"/>
    <cellStyle name="Comma 4 2 61" xfId="507"/>
    <cellStyle name="Comma 4 2 62" xfId="508"/>
    <cellStyle name="Comma 4 2 63" xfId="509"/>
    <cellStyle name="Comma 4 2 64" xfId="510"/>
    <cellStyle name="Comma 4 2 65" xfId="511"/>
    <cellStyle name="Comma 4 2 66" xfId="512"/>
    <cellStyle name="Comma 4 2 67" xfId="513"/>
    <cellStyle name="Comma 4 2 68" xfId="514"/>
    <cellStyle name="Comma 4 2 69" xfId="515"/>
    <cellStyle name="Comma 4 2 7" xfId="516"/>
    <cellStyle name="Comma 4 2 70" xfId="517"/>
    <cellStyle name="Comma 4 2 71" xfId="518"/>
    <cellStyle name="Comma 4 2 72" xfId="519"/>
    <cellStyle name="Comma 4 2 73" xfId="520"/>
    <cellStyle name="Comma 4 2 74" xfId="521"/>
    <cellStyle name="Comma 4 2 75" xfId="522"/>
    <cellStyle name="Comma 4 2 76" xfId="523"/>
    <cellStyle name="Comma 4 2 77" xfId="524"/>
    <cellStyle name="Comma 4 2 78" xfId="525"/>
    <cellStyle name="Comma 4 2 79" xfId="526"/>
    <cellStyle name="Comma 4 2 8" xfId="527"/>
    <cellStyle name="Comma 4 2 80" xfId="528"/>
    <cellStyle name="Comma 4 2 81" xfId="529"/>
    <cellStyle name="Comma 4 2 9" xfId="530"/>
    <cellStyle name="Comma 4 20" xfId="531"/>
    <cellStyle name="Comma 4 21" xfId="532"/>
    <cellStyle name="Comma 4 22" xfId="533"/>
    <cellStyle name="Comma 4 23" xfId="534"/>
    <cellStyle name="Comma 4 24" xfId="535"/>
    <cellStyle name="Comma 4 25" xfId="536"/>
    <cellStyle name="Comma 4 26" xfId="537"/>
    <cellStyle name="Comma 4 27" xfId="538"/>
    <cellStyle name="Comma 4 28" xfId="539"/>
    <cellStyle name="Comma 4 29" xfId="540"/>
    <cellStyle name="Comma 4 3" xfId="541"/>
    <cellStyle name="Comma 4 30" xfId="542"/>
    <cellStyle name="Comma 4 31" xfId="543"/>
    <cellStyle name="Comma 4 32" xfId="544"/>
    <cellStyle name="Comma 4 33" xfId="545"/>
    <cellStyle name="Comma 4 34" xfId="546"/>
    <cellStyle name="Comma 4 35" xfId="547"/>
    <cellStyle name="Comma 4 36" xfId="548"/>
    <cellStyle name="Comma 4 37" xfId="549"/>
    <cellStyle name="Comma 4 38" xfId="550"/>
    <cellStyle name="Comma 4 39" xfId="551"/>
    <cellStyle name="Comma 4 4" xfId="552"/>
    <cellStyle name="Comma 4 40" xfId="553"/>
    <cellStyle name="Comma 4 41" xfId="554"/>
    <cellStyle name="Comma 4 42" xfId="555"/>
    <cellStyle name="Comma 4 43" xfId="556"/>
    <cellStyle name="Comma 4 44" xfId="557"/>
    <cellStyle name="Comma 4 45" xfId="558"/>
    <cellStyle name="Comma 4 46" xfId="559"/>
    <cellStyle name="Comma 4 47" xfId="560"/>
    <cellStyle name="Comma 4 48" xfId="561"/>
    <cellStyle name="Comma 4 49" xfId="562"/>
    <cellStyle name="Comma 4 5" xfId="563"/>
    <cellStyle name="Comma 4 50" xfId="564"/>
    <cellStyle name="Comma 4 51" xfId="565"/>
    <cellStyle name="Comma 4 52" xfId="566"/>
    <cellStyle name="Comma 4 53" xfId="567"/>
    <cellStyle name="Comma 4 54" xfId="568"/>
    <cellStyle name="Comma 4 55" xfId="569"/>
    <cellStyle name="Comma 4 56" xfId="570"/>
    <cellStyle name="Comma 4 57" xfId="571"/>
    <cellStyle name="Comma 4 58" xfId="572"/>
    <cellStyle name="Comma 4 59" xfId="573"/>
    <cellStyle name="Comma 4 6" xfId="574"/>
    <cellStyle name="Comma 4 60" xfId="575"/>
    <cellStyle name="Comma 4 61" xfId="576"/>
    <cellStyle name="Comma 4 62" xfId="577"/>
    <cellStyle name="Comma 4 63" xfId="578"/>
    <cellStyle name="Comma 4 64" xfId="579"/>
    <cellStyle name="Comma 4 65" xfId="580"/>
    <cellStyle name="Comma 4 66" xfId="581"/>
    <cellStyle name="Comma 4 67" xfId="582"/>
    <cellStyle name="Comma 4 68" xfId="583"/>
    <cellStyle name="Comma 4 69" xfId="584"/>
    <cellStyle name="Comma 4 7" xfId="585"/>
    <cellStyle name="Comma 4 70" xfId="586"/>
    <cellStyle name="Comma 4 71" xfId="587"/>
    <cellStyle name="Comma 4 72" xfId="588"/>
    <cellStyle name="Comma 4 73" xfId="589"/>
    <cellStyle name="Comma 4 74" xfId="590"/>
    <cellStyle name="Comma 4 75" xfId="591"/>
    <cellStyle name="Comma 4 76" xfId="592"/>
    <cellStyle name="Comma 4 77" xfId="593"/>
    <cellStyle name="Comma 4 78" xfId="594"/>
    <cellStyle name="Comma 4 79" xfId="595"/>
    <cellStyle name="Comma 4 8" xfId="596"/>
    <cellStyle name="Comma 4 80" xfId="597"/>
    <cellStyle name="Comma 4 81" xfId="598"/>
    <cellStyle name="Comma 4 82" xfId="599"/>
    <cellStyle name="Comma 4 9" xfId="600"/>
    <cellStyle name="Comma 5" xfId="601"/>
    <cellStyle name="Comma 5 10" xfId="602"/>
    <cellStyle name="Comma 5 11" xfId="603"/>
    <cellStyle name="Comma 5 12" xfId="604"/>
    <cellStyle name="Comma 5 13" xfId="605"/>
    <cellStyle name="Comma 5 14" xfId="606"/>
    <cellStyle name="Comma 5 15" xfId="607"/>
    <cellStyle name="Comma 5 16" xfId="608"/>
    <cellStyle name="Comma 5 17" xfId="609"/>
    <cellStyle name="Comma 5 18" xfId="610"/>
    <cellStyle name="Comma 5 19" xfId="611"/>
    <cellStyle name="Comma 5 2" xfId="612"/>
    <cellStyle name="Comma 5 20" xfId="613"/>
    <cellStyle name="Comma 5 21" xfId="614"/>
    <cellStyle name="Comma 5 22" xfId="615"/>
    <cellStyle name="Comma 5 23" xfId="616"/>
    <cellStyle name="Comma 5 24" xfId="617"/>
    <cellStyle name="Comma 5 25" xfId="618"/>
    <cellStyle name="Comma 5 26" xfId="619"/>
    <cellStyle name="Comma 5 27" xfId="620"/>
    <cellStyle name="Comma 5 28" xfId="621"/>
    <cellStyle name="Comma 5 29" xfId="622"/>
    <cellStyle name="Comma 5 3" xfId="623"/>
    <cellStyle name="Comma 5 30" xfId="624"/>
    <cellStyle name="Comma 5 31" xfId="625"/>
    <cellStyle name="Comma 5 32" xfId="626"/>
    <cellStyle name="Comma 5 33" xfId="627"/>
    <cellStyle name="Comma 5 34" xfId="628"/>
    <cellStyle name="Comma 5 35" xfId="629"/>
    <cellStyle name="Comma 5 36" xfId="630"/>
    <cellStyle name="Comma 5 37" xfId="631"/>
    <cellStyle name="Comma 5 38" xfId="632"/>
    <cellStyle name="Comma 5 39" xfId="633"/>
    <cellStyle name="Comma 5 4" xfId="634"/>
    <cellStyle name="Comma 5 40" xfId="635"/>
    <cellStyle name="Comma 5 41" xfId="636"/>
    <cellStyle name="Comma 5 42" xfId="637"/>
    <cellStyle name="Comma 5 43" xfId="638"/>
    <cellStyle name="Comma 5 44" xfId="639"/>
    <cellStyle name="Comma 5 45" xfId="640"/>
    <cellStyle name="Comma 5 46" xfId="641"/>
    <cellStyle name="Comma 5 47" xfId="642"/>
    <cellStyle name="Comma 5 48" xfId="643"/>
    <cellStyle name="Comma 5 49" xfId="644"/>
    <cellStyle name="Comma 5 5" xfId="645"/>
    <cellStyle name="Comma 5 50" xfId="646"/>
    <cellStyle name="Comma 5 51" xfId="647"/>
    <cellStyle name="Comma 5 52" xfId="648"/>
    <cellStyle name="Comma 5 53" xfId="649"/>
    <cellStyle name="Comma 5 54" xfId="650"/>
    <cellStyle name="Comma 5 55" xfId="651"/>
    <cellStyle name="Comma 5 56" xfId="652"/>
    <cellStyle name="Comma 5 57" xfId="653"/>
    <cellStyle name="Comma 5 58" xfId="654"/>
    <cellStyle name="Comma 5 59" xfId="655"/>
    <cellStyle name="Comma 5 6" xfId="656"/>
    <cellStyle name="Comma 5 60" xfId="657"/>
    <cellStyle name="Comma 5 61" xfId="658"/>
    <cellStyle name="Comma 5 62" xfId="659"/>
    <cellStyle name="Comma 5 63" xfId="660"/>
    <cellStyle name="Comma 5 64" xfId="661"/>
    <cellStyle name="Comma 5 65" xfId="662"/>
    <cellStyle name="Comma 5 66" xfId="663"/>
    <cellStyle name="Comma 5 67" xfId="664"/>
    <cellStyle name="Comma 5 68" xfId="665"/>
    <cellStyle name="Comma 5 69" xfId="666"/>
    <cellStyle name="Comma 5 7" xfId="667"/>
    <cellStyle name="Comma 5 70" xfId="668"/>
    <cellStyle name="Comma 5 71" xfId="669"/>
    <cellStyle name="Comma 5 72" xfId="670"/>
    <cellStyle name="Comma 5 73" xfId="671"/>
    <cellStyle name="Comma 5 74" xfId="672"/>
    <cellStyle name="Comma 5 75" xfId="673"/>
    <cellStyle name="Comma 5 76" xfId="674"/>
    <cellStyle name="Comma 5 77" xfId="675"/>
    <cellStyle name="Comma 5 78" xfId="676"/>
    <cellStyle name="Comma 5 79" xfId="677"/>
    <cellStyle name="Comma 5 8" xfId="678"/>
    <cellStyle name="Comma 5 80" xfId="679"/>
    <cellStyle name="Comma 5 81" xfId="680"/>
    <cellStyle name="Comma 5 9" xfId="681"/>
    <cellStyle name="Comma 6" xfId="682"/>
    <cellStyle name="Comma 6 10" xfId="683"/>
    <cellStyle name="Comma 6 11" xfId="684"/>
    <cellStyle name="Comma 6 12" xfId="685"/>
    <cellStyle name="Comma 6 13" xfId="686"/>
    <cellStyle name="Comma 6 14" xfId="687"/>
    <cellStyle name="Comma 6 15" xfId="688"/>
    <cellStyle name="Comma 6 16" xfId="689"/>
    <cellStyle name="Comma 6 17" xfId="690"/>
    <cellStyle name="Comma 6 18" xfId="691"/>
    <cellStyle name="Comma 6 19" xfId="692"/>
    <cellStyle name="Comma 6 2" xfId="693"/>
    <cellStyle name="Comma 6 2 10" xfId="694"/>
    <cellStyle name="Comma 6 2 11" xfId="695"/>
    <cellStyle name="Comma 6 2 12" xfId="696"/>
    <cellStyle name="Comma 6 2 13" xfId="697"/>
    <cellStyle name="Comma 6 2 14" xfId="698"/>
    <cellStyle name="Comma 6 2 15" xfId="699"/>
    <cellStyle name="Comma 6 2 16" xfId="700"/>
    <cellStyle name="Comma 6 2 17" xfId="701"/>
    <cellStyle name="Comma 6 2 18" xfId="702"/>
    <cellStyle name="Comma 6 2 19" xfId="703"/>
    <cellStyle name="Comma 6 2 2" xfId="704"/>
    <cellStyle name="Comma 6 2 20" xfId="705"/>
    <cellStyle name="Comma 6 2 21" xfId="706"/>
    <cellStyle name="Comma 6 2 22" xfId="707"/>
    <cellStyle name="Comma 6 2 23" xfId="708"/>
    <cellStyle name="Comma 6 2 24" xfId="709"/>
    <cellStyle name="Comma 6 2 25" xfId="710"/>
    <cellStyle name="Comma 6 2 26" xfId="711"/>
    <cellStyle name="Comma 6 2 3" xfId="712"/>
    <cellStyle name="Comma 6 2 4" xfId="713"/>
    <cellStyle name="Comma 6 2 5" xfId="714"/>
    <cellStyle name="Comma 6 2 6" xfId="715"/>
    <cellStyle name="Comma 6 2 7" xfId="716"/>
    <cellStyle name="Comma 6 2 8" xfId="717"/>
    <cellStyle name="Comma 6 2 9" xfId="718"/>
    <cellStyle name="Comma 6 20" xfId="719"/>
    <cellStyle name="Comma 6 21" xfId="720"/>
    <cellStyle name="Comma 6 22" xfId="721"/>
    <cellStyle name="Comma 6 23" xfId="722"/>
    <cellStyle name="Comma 6 24" xfId="723"/>
    <cellStyle name="Comma 6 25" xfId="724"/>
    <cellStyle name="Comma 6 26" xfId="725"/>
    <cellStyle name="Comma 6 27" xfId="726"/>
    <cellStyle name="Comma 6 28" xfId="727"/>
    <cellStyle name="Comma 6 29" xfId="728"/>
    <cellStyle name="Comma 6 3" xfId="729"/>
    <cellStyle name="Comma 6 30" xfId="730"/>
    <cellStyle name="Comma 6 31" xfId="731"/>
    <cellStyle name="Comma 6 32" xfId="732"/>
    <cellStyle name="Comma 6 33" xfId="733"/>
    <cellStyle name="Comma 6 34" xfId="734"/>
    <cellStyle name="Comma 6 35" xfId="735"/>
    <cellStyle name="Comma 6 36" xfId="736"/>
    <cellStyle name="Comma 6 37" xfId="737"/>
    <cellStyle name="Comma 6 38" xfId="738"/>
    <cellStyle name="Comma 6 39" xfId="739"/>
    <cellStyle name="Comma 6 4" xfId="740"/>
    <cellStyle name="Comma 6 40" xfId="741"/>
    <cellStyle name="Comma 6 41" xfId="742"/>
    <cellStyle name="Comma 6 42" xfId="743"/>
    <cellStyle name="Comma 6 43" xfId="744"/>
    <cellStyle name="Comma 6 44" xfId="745"/>
    <cellStyle name="Comma 6 45" xfId="746"/>
    <cellStyle name="Comma 6 46" xfId="747"/>
    <cellStyle name="Comma 6 47" xfId="748"/>
    <cellStyle name="Comma 6 48" xfId="749"/>
    <cellStyle name="Comma 6 49" xfId="750"/>
    <cellStyle name="Comma 6 5" xfId="751"/>
    <cellStyle name="Comma 6 50" xfId="752"/>
    <cellStyle name="Comma 6 51" xfId="753"/>
    <cellStyle name="Comma 6 52" xfId="754"/>
    <cellStyle name="Comma 6 53" xfId="755"/>
    <cellStyle name="Comma 6 54" xfId="756"/>
    <cellStyle name="Comma 6 55" xfId="757"/>
    <cellStyle name="Comma 6 56" xfId="758"/>
    <cellStyle name="Comma 6 57" xfId="759"/>
    <cellStyle name="Comma 6 58" xfId="760"/>
    <cellStyle name="Comma 6 59" xfId="761"/>
    <cellStyle name="Comma 6 6" xfId="762"/>
    <cellStyle name="Comma 6 60" xfId="763"/>
    <cellStyle name="Comma 6 61" xfId="764"/>
    <cellStyle name="Comma 6 62" xfId="765"/>
    <cellStyle name="Comma 6 63" xfId="766"/>
    <cellStyle name="Comma 6 64" xfId="767"/>
    <cellStyle name="Comma 6 65" xfId="768"/>
    <cellStyle name="Comma 6 66" xfId="769"/>
    <cellStyle name="Comma 6 67" xfId="770"/>
    <cellStyle name="Comma 6 68" xfId="771"/>
    <cellStyle name="Comma 6 69" xfId="772"/>
    <cellStyle name="Comma 6 7" xfId="773"/>
    <cellStyle name="Comma 6 70" xfId="774"/>
    <cellStyle name="Comma 6 71" xfId="775"/>
    <cellStyle name="Comma 6 72" xfId="776"/>
    <cellStyle name="Comma 6 73" xfId="777"/>
    <cellStyle name="Comma 6 74" xfId="778"/>
    <cellStyle name="Comma 6 75" xfId="779"/>
    <cellStyle name="Comma 6 76" xfId="780"/>
    <cellStyle name="Comma 6 77" xfId="781"/>
    <cellStyle name="Comma 6 78" xfId="782"/>
    <cellStyle name="Comma 6 79" xfId="783"/>
    <cellStyle name="Comma 6 8" xfId="784"/>
    <cellStyle name="Comma 6 80" xfId="785"/>
    <cellStyle name="Comma 6 81" xfId="786"/>
    <cellStyle name="Comma 6 82" xfId="787"/>
    <cellStyle name="Comma 6 9" xfId="788"/>
    <cellStyle name="Comma 7" xfId="789"/>
    <cellStyle name="Comma 7 10" xfId="790"/>
    <cellStyle name="Comma 7 11" xfId="791"/>
    <cellStyle name="Comma 7 12" xfId="792"/>
    <cellStyle name="Comma 7 13" xfId="793"/>
    <cellStyle name="Comma 7 14" xfId="794"/>
    <cellStyle name="Comma 7 15" xfId="795"/>
    <cellStyle name="Comma 7 16" xfId="796"/>
    <cellStyle name="Comma 7 17" xfId="797"/>
    <cellStyle name="Comma 7 18" xfId="798"/>
    <cellStyle name="Comma 7 19" xfId="799"/>
    <cellStyle name="Comma 7 2" xfId="800"/>
    <cellStyle name="Comma 7 20" xfId="801"/>
    <cellStyle name="Comma 7 21" xfId="802"/>
    <cellStyle name="Comma 7 22" xfId="803"/>
    <cellStyle name="Comma 7 23" xfId="804"/>
    <cellStyle name="Comma 7 24" xfId="805"/>
    <cellStyle name="Comma 7 25" xfId="806"/>
    <cellStyle name="Comma 7 26" xfId="807"/>
    <cellStyle name="Comma 7 27" xfId="808"/>
    <cellStyle name="Comma 7 28" xfId="809"/>
    <cellStyle name="Comma 7 29" xfId="810"/>
    <cellStyle name="Comma 7 3" xfId="811"/>
    <cellStyle name="Comma 7 30" xfId="812"/>
    <cellStyle name="Comma 7 31" xfId="813"/>
    <cellStyle name="Comma 7 32" xfId="814"/>
    <cellStyle name="Comma 7 33" xfId="815"/>
    <cellStyle name="Comma 7 34" xfId="816"/>
    <cellStyle name="Comma 7 35" xfId="817"/>
    <cellStyle name="Comma 7 36" xfId="818"/>
    <cellStyle name="Comma 7 37" xfId="819"/>
    <cellStyle name="Comma 7 38" xfId="820"/>
    <cellStyle name="Comma 7 39" xfId="821"/>
    <cellStyle name="Comma 7 4" xfId="822"/>
    <cellStyle name="Comma 7 40" xfId="823"/>
    <cellStyle name="Comma 7 41" xfId="824"/>
    <cellStyle name="Comma 7 42" xfId="825"/>
    <cellStyle name="Comma 7 43" xfId="826"/>
    <cellStyle name="Comma 7 44" xfId="827"/>
    <cellStyle name="Comma 7 45" xfId="828"/>
    <cellStyle name="Comma 7 46" xfId="829"/>
    <cellStyle name="Comma 7 47" xfId="830"/>
    <cellStyle name="Comma 7 48" xfId="831"/>
    <cellStyle name="Comma 7 49" xfId="832"/>
    <cellStyle name="Comma 7 5" xfId="833"/>
    <cellStyle name="Comma 7 50" xfId="834"/>
    <cellStyle name="Comma 7 51" xfId="835"/>
    <cellStyle name="Comma 7 52" xfId="836"/>
    <cellStyle name="Comma 7 53" xfId="837"/>
    <cellStyle name="Comma 7 54" xfId="838"/>
    <cellStyle name="Comma 7 55" xfId="839"/>
    <cellStyle name="Comma 7 56" xfId="840"/>
    <cellStyle name="Comma 7 6" xfId="841"/>
    <cellStyle name="Comma 7 7" xfId="842"/>
    <cellStyle name="Comma 7 8" xfId="843"/>
    <cellStyle name="Comma 7 9" xfId="844"/>
    <cellStyle name="Currency [0]_Sukaraja dan Salopa" xfId="845"/>
    <cellStyle name="Currency_Sukaraja dan Salopa" xfId="846"/>
    <cellStyle name="Followed Hyperlink 2" xfId="847"/>
    <cellStyle name="Hyperlink" xfId="848" builtinId="8"/>
    <cellStyle name="Hyperlink 2" xfId="849"/>
    <cellStyle name="Normal" xfId="0" builtinId="0"/>
    <cellStyle name="Normal 2" xfId="850"/>
    <cellStyle name="Normal 2 10" xfId="851"/>
    <cellStyle name="Normal 2 11" xfId="852"/>
    <cellStyle name="Normal 2 12" xfId="853"/>
    <cellStyle name="Normal 2 13" xfId="854"/>
    <cellStyle name="Normal 2 14" xfId="855"/>
    <cellStyle name="Normal 2 15" xfId="856"/>
    <cellStyle name="Normal 2 16" xfId="857"/>
    <cellStyle name="Normal 2 17" xfId="858"/>
    <cellStyle name="Normal 2 18" xfId="859"/>
    <cellStyle name="Normal 2 19" xfId="860"/>
    <cellStyle name="Normal 2 2" xfId="861"/>
    <cellStyle name="Normal 2 2 10" xfId="862"/>
    <cellStyle name="Normal 2 2 11" xfId="863"/>
    <cellStyle name="Normal 2 2 12" xfId="864"/>
    <cellStyle name="Normal 2 2 13" xfId="865"/>
    <cellStyle name="Normal 2 2 14" xfId="866"/>
    <cellStyle name="Normal 2 2 15" xfId="867"/>
    <cellStyle name="Normal 2 2 16" xfId="868"/>
    <cellStyle name="Normal 2 2 17" xfId="869"/>
    <cellStyle name="Normal 2 2 18" xfId="870"/>
    <cellStyle name="Normal 2 2 19" xfId="871"/>
    <cellStyle name="Normal 2 2 2" xfId="872"/>
    <cellStyle name="Normal 2 2 20" xfId="873"/>
    <cellStyle name="Normal 2 2 21" xfId="874"/>
    <cellStyle name="Normal 2 2 22" xfId="875"/>
    <cellStyle name="Normal 2 2 23" xfId="876"/>
    <cellStyle name="Normal 2 2 24" xfId="877"/>
    <cellStyle name="Normal 2 2 25" xfId="878"/>
    <cellStyle name="Normal 2 2 26" xfId="879"/>
    <cellStyle name="Normal 2 2 27" xfId="880"/>
    <cellStyle name="Normal 2 2 28" xfId="881"/>
    <cellStyle name="Normal 2 2 29" xfId="882"/>
    <cellStyle name="Normal 2 2 3" xfId="883"/>
    <cellStyle name="Normal 2 2 30" xfId="884"/>
    <cellStyle name="Normal 2 2 31" xfId="885"/>
    <cellStyle name="Normal 2 2 32" xfId="886"/>
    <cellStyle name="Normal 2 2 33" xfId="887"/>
    <cellStyle name="Normal 2 2 34" xfId="888"/>
    <cellStyle name="Normal 2 2 35" xfId="889"/>
    <cellStyle name="Normal 2 2 36" xfId="890"/>
    <cellStyle name="Normal 2 2 37" xfId="891"/>
    <cellStyle name="Normal 2 2 38" xfId="892"/>
    <cellStyle name="Normal 2 2 39" xfId="893"/>
    <cellStyle name="Normal 2 2 4" xfId="894"/>
    <cellStyle name="Normal 2 2 40" xfId="895"/>
    <cellStyle name="Normal 2 2 41" xfId="896"/>
    <cellStyle name="Normal 2 2 42" xfId="897"/>
    <cellStyle name="Normal 2 2 43" xfId="898"/>
    <cellStyle name="Normal 2 2 44" xfId="899"/>
    <cellStyle name="Normal 2 2 45" xfId="900"/>
    <cellStyle name="Normal 2 2 46" xfId="901"/>
    <cellStyle name="Normal 2 2 47" xfId="902"/>
    <cellStyle name="Normal 2 2 48" xfId="903"/>
    <cellStyle name="Normal 2 2 49" xfId="904"/>
    <cellStyle name="Normal 2 2 5" xfId="905"/>
    <cellStyle name="Normal 2 2 50" xfId="906"/>
    <cellStyle name="Normal 2 2 51" xfId="907"/>
    <cellStyle name="Normal 2 2 52" xfId="908"/>
    <cellStyle name="Normal 2 2 53" xfId="909"/>
    <cellStyle name="Normal 2 2 54" xfId="910"/>
    <cellStyle name="Normal 2 2 55" xfId="911"/>
    <cellStyle name="Normal 2 2 56" xfId="912"/>
    <cellStyle name="Normal 2 2 57" xfId="913"/>
    <cellStyle name="Normal 2 2 6" xfId="914"/>
    <cellStyle name="Normal 2 2 7" xfId="915"/>
    <cellStyle name="Normal 2 2 8" xfId="916"/>
    <cellStyle name="Normal 2 2 9" xfId="917"/>
    <cellStyle name="Normal 2 20" xfId="918"/>
    <cellStyle name="Normal 2 21" xfId="919"/>
    <cellStyle name="Normal 2 22" xfId="920"/>
    <cellStyle name="Normal 2 23" xfId="921"/>
    <cellStyle name="Normal 2 24" xfId="922"/>
    <cellStyle name="Normal 2 25" xfId="923"/>
    <cellStyle name="Normal 2 26" xfId="924"/>
    <cellStyle name="Normal 2 27" xfId="925"/>
    <cellStyle name="Normal 2 28" xfId="926"/>
    <cellStyle name="Normal 2 29" xfId="927"/>
    <cellStyle name="Normal 2 3" xfId="928"/>
    <cellStyle name="Normal 2 30" xfId="929"/>
    <cellStyle name="Normal 2 31" xfId="930"/>
    <cellStyle name="Normal 2 32" xfId="931"/>
    <cellStyle name="Normal 2 33" xfId="932"/>
    <cellStyle name="Normal 2 34" xfId="933"/>
    <cellStyle name="Normal 2 35" xfId="934"/>
    <cellStyle name="Normal 2 36" xfId="935"/>
    <cellStyle name="Normal 2 37" xfId="936"/>
    <cellStyle name="Normal 2 38" xfId="937"/>
    <cellStyle name="Normal 2 39" xfId="938"/>
    <cellStyle name="Normal 2 4" xfId="939"/>
    <cellStyle name="Normal 2 40" xfId="940"/>
    <cellStyle name="Normal 2 41" xfId="941"/>
    <cellStyle name="Normal 2 42" xfId="942"/>
    <cellStyle name="Normal 2 43" xfId="943"/>
    <cellStyle name="Normal 2 44" xfId="944"/>
    <cellStyle name="Normal 2 45" xfId="945"/>
    <cellStyle name="Normal 2 46" xfId="946"/>
    <cellStyle name="Normal 2 47" xfId="947"/>
    <cellStyle name="Normal 2 48" xfId="948"/>
    <cellStyle name="Normal 2 49" xfId="949"/>
    <cellStyle name="Normal 2 5" xfId="950"/>
    <cellStyle name="Normal 2 50" xfId="951"/>
    <cellStyle name="Normal 2 51" xfId="952"/>
    <cellStyle name="Normal 2 52" xfId="953"/>
    <cellStyle name="Normal 2 53" xfId="954"/>
    <cellStyle name="Normal 2 54" xfId="955"/>
    <cellStyle name="Normal 2 55" xfId="956"/>
    <cellStyle name="Normal 2 56" xfId="957"/>
    <cellStyle name="Normal 2 57" xfId="958"/>
    <cellStyle name="Normal 2 58" xfId="959"/>
    <cellStyle name="Normal 2 59" xfId="960"/>
    <cellStyle name="Normal 2 6" xfId="961"/>
    <cellStyle name="Normal 2 60" xfId="962"/>
    <cellStyle name="Normal 2 61" xfId="963"/>
    <cellStyle name="Normal 2 62" xfId="964"/>
    <cellStyle name="Normal 2 63" xfId="965"/>
    <cellStyle name="Normal 2 64" xfId="966"/>
    <cellStyle name="Normal 2 65" xfId="967"/>
    <cellStyle name="Normal 2 66" xfId="968"/>
    <cellStyle name="Normal 2 67" xfId="969"/>
    <cellStyle name="Normal 2 68" xfId="970"/>
    <cellStyle name="Normal 2 69" xfId="971"/>
    <cellStyle name="Normal 2 7" xfId="972"/>
    <cellStyle name="Normal 2 70" xfId="973"/>
    <cellStyle name="Normal 2 71" xfId="974"/>
    <cellStyle name="Normal 2 72" xfId="975"/>
    <cellStyle name="Normal 2 73" xfId="976"/>
    <cellStyle name="Normal 2 74" xfId="977"/>
    <cellStyle name="Normal 2 75" xfId="978"/>
    <cellStyle name="Normal 2 76" xfId="979"/>
    <cellStyle name="Normal 2 77" xfId="980"/>
    <cellStyle name="Normal 2 78" xfId="981"/>
    <cellStyle name="Normal 2 79" xfId="982"/>
    <cellStyle name="Normal 2 8" xfId="983"/>
    <cellStyle name="Normal 2 80" xfId="984"/>
    <cellStyle name="Normal 2 81" xfId="985"/>
    <cellStyle name="Normal 2 82" xfId="986"/>
    <cellStyle name="Normal 2 9" xfId="987"/>
    <cellStyle name="Normal 3" xfId="988"/>
    <cellStyle name="Normal 3 10" xfId="989"/>
    <cellStyle name="Normal 3 11" xfId="990"/>
    <cellStyle name="Normal 3 12" xfId="991"/>
    <cellStyle name="Normal 3 13" xfId="992"/>
    <cellStyle name="Normal 3 14" xfId="993"/>
    <cellStyle name="Normal 3 15" xfId="994"/>
    <cellStyle name="Normal 3 16" xfId="995"/>
    <cellStyle name="Normal 3 17" xfId="996"/>
    <cellStyle name="Normal 3 18" xfId="997"/>
    <cellStyle name="Normal 3 19" xfId="998"/>
    <cellStyle name="Normal 3 2" xfId="999"/>
    <cellStyle name="Normal 3 20" xfId="1000"/>
    <cellStyle name="Normal 3 21" xfId="1001"/>
    <cellStyle name="Normal 3 22" xfId="1002"/>
    <cellStyle name="Normal 3 23" xfId="1003"/>
    <cellStyle name="Normal 3 24" xfId="1004"/>
    <cellStyle name="Normal 3 25" xfId="1005"/>
    <cellStyle name="Normal 3 26" xfId="1006"/>
    <cellStyle name="Normal 3 27" xfId="1007"/>
    <cellStyle name="Normal 3 28" xfId="1008"/>
    <cellStyle name="Normal 3 29" xfId="1009"/>
    <cellStyle name="Normal 3 3" xfId="1010"/>
    <cellStyle name="Normal 3 30" xfId="1011"/>
    <cellStyle name="Normal 3 31" xfId="1012"/>
    <cellStyle name="Normal 3 32" xfId="1013"/>
    <cellStyle name="Normal 3 33" xfId="1014"/>
    <cellStyle name="Normal 3 34" xfId="1015"/>
    <cellStyle name="Normal 3 35" xfId="1016"/>
    <cellStyle name="Normal 3 36" xfId="1017"/>
    <cellStyle name="Normal 3 37" xfId="1018"/>
    <cellStyle name="Normal 3 38" xfId="1019"/>
    <cellStyle name="Normal 3 39" xfId="1020"/>
    <cellStyle name="Normal 3 4" xfId="1021"/>
    <cellStyle name="Normal 3 40" xfId="1022"/>
    <cellStyle name="Normal 3 41" xfId="1023"/>
    <cellStyle name="Normal 3 42" xfId="1024"/>
    <cellStyle name="Normal 3 43" xfId="1025"/>
    <cellStyle name="Normal 3 44" xfId="1026"/>
    <cellStyle name="Normal 3 45" xfId="1027"/>
    <cellStyle name="Normal 3 46" xfId="1028"/>
    <cellStyle name="Normal 3 47" xfId="1029"/>
    <cellStyle name="Normal 3 48" xfId="1030"/>
    <cellStyle name="Normal 3 49" xfId="1031"/>
    <cellStyle name="Normal 3 5" xfId="1032"/>
    <cellStyle name="Normal 3 50" xfId="1033"/>
    <cellStyle name="Normal 3 51" xfId="1034"/>
    <cellStyle name="Normal 3 52" xfId="1035"/>
    <cellStyle name="Normal 3 53" xfId="1036"/>
    <cellStyle name="Normal 3 54" xfId="1037"/>
    <cellStyle name="Normal 3 55" xfId="1038"/>
    <cellStyle name="Normal 3 56" xfId="1039"/>
    <cellStyle name="Normal 3 57" xfId="1040"/>
    <cellStyle name="Normal 3 58" xfId="1041"/>
    <cellStyle name="Normal 3 59" xfId="1042"/>
    <cellStyle name="Normal 3 6" xfId="1043"/>
    <cellStyle name="Normal 3 60" xfId="1044"/>
    <cellStyle name="Normal 3 61" xfId="1045"/>
    <cellStyle name="Normal 3 62" xfId="1046"/>
    <cellStyle name="Normal 3 63" xfId="1047"/>
    <cellStyle name="Normal 3 64" xfId="1048"/>
    <cellStyle name="Normal 3 65" xfId="1049"/>
    <cellStyle name="Normal 3 66" xfId="1050"/>
    <cellStyle name="Normal 3 67" xfId="1051"/>
    <cellStyle name="Normal 3 68" xfId="1052"/>
    <cellStyle name="Normal 3 69" xfId="1053"/>
    <cellStyle name="Normal 3 7" xfId="1054"/>
    <cellStyle name="Normal 3 70" xfId="1055"/>
    <cellStyle name="Normal 3 71" xfId="1056"/>
    <cellStyle name="Normal 3 72" xfId="1057"/>
    <cellStyle name="Normal 3 73" xfId="1058"/>
    <cellStyle name="Normal 3 74" xfId="1059"/>
    <cellStyle name="Normal 3 75" xfId="1060"/>
    <cellStyle name="Normal 3 76" xfId="1061"/>
    <cellStyle name="Normal 3 77" xfId="1062"/>
    <cellStyle name="Normal 3 78" xfId="1063"/>
    <cellStyle name="Normal 3 79" xfId="1064"/>
    <cellStyle name="Normal 3 8" xfId="1065"/>
    <cellStyle name="Normal 3 80" xfId="1066"/>
    <cellStyle name="Normal 3 81" xfId="1067"/>
    <cellStyle name="Normal 3 9" xfId="1068"/>
    <cellStyle name="Normal 4" xfId="1069"/>
    <cellStyle name="Normal 4 10" xfId="1070"/>
    <cellStyle name="Normal 4 11" xfId="1071"/>
    <cellStyle name="Normal 4 12" xfId="1072"/>
    <cellStyle name="Normal 4 13" xfId="1073"/>
    <cellStyle name="Normal 4 14" xfId="1074"/>
    <cellStyle name="Normal 4 15" xfId="1075"/>
    <cellStyle name="Normal 4 16" xfId="1076"/>
    <cellStyle name="Normal 4 17" xfId="1077"/>
    <cellStyle name="Normal 4 18" xfId="1078"/>
    <cellStyle name="Normal 4 19" xfId="1079"/>
    <cellStyle name="Normal 4 2" xfId="1080"/>
    <cellStyle name="Normal 4 20" xfId="1081"/>
    <cellStyle name="Normal 4 21" xfId="1082"/>
    <cellStyle name="Normal 4 22" xfId="1083"/>
    <cellStyle name="Normal 4 23" xfId="1084"/>
    <cellStyle name="Normal 4 24" xfId="1085"/>
    <cellStyle name="Normal 4 25" xfId="1086"/>
    <cellStyle name="Normal 4 26" xfId="1087"/>
    <cellStyle name="Normal 4 27" xfId="1088"/>
    <cellStyle name="Normal 4 28" xfId="1089"/>
    <cellStyle name="Normal 4 29" xfId="1090"/>
    <cellStyle name="Normal 4 3" xfId="1091"/>
    <cellStyle name="Normal 4 30" xfId="1092"/>
    <cellStyle name="Normal 4 31" xfId="1093"/>
    <cellStyle name="Normal 4 32" xfId="1094"/>
    <cellStyle name="Normal 4 33" xfId="1095"/>
    <cellStyle name="Normal 4 34" xfId="1096"/>
    <cellStyle name="Normal 4 35" xfId="1097"/>
    <cellStyle name="Normal 4 36" xfId="1098"/>
    <cellStyle name="Normal 4 37" xfId="1099"/>
    <cellStyle name="Normal 4 38" xfId="1100"/>
    <cellStyle name="Normal 4 39" xfId="1101"/>
    <cellStyle name="Normal 4 4" xfId="1102"/>
    <cellStyle name="Normal 4 40" xfId="1103"/>
    <cellStyle name="Normal 4 41" xfId="1104"/>
    <cellStyle name="Normal 4 42" xfId="1105"/>
    <cellStyle name="Normal 4 43" xfId="1106"/>
    <cellStyle name="Normal 4 44" xfId="1107"/>
    <cellStyle name="Normal 4 45" xfId="1108"/>
    <cellStyle name="Normal 4 46" xfId="1109"/>
    <cellStyle name="Normal 4 47" xfId="1110"/>
    <cellStyle name="Normal 4 48" xfId="1111"/>
    <cellStyle name="Normal 4 49" xfId="1112"/>
    <cellStyle name="Normal 4 5" xfId="1113"/>
    <cellStyle name="Normal 4 50" xfId="1114"/>
    <cellStyle name="Normal 4 51" xfId="1115"/>
    <cellStyle name="Normal 4 52" xfId="1116"/>
    <cellStyle name="Normal 4 53" xfId="1117"/>
    <cellStyle name="Normal 4 54" xfId="1118"/>
    <cellStyle name="Normal 4 55" xfId="1119"/>
    <cellStyle name="Normal 4 56" xfId="1120"/>
    <cellStyle name="Normal 4 57" xfId="1121"/>
    <cellStyle name="Normal 4 58" xfId="1122"/>
    <cellStyle name="Normal 4 59" xfId="1123"/>
    <cellStyle name="Normal 4 6" xfId="1124"/>
    <cellStyle name="Normal 4 60" xfId="1125"/>
    <cellStyle name="Normal 4 61" xfId="1126"/>
    <cellStyle name="Normal 4 62" xfId="1127"/>
    <cellStyle name="Normal 4 63" xfId="1128"/>
    <cellStyle name="Normal 4 64" xfId="1129"/>
    <cellStyle name="Normal 4 65" xfId="1130"/>
    <cellStyle name="Normal 4 66" xfId="1131"/>
    <cellStyle name="Normal 4 67" xfId="1132"/>
    <cellStyle name="Normal 4 68" xfId="1133"/>
    <cellStyle name="Normal 4 69" xfId="1134"/>
    <cellStyle name="Normal 4 7" xfId="1135"/>
    <cellStyle name="Normal 4 70" xfId="1136"/>
    <cellStyle name="Normal 4 71" xfId="1137"/>
    <cellStyle name="Normal 4 72" xfId="1138"/>
    <cellStyle name="Normal 4 73" xfId="1139"/>
    <cellStyle name="Normal 4 74" xfId="1140"/>
    <cellStyle name="Normal 4 75" xfId="1141"/>
    <cellStyle name="Normal 4 76" xfId="1142"/>
    <cellStyle name="Normal 4 77" xfId="1143"/>
    <cellStyle name="Normal 4 78" xfId="1144"/>
    <cellStyle name="Normal 4 79" xfId="1145"/>
    <cellStyle name="Normal 4 8" xfId="1146"/>
    <cellStyle name="Normal 4 80" xfId="1147"/>
    <cellStyle name="Normal 4 81" xfId="1148"/>
    <cellStyle name="Normal 4 9" xfId="1149"/>
    <cellStyle name="Normal 5" xfId="1150"/>
    <cellStyle name="Normal 6 10" xfId="1151"/>
    <cellStyle name="Normal 6 11" xfId="1152"/>
    <cellStyle name="Normal 6 12" xfId="1153"/>
    <cellStyle name="Normal 6 13" xfId="1154"/>
    <cellStyle name="Normal 6 14" xfId="1155"/>
    <cellStyle name="Normal 6 15" xfId="1156"/>
    <cellStyle name="Normal 6 16" xfId="1157"/>
    <cellStyle name="Normal 6 17" xfId="1158"/>
    <cellStyle name="Normal 6 2" xfId="1159"/>
    <cellStyle name="Normal 6 3" xfId="1160"/>
    <cellStyle name="Normal 6 4" xfId="1161"/>
    <cellStyle name="Normal 6 5" xfId="1162"/>
    <cellStyle name="Normal 6 6" xfId="1163"/>
    <cellStyle name="Normal 6 7" xfId="1164"/>
    <cellStyle name="Normal 6 8" xfId="1165"/>
    <cellStyle name="Normal 6 9" xfId="1166"/>
    <cellStyle name="Normal 8" xfId="1346"/>
    <cellStyle name="Normal_db kolek" xfId="1167"/>
    <cellStyle name="Normal_DB NRC" xfId="1168"/>
    <cellStyle name="Normal_db Rekonsiliasi" xfId="1169"/>
    <cellStyle name="Normal_DT" xfId="1170"/>
    <cellStyle name="Normal_DT_1" xfId="1171"/>
    <cellStyle name="Normal_Laporan" xfId="1172"/>
    <cellStyle name="Normal_Laporan November" xfId="1173"/>
    <cellStyle name="Normal_Neraca" xfId="1174"/>
    <cellStyle name="Normal_Neraca 2 2" xfId="1175"/>
    <cellStyle name="Normal_Rekonsialiasi Bank 2" xfId="1176"/>
    <cellStyle name="Normal_Sheet1" xfId="1177"/>
    <cellStyle name="Normal_Sheet1_1" xfId="1178"/>
    <cellStyle name="Normal_Sheet2" xfId="1179"/>
    <cellStyle name="Normal_Sheet2_1" xfId="1180"/>
    <cellStyle name="Normal_Sheet5" xfId="1181"/>
    <cellStyle name="Percent" xfId="1182" builtinId="5"/>
    <cellStyle name="Percent 2" xfId="1183"/>
    <cellStyle name="Percent 2 10" xfId="1184"/>
    <cellStyle name="Percent 2 11" xfId="1185"/>
    <cellStyle name="Percent 2 12" xfId="1186"/>
    <cellStyle name="Percent 2 13" xfId="1187"/>
    <cellStyle name="Percent 2 14" xfId="1188"/>
    <cellStyle name="Percent 2 15" xfId="1189"/>
    <cellStyle name="Percent 2 16" xfId="1190"/>
    <cellStyle name="Percent 2 17" xfId="1191"/>
    <cellStyle name="Percent 2 18" xfId="1192"/>
    <cellStyle name="Percent 2 19" xfId="1193"/>
    <cellStyle name="Percent 2 2" xfId="1194"/>
    <cellStyle name="Percent 2 20" xfId="1195"/>
    <cellStyle name="Percent 2 21" xfId="1196"/>
    <cellStyle name="Percent 2 22" xfId="1197"/>
    <cellStyle name="Percent 2 23" xfId="1198"/>
    <cellStyle name="Percent 2 24" xfId="1199"/>
    <cellStyle name="Percent 2 25" xfId="1200"/>
    <cellStyle name="Percent 2 26" xfId="1201"/>
    <cellStyle name="Percent 2 27" xfId="1202"/>
    <cellStyle name="Percent 2 28" xfId="1203"/>
    <cellStyle name="Percent 2 29" xfId="1204"/>
    <cellStyle name="Percent 2 3" xfId="1205"/>
    <cellStyle name="Percent 2 30" xfId="1206"/>
    <cellStyle name="Percent 2 31" xfId="1207"/>
    <cellStyle name="Percent 2 32" xfId="1208"/>
    <cellStyle name="Percent 2 33" xfId="1209"/>
    <cellStyle name="Percent 2 34" xfId="1210"/>
    <cellStyle name="Percent 2 35" xfId="1211"/>
    <cellStyle name="Percent 2 36" xfId="1212"/>
    <cellStyle name="Percent 2 37" xfId="1213"/>
    <cellStyle name="Percent 2 38" xfId="1214"/>
    <cellStyle name="Percent 2 39" xfId="1215"/>
    <cellStyle name="Percent 2 4" xfId="1216"/>
    <cellStyle name="Percent 2 40" xfId="1217"/>
    <cellStyle name="Percent 2 41" xfId="1218"/>
    <cellStyle name="Percent 2 42" xfId="1219"/>
    <cellStyle name="Percent 2 43" xfId="1220"/>
    <cellStyle name="Percent 2 44" xfId="1221"/>
    <cellStyle name="Percent 2 45" xfId="1222"/>
    <cellStyle name="Percent 2 46" xfId="1223"/>
    <cellStyle name="Percent 2 47" xfId="1224"/>
    <cellStyle name="Percent 2 48" xfId="1225"/>
    <cellStyle name="Percent 2 49" xfId="1226"/>
    <cellStyle name="Percent 2 5" xfId="1227"/>
    <cellStyle name="Percent 2 50" xfId="1228"/>
    <cellStyle name="Percent 2 51" xfId="1229"/>
    <cellStyle name="Percent 2 52" xfId="1230"/>
    <cellStyle name="Percent 2 53" xfId="1231"/>
    <cellStyle name="Percent 2 54" xfId="1232"/>
    <cellStyle name="Percent 2 55" xfId="1233"/>
    <cellStyle name="Percent 2 56" xfId="1234"/>
    <cellStyle name="Percent 2 57" xfId="1235"/>
    <cellStyle name="Percent 2 58" xfId="1236"/>
    <cellStyle name="Percent 2 59" xfId="1237"/>
    <cellStyle name="Percent 2 6" xfId="1238"/>
    <cellStyle name="Percent 2 60" xfId="1239"/>
    <cellStyle name="Percent 2 61" xfId="1240"/>
    <cellStyle name="Percent 2 62" xfId="1241"/>
    <cellStyle name="Percent 2 63" xfId="1242"/>
    <cellStyle name="Percent 2 64" xfId="1243"/>
    <cellStyle name="Percent 2 65" xfId="1244"/>
    <cellStyle name="Percent 2 66" xfId="1245"/>
    <cellStyle name="Percent 2 67" xfId="1246"/>
    <cellStyle name="Percent 2 68" xfId="1247"/>
    <cellStyle name="Percent 2 69" xfId="1248"/>
    <cellStyle name="Percent 2 7" xfId="1249"/>
    <cellStyle name="Percent 2 70" xfId="1250"/>
    <cellStyle name="Percent 2 71" xfId="1251"/>
    <cellStyle name="Percent 2 72" xfId="1252"/>
    <cellStyle name="Percent 2 73" xfId="1253"/>
    <cellStyle name="Percent 2 74" xfId="1254"/>
    <cellStyle name="Percent 2 75" xfId="1255"/>
    <cellStyle name="Percent 2 76" xfId="1256"/>
    <cellStyle name="Percent 2 77" xfId="1257"/>
    <cellStyle name="Percent 2 78" xfId="1258"/>
    <cellStyle name="Percent 2 79" xfId="1259"/>
    <cellStyle name="Percent 2 8" xfId="1260"/>
    <cellStyle name="Percent 2 80" xfId="1261"/>
    <cellStyle name="Percent 2 81" xfId="1262"/>
    <cellStyle name="Percent 2 82" xfId="1263"/>
    <cellStyle name="Percent 2 9" xfId="1264"/>
    <cellStyle name="Percent 3" xfId="1265"/>
    <cellStyle name="Percent 3 10" xfId="1266"/>
    <cellStyle name="Percent 3 11" xfId="1267"/>
    <cellStyle name="Percent 3 12" xfId="1268"/>
    <cellStyle name="Percent 3 13" xfId="1269"/>
    <cellStyle name="Percent 3 14" xfId="1270"/>
    <cellStyle name="Percent 3 15" xfId="1271"/>
    <cellStyle name="Percent 3 16" xfId="1272"/>
    <cellStyle name="Percent 3 17" xfId="1273"/>
    <cellStyle name="Percent 3 18" xfId="1274"/>
    <cellStyle name="Percent 3 19" xfId="1275"/>
    <cellStyle name="Percent 3 2" xfId="1276"/>
    <cellStyle name="Percent 3 20" xfId="1277"/>
    <cellStyle name="Percent 3 21" xfId="1278"/>
    <cellStyle name="Percent 3 22" xfId="1279"/>
    <cellStyle name="Percent 3 23" xfId="1280"/>
    <cellStyle name="Percent 3 24" xfId="1281"/>
    <cellStyle name="Percent 3 25" xfId="1282"/>
    <cellStyle name="Percent 3 26" xfId="1283"/>
    <cellStyle name="Percent 3 27" xfId="1284"/>
    <cellStyle name="Percent 3 28" xfId="1285"/>
    <cellStyle name="Percent 3 29" xfId="1286"/>
    <cellStyle name="Percent 3 3" xfId="1287"/>
    <cellStyle name="Percent 3 30" xfId="1288"/>
    <cellStyle name="Percent 3 31" xfId="1289"/>
    <cellStyle name="Percent 3 32" xfId="1290"/>
    <cellStyle name="Percent 3 33" xfId="1291"/>
    <cellStyle name="Percent 3 34" xfId="1292"/>
    <cellStyle name="Percent 3 35" xfId="1293"/>
    <cellStyle name="Percent 3 36" xfId="1294"/>
    <cellStyle name="Percent 3 37" xfId="1295"/>
    <cellStyle name="Percent 3 38" xfId="1296"/>
    <cellStyle name="Percent 3 39" xfId="1297"/>
    <cellStyle name="Percent 3 4" xfId="1298"/>
    <cellStyle name="Percent 3 40" xfId="1299"/>
    <cellStyle name="Percent 3 41" xfId="1300"/>
    <cellStyle name="Percent 3 42" xfId="1301"/>
    <cellStyle name="Percent 3 43" xfId="1302"/>
    <cellStyle name="Percent 3 44" xfId="1303"/>
    <cellStyle name="Percent 3 45" xfId="1304"/>
    <cellStyle name="Percent 3 46" xfId="1305"/>
    <cellStyle name="Percent 3 47" xfId="1306"/>
    <cellStyle name="Percent 3 48" xfId="1307"/>
    <cellStyle name="Percent 3 49" xfId="1308"/>
    <cellStyle name="Percent 3 5" xfId="1309"/>
    <cellStyle name="Percent 3 50" xfId="1310"/>
    <cellStyle name="Percent 3 51" xfId="1311"/>
    <cellStyle name="Percent 3 52" xfId="1312"/>
    <cellStyle name="Percent 3 53" xfId="1313"/>
    <cellStyle name="Percent 3 54" xfId="1314"/>
    <cellStyle name="Percent 3 55" xfId="1315"/>
    <cellStyle name="Percent 3 56" xfId="1316"/>
    <cellStyle name="Percent 3 57" xfId="1317"/>
    <cellStyle name="Percent 3 58" xfId="1318"/>
    <cellStyle name="Percent 3 59" xfId="1319"/>
    <cellStyle name="Percent 3 6" xfId="1320"/>
    <cellStyle name="Percent 3 60" xfId="1321"/>
    <cellStyle name="Percent 3 61" xfId="1322"/>
    <cellStyle name="Percent 3 62" xfId="1323"/>
    <cellStyle name="Percent 3 63" xfId="1324"/>
    <cellStyle name="Percent 3 64" xfId="1325"/>
    <cellStyle name="Percent 3 65" xfId="1326"/>
    <cellStyle name="Percent 3 66" xfId="1327"/>
    <cellStyle name="Percent 3 67" xfId="1328"/>
    <cellStyle name="Percent 3 68" xfId="1329"/>
    <cellStyle name="Percent 3 69" xfId="1330"/>
    <cellStyle name="Percent 3 7" xfId="1331"/>
    <cellStyle name="Percent 3 70" xfId="1332"/>
    <cellStyle name="Percent 3 71" xfId="1333"/>
    <cellStyle name="Percent 3 72" xfId="1334"/>
    <cellStyle name="Percent 3 73" xfId="1335"/>
    <cellStyle name="Percent 3 74" xfId="1336"/>
    <cellStyle name="Percent 3 75" xfId="1337"/>
    <cellStyle name="Percent 3 76" xfId="1338"/>
    <cellStyle name="Percent 3 77" xfId="1339"/>
    <cellStyle name="Percent 3 78" xfId="1340"/>
    <cellStyle name="Percent 3 79" xfId="1341"/>
    <cellStyle name="Percent 3 8" xfId="1342"/>
    <cellStyle name="Percent 3 80" xfId="1343"/>
    <cellStyle name="Percent 3 81" xfId="1344"/>
    <cellStyle name="Percent 3 9" xfId="1345"/>
  </cellStyles>
  <dxfs count="2">
    <dxf>
      <font>
        <b/>
        <i val="0"/>
        <condense val="0"/>
        <extend val="0"/>
        <color indexed="9"/>
      </font>
      <fill>
        <patternFill>
          <bgColor indexed="10"/>
        </patternFill>
      </fill>
    </dxf>
    <dxf>
      <font>
        <b/>
        <i val="0"/>
        <condense val="0"/>
        <extend val="0"/>
        <color indexed="9"/>
      </font>
      <fill>
        <patternFill>
          <bgColor indexed="1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externalLink" Target="externalLinks/externalLink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externalLink" Target="externalLinks/externalLink2.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s>
</file>

<file path=xl/drawings/_rels/drawing1.xml.rels><?xml version="1.0" encoding="UTF-8" standalone="yes"?>
<Relationships xmlns="http://schemas.openxmlformats.org/package/2006/relationships"><Relationship Id="rId1" Type="http://schemas.openxmlformats.org/officeDocument/2006/relationships/hyperlink" Target="#CEK!A1"/></Relationships>
</file>

<file path=xl/drawings/_rels/drawing2.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3.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4.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5.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6.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7.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8.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9.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0.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1.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2.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3.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4.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5.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6.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7.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8.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9.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20.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21.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22.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23.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24.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25.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26.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27.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28.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29.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30.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31.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32.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33.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34.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35.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36.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37.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38.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39.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40.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41.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42.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43.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44.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45.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46.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47.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48.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49.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50.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51.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52.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53.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54.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55.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56.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57.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58.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59.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60.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61.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62.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63.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64.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65.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66.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67.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68.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69.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70.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71.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72.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73.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74.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75.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76.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77.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78.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79.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80.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81.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82.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83.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84.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85.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86.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87.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88.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89.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90.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91.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92.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93.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94.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95.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96.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97.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98.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99.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00.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01.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02.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03.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04.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05.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06.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07.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08.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09.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10.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11.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12.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13.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14.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15.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16.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17.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18.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19.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20.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21.xml.rels><?xml version="1.0" encoding="UTF-8" standalone="yes"?>
<Relationships xmlns="http://schemas.openxmlformats.org/package/2006/relationships"><Relationship Id="rId1" Type="http://schemas.openxmlformats.org/officeDocument/2006/relationships/hyperlink" Target="#'Daftar Isi PINJAMAN'!A1"/></Relationships>
</file>

<file path=xl/drawings/_rels/drawing122.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23.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24.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25.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26.xml.rels><?xml version="1.0" encoding="UTF-8" standalone="yes"?>
<Relationships xmlns="http://schemas.openxmlformats.org/package/2006/relationships"><Relationship Id="rId1" Type="http://schemas.openxmlformats.org/officeDocument/2006/relationships/hyperlink" Target="#'DAFTAR ISI'!A1"/></Relationships>
</file>

<file path=xl/drawings/_rels/drawing127.xml.rels><?xml version="1.0" encoding="UTF-8" standalone="yes"?>
<Relationships xmlns="http://schemas.openxmlformats.org/package/2006/relationships"><Relationship Id="rId1" Type="http://schemas.openxmlformats.org/officeDocument/2006/relationships/hyperlink" Target="#'DAFTAR ISI'!A1"/></Relationships>
</file>

<file path=xl/drawings/drawing1.xml><?xml version="1.0" encoding="utf-8"?>
<xdr:wsDr xmlns:xdr="http://schemas.openxmlformats.org/drawingml/2006/spreadsheetDrawing" xmlns:a="http://schemas.openxmlformats.org/drawingml/2006/main">
  <xdr:twoCellAnchor>
    <xdr:from>
      <xdr:col>12</xdr:col>
      <xdr:colOff>87923</xdr:colOff>
      <xdr:row>12</xdr:row>
      <xdr:rowOff>87923</xdr:rowOff>
    </xdr:from>
    <xdr:to>
      <xdr:col>14</xdr:col>
      <xdr:colOff>219808</xdr:colOff>
      <xdr:row>22</xdr:row>
      <xdr:rowOff>102577</xdr:rowOff>
    </xdr:to>
    <xdr:sp macro="" textlink="">
      <xdr:nvSpPr>
        <xdr:cNvPr id="2" name="Folded Corner 1">
          <a:hlinkClick xmlns:r="http://schemas.openxmlformats.org/officeDocument/2006/relationships" r:id="rId1"/>
        </xdr:cNvPr>
        <xdr:cNvSpPr/>
      </xdr:nvSpPr>
      <xdr:spPr>
        <a:xfrm>
          <a:off x="16661423" y="2754923"/>
          <a:ext cx="1362808" cy="2066192"/>
        </a:xfrm>
        <a:prstGeom prst="foldedCorner">
          <a:avLst>
            <a:gd name="adj" fmla="val 50000"/>
          </a:avLst>
        </a:prstGeom>
        <a:solidFill>
          <a:srgbClr val="002060"/>
        </a:solidFill>
      </xdr:spPr>
      <xdr:style>
        <a:lnRef idx="1">
          <a:schemeClr val="accent5"/>
        </a:lnRef>
        <a:fillRef idx="3">
          <a:schemeClr val="accent5"/>
        </a:fillRef>
        <a:effectRef idx="2">
          <a:schemeClr val="accent5"/>
        </a:effectRef>
        <a:fontRef idx="minor">
          <a:schemeClr val="lt1"/>
        </a:fontRef>
      </xdr:style>
      <xdr:txBody>
        <a:bodyPr vertOverflow="clip" rtlCol="0" anchor="ctr"/>
        <a:lstStyle/>
        <a:p>
          <a:pPr algn="ctr"/>
          <a:r>
            <a:rPr lang="id-ID" sz="1600" b="1"/>
            <a:t>KLIK DISINI</a:t>
          </a:r>
        </a:p>
        <a:p>
          <a:pPr algn="ctr"/>
          <a:r>
            <a:rPr lang="id-ID" sz="1600" b="1"/>
            <a:t>UNTUK</a:t>
          </a:r>
        </a:p>
        <a:p>
          <a:pPr algn="ctr"/>
          <a:r>
            <a:rPr lang="id-ID" sz="1600" b="1">
              <a:solidFill>
                <a:srgbClr val="FFFF00"/>
              </a:solidFill>
            </a:rPr>
            <a:t>CEK</a:t>
          </a:r>
          <a:r>
            <a:rPr lang="id-ID" sz="1600" b="1" baseline="0"/>
            <a:t>  </a:t>
          </a:r>
          <a:r>
            <a:rPr lang="id-ID" sz="1600" b="1" baseline="0">
              <a:solidFill>
                <a:srgbClr val="FFFF00"/>
              </a:solidFill>
            </a:rPr>
            <a:t>VALIDASI PEMBUKUAN</a:t>
          </a:r>
          <a:r>
            <a:rPr lang="id-ID" sz="1100" baseline="0">
              <a:solidFill>
                <a:srgbClr val="FFFF00"/>
              </a:solidFill>
            </a:rPr>
            <a:t> </a:t>
          </a:r>
          <a:endParaRPr lang="id-ID" sz="1100">
            <a:solidFill>
              <a:srgbClr val="FFFF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901700</xdr:colOff>
      <xdr:row>24</xdr:row>
      <xdr:rowOff>114300</xdr:rowOff>
    </xdr:from>
    <xdr:to>
      <xdr:col>4</xdr:col>
      <xdr:colOff>152400</xdr:colOff>
      <xdr:row>28</xdr:row>
      <xdr:rowOff>127000</xdr:rowOff>
    </xdr:to>
    <xdr:cxnSp macro="">
      <xdr:nvCxnSpPr>
        <xdr:cNvPr id="3" name="Straight Arrow Connector 2"/>
        <xdr:cNvCxnSpPr/>
      </xdr:nvCxnSpPr>
      <xdr:spPr>
        <a:xfrm>
          <a:off x="5308600" y="4673600"/>
          <a:ext cx="1676400" cy="927100"/>
        </a:xfrm>
        <a:prstGeom prst="straightConnector1">
          <a:avLst/>
        </a:prstGeom>
        <a:ln>
          <a:tailEnd type="arrow"/>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7</xdr:col>
      <xdr:colOff>996950</xdr:colOff>
      <xdr:row>20</xdr:row>
      <xdr:rowOff>177800</xdr:rowOff>
    </xdr:from>
    <xdr:to>
      <xdr:col>8</xdr:col>
      <xdr:colOff>939800</xdr:colOff>
      <xdr:row>24</xdr:row>
      <xdr:rowOff>146050</xdr:rowOff>
    </xdr:to>
    <xdr:sp macro="" textlink="">
      <xdr:nvSpPr>
        <xdr:cNvPr id="7" name="Flowchart: Document 6">
          <a:hlinkClick xmlns:r="http://schemas.openxmlformats.org/officeDocument/2006/relationships" r:id="rId1"/>
        </xdr:cNvPr>
        <xdr:cNvSpPr/>
      </xdr:nvSpPr>
      <xdr:spPr>
        <a:xfrm>
          <a:off x="10045700" y="4733925"/>
          <a:ext cx="1387475" cy="85725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1333500</xdr:colOff>
      <xdr:row>4</xdr:row>
      <xdr:rowOff>222250</xdr:rowOff>
    </xdr:from>
    <xdr:to>
      <xdr:col>5</xdr:col>
      <xdr:colOff>1156607</xdr:colOff>
      <xdr:row>8</xdr:row>
      <xdr:rowOff>14514</xdr:rowOff>
    </xdr:to>
    <xdr:sp macro="" textlink="">
      <xdr:nvSpPr>
        <xdr:cNvPr id="3" name="Flowchart: Document 2">
          <a:hlinkClick xmlns:r="http://schemas.openxmlformats.org/officeDocument/2006/relationships" r:id="rId1"/>
        </xdr:cNvPr>
        <xdr:cNvSpPr/>
      </xdr:nvSpPr>
      <xdr:spPr>
        <a:xfrm>
          <a:off x="5279571" y="1174750"/>
          <a:ext cx="1401536" cy="8808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xdr:colOff>
      <xdr:row>23</xdr:row>
      <xdr:rowOff>133350</xdr:rowOff>
    </xdr:from>
    <xdr:to>
      <xdr:col>4</xdr:col>
      <xdr:colOff>9525</xdr:colOff>
      <xdr:row>27</xdr:row>
      <xdr:rowOff>95250</xdr:rowOff>
    </xdr:to>
    <xdr:sp macro="" textlink="">
      <xdr:nvSpPr>
        <xdr:cNvPr id="279937" name="Line 1"/>
        <xdr:cNvSpPr>
          <a:spLocks noChangeShapeType="1"/>
        </xdr:cNvSpPr>
      </xdr:nvSpPr>
      <xdr:spPr bwMode="auto">
        <a:xfrm flipV="1">
          <a:off x="3505200" y="4067175"/>
          <a:ext cx="962025" cy="581025"/>
        </a:xfrm>
        <a:prstGeom prst="line">
          <a:avLst/>
        </a:prstGeom>
        <a:noFill/>
        <a:ln w="9525">
          <a:solidFill>
            <a:srgbClr val="0000FF"/>
          </a:solidFill>
          <a:round/>
          <a:headEnd/>
          <a:tailEnd type="triangle" w="med" len="med"/>
        </a:ln>
      </xdr:spPr>
    </xdr:sp>
    <xdr:clientData/>
  </xdr:twoCellAnchor>
  <xdr:twoCellAnchor>
    <xdr:from>
      <xdr:col>3</xdr:col>
      <xdr:colOff>28575</xdr:colOff>
      <xdr:row>27</xdr:row>
      <xdr:rowOff>85725</xdr:rowOff>
    </xdr:from>
    <xdr:to>
      <xdr:col>4</xdr:col>
      <xdr:colOff>0</xdr:colOff>
      <xdr:row>27</xdr:row>
      <xdr:rowOff>85725</xdr:rowOff>
    </xdr:to>
    <xdr:sp macro="" textlink="">
      <xdr:nvSpPr>
        <xdr:cNvPr id="279938" name="Line 3"/>
        <xdr:cNvSpPr>
          <a:spLocks noChangeShapeType="1"/>
        </xdr:cNvSpPr>
      </xdr:nvSpPr>
      <xdr:spPr bwMode="auto">
        <a:xfrm>
          <a:off x="3514725" y="4638675"/>
          <a:ext cx="942975" cy="0"/>
        </a:xfrm>
        <a:prstGeom prst="line">
          <a:avLst/>
        </a:prstGeom>
        <a:noFill/>
        <a:ln w="9525">
          <a:solidFill>
            <a:srgbClr val="0000FF"/>
          </a:solidFill>
          <a:round/>
          <a:headEnd/>
          <a:tailEnd type="triangle" w="med" len="med"/>
        </a:ln>
      </xdr:spPr>
    </xdr:sp>
    <xdr:clientData/>
  </xdr:twoCellAnchor>
  <xdr:twoCellAnchor>
    <xdr:from>
      <xdr:col>3</xdr:col>
      <xdr:colOff>38100</xdr:colOff>
      <xdr:row>26</xdr:row>
      <xdr:rowOff>95250</xdr:rowOff>
    </xdr:from>
    <xdr:to>
      <xdr:col>4</xdr:col>
      <xdr:colOff>0</xdr:colOff>
      <xdr:row>27</xdr:row>
      <xdr:rowOff>85725</xdr:rowOff>
    </xdr:to>
    <xdr:sp macro="" textlink="">
      <xdr:nvSpPr>
        <xdr:cNvPr id="279939" name="Line 4"/>
        <xdr:cNvSpPr>
          <a:spLocks noChangeShapeType="1"/>
        </xdr:cNvSpPr>
      </xdr:nvSpPr>
      <xdr:spPr bwMode="auto">
        <a:xfrm flipV="1">
          <a:off x="3524250" y="4486275"/>
          <a:ext cx="933450" cy="152400"/>
        </a:xfrm>
        <a:prstGeom prst="line">
          <a:avLst/>
        </a:prstGeom>
        <a:noFill/>
        <a:ln w="9525">
          <a:solidFill>
            <a:srgbClr val="0000FF"/>
          </a:solidFill>
          <a:round/>
          <a:headEnd/>
          <a:tailEnd type="triangle" w="med" len="med"/>
        </a:ln>
      </xdr:spPr>
    </xdr:sp>
    <xdr:clientData/>
  </xdr:twoCellAnchor>
  <xdr:twoCellAnchor>
    <xdr:from>
      <xdr:col>3</xdr:col>
      <xdr:colOff>76200</xdr:colOff>
      <xdr:row>27</xdr:row>
      <xdr:rowOff>95250</xdr:rowOff>
    </xdr:from>
    <xdr:to>
      <xdr:col>3</xdr:col>
      <xdr:colOff>876300</xdr:colOff>
      <xdr:row>28</xdr:row>
      <xdr:rowOff>85725</xdr:rowOff>
    </xdr:to>
    <xdr:sp macro="" textlink="">
      <xdr:nvSpPr>
        <xdr:cNvPr id="279940" name="Line 5"/>
        <xdr:cNvSpPr>
          <a:spLocks noChangeShapeType="1"/>
        </xdr:cNvSpPr>
      </xdr:nvSpPr>
      <xdr:spPr bwMode="auto">
        <a:xfrm>
          <a:off x="3562350" y="4648200"/>
          <a:ext cx="800100" cy="152400"/>
        </a:xfrm>
        <a:prstGeom prst="line">
          <a:avLst/>
        </a:prstGeom>
        <a:noFill/>
        <a:ln w="9525">
          <a:solidFill>
            <a:srgbClr val="0000FF"/>
          </a:solidFill>
          <a:round/>
          <a:headEnd/>
          <a:tailEnd type="triangle" w="med" len="med"/>
        </a:ln>
      </xdr:spPr>
    </xdr:sp>
    <xdr:clientData/>
  </xdr:twoCellAnchor>
  <xdr:twoCellAnchor>
    <xdr:from>
      <xdr:col>3</xdr:col>
      <xdr:colOff>161925</xdr:colOff>
      <xdr:row>51</xdr:row>
      <xdr:rowOff>114300</xdr:rowOff>
    </xdr:from>
    <xdr:to>
      <xdr:col>3</xdr:col>
      <xdr:colOff>161925</xdr:colOff>
      <xdr:row>51</xdr:row>
      <xdr:rowOff>114300</xdr:rowOff>
    </xdr:to>
    <xdr:sp macro="" textlink="">
      <xdr:nvSpPr>
        <xdr:cNvPr id="279941" name="Line 7"/>
        <xdr:cNvSpPr>
          <a:spLocks noChangeShapeType="1"/>
        </xdr:cNvSpPr>
      </xdr:nvSpPr>
      <xdr:spPr bwMode="auto">
        <a:xfrm>
          <a:off x="3648075" y="8639175"/>
          <a:ext cx="0" cy="0"/>
        </a:xfrm>
        <a:prstGeom prst="line">
          <a:avLst/>
        </a:prstGeom>
        <a:noFill/>
        <a:ln w="9525">
          <a:solidFill>
            <a:srgbClr val="000000"/>
          </a:solidFill>
          <a:round/>
          <a:headEnd/>
          <a:tailEnd/>
        </a:ln>
      </xdr:spPr>
    </xdr:sp>
    <xdr:clientData/>
  </xdr:twoCellAnchor>
  <xdr:twoCellAnchor>
    <xdr:from>
      <xdr:col>3</xdr:col>
      <xdr:colOff>142875</xdr:colOff>
      <xdr:row>49</xdr:row>
      <xdr:rowOff>152400</xdr:rowOff>
    </xdr:from>
    <xdr:to>
      <xdr:col>3</xdr:col>
      <xdr:colOff>762000</xdr:colOff>
      <xdr:row>51</xdr:row>
      <xdr:rowOff>38100</xdr:rowOff>
    </xdr:to>
    <xdr:sp macro="" textlink="">
      <xdr:nvSpPr>
        <xdr:cNvPr id="279942" name="Line 8"/>
        <xdr:cNvSpPr>
          <a:spLocks noChangeShapeType="1"/>
        </xdr:cNvSpPr>
      </xdr:nvSpPr>
      <xdr:spPr bwMode="auto">
        <a:xfrm flipV="1">
          <a:off x="3629025" y="8353425"/>
          <a:ext cx="619125" cy="209550"/>
        </a:xfrm>
        <a:prstGeom prst="line">
          <a:avLst/>
        </a:prstGeom>
        <a:noFill/>
        <a:ln w="9525">
          <a:solidFill>
            <a:srgbClr val="FF0000"/>
          </a:solidFill>
          <a:round/>
          <a:headEnd/>
          <a:tailEnd/>
        </a:ln>
      </xdr:spPr>
    </xdr:sp>
    <xdr:clientData/>
  </xdr:twoCellAnchor>
  <xdr:twoCellAnchor>
    <xdr:from>
      <xdr:col>3</xdr:col>
      <xdr:colOff>19050</xdr:colOff>
      <xdr:row>8</xdr:row>
      <xdr:rowOff>95250</xdr:rowOff>
    </xdr:from>
    <xdr:to>
      <xdr:col>3</xdr:col>
      <xdr:colOff>285750</xdr:colOff>
      <xdr:row>8</xdr:row>
      <xdr:rowOff>95250</xdr:rowOff>
    </xdr:to>
    <xdr:sp macro="" textlink="">
      <xdr:nvSpPr>
        <xdr:cNvPr id="279943" name="Line 9"/>
        <xdr:cNvSpPr>
          <a:spLocks noChangeShapeType="1"/>
        </xdr:cNvSpPr>
      </xdr:nvSpPr>
      <xdr:spPr bwMode="auto">
        <a:xfrm>
          <a:off x="3505200" y="1609725"/>
          <a:ext cx="266700" cy="0"/>
        </a:xfrm>
        <a:prstGeom prst="line">
          <a:avLst/>
        </a:prstGeom>
        <a:noFill/>
        <a:ln w="9525">
          <a:solidFill>
            <a:srgbClr val="FF0000"/>
          </a:solidFill>
          <a:round/>
          <a:headEnd/>
          <a:tailEnd/>
        </a:ln>
      </xdr:spPr>
    </xdr:sp>
    <xdr:clientData/>
  </xdr:twoCellAnchor>
  <xdr:twoCellAnchor>
    <xdr:from>
      <xdr:col>3</xdr:col>
      <xdr:colOff>276225</xdr:colOff>
      <xdr:row>8</xdr:row>
      <xdr:rowOff>104775</xdr:rowOff>
    </xdr:from>
    <xdr:to>
      <xdr:col>3</xdr:col>
      <xdr:colOff>276225</xdr:colOff>
      <xdr:row>23</xdr:row>
      <xdr:rowOff>95250</xdr:rowOff>
    </xdr:to>
    <xdr:sp macro="" textlink="">
      <xdr:nvSpPr>
        <xdr:cNvPr id="279944" name="Line 10"/>
        <xdr:cNvSpPr>
          <a:spLocks noChangeShapeType="1"/>
        </xdr:cNvSpPr>
      </xdr:nvSpPr>
      <xdr:spPr bwMode="auto">
        <a:xfrm>
          <a:off x="3762375" y="1619250"/>
          <a:ext cx="0" cy="2409825"/>
        </a:xfrm>
        <a:prstGeom prst="line">
          <a:avLst/>
        </a:prstGeom>
        <a:noFill/>
        <a:ln w="9525">
          <a:solidFill>
            <a:srgbClr val="FF0000"/>
          </a:solidFill>
          <a:round/>
          <a:headEnd/>
          <a:tailEnd/>
        </a:ln>
      </xdr:spPr>
    </xdr:sp>
    <xdr:clientData/>
  </xdr:twoCellAnchor>
  <xdr:twoCellAnchor>
    <xdr:from>
      <xdr:col>2</xdr:col>
      <xdr:colOff>1304925</xdr:colOff>
      <xdr:row>23</xdr:row>
      <xdr:rowOff>95250</xdr:rowOff>
    </xdr:from>
    <xdr:to>
      <xdr:col>3</xdr:col>
      <xdr:colOff>266700</xdr:colOff>
      <xdr:row>23</xdr:row>
      <xdr:rowOff>95250</xdr:rowOff>
    </xdr:to>
    <xdr:sp macro="" textlink="">
      <xdr:nvSpPr>
        <xdr:cNvPr id="279945" name="Line 11"/>
        <xdr:cNvSpPr>
          <a:spLocks noChangeShapeType="1"/>
        </xdr:cNvSpPr>
      </xdr:nvSpPr>
      <xdr:spPr bwMode="auto">
        <a:xfrm flipH="1">
          <a:off x="3467100" y="4029075"/>
          <a:ext cx="285750" cy="0"/>
        </a:xfrm>
        <a:prstGeom prst="line">
          <a:avLst/>
        </a:prstGeom>
        <a:noFill/>
        <a:ln w="9525">
          <a:solidFill>
            <a:srgbClr val="FF0000"/>
          </a:solidFill>
          <a:round/>
          <a:headEnd/>
          <a:tailEnd type="triangle" w="med" len="med"/>
        </a:ln>
      </xdr:spPr>
    </xdr:sp>
    <xdr:clientData/>
  </xdr:twoCellAnchor>
  <xdr:twoCellAnchor>
    <xdr:from>
      <xdr:col>3</xdr:col>
      <xdr:colOff>838200</xdr:colOff>
      <xdr:row>50</xdr:row>
      <xdr:rowOff>142875</xdr:rowOff>
    </xdr:from>
    <xdr:to>
      <xdr:col>4</xdr:col>
      <xdr:colOff>142875</xdr:colOff>
      <xdr:row>51</xdr:row>
      <xdr:rowOff>76200</xdr:rowOff>
    </xdr:to>
    <xdr:sp macro="" textlink="">
      <xdr:nvSpPr>
        <xdr:cNvPr id="279946" name="Line 12"/>
        <xdr:cNvSpPr>
          <a:spLocks noChangeShapeType="1"/>
        </xdr:cNvSpPr>
      </xdr:nvSpPr>
      <xdr:spPr bwMode="auto">
        <a:xfrm flipH="1">
          <a:off x="4324350" y="8505825"/>
          <a:ext cx="276225" cy="95250"/>
        </a:xfrm>
        <a:prstGeom prst="line">
          <a:avLst/>
        </a:prstGeom>
        <a:noFill/>
        <a:ln w="9525">
          <a:solidFill>
            <a:srgbClr val="FF0000"/>
          </a:solidFill>
          <a:round/>
          <a:headEnd/>
          <a:tailEnd type="triangle" w="med" len="med"/>
        </a:ln>
      </xdr:spPr>
    </xdr:sp>
    <xdr:clientData/>
  </xdr:twoCellAnchor>
  <xdr:twoCellAnchor>
    <xdr:from>
      <xdr:col>4</xdr:col>
      <xdr:colOff>923925</xdr:colOff>
      <xdr:row>52</xdr:row>
      <xdr:rowOff>76200</xdr:rowOff>
    </xdr:from>
    <xdr:to>
      <xdr:col>4</xdr:col>
      <xdr:colOff>923925</xdr:colOff>
      <xdr:row>54</xdr:row>
      <xdr:rowOff>133350</xdr:rowOff>
    </xdr:to>
    <xdr:sp macro="" textlink="">
      <xdr:nvSpPr>
        <xdr:cNvPr id="279947" name="Line 13"/>
        <xdr:cNvSpPr>
          <a:spLocks noChangeShapeType="1"/>
        </xdr:cNvSpPr>
      </xdr:nvSpPr>
      <xdr:spPr bwMode="auto">
        <a:xfrm>
          <a:off x="5381625" y="8763000"/>
          <a:ext cx="0" cy="381000"/>
        </a:xfrm>
        <a:prstGeom prst="line">
          <a:avLst/>
        </a:prstGeom>
        <a:noFill/>
        <a:ln w="9525">
          <a:solidFill>
            <a:srgbClr val="0000FF"/>
          </a:solidFill>
          <a:round/>
          <a:headEnd/>
          <a:tailEnd/>
        </a:ln>
      </xdr:spPr>
    </xdr:sp>
    <xdr:clientData/>
  </xdr:twoCellAnchor>
  <xdr:twoCellAnchor>
    <xdr:from>
      <xdr:col>4</xdr:col>
      <xdr:colOff>923925</xdr:colOff>
      <xdr:row>52</xdr:row>
      <xdr:rowOff>76200</xdr:rowOff>
    </xdr:from>
    <xdr:to>
      <xdr:col>4</xdr:col>
      <xdr:colOff>1104900</xdr:colOff>
      <xdr:row>52</xdr:row>
      <xdr:rowOff>76200</xdr:rowOff>
    </xdr:to>
    <xdr:sp macro="" textlink="">
      <xdr:nvSpPr>
        <xdr:cNvPr id="279948" name="Line 14"/>
        <xdr:cNvSpPr>
          <a:spLocks noChangeShapeType="1"/>
        </xdr:cNvSpPr>
      </xdr:nvSpPr>
      <xdr:spPr bwMode="auto">
        <a:xfrm>
          <a:off x="5381625" y="8763000"/>
          <a:ext cx="180975" cy="0"/>
        </a:xfrm>
        <a:prstGeom prst="line">
          <a:avLst/>
        </a:prstGeom>
        <a:noFill/>
        <a:ln w="9525">
          <a:solidFill>
            <a:srgbClr val="0000FF"/>
          </a:solidFill>
          <a:round/>
          <a:headEnd/>
          <a:tailEnd type="triangle" w="med" len="med"/>
        </a:ln>
      </xdr:spPr>
    </xdr:sp>
    <xdr:clientData/>
  </xdr:twoCellAnchor>
  <xdr:twoCellAnchor>
    <xdr:from>
      <xdr:col>4</xdr:col>
      <xdr:colOff>923925</xdr:colOff>
      <xdr:row>53</xdr:row>
      <xdr:rowOff>123825</xdr:rowOff>
    </xdr:from>
    <xdr:to>
      <xdr:col>4</xdr:col>
      <xdr:colOff>1085850</xdr:colOff>
      <xdr:row>53</xdr:row>
      <xdr:rowOff>123825</xdr:rowOff>
    </xdr:to>
    <xdr:sp macro="" textlink="">
      <xdr:nvSpPr>
        <xdr:cNvPr id="279949" name="Line 15"/>
        <xdr:cNvSpPr>
          <a:spLocks noChangeShapeType="1"/>
        </xdr:cNvSpPr>
      </xdr:nvSpPr>
      <xdr:spPr bwMode="auto">
        <a:xfrm>
          <a:off x="5381625" y="8972550"/>
          <a:ext cx="161925" cy="0"/>
        </a:xfrm>
        <a:prstGeom prst="line">
          <a:avLst/>
        </a:prstGeom>
        <a:noFill/>
        <a:ln w="9525">
          <a:solidFill>
            <a:srgbClr val="0000FF"/>
          </a:solidFill>
          <a:round/>
          <a:headEnd/>
          <a:tailEnd type="triangle" w="med" len="med"/>
        </a:ln>
      </xdr:spPr>
    </xdr:sp>
    <xdr:clientData/>
  </xdr:twoCellAnchor>
  <xdr:twoCellAnchor>
    <xdr:from>
      <xdr:col>4</xdr:col>
      <xdr:colOff>933450</xdr:colOff>
      <xdr:row>54</xdr:row>
      <xdr:rowOff>123825</xdr:rowOff>
    </xdr:from>
    <xdr:to>
      <xdr:col>4</xdr:col>
      <xdr:colOff>1114425</xdr:colOff>
      <xdr:row>54</xdr:row>
      <xdr:rowOff>123825</xdr:rowOff>
    </xdr:to>
    <xdr:sp macro="" textlink="">
      <xdr:nvSpPr>
        <xdr:cNvPr id="279950" name="Line 16"/>
        <xdr:cNvSpPr>
          <a:spLocks noChangeShapeType="1"/>
        </xdr:cNvSpPr>
      </xdr:nvSpPr>
      <xdr:spPr bwMode="auto">
        <a:xfrm>
          <a:off x="5391150" y="9134475"/>
          <a:ext cx="180975" cy="0"/>
        </a:xfrm>
        <a:prstGeom prst="line">
          <a:avLst/>
        </a:prstGeom>
        <a:noFill/>
        <a:ln w="9525">
          <a:solidFill>
            <a:srgbClr val="0000FF"/>
          </a:solidFill>
          <a:round/>
          <a:headEnd/>
          <a:tailEnd type="triangle" w="med" len="med"/>
        </a:ln>
      </xdr:spPr>
    </xdr:sp>
    <xdr:clientData/>
  </xdr:twoCellAnchor>
  <xdr:twoCellAnchor>
    <xdr:from>
      <xdr:col>3</xdr:col>
      <xdr:colOff>561975</xdr:colOff>
      <xdr:row>53</xdr:row>
      <xdr:rowOff>123825</xdr:rowOff>
    </xdr:from>
    <xdr:to>
      <xdr:col>4</xdr:col>
      <xdr:colOff>933450</xdr:colOff>
      <xdr:row>53</xdr:row>
      <xdr:rowOff>123825</xdr:rowOff>
    </xdr:to>
    <xdr:sp macro="" textlink="">
      <xdr:nvSpPr>
        <xdr:cNvPr id="279951" name="Line 17"/>
        <xdr:cNvSpPr>
          <a:spLocks noChangeShapeType="1"/>
        </xdr:cNvSpPr>
      </xdr:nvSpPr>
      <xdr:spPr bwMode="auto">
        <a:xfrm>
          <a:off x="4048125" y="8972550"/>
          <a:ext cx="1343025" cy="0"/>
        </a:xfrm>
        <a:prstGeom prst="line">
          <a:avLst/>
        </a:prstGeom>
        <a:noFill/>
        <a:ln w="9525">
          <a:solidFill>
            <a:srgbClr val="0000FF"/>
          </a:solidFill>
          <a:round/>
          <a:headEnd/>
          <a:tailEnd/>
        </a:ln>
      </xdr:spPr>
    </xdr:sp>
    <xdr:clientData/>
  </xdr:twoCellAnchor>
  <xdr:twoCellAnchor>
    <xdr:from>
      <xdr:col>4</xdr:col>
      <xdr:colOff>9525</xdr:colOff>
      <xdr:row>46</xdr:row>
      <xdr:rowOff>95250</xdr:rowOff>
    </xdr:from>
    <xdr:to>
      <xdr:col>6</xdr:col>
      <xdr:colOff>419100</xdr:colOff>
      <xdr:row>46</xdr:row>
      <xdr:rowOff>142875</xdr:rowOff>
    </xdr:to>
    <xdr:sp macro="" textlink="">
      <xdr:nvSpPr>
        <xdr:cNvPr id="279952" name="Line 18"/>
        <xdr:cNvSpPr>
          <a:spLocks noChangeShapeType="1"/>
        </xdr:cNvSpPr>
      </xdr:nvSpPr>
      <xdr:spPr bwMode="auto">
        <a:xfrm>
          <a:off x="4467225" y="7810500"/>
          <a:ext cx="3714750" cy="47625"/>
        </a:xfrm>
        <a:prstGeom prst="line">
          <a:avLst/>
        </a:prstGeom>
        <a:noFill/>
        <a:ln w="9525">
          <a:solidFill>
            <a:srgbClr val="FF00FF"/>
          </a:solidFill>
          <a:round/>
          <a:headEnd/>
          <a:tailEnd/>
        </a:ln>
      </xdr:spPr>
    </xdr:sp>
    <xdr:clientData/>
  </xdr:twoCellAnchor>
  <xdr:twoCellAnchor>
    <xdr:from>
      <xdr:col>6</xdr:col>
      <xdr:colOff>428625</xdr:colOff>
      <xdr:row>26</xdr:row>
      <xdr:rowOff>85725</xdr:rowOff>
    </xdr:from>
    <xdr:to>
      <xdr:col>6</xdr:col>
      <xdr:colOff>466725</xdr:colOff>
      <xdr:row>46</xdr:row>
      <xdr:rowOff>142875</xdr:rowOff>
    </xdr:to>
    <xdr:sp macro="" textlink="">
      <xdr:nvSpPr>
        <xdr:cNvPr id="279953" name="Line 19"/>
        <xdr:cNvSpPr>
          <a:spLocks noChangeShapeType="1"/>
        </xdr:cNvSpPr>
      </xdr:nvSpPr>
      <xdr:spPr bwMode="auto">
        <a:xfrm flipV="1">
          <a:off x="8191500" y="4476750"/>
          <a:ext cx="38100" cy="3381375"/>
        </a:xfrm>
        <a:prstGeom prst="line">
          <a:avLst/>
        </a:prstGeom>
        <a:noFill/>
        <a:ln w="9525">
          <a:solidFill>
            <a:srgbClr val="FF00FF"/>
          </a:solidFill>
          <a:round/>
          <a:headEnd/>
          <a:tailEnd/>
        </a:ln>
      </xdr:spPr>
    </xdr:sp>
    <xdr:clientData/>
  </xdr:twoCellAnchor>
  <xdr:twoCellAnchor>
    <xdr:from>
      <xdr:col>3</xdr:col>
      <xdr:colOff>647700</xdr:colOff>
      <xdr:row>52</xdr:row>
      <xdr:rowOff>19050</xdr:rowOff>
    </xdr:from>
    <xdr:to>
      <xdr:col>4</xdr:col>
      <xdr:colOff>1295400</xdr:colOff>
      <xdr:row>75</xdr:row>
      <xdr:rowOff>133350</xdr:rowOff>
    </xdr:to>
    <xdr:sp macro="" textlink="">
      <xdr:nvSpPr>
        <xdr:cNvPr id="279954" name="Line 22"/>
        <xdr:cNvSpPr>
          <a:spLocks noChangeShapeType="1"/>
        </xdr:cNvSpPr>
      </xdr:nvSpPr>
      <xdr:spPr bwMode="auto">
        <a:xfrm>
          <a:off x="4133850" y="8705850"/>
          <a:ext cx="1619250" cy="3876675"/>
        </a:xfrm>
        <a:prstGeom prst="line">
          <a:avLst/>
        </a:prstGeom>
        <a:noFill/>
        <a:ln w="9525">
          <a:solidFill>
            <a:srgbClr val="FF00FF"/>
          </a:solidFill>
          <a:round/>
          <a:headEnd/>
          <a:tailEnd type="triangle" w="med" len="med"/>
        </a:ln>
      </xdr:spPr>
    </xdr:sp>
    <xdr:clientData/>
  </xdr:twoCellAnchor>
  <xdr:twoCellAnchor>
    <xdr:from>
      <xdr:col>3</xdr:col>
      <xdr:colOff>447675</xdr:colOff>
      <xdr:row>50</xdr:row>
      <xdr:rowOff>152400</xdr:rowOff>
    </xdr:from>
    <xdr:to>
      <xdr:col>3</xdr:col>
      <xdr:colOff>447675</xdr:colOff>
      <xdr:row>70</xdr:row>
      <xdr:rowOff>19050</xdr:rowOff>
    </xdr:to>
    <xdr:sp macro="" textlink="">
      <xdr:nvSpPr>
        <xdr:cNvPr id="279955" name="Line 23"/>
        <xdr:cNvSpPr>
          <a:spLocks noChangeShapeType="1"/>
        </xdr:cNvSpPr>
      </xdr:nvSpPr>
      <xdr:spPr bwMode="auto">
        <a:xfrm>
          <a:off x="3933825" y="8515350"/>
          <a:ext cx="0" cy="3143250"/>
        </a:xfrm>
        <a:prstGeom prst="line">
          <a:avLst/>
        </a:prstGeom>
        <a:noFill/>
        <a:ln w="9525">
          <a:solidFill>
            <a:srgbClr val="FF00FF"/>
          </a:solidFill>
          <a:round/>
          <a:headEnd/>
          <a:tailEnd type="triangle" w="med" len="med"/>
        </a:ln>
      </xdr:spPr>
    </xdr:sp>
    <xdr:clientData/>
  </xdr:twoCellAnchor>
  <xdr:twoCellAnchor>
    <xdr:from>
      <xdr:col>3</xdr:col>
      <xdr:colOff>571500</xdr:colOff>
      <xdr:row>51</xdr:row>
      <xdr:rowOff>142875</xdr:rowOff>
    </xdr:from>
    <xdr:to>
      <xdr:col>3</xdr:col>
      <xdr:colOff>571500</xdr:colOff>
      <xdr:row>53</xdr:row>
      <xdr:rowOff>123825</xdr:rowOff>
    </xdr:to>
    <xdr:sp macro="" textlink="">
      <xdr:nvSpPr>
        <xdr:cNvPr id="279956" name="Line 24"/>
        <xdr:cNvSpPr>
          <a:spLocks noChangeShapeType="1"/>
        </xdr:cNvSpPr>
      </xdr:nvSpPr>
      <xdr:spPr bwMode="auto">
        <a:xfrm flipV="1">
          <a:off x="4057650" y="8667750"/>
          <a:ext cx="0" cy="304800"/>
        </a:xfrm>
        <a:prstGeom prst="line">
          <a:avLst/>
        </a:prstGeom>
        <a:noFill/>
        <a:ln w="9525">
          <a:solidFill>
            <a:srgbClr val="0000FF"/>
          </a:solidFill>
          <a:round/>
          <a:headEnd/>
          <a:tailEnd/>
        </a:ln>
      </xdr:spPr>
    </xdr:sp>
    <xdr:clientData/>
  </xdr:twoCellAnchor>
  <xdr:twoCellAnchor>
    <xdr:from>
      <xdr:col>4</xdr:col>
      <xdr:colOff>1731156</xdr:colOff>
      <xdr:row>56</xdr:row>
      <xdr:rowOff>9525</xdr:rowOff>
    </xdr:from>
    <xdr:to>
      <xdr:col>4</xdr:col>
      <xdr:colOff>2462676</xdr:colOff>
      <xdr:row>56</xdr:row>
      <xdr:rowOff>9525</xdr:rowOff>
    </xdr:to>
    <xdr:cxnSp macro="">
      <xdr:nvCxnSpPr>
        <xdr:cNvPr id="22" name="Straight Connector 21"/>
        <xdr:cNvCxnSpPr/>
      </xdr:nvCxnSpPr>
      <xdr:spPr>
        <a:xfrm>
          <a:off x="6188856" y="9344025"/>
          <a:ext cx="73152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171450</xdr:colOff>
      <xdr:row>27</xdr:row>
      <xdr:rowOff>76200</xdr:rowOff>
    </xdr:from>
    <xdr:to>
      <xdr:col>6</xdr:col>
      <xdr:colOff>457200</xdr:colOff>
      <xdr:row>27</xdr:row>
      <xdr:rowOff>76200</xdr:rowOff>
    </xdr:to>
    <xdr:sp macro="" textlink="">
      <xdr:nvSpPr>
        <xdr:cNvPr id="279958" name="Line 20"/>
        <xdr:cNvSpPr>
          <a:spLocks noChangeShapeType="1"/>
        </xdr:cNvSpPr>
      </xdr:nvSpPr>
      <xdr:spPr bwMode="auto">
        <a:xfrm flipH="1" flipV="1">
          <a:off x="7934325" y="4629150"/>
          <a:ext cx="285750" cy="0"/>
        </a:xfrm>
        <a:prstGeom prst="line">
          <a:avLst/>
        </a:prstGeom>
        <a:noFill/>
        <a:ln w="9525">
          <a:solidFill>
            <a:srgbClr val="FF00FF"/>
          </a:solidFill>
          <a:round/>
          <a:headEnd/>
          <a:tailEnd type="triangle" w="med" len="med"/>
        </a:ln>
      </xdr:spPr>
    </xdr:sp>
    <xdr:clientData/>
  </xdr:twoCellAnchor>
  <xdr:twoCellAnchor>
    <xdr:from>
      <xdr:col>6</xdr:col>
      <xdr:colOff>171450</xdr:colOff>
      <xdr:row>28</xdr:row>
      <xdr:rowOff>66675</xdr:rowOff>
    </xdr:from>
    <xdr:to>
      <xdr:col>6</xdr:col>
      <xdr:colOff>457200</xdr:colOff>
      <xdr:row>28</xdr:row>
      <xdr:rowOff>66675</xdr:rowOff>
    </xdr:to>
    <xdr:sp macro="" textlink="">
      <xdr:nvSpPr>
        <xdr:cNvPr id="279959" name="Line 21"/>
        <xdr:cNvSpPr>
          <a:spLocks noChangeShapeType="1"/>
        </xdr:cNvSpPr>
      </xdr:nvSpPr>
      <xdr:spPr bwMode="auto">
        <a:xfrm flipH="1" flipV="1">
          <a:off x="7934325" y="4781550"/>
          <a:ext cx="285750" cy="0"/>
        </a:xfrm>
        <a:prstGeom prst="line">
          <a:avLst/>
        </a:prstGeom>
        <a:noFill/>
        <a:ln w="9525">
          <a:solidFill>
            <a:srgbClr val="FF00FF"/>
          </a:solidFill>
          <a:round/>
          <a:headEnd/>
          <a:tailEnd type="triangle" w="med" len="med"/>
        </a:ln>
      </xdr:spPr>
    </xdr:sp>
    <xdr:clientData/>
  </xdr:twoCellAnchor>
  <xdr:twoCellAnchor>
    <xdr:from>
      <xdr:col>2</xdr:col>
      <xdr:colOff>1276350</xdr:colOff>
      <xdr:row>7</xdr:row>
      <xdr:rowOff>13607</xdr:rowOff>
    </xdr:from>
    <xdr:to>
      <xdr:col>12</xdr:col>
      <xdr:colOff>258536</xdr:colOff>
      <xdr:row>24</xdr:row>
      <xdr:rowOff>38100</xdr:rowOff>
    </xdr:to>
    <xdr:cxnSp macro="">
      <xdr:nvCxnSpPr>
        <xdr:cNvPr id="26" name="Straight Arrow Connector 25"/>
        <xdr:cNvCxnSpPr/>
      </xdr:nvCxnSpPr>
      <xdr:spPr>
        <a:xfrm flipV="1">
          <a:off x="3438525" y="1366157"/>
          <a:ext cx="12183836" cy="275816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171450</xdr:colOff>
      <xdr:row>28</xdr:row>
      <xdr:rowOff>76200</xdr:rowOff>
    </xdr:from>
    <xdr:to>
      <xdr:col>6</xdr:col>
      <xdr:colOff>457200</xdr:colOff>
      <xdr:row>28</xdr:row>
      <xdr:rowOff>76200</xdr:rowOff>
    </xdr:to>
    <xdr:sp macro="" textlink="">
      <xdr:nvSpPr>
        <xdr:cNvPr id="279961" name="Line 20"/>
        <xdr:cNvSpPr>
          <a:spLocks noChangeShapeType="1"/>
        </xdr:cNvSpPr>
      </xdr:nvSpPr>
      <xdr:spPr bwMode="auto">
        <a:xfrm flipH="1" flipV="1">
          <a:off x="7934325" y="4791075"/>
          <a:ext cx="285750" cy="0"/>
        </a:xfrm>
        <a:prstGeom prst="line">
          <a:avLst/>
        </a:prstGeom>
        <a:noFill/>
        <a:ln w="9525">
          <a:solidFill>
            <a:srgbClr val="FF00FF"/>
          </a:solidFill>
          <a:round/>
          <a:headEnd/>
          <a:tailEnd type="triangle" w="med" len="med"/>
        </a:ln>
      </xdr:spPr>
    </xdr:sp>
    <xdr:clientData/>
  </xdr:twoCellAnchor>
  <xdr:twoCellAnchor>
    <xdr:from>
      <xdr:col>6</xdr:col>
      <xdr:colOff>180975</xdr:colOff>
      <xdr:row>26</xdr:row>
      <xdr:rowOff>95250</xdr:rowOff>
    </xdr:from>
    <xdr:to>
      <xdr:col>6</xdr:col>
      <xdr:colOff>466725</xdr:colOff>
      <xdr:row>26</xdr:row>
      <xdr:rowOff>95250</xdr:rowOff>
    </xdr:to>
    <xdr:sp macro="" textlink="">
      <xdr:nvSpPr>
        <xdr:cNvPr id="279962" name="Line 20"/>
        <xdr:cNvSpPr>
          <a:spLocks noChangeShapeType="1"/>
        </xdr:cNvSpPr>
      </xdr:nvSpPr>
      <xdr:spPr bwMode="auto">
        <a:xfrm flipH="1" flipV="1">
          <a:off x="7943850" y="4486275"/>
          <a:ext cx="285750" cy="0"/>
        </a:xfrm>
        <a:prstGeom prst="line">
          <a:avLst/>
        </a:prstGeom>
        <a:noFill/>
        <a:ln w="9525">
          <a:solidFill>
            <a:srgbClr val="FF00FF"/>
          </a:solidFill>
          <a:round/>
          <a:headEnd/>
          <a:tailEnd type="triangle" w="med" len="med"/>
        </a:ln>
      </xdr:spPr>
    </xdr:sp>
    <xdr:clientData/>
  </xdr:twoCellAnchor>
  <xdr:twoCellAnchor>
    <xdr:from>
      <xdr:col>4</xdr:col>
      <xdr:colOff>923925</xdr:colOff>
      <xdr:row>52</xdr:row>
      <xdr:rowOff>76200</xdr:rowOff>
    </xdr:from>
    <xdr:to>
      <xdr:col>4</xdr:col>
      <xdr:colOff>923925</xdr:colOff>
      <xdr:row>55</xdr:row>
      <xdr:rowOff>104775</xdr:rowOff>
    </xdr:to>
    <xdr:sp macro="" textlink="">
      <xdr:nvSpPr>
        <xdr:cNvPr id="279963" name="Line 24"/>
        <xdr:cNvSpPr>
          <a:spLocks noChangeShapeType="1"/>
        </xdr:cNvSpPr>
      </xdr:nvSpPr>
      <xdr:spPr bwMode="auto">
        <a:xfrm>
          <a:off x="5381625" y="8763000"/>
          <a:ext cx="0" cy="514350"/>
        </a:xfrm>
        <a:prstGeom prst="line">
          <a:avLst/>
        </a:prstGeom>
        <a:noFill/>
        <a:ln w="9525">
          <a:solidFill>
            <a:srgbClr val="0000FF"/>
          </a:solidFill>
          <a:round/>
          <a:headEnd/>
          <a:tailEnd/>
        </a:ln>
      </xdr:spPr>
    </xdr:sp>
    <xdr:clientData/>
  </xdr:twoCellAnchor>
  <xdr:twoCellAnchor>
    <xdr:from>
      <xdr:col>4</xdr:col>
      <xdr:colOff>923925</xdr:colOff>
      <xdr:row>52</xdr:row>
      <xdr:rowOff>76200</xdr:rowOff>
    </xdr:from>
    <xdr:to>
      <xdr:col>4</xdr:col>
      <xdr:colOff>1104900</xdr:colOff>
      <xdr:row>52</xdr:row>
      <xdr:rowOff>76200</xdr:rowOff>
    </xdr:to>
    <xdr:sp macro="" textlink="">
      <xdr:nvSpPr>
        <xdr:cNvPr id="279964" name="Line 25"/>
        <xdr:cNvSpPr>
          <a:spLocks noChangeShapeType="1"/>
        </xdr:cNvSpPr>
      </xdr:nvSpPr>
      <xdr:spPr bwMode="auto">
        <a:xfrm>
          <a:off x="5381625" y="8763000"/>
          <a:ext cx="180975" cy="0"/>
        </a:xfrm>
        <a:prstGeom prst="line">
          <a:avLst/>
        </a:prstGeom>
        <a:noFill/>
        <a:ln w="9525">
          <a:solidFill>
            <a:srgbClr val="0000FF"/>
          </a:solidFill>
          <a:round/>
          <a:headEnd/>
          <a:tailEnd type="triangle" w="med" len="med"/>
        </a:ln>
      </xdr:spPr>
    </xdr:sp>
    <xdr:clientData/>
  </xdr:twoCellAnchor>
  <xdr:twoCellAnchor>
    <xdr:from>
      <xdr:col>4</xdr:col>
      <xdr:colOff>923925</xdr:colOff>
      <xdr:row>54</xdr:row>
      <xdr:rowOff>123825</xdr:rowOff>
    </xdr:from>
    <xdr:to>
      <xdr:col>4</xdr:col>
      <xdr:colOff>1104900</xdr:colOff>
      <xdr:row>54</xdr:row>
      <xdr:rowOff>123825</xdr:rowOff>
    </xdr:to>
    <xdr:sp macro="" textlink="">
      <xdr:nvSpPr>
        <xdr:cNvPr id="279965" name="Line 27"/>
        <xdr:cNvSpPr>
          <a:spLocks noChangeShapeType="1"/>
        </xdr:cNvSpPr>
      </xdr:nvSpPr>
      <xdr:spPr bwMode="auto">
        <a:xfrm>
          <a:off x="5381625" y="9134475"/>
          <a:ext cx="180975" cy="0"/>
        </a:xfrm>
        <a:prstGeom prst="line">
          <a:avLst/>
        </a:prstGeom>
        <a:noFill/>
        <a:ln w="9525">
          <a:solidFill>
            <a:srgbClr val="0000FF"/>
          </a:solidFill>
          <a:round/>
          <a:headEnd/>
          <a:tailEnd type="triangle" w="med" len="med"/>
        </a:ln>
      </xdr:spPr>
    </xdr:sp>
    <xdr:clientData/>
  </xdr:twoCellAnchor>
  <xdr:twoCellAnchor>
    <xdr:from>
      <xdr:col>3</xdr:col>
      <xdr:colOff>561975</xdr:colOff>
      <xdr:row>53</xdr:row>
      <xdr:rowOff>123825</xdr:rowOff>
    </xdr:from>
    <xdr:to>
      <xdr:col>4</xdr:col>
      <xdr:colOff>933450</xdr:colOff>
      <xdr:row>53</xdr:row>
      <xdr:rowOff>123825</xdr:rowOff>
    </xdr:to>
    <xdr:sp macro="" textlink="">
      <xdr:nvSpPr>
        <xdr:cNvPr id="279966" name="Line 29"/>
        <xdr:cNvSpPr>
          <a:spLocks noChangeShapeType="1"/>
        </xdr:cNvSpPr>
      </xdr:nvSpPr>
      <xdr:spPr bwMode="auto">
        <a:xfrm>
          <a:off x="4048125" y="8972550"/>
          <a:ext cx="1343025" cy="0"/>
        </a:xfrm>
        <a:prstGeom prst="line">
          <a:avLst/>
        </a:prstGeom>
        <a:noFill/>
        <a:ln w="9525">
          <a:solidFill>
            <a:srgbClr val="0000FF"/>
          </a:solidFill>
          <a:round/>
          <a:headEnd/>
          <a:tailEnd/>
        </a:ln>
      </xdr:spPr>
    </xdr:sp>
    <xdr:clientData/>
  </xdr:twoCellAnchor>
  <xdr:twoCellAnchor>
    <xdr:from>
      <xdr:col>4</xdr:col>
      <xdr:colOff>923925</xdr:colOff>
      <xdr:row>55</xdr:row>
      <xdr:rowOff>104775</xdr:rowOff>
    </xdr:from>
    <xdr:to>
      <xdr:col>4</xdr:col>
      <xdr:colOff>1104900</xdr:colOff>
      <xdr:row>55</xdr:row>
      <xdr:rowOff>104775</xdr:rowOff>
    </xdr:to>
    <xdr:sp macro="" textlink="">
      <xdr:nvSpPr>
        <xdr:cNvPr id="279967" name="Line 27"/>
        <xdr:cNvSpPr>
          <a:spLocks noChangeShapeType="1"/>
        </xdr:cNvSpPr>
      </xdr:nvSpPr>
      <xdr:spPr bwMode="auto">
        <a:xfrm>
          <a:off x="5381625" y="9277350"/>
          <a:ext cx="180975" cy="0"/>
        </a:xfrm>
        <a:prstGeom prst="line">
          <a:avLst/>
        </a:prstGeom>
        <a:noFill/>
        <a:ln w="9525">
          <a:solidFill>
            <a:srgbClr val="0000FF"/>
          </a:solidFill>
          <a:round/>
          <a:headEnd/>
          <a:tailEnd type="triangle" w="med" len="med"/>
        </a:ln>
      </xdr:spPr>
    </xdr:sp>
    <xdr:clientData/>
  </xdr:twoCellAnchor>
  <xdr:twoCellAnchor>
    <xdr:from>
      <xdr:col>4</xdr:col>
      <xdr:colOff>1733550</xdr:colOff>
      <xdr:row>16</xdr:row>
      <xdr:rowOff>76200</xdr:rowOff>
    </xdr:from>
    <xdr:to>
      <xdr:col>5</xdr:col>
      <xdr:colOff>654050</xdr:colOff>
      <xdr:row>22</xdr:row>
      <xdr:rowOff>38100</xdr:rowOff>
    </xdr:to>
    <xdr:sp macro="" textlink="">
      <xdr:nvSpPr>
        <xdr:cNvPr id="33" name="Flowchart: Document 32">
          <a:hlinkClick xmlns:r="http://schemas.openxmlformats.org/officeDocument/2006/relationships" r:id="rId1"/>
        </xdr:cNvPr>
        <xdr:cNvSpPr/>
      </xdr:nvSpPr>
      <xdr:spPr>
        <a:xfrm>
          <a:off x="6191250" y="2943225"/>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685800</xdr:colOff>
      <xdr:row>21</xdr:row>
      <xdr:rowOff>180975</xdr:rowOff>
    </xdr:from>
    <xdr:to>
      <xdr:col>7</xdr:col>
      <xdr:colOff>501650</xdr:colOff>
      <xdr:row>28</xdr:row>
      <xdr:rowOff>104775</xdr:rowOff>
    </xdr:to>
    <xdr:sp macro="" textlink="">
      <xdr:nvSpPr>
        <xdr:cNvPr id="2" name="Flowchart: Document 1">
          <a:hlinkClick xmlns:r="http://schemas.openxmlformats.org/officeDocument/2006/relationships" r:id="rId1"/>
        </xdr:cNvPr>
        <xdr:cNvSpPr/>
      </xdr:nvSpPr>
      <xdr:spPr>
        <a:xfrm>
          <a:off x="8382000" y="4257675"/>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16</xdr:col>
      <xdr:colOff>353785</xdr:colOff>
      <xdr:row>1</xdr:row>
      <xdr:rowOff>81643</xdr:rowOff>
    </xdr:from>
    <xdr:to>
      <xdr:col>18</xdr:col>
      <xdr:colOff>526142</xdr:colOff>
      <xdr:row>4</xdr:row>
      <xdr:rowOff>332014</xdr:rowOff>
    </xdr:to>
    <xdr:sp macro="" textlink="">
      <xdr:nvSpPr>
        <xdr:cNvPr id="2" name="Flowchart: Document 1">
          <a:hlinkClick xmlns:r="http://schemas.openxmlformats.org/officeDocument/2006/relationships" r:id="rId1"/>
        </xdr:cNvPr>
        <xdr:cNvSpPr/>
      </xdr:nvSpPr>
      <xdr:spPr>
        <a:xfrm>
          <a:off x="14546035" y="272143"/>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1191986</xdr:colOff>
      <xdr:row>144</xdr:row>
      <xdr:rowOff>78921</xdr:rowOff>
    </xdr:from>
    <xdr:to>
      <xdr:col>6</xdr:col>
      <xdr:colOff>308429</xdr:colOff>
      <xdr:row>148</xdr:row>
      <xdr:rowOff>182335</xdr:rowOff>
    </xdr:to>
    <xdr:sp macro="" textlink="">
      <xdr:nvSpPr>
        <xdr:cNvPr id="2" name="Flowchart: Document 1">
          <a:hlinkClick xmlns:r="http://schemas.openxmlformats.org/officeDocument/2006/relationships" r:id="rId1"/>
        </xdr:cNvPr>
        <xdr:cNvSpPr/>
      </xdr:nvSpPr>
      <xdr:spPr>
        <a:xfrm>
          <a:off x="8022772" y="4718957"/>
          <a:ext cx="1388836" cy="865414"/>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590550</xdr:colOff>
      <xdr:row>1</xdr:row>
      <xdr:rowOff>95250</xdr:rowOff>
    </xdr:from>
    <xdr:to>
      <xdr:col>8</xdr:col>
      <xdr:colOff>105064</xdr:colOff>
      <xdr:row>6</xdr:row>
      <xdr:rowOff>131618</xdr:rowOff>
    </xdr:to>
    <xdr:sp macro="" textlink="">
      <xdr:nvSpPr>
        <xdr:cNvPr id="2" name="Flowchart: Document 1">
          <a:hlinkClick xmlns:r="http://schemas.openxmlformats.org/officeDocument/2006/relationships" r:id="rId1"/>
        </xdr:cNvPr>
        <xdr:cNvSpPr/>
      </xdr:nvSpPr>
      <xdr:spPr>
        <a:xfrm>
          <a:off x="9096375" y="295275"/>
          <a:ext cx="1419514" cy="845993"/>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18</xdr:col>
      <xdr:colOff>149802</xdr:colOff>
      <xdr:row>0</xdr:row>
      <xdr:rowOff>226868</xdr:rowOff>
    </xdr:from>
    <xdr:to>
      <xdr:col>20</xdr:col>
      <xdr:colOff>331066</xdr:colOff>
      <xdr:row>4</xdr:row>
      <xdr:rowOff>167986</xdr:rowOff>
    </xdr:to>
    <xdr:sp macro="" textlink="">
      <xdr:nvSpPr>
        <xdr:cNvPr id="2" name="Flowchart: Document 1">
          <a:hlinkClick xmlns:r="http://schemas.openxmlformats.org/officeDocument/2006/relationships" r:id="rId1"/>
        </xdr:cNvPr>
        <xdr:cNvSpPr/>
      </xdr:nvSpPr>
      <xdr:spPr>
        <a:xfrm>
          <a:off x="23447952" y="226868"/>
          <a:ext cx="1400464" cy="893618"/>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17</xdr:col>
      <xdr:colOff>212148</xdr:colOff>
      <xdr:row>1</xdr:row>
      <xdr:rowOff>26842</xdr:rowOff>
    </xdr:from>
    <xdr:to>
      <xdr:col>19</xdr:col>
      <xdr:colOff>396876</xdr:colOff>
      <xdr:row>5</xdr:row>
      <xdr:rowOff>19915</xdr:rowOff>
    </xdr:to>
    <xdr:sp macro="" textlink="">
      <xdr:nvSpPr>
        <xdr:cNvPr id="2" name="Flowchart: Document 1">
          <a:hlinkClick xmlns:r="http://schemas.openxmlformats.org/officeDocument/2006/relationships" r:id="rId1"/>
        </xdr:cNvPr>
        <xdr:cNvSpPr/>
      </xdr:nvSpPr>
      <xdr:spPr>
        <a:xfrm>
          <a:off x="23124103" y="286615"/>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17</xdr:col>
      <xdr:colOff>212148</xdr:colOff>
      <xdr:row>1</xdr:row>
      <xdr:rowOff>26842</xdr:rowOff>
    </xdr:from>
    <xdr:to>
      <xdr:col>19</xdr:col>
      <xdr:colOff>396876</xdr:colOff>
      <xdr:row>5</xdr:row>
      <xdr:rowOff>19915</xdr:rowOff>
    </xdr:to>
    <xdr:sp macro="" textlink="">
      <xdr:nvSpPr>
        <xdr:cNvPr id="3" name="Flowchart: Document 2">
          <a:hlinkClick xmlns:r="http://schemas.openxmlformats.org/officeDocument/2006/relationships" r:id="rId1"/>
        </xdr:cNvPr>
        <xdr:cNvSpPr/>
      </xdr:nvSpPr>
      <xdr:spPr>
        <a:xfrm>
          <a:off x="20681373" y="284017"/>
          <a:ext cx="1946853" cy="850323"/>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15</xdr:col>
      <xdr:colOff>443345</xdr:colOff>
      <xdr:row>1</xdr:row>
      <xdr:rowOff>100445</xdr:rowOff>
    </xdr:from>
    <xdr:to>
      <xdr:col>18</xdr:col>
      <xdr:colOff>18473</xdr:colOff>
      <xdr:row>5</xdr:row>
      <xdr:rowOff>95250</xdr:rowOff>
    </xdr:to>
    <xdr:sp macro="" textlink="">
      <xdr:nvSpPr>
        <xdr:cNvPr id="2" name="Flowchart: Document 1">
          <a:hlinkClick xmlns:r="http://schemas.openxmlformats.org/officeDocument/2006/relationships" r:id="rId1"/>
        </xdr:cNvPr>
        <xdr:cNvSpPr/>
      </xdr:nvSpPr>
      <xdr:spPr>
        <a:xfrm>
          <a:off x="21950795" y="367145"/>
          <a:ext cx="1403928" cy="89015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18</xdr:col>
      <xdr:colOff>190500</xdr:colOff>
      <xdr:row>2</xdr:row>
      <xdr:rowOff>51955</xdr:rowOff>
    </xdr:from>
    <xdr:to>
      <xdr:col>20</xdr:col>
      <xdr:colOff>375227</xdr:colOff>
      <xdr:row>7</xdr:row>
      <xdr:rowOff>10391</xdr:rowOff>
    </xdr:to>
    <xdr:sp macro="" textlink="">
      <xdr:nvSpPr>
        <xdr:cNvPr id="2" name="Flowchart: Document 1">
          <a:hlinkClick xmlns:r="http://schemas.openxmlformats.org/officeDocument/2006/relationships" r:id="rId1"/>
        </xdr:cNvPr>
        <xdr:cNvSpPr/>
      </xdr:nvSpPr>
      <xdr:spPr>
        <a:xfrm>
          <a:off x="20504727" y="5715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18</xdr:col>
      <xdr:colOff>190500</xdr:colOff>
      <xdr:row>1</xdr:row>
      <xdr:rowOff>173181</xdr:rowOff>
    </xdr:from>
    <xdr:to>
      <xdr:col>20</xdr:col>
      <xdr:colOff>375227</xdr:colOff>
      <xdr:row>5</xdr:row>
      <xdr:rowOff>166254</xdr:rowOff>
    </xdr:to>
    <xdr:sp macro="" textlink="">
      <xdr:nvSpPr>
        <xdr:cNvPr id="2" name="Flowchart: Document 1">
          <a:hlinkClick xmlns:r="http://schemas.openxmlformats.org/officeDocument/2006/relationships" r:id="rId1"/>
        </xdr:cNvPr>
        <xdr:cNvSpPr/>
      </xdr:nvSpPr>
      <xdr:spPr>
        <a:xfrm>
          <a:off x="20019818" y="432954"/>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29</xdr:col>
      <xdr:colOff>334242</xdr:colOff>
      <xdr:row>1</xdr:row>
      <xdr:rowOff>24245</xdr:rowOff>
    </xdr:from>
    <xdr:to>
      <xdr:col>31</xdr:col>
      <xdr:colOff>436708</xdr:colOff>
      <xdr:row>5</xdr:row>
      <xdr:rowOff>199</xdr:rowOff>
    </xdr:to>
    <xdr:sp macro="" textlink="">
      <xdr:nvSpPr>
        <xdr:cNvPr id="2" name="Flowchart: Document 1">
          <a:hlinkClick xmlns:r="http://schemas.openxmlformats.org/officeDocument/2006/relationships" r:id="rId1"/>
        </xdr:cNvPr>
        <xdr:cNvSpPr/>
      </xdr:nvSpPr>
      <xdr:spPr>
        <a:xfrm>
          <a:off x="34576617" y="295708"/>
          <a:ext cx="1388341" cy="887124"/>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29</xdr:col>
      <xdr:colOff>334242</xdr:colOff>
      <xdr:row>1</xdr:row>
      <xdr:rowOff>24245</xdr:rowOff>
    </xdr:from>
    <xdr:to>
      <xdr:col>31</xdr:col>
      <xdr:colOff>436708</xdr:colOff>
      <xdr:row>5</xdr:row>
      <xdr:rowOff>199</xdr:rowOff>
    </xdr:to>
    <xdr:sp macro="" textlink="">
      <xdr:nvSpPr>
        <xdr:cNvPr id="3" name="Flowchart: Document 2">
          <a:hlinkClick xmlns:r="http://schemas.openxmlformats.org/officeDocument/2006/relationships" r:id="rId1"/>
        </xdr:cNvPr>
        <xdr:cNvSpPr/>
      </xdr:nvSpPr>
      <xdr:spPr>
        <a:xfrm>
          <a:off x="31395267" y="376670"/>
          <a:ext cx="1378816" cy="985604"/>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14</xdr:col>
      <xdr:colOff>138545</xdr:colOff>
      <xdr:row>1</xdr:row>
      <xdr:rowOff>207818</xdr:rowOff>
    </xdr:from>
    <xdr:to>
      <xdr:col>16</xdr:col>
      <xdr:colOff>323272</xdr:colOff>
      <xdr:row>5</xdr:row>
      <xdr:rowOff>148936</xdr:rowOff>
    </xdr:to>
    <xdr:sp macro="" textlink="">
      <xdr:nvSpPr>
        <xdr:cNvPr id="2" name="Flowchart: Document 1">
          <a:hlinkClick xmlns:r="http://schemas.openxmlformats.org/officeDocument/2006/relationships" r:id="rId1"/>
        </xdr:cNvPr>
        <xdr:cNvSpPr/>
      </xdr:nvSpPr>
      <xdr:spPr>
        <a:xfrm>
          <a:off x="19777363" y="467591"/>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14</xdr:col>
      <xdr:colOff>173181</xdr:colOff>
      <xdr:row>1</xdr:row>
      <xdr:rowOff>173182</xdr:rowOff>
    </xdr:from>
    <xdr:to>
      <xdr:col>16</xdr:col>
      <xdr:colOff>357909</xdr:colOff>
      <xdr:row>5</xdr:row>
      <xdr:rowOff>114300</xdr:rowOff>
    </xdr:to>
    <xdr:sp macro="" textlink="">
      <xdr:nvSpPr>
        <xdr:cNvPr id="2" name="Flowchart: Document 1">
          <a:hlinkClick xmlns:r="http://schemas.openxmlformats.org/officeDocument/2006/relationships" r:id="rId1"/>
        </xdr:cNvPr>
        <xdr:cNvSpPr/>
      </xdr:nvSpPr>
      <xdr:spPr>
        <a:xfrm>
          <a:off x="20331545" y="432955"/>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14</xdr:col>
      <xdr:colOff>173183</xdr:colOff>
      <xdr:row>1</xdr:row>
      <xdr:rowOff>242454</xdr:rowOff>
    </xdr:from>
    <xdr:to>
      <xdr:col>16</xdr:col>
      <xdr:colOff>357910</xdr:colOff>
      <xdr:row>5</xdr:row>
      <xdr:rowOff>183572</xdr:rowOff>
    </xdr:to>
    <xdr:sp macro="" textlink="">
      <xdr:nvSpPr>
        <xdr:cNvPr id="2" name="Flowchart: Document 1">
          <a:hlinkClick xmlns:r="http://schemas.openxmlformats.org/officeDocument/2006/relationships" r:id="rId1"/>
        </xdr:cNvPr>
        <xdr:cNvSpPr/>
      </xdr:nvSpPr>
      <xdr:spPr>
        <a:xfrm>
          <a:off x="19050001" y="502227"/>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21</xdr:col>
      <xdr:colOff>185305</xdr:colOff>
      <xdr:row>0</xdr:row>
      <xdr:rowOff>213014</xdr:rowOff>
    </xdr:from>
    <xdr:to>
      <xdr:col>23</xdr:col>
      <xdr:colOff>387351</xdr:colOff>
      <xdr:row>3</xdr:row>
      <xdr:rowOff>176645</xdr:rowOff>
    </xdr:to>
    <xdr:sp macro="" textlink="">
      <xdr:nvSpPr>
        <xdr:cNvPr id="2" name="Flowchart: Document 1">
          <a:hlinkClick xmlns:r="http://schemas.openxmlformats.org/officeDocument/2006/relationships" r:id="rId1"/>
        </xdr:cNvPr>
        <xdr:cNvSpPr/>
      </xdr:nvSpPr>
      <xdr:spPr>
        <a:xfrm>
          <a:off x="25045555" y="213014"/>
          <a:ext cx="1421246" cy="878031"/>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23</xdr:col>
      <xdr:colOff>190500</xdr:colOff>
      <xdr:row>1</xdr:row>
      <xdr:rowOff>28576</xdr:rowOff>
    </xdr:from>
    <xdr:to>
      <xdr:col>25</xdr:col>
      <xdr:colOff>382155</xdr:colOff>
      <xdr:row>4</xdr:row>
      <xdr:rowOff>202693</xdr:rowOff>
    </xdr:to>
    <xdr:sp macro="" textlink="">
      <xdr:nvSpPr>
        <xdr:cNvPr id="2" name="Flowchart: Document 1">
          <a:hlinkClick xmlns:r="http://schemas.openxmlformats.org/officeDocument/2006/relationships" r:id="rId1"/>
        </xdr:cNvPr>
        <xdr:cNvSpPr/>
      </xdr:nvSpPr>
      <xdr:spPr>
        <a:xfrm>
          <a:off x="26917650" y="323851"/>
          <a:ext cx="1410855" cy="888422"/>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19</xdr:col>
      <xdr:colOff>138546</xdr:colOff>
      <xdr:row>1</xdr:row>
      <xdr:rowOff>123824</xdr:rowOff>
    </xdr:from>
    <xdr:to>
      <xdr:col>21</xdr:col>
      <xdr:colOff>323273</xdr:colOff>
      <xdr:row>5</xdr:row>
      <xdr:rowOff>131522</xdr:rowOff>
    </xdr:to>
    <xdr:sp macro="" textlink="">
      <xdr:nvSpPr>
        <xdr:cNvPr id="2" name="Flowchart: Document 1">
          <a:hlinkClick xmlns:r="http://schemas.openxmlformats.org/officeDocument/2006/relationships" r:id="rId1"/>
        </xdr:cNvPr>
        <xdr:cNvSpPr/>
      </xdr:nvSpPr>
      <xdr:spPr>
        <a:xfrm>
          <a:off x="21890182" y="450272"/>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23</xdr:col>
      <xdr:colOff>225136</xdr:colOff>
      <xdr:row>1</xdr:row>
      <xdr:rowOff>7793</xdr:rowOff>
    </xdr:from>
    <xdr:to>
      <xdr:col>25</xdr:col>
      <xdr:colOff>409863</xdr:colOff>
      <xdr:row>4</xdr:row>
      <xdr:rowOff>45017</xdr:rowOff>
    </xdr:to>
    <xdr:sp macro="" textlink="">
      <xdr:nvSpPr>
        <xdr:cNvPr id="2" name="Flowchart: Document 1">
          <a:hlinkClick xmlns:r="http://schemas.openxmlformats.org/officeDocument/2006/relationships" r:id="rId1"/>
        </xdr:cNvPr>
        <xdr:cNvSpPr/>
      </xdr:nvSpPr>
      <xdr:spPr>
        <a:xfrm>
          <a:off x="26219727" y="277091"/>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23</xdr:col>
      <xdr:colOff>273627</xdr:colOff>
      <xdr:row>1</xdr:row>
      <xdr:rowOff>148071</xdr:rowOff>
    </xdr:from>
    <xdr:to>
      <xdr:col>25</xdr:col>
      <xdr:colOff>456623</xdr:colOff>
      <xdr:row>5</xdr:row>
      <xdr:rowOff>43296</xdr:rowOff>
    </xdr:to>
    <xdr:sp macro="" textlink="">
      <xdr:nvSpPr>
        <xdr:cNvPr id="2" name="Flowchart: Document 1">
          <a:hlinkClick xmlns:r="http://schemas.openxmlformats.org/officeDocument/2006/relationships" r:id="rId1"/>
        </xdr:cNvPr>
        <xdr:cNvSpPr/>
      </xdr:nvSpPr>
      <xdr:spPr>
        <a:xfrm>
          <a:off x="26334027" y="500496"/>
          <a:ext cx="1402196"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23</xdr:col>
      <xdr:colOff>287916</xdr:colOff>
      <xdr:row>2</xdr:row>
      <xdr:rowOff>22082</xdr:rowOff>
    </xdr:from>
    <xdr:to>
      <xdr:col>25</xdr:col>
      <xdr:colOff>450996</xdr:colOff>
      <xdr:row>6</xdr:row>
      <xdr:rowOff>31971</xdr:rowOff>
    </xdr:to>
    <xdr:sp macro="" textlink="">
      <xdr:nvSpPr>
        <xdr:cNvPr id="2" name="Flowchart: Document 1">
          <a:hlinkClick xmlns:r="http://schemas.openxmlformats.org/officeDocument/2006/relationships" r:id="rId1"/>
        </xdr:cNvPr>
        <xdr:cNvSpPr/>
      </xdr:nvSpPr>
      <xdr:spPr>
        <a:xfrm>
          <a:off x="25981604" y="565007"/>
          <a:ext cx="1401330" cy="848157"/>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23</xdr:col>
      <xdr:colOff>214313</xdr:colOff>
      <xdr:row>2</xdr:row>
      <xdr:rowOff>56718</xdr:rowOff>
    </xdr:from>
    <xdr:to>
      <xdr:col>25</xdr:col>
      <xdr:colOff>377392</xdr:colOff>
      <xdr:row>6</xdr:row>
      <xdr:rowOff>212027</xdr:rowOff>
    </xdr:to>
    <xdr:sp macro="" textlink="">
      <xdr:nvSpPr>
        <xdr:cNvPr id="2" name="Flowchart: Document 1">
          <a:hlinkClick xmlns:r="http://schemas.openxmlformats.org/officeDocument/2006/relationships" r:id="rId1"/>
        </xdr:cNvPr>
        <xdr:cNvSpPr/>
      </xdr:nvSpPr>
      <xdr:spPr>
        <a:xfrm>
          <a:off x="25788938" y="742518"/>
          <a:ext cx="1401329" cy="850322"/>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12</xdr:col>
      <xdr:colOff>234043</xdr:colOff>
      <xdr:row>1</xdr:row>
      <xdr:rowOff>239485</xdr:rowOff>
    </xdr:from>
    <xdr:to>
      <xdr:col>13</xdr:col>
      <xdr:colOff>528865</xdr:colOff>
      <xdr:row>6</xdr:row>
      <xdr:rowOff>81642</xdr:rowOff>
    </xdr:to>
    <xdr:sp macro="" textlink="">
      <xdr:nvSpPr>
        <xdr:cNvPr id="2" name="Flowchart: Document 1">
          <a:hlinkClick xmlns:r="http://schemas.openxmlformats.org/officeDocument/2006/relationships" r:id="rId1"/>
        </xdr:cNvPr>
        <xdr:cNvSpPr/>
      </xdr:nvSpPr>
      <xdr:spPr>
        <a:xfrm>
          <a:off x="14766472" y="498021"/>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12</xdr:col>
      <xdr:colOff>195943</xdr:colOff>
      <xdr:row>2</xdr:row>
      <xdr:rowOff>8164</xdr:rowOff>
    </xdr:from>
    <xdr:to>
      <xdr:col>13</xdr:col>
      <xdr:colOff>490765</xdr:colOff>
      <xdr:row>6</xdr:row>
      <xdr:rowOff>108856</xdr:rowOff>
    </xdr:to>
    <xdr:sp macro="" textlink="">
      <xdr:nvSpPr>
        <xdr:cNvPr id="2" name="Flowchart: Document 1">
          <a:hlinkClick xmlns:r="http://schemas.openxmlformats.org/officeDocument/2006/relationships" r:id="rId1"/>
        </xdr:cNvPr>
        <xdr:cNvSpPr/>
      </xdr:nvSpPr>
      <xdr:spPr>
        <a:xfrm>
          <a:off x="14728372" y="525235"/>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12</xdr:col>
      <xdr:colOff>136071</xdr:colOff>
      <xdr:row>1</xdr:row>
      <xdr:rowOff>95249</xdr:rowOff>
    </xdr:from>
    <xdr:to>
      <xdr:col>13</xdr:col>
      <xdr:colOff>430893</xdr:colOff>
      <xdr:row>5</xdr:row>
      <xdr:rowOff>141514</xdr:rowOff>
    </xdr:to>
    <xdr:sp macro="" textlink="">
      <xdr:nvSpPr>
        <xdr:cNvPr id="2" name="Flowchart: Document 1">
          <a:hlinkClick xmlns:r="http://schemas.openxmlformats.org/officeDocument/2006/relationships" r:id="rId1"/>
        </xdr:cNvPr>
        <xdr:cNvSpPr/>
      </xdr:nvSpPr>
      <xdr:spPr>
        <a:xfrm>
          <a:off x="14668500" y="353785"/>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11</xdr:col>
      <xdr:colOff>251732</xdr:colOff>
      <xdr:row>1</xdr:row>
      <xdr:rowOff>85724</xdr:rowOff>
    </xdr:from>
    <xdr:to>
      <xdr:col>12</xdr:col>
      <xdr:colOff>546554</xdr:colOff>
      <xdr:row>5</xdr:row>
      <xdr:rowOff>131989</xdr:rowOff>
    </xdr:to>
    <xdr:sp macro="" textlink="">
      <xdr:nvSpPr>
        <xdr:cNvPr id="2" name="Flowchart: Document 1">
          <a:hlinkClick xmlns:r="http://schemas.openxmlformats.org/officeDocument/2006/relationships" r:id="rId1"/>
        </xdr:cNvPr>
        <xdr:cNvSpPr/>
      </xdr:nvSpPr>
      <xdr:spPr>
        <a:xfrm>
          <a:off x="13668375" y="34426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11</xdr:col>
      <xdr:colOff>214993</xdr:colOff>
      <xdr:row>2</xdr:row>
      <xdr:rowOff>20411</xdr:rowOff>
    </xdr:from>
    <xdr:to>
      <xdr:col>12</xdr:col>
      <xdr:colOff>509815</xdr:colOff>
      <xdr:row>6</xdr:row>
      <xdr:rowOff>121103</xdr:rowOff>
    </xdr:to>
    <xdr:sp macro="" textlink="">
      <xdr:nvSpPr>
        <xdr:cNvPr id="2" name="Flowchart: Document 1">
          <a:hlinkClick xmlns:r="http://schemas.openxmlformats.org/officeDocument/2006/relationships" r:id="rId1"/>
        </xdr:cNvPr>
        <xdr:cNvSpPr/>
      </xdr:nvSpPr>
      <xdr:spPr>
        <a:xfrm>
          <a:off x="13631636" y="537482"/>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11</xdr:col>
      <xdr:colOff>236765</xdr:colOff>
      <xdr:row>1</xdr:row>
      <xdr:rowOff>40821</xdr:rowOff>
    </xdr:from>
    <xdr:to>
      <xdr:col>12</xdr:col>
      <xdr:colOff>531587</xdr:colOff>
      <xdr:row>5</xdr:row>
      <xdr:rowOff>87086</xdr:rowOff>
    </xdr:to>
    <xdr:sp macro="" textlink="">
      <xdr:nvSpPr>
        <xdr:cNvPr id="2" name="Flowchart: Document 1">
          <a:hlinkClick xmlns:r="http://schemas.openxmlformats.org/officeDocument/2006/relationships" r:id="rId1"/>
        </xdr:cNvPr>
        <xdr:cNvSpPr/>
      </xdr:nvSpPr>
      <xdr:spPr>
        <a:xfrm>
          <a:off x="13653408" y="299357"/>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11</xdr:col>
      <xdr:colOff>209550</xdr:colOff>
      <xdr:row>1</xdr:row>
      <xdr:rowOff>242207</xdr:rowOff>
    </xdr:from>
    <xdr:to>
      <xdr:col>12</xdr:col>
      <xdr:colOff>504372</xdr:colOff>
      <xdr:row>6</xdr:row>
      <xdr:rowOff>84364</xdr:rowOff>
    </xdr:to>
    <xdr:sp macro="" textlink="">
      <xdr:nvSpPr>
        <xdr:cNvPr id="2" name="Flowchart: Document 1">
          <a:hlinkClick xmlns:r="http://schemas.openxmlformats.org/officeDocument/2006/relationships" r:id="rId1"/>
        </xdr:cNvPr>
        <xdr:cNvSpPr/>
      </xdr:nvSpPr>
      <xdr:spPr>
        <a:xfrm>
          <a:off x="13626193" y="500743"/>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11</xdr:col>
      <xdr:colOff>311604</xdr:colOff>
      <xdr:row>0</xdr:row>
      <xdr:rowOff>179614</xdr:rowOff>
    </xdr:from>
    <xdr:to>
      <xdr:col>12</xdr:col>
      <xdr:colOff>606426</xdr:colOff>
      <xdr:row>4</xdr:row>
      <xdr:rowOff>171450</xdr:rowOff>
    </xdr:to>
    <xdr:sp macro="" textlink="">
      <xdr:nvSpPr>
        <xdr:cNvPr id="2" name="Flowchart: Document 1">
          <a:hlinkClick xmlns:r="http://schemas.openxmlformats.org/officeDocument/2006/relationships" r:id="rId1"/>
        </xdr:cNvPr>
        <xdr:cNvSpPr/>
      </xdr:nvSpPr>
      <xdr:spPr>
        <a:xfrm>
          <a:off x="13728247" y="179614"/>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11</xdr:col>
      <xdr:colOff>346982</xdr:colOff>
      <xdr:row>1</xdr:row>
      <xdr:rowOff>-1</xdr:rowOff>
    </xdr:from>
    <xdr:to>
      <xdr:col>12</xdr:col>
      <xdr:colOff>641804</xdr:colOff>
      <xdr:row>5</xdr:row>
      <xdr:rowOff>46264</xdr:rowOff>
    </xdr:to>
    <xdr:sp macro="" textlink="">
      <xdr:nvSpPr>
        <xdr:cNvPr id="2" name="Flowchart: Document 1">
          <a:hlinkClick xmlns:r="http://schemas.openxmlformats.org/officeDocument/2006/relationships" r:id="rId1"/>
        </xdr:cNvPr>
        <xdr:cNvSpPr/>
      </xdr:nvSpPr>
      <xdr:spPr>
        <a:xfrm>
          <a:off x="13763625" y="258535"/>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34.xml><?xml version="1.0" encoding="utf-8"?>
<xdr:wsDr xmlns:xdr="http://schemas.openxmlformats.org/drawingml/2006/spreadsheetDrawing" xmlns:a="http://schemas.openxmlformats.org/drawingml/2006/main">
  <xdr:twoCellAnchor>
    <xdr:from>
      <xdr:col>12</xdr:col>
      <xdr:colOff>385082</xdr:colOff>
      <xdr:row>1</xdr:row>
      <xdr:rowOff>2721</xdr:rowOff>
    </xdr:from>
    <xdr:to>
      <xdr:col>13</xdr:col>
      <xdr:colOff>679904</xdr:colOff>
      <xdr:row>5</xdr:row>
      <xdr:rowOff>48986</xdr:rowOff>
    </xdr:to>
    <xdr:sp macro="" textlink="">
      <xdr:nvSpPr>
        <xdr:cNvPr id="2" name="Flowchart: Document 1">
          <a:hlinkClick xmlns:r="http://schemas.openxmlformats.org/officeDocument/2006/relationships" r:id="rId1"/>
        </xdr:cNvPr>
        <xdr:cNvSpPr/>
      </xdr:nvSpPr>
      <xdr:spPr>
        <a:xfrm>
          <a:off x="13801725" y="261257"/>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35.xml><?xml version="1.0" encoding="utf-8"?>
<xdr:wsDr xmlns:xdr="http://schemas.openxmlformats.org/drawingml/2006/spreadsheetDrawing" xmlns:a="http://schemas.openxmlformats.org/drawingml/2006/main">
  <xdr:twoCellAnchor>
    <xdr:from>
      <xdr:col>12</xdr:col>
      <xdr:colOff>302079</xdr:colOff>
      <xdr:row>1</xdr:row>
      <xdr:rowOff>47625</xdr:rowOff>
    </xdr:from>
    <xdr:to>
      <xdr:col>13</xdr:col>
      <xdr:colOff>596901</xdr:colOff>
      <xdr:row>5</xdr:row>
      <xdr:rowOff>93890</xdr:rowOff>
    </xdr:to>
    <xdr:sp macro="" textlink="">
      <xdr:nvSpPr>
        <xdr:cNvPr id="2" name="Flowchart: Document 1">
          <a:hlinkClick xmlns:r="http://schemas.openxmlformats.org/officeDocument/2006/relationships" r:id="rId1"/>
        </xdr:cNvPr>
        <xdr:cNvSpPr/>
      </xdr:nvSpPr>
      <xdr:spPr>
        <a:xfrm>
          <a:off x="13718722" y="306161"/>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11</xdr:col>
      <xdr:colOff>195943</xdr:colOff>
      <xdr:row>0</xdr:row>
      <xdr:rowOff>84364</xdr:rowOff>
    </xdr:from>
    <xdr:to>
      <xdr:col>12</xdr:col>
      <xdr:colOff>490765</xdr:colOff>
      <xdr:row>4</xdr:row>
      <xdr:rowOff>76200</xdr:rowOff>
    </xdr:to>
    <xdr:sp macro="" textlink="">
      <xdr:nvSpPr>
        <xdr:cNvPr id="2" name="Flowchart: Document 1">
          <a:hlinkClick xmlns:r="http://schemas.openxmlformats.org/officeDocument/2006/relationships" r:id="rId1"/>
        </xdr:cNvPr>
        <xdr:cNvSpPr/>
      </xdr:nvSpPr>
      <xdr:spPr>
        <a:xfrm>
          <a:off x="13612586" y="84364"/>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12</xdr:col>
      <xdr:colOff>201386</xdr:colOff>
      <xdr:row>0</xdr:row>
      <xdr:rowOff>204107</xdr:rowOff>
    </xdr:from>
    <xdr:to>
      <xdr:col>13</xdr:col>
      <xdr:colOff>496208</xdr:colOff>
      <xdr:row>4</xdr:row>
      <xdr:rowOff>73478</xdr:rowOff>
    </xdr:to>
    <xdr:sp macro="" textlink="">
      <xdr:nvSpPr>
        <xdr:cNvPr id="2" name="Flowchart: Document 1">
          <a:hlinkClick xmlns:r="http://schemas.openxmlformats.org/officeDocument/2006/relationships" r:id="rId1"/>
        </xdr:cNvPr>
        <xdr:cNvSpPr/>
      </xdr:nvSpPr>
      <xdr:spPr>
        <a:xfrm>
          <a:off x="13618029" y="204107"/>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12</xdr:col>
      <xdr:colOff>200025</xdr:colOff>
      <xdr:row>1</xdr:row>
      <xdr:rowOff>131988</xdr:rowOff>
    </xdr:from>
    <xdr:to>
      <xdr:col>13</xdr:col>
      <xdr:colOff>494847</xdr:colOff>
      <xdr:row>5</xdr:row>
      <xdr:rowOff>55788</xdr:rowOff>
    </xdr:to>
    <xdr:sp macro="" textlink="">
      <xdr:nvSpPr>
        <xdr:cNvPr id="2" name="Flowchart: Document 1">
          <a:hlinkClick xmlns:r="http://schemas.openxmlformats.org/officeDocument/2006/relationships" r:id="rId1"/>
        </xdr:cNvPr>
        <xdr:cNvSpPr/>
      </xdr:nvSpPr>
      <xdr:spPr>
        <a:xfrm>
          <a:off x="13616668" y="390524"/>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11</xdr:col>
      <xdr:colOff>263979</xdr:colOff>
      <xdr:row>0</xdr:row>
      <xdr:rowOff>232682</xdr:rowOff>
    </xdr:from>
    <xdr:to>
      <xdr:col>12</xdr:col>
      <xdr:colOff>558801</xdr:colOff>
      <xdr:row>5</xdr:row>
      <xdr:rowOff>20411</xdr:rowOff>
    </xdr:to>
    <xdr:sp macro="" textlink="">
      <xdr:nvSpPr>
        <xdr:cNvPr id="2" name="Flowchart: Document 1">
          <a:hlinkClick xmlns:r="http://schemas.openxmlformats.org/officeDocument/2006/relationships" r:id="rId1"/>
        </xdr:cNvPr>
        <xdr:cNvSpPr/>
      </xdr:nvSpPr>
      <xdr:spPr>
        <a:xfrm>
          <a:off x="13680622" y="232682"/>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11</xdr:col>
      <xdr:colOff>277586</xdr:colOff>
      <xdr:row>0</xdr:row>
      <xdr:rowOff>167367</xdr:rowOff>
    </xdr:from>
    <xdr:to>
      <xdr:col>12</xdr:col>
      <xdr:colOff>572408</xdr:colOff>
      <xdr:row>4</xdr:row>
      <xdr:rowOff>159203</xdr:rowOff>
    </xdr:to>
    <xdr:sp macro="" textlink="">
      <xdr:nvSpPr>
        <xdr:cNvPr id="2" name="Flowchart: Document 1">
          <a:hlinkClick xmlns:r="http://schemas.openxmlformats.org/officeDocument/2006/relationships" r:id="rId1"/>
        </xdr:cNvPr>
        <xdr:cNvSpPr/>
      </xdr:nvSpPr>
      <xdr:spPr>
        <a:xfrm>
          <a:off x="13694229" y="167367"/>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8</xdr:col>
      <xdr:colOff>265113</xdr:colOff>
      <xdr:row>1</xdr:row>
      <xdr:rowOff>56357</xdr:rowOff>
    </xdr:from>
    <xdr:to>
      <xdr:col>10</xdr:col>
      <xdr:colOff>338138</xdr:colOff>
      <xdr:row>5</xdr:row>
      <xdr:rowOff>128459</xdr:rowOff>
    </xdr:to>
    <xdr:sp macro="" textlink="">
      <xdr:nvSpPr>
        <xdr:cNvPr id="2" name="Flowchart: Document 1">
          <a:hlinkClick xmlns:r="http://schemas.openxmlformats.org/officeDocument/2006/relationships" r:id="rId1"/>
        </xdr:cNvPr>
        <xdr:cNvSpPr/>
      </xdr:nvSpPr>
      <xdr:spPr>
        <a:xfrm>
          <a:off x="13933488" y="351632"/>
          <a:ext cx="1397000" cy="853281"/>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42.xml><?xml version="1.0" encoding="utf-8"?>
<xdr:wsDr xmlns:xdr="http://schemas.openxmlformats.org/drawingml/2006/spreadsheetDrawing" xmlns:a="http://schemas.openxmlformats.org/drawingml/2006/main">
  <xdr:twoCellAnchor>
    <xdr:from>
      <xdr:col>15</xdr:col>
      <xdr:colOff>265113</xdr:colOff>
      <xdr:row>1</xdr:row>
      <xdr:rowOff>56357</xdr:rowOff>
    </xdr:from>
    <xdr:to>
      <xdr:col>17</xdr:col>
      <xdr:colOff>338138</xdr:colOff>
      <xdr:row>5</xdr:row>
      <xdr:rowOff>128627</xdr:rowOff>
    </xdr:to>
    <xdr:sp macro="" textlink="">
      <xdr:nvSpPr>
        <xdr:cNvPr id="2" name="Flowchart: Document 1">
          <a:hlinkClick xmlns:r="http://schemas.openxmlformats.org/officeDocument/2006/relationships" r:id="rId1"/>
        </xdr:cNvPr>
        <xdr:cNvSpPr/>
      </xdr:nvSpPr>
      <xdr:spPr>
        <a:xfrm>
          <a:off x="13930313" y="348457"/>
          <a:ext cx="1393825" cy="859631"/>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22</xdr:col>
      <xdr:colOff>299405</xdr:colOff>
      <xdr:row>0</xdr:row>
      <xdr:rowOff>127288</xdr:rowOff>
    </xdr:from>
    <xdr:to>
      <xdr:col>23</xdr:col>
      <xdr:colOff>1078279</xdr:colOff>
      <xdr:row>4</xdr:row>
      <xdr:rowOff>175876</xdr:rowOff>
    </xdr:to>
    <xdr:sp macro="" textlink="">
      <xdr:nvSpPr>
        <xdr:cNvPr id="2" name="Flowchart: Document 1">
          <a:hlinkClick xmlns:r="http://schemas.openxmlformats.org/officeDocument/2006/relationships" r:id="rId1"/>
        </xdr:cNvPr>
        <xdr:cNvSpPr/>
      </xdr:nvSpPr>
      <xdr:spPr>
        <a:xfrm>
          <a:off x="20353860" y="193963"/>
          <a:ext cx="1385010" cy="865642"/>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44.xml><?xml version="1.0" encoding="utf-8"?>
<xdr:wsDr xmlns:xdr="http://schemas.openxmlformats.org/drawingml/2006/spreadsheetDrawing" xmlns:a="http://schemas.openxmlformats.org/drawingml/2006/main">
  <xdr:twoCellAnchor>
    <xdr:from>
      <xdr:col>21</xdr:col>
      <xdr:colOff>476250</xdr:colOff>
      <xdr:row>1</xdr:row>
      <xdr:rowOff>0</xdr:rowOff>
    </xdr:from>
    <xdr:to>
      <xdr:col>22</xdr:col>
      <xdr:colOff>920750</xdr:colOff>
      <xdr:row>5</xdr:row>
      <xdr:rowOff>19050</xdr:rowOff>
    </xdr:to>
    <xdr:sp macro="" textlink="">
      <xdr:nvSpPr>
        <xdr:cNvPr id="3" name="Flowchart: Document 2">
          <a:hlinkClick xmlns:r="http://schemas.openxmlformats.org/officeDocument/2006/relationships" r:id="rId1"/>
        </xdr:cNvPr>
        <xdr:cNvSpPr/>
      </xdr:nvSpPr>
      <xdr:spPr>
        <a:xfrm>
          <a:off x="21621750" y="28575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46</xdr:col>
      <xdr:colOff>723900</xdr:colOff>
      <xdr:row>1</xdr:row>
      <xdr:rowOff>38100</xdr:rowOff>
    </xdr:from>
    <xdr:to>
      <xdr:col>48</xdr:col>
      <xdr:colOff>215900</xdr:colOff>
      <xdr:row>5</xdr:row>
      <xdr:rowOff>76363</xdr:rowOff>
    </xdr:to>
    <xdr:sp macro="" textlink="">
      <xdr:nvSpPr>
        <xdr:cNvPr id="4" name="Flowchart: Document 3">
          <a:hlinkClick xmlns:r="http://schemas.openxmlformats.org/officeDocument/2006/relationships" r:id="rId1"/>
        </xdr:cNvPr>
        <xdr:cNvSpPr/>
      </xdr:nvSpPr>
      <xdr:spPr>
        <a:xfrm>
          <a:off x="46443900" y="3429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71</xdr:col>
      <xdr:colOff>876300</xdr:colOff>
      <xdr:row>1</xdr:row>
      <xdr:rowOff>133350</xdr:rowOff>
    </xdr:from>
    <xdr:to>
      <xdr:col>73</xdr:col>
      <xdr:colOff>368300</xdr:colOff>
      <xdr:row>6</xdr:row>
      <xdr:rowOff>38212</xdr:rowOff>
    </xdr:to>
    <xdr:sp macro="" textlink="">
      <xdr:nvSpPr>
        <xdr:cNvPr id="5" name="Flowchart: Document 4">
          <a:hlinkClick xmlns:r="http://schemas.openxmlformats.org/officeDocument/2006/relationships" r:id="rId1"/>
        </xdr:cNvPr>
        <xdr:cNvSpPr/>
      </xdr:nvSpPr>
      <xdr:spPr>
        <a:xfrm>
          <a:off x="71170800" y="4953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96</xdr:col>
      <xdr:colOff>742950</xdr:colOff>
      <xdr:row>1</xdr:row>
      <xdr:rowOff>104775</xdr:rowOff>
    </xdr:from>
    <xdr:to>
      <xdr:col>98</xdr:col>
      <xdr:colOff>234950</xdr:colOff>
      <xdr:row>6</xdr:row>
      <xdr:rowOff>235</xdr:rowOff>
    </xdr:to>
    <xdr:sp macro="" textlink="">
      <xdr:nvSpPr>
        <xdr:cNvPr id="6" name="Flowchart: Document 5">
          <a:hlinkClick xmlns:r="http://schemas.openxmlformats.org/officeDocument/2006/relationships" r:id="rId1"/>
        </xdr:cNvPr>
        <xdr:cNvSpPr/>
      </xdr:nvSpPr>
      <xdr:spPr>
        <a:xfrm>
          <a:off x="95611950" y="4572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121</xdr:col>
      <xdr:colOff>419100</xdr:colOff>
      <xdr:row>1</xdr:row>
      <xdr:rowOff>85725</xdr:rowOff>
    </xdr:from>
    <xdr:to>
      <xdr:col>122</xdr:col>
      <xdr:colOff>863600</xdr:colOff>
      <xdr:row>5</xdr:row>
      <xdr:rowOff>152807</xdr:rowOff>
    </xdr:to>
    <xdr:sp macro="" textlink="">
      <xdr:nvSpPr>
        <xdr:cNvPr id="7" name="Flowchart: Document 6">
          <a:hlinkClick xmlns:r="http://schemas.openxmlformats.org/officeDocument/2006/relationships" r:id="rId1"/>
        </xdr:cNvPr>
        <xdr:cNvSpPr/>
      </xdr:nvSpPr>
      <xdr:spPr>
        <a:xfrm>
          <a:off x="119862600" y="4191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21</xdr:col>
      <xdr:colOff>190500</xdr:colOff>
      <xdr:row>37</xdr:row>
      <xdr:rowOff>0</xdr:rowOff>
    </xdr:from>
    <xdr:to>
      <xdr:col>22</xdr:col>
      <xdr:colOff>635000</xdr:colOff>
      <xdr:row>41</xdr:row>
      <xdr:rowOff>19050</xdr:rowOff>
    </xdr:to>
    <xdr:sp macro="" textlink="">
      <xdr:nvSpPr>
        <xdr:cNvPr id="8" name="Flowchart: Document 7">
          <a:hlinkClick xmlns:r="http://schemas.openxmlformats.org/officeDocument/2006/relationships" r:id="rId1"/>
        </xdr:cNvPr>
        <xdr:cNvSpPr/>
      </xdr:nvSpPr>
      <xdr:spPr>
        <a:xfrm>
          <a:off x="21336000" y="1419225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46</xdr:col>
      <xdr:colOff>723900</xdr:colOff>
      <xdr:row>36</xdr:row>
      <xdr:rowOff>47625</xdr:rowOff>
    </xdr:from>
    <xdr:to>
      <xdr:col>48</xdr:col>
      <xdr:colOff>215900</xdr:colOff>
      <xdr:row>40</xdr:row>
      <xdr:rowOff>77309</xdr:rowOff>
    </xdr:to>
    <xdr:sp macro="" textlink="">
      <xdr:nvSpPr>
        <xdr:cNvPr id="9" name="Flowchart: Document 8">
          <a:hlinkClick xmlns:r="http://schemas.openxmlformats.org/officeDocument/2006/relationships" r:id="rId1"/>
        </xdr:cNvPr>
        <xdr:cNvSpPr/>
      </xdr:nvSpPr>
      <xdr:spPr>
        <a:xfrm>
          <a:off x="46443900" y="140589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71</xdr:col>
      <xdr:colOff>685800</xdr:colOff>
      <xdr:row>37</xdr:row>
      <xdr:rowOff>0</xdr:rowOff>
    </xdr:from>
    <xdr:to>
      <xdr:col>73</xdr:col>
      <xdr:colOff>177800</xdr:colOff>
      <xdr:row>41</xdr:row>
      <xdr:rowOff>38020</xdr:rowOff>
    </xdr:to>
    <xdr:sp macro="" textlink="">
      <xdr:nvSpPr>
        <xdr:cNvPr id="10" name="Flowchart: Document 9">
          <a:hlinkClick xmlns:r="http://schemas.openxmlformats.org/officeDocument/2006/relationships" r:id="rId1"/>
        </xdr:cNvPr>
        <xdr:cNvSpPr/>
      </xdr:nvSpPr>
      <xdr:spPr>
        <a:xfrm>
          <a:off x="70980300" y="142113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96</xdr:col>
      <xdr:colOff>647700</xdr:colOff>
      <xdr:row>36</xdr:row>
      <xdr:rowOff>133350</xdr:rowOff>
    </xdr:from>
    <xdr:to>
      <xdr:col>98</xdr:col>
      <xdr:colOff>139700</xdr:colOff>
      <xdr:row>41</xdr:row>
      <xdr:rowOff>125</xdr:rowOff>
    </xdr:to>
    <xdr:sp macro="" textlink="">
      <xdr:nvSpPr>
        <xdr:cNvPr id="11" name="Flowchart: Document 10">
          <a:hlinkClick xmlns:r="http://schemas.openxmlformats.org/officeDocument/2006/relationships" r:id="rId1"/>
        </xdr:cNvPr>
        <xdr:cNvSpPr/>
      </xdr:nvSpPr>
      <xdr:spPr>
        <a:xfrm>
          <a:off x="95516700" y="141732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121</xdr:col>
      <xdr:colOff>228600</xdr:colOff>
      <xdr:row>37</xdr:row>
      <xdr:rowOff>66675</xdr:rowOff>
    </xdr:from>
    <xdr:to>
      <xdr:col>122</xdr:col>
      <xdr:colOff>673100</xdr:colOff>
      <xdr:row>42</xdr:row>
      <xdr:rowOff>56429</xdr:rowOff>
    </xdr:to>
    <xdr:sp macro="" textlink="">
      <xdr:nvSpPr>
        <xdr:cNvPr id="12" name="Flowchart: Document 11">
          <a:hlinkClick xmlns:r="http://schemas.openxmlformats.org/officeDocument/2006/relationships" r:id="rId1"/>
        </xdr:cNvPr>
        <xdr:cNvSpPr/>
      </xdr:nvSpPr>
      <xdr:spPr>
        <a:xfrm>
          <a:off x="119672100" y="1442085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21</xdr:col>
      <xdr:colOff>95250</xdr:colOff>
      <xdr:row>73</xdr:row>
      <xdr:rowOff>0</xdr:rowOff>
    </xdr:from>
    <xdr:to>
      <xdr:col>22</xdr:col>
      <xdr:colOff>539750</xdr:colOff>
      <xdr:row>77</xdr:row>
      <xdr:rowOff>19050</xdr:rowOff>
    </xdr:to>
    <xdr:sp macro="" textlink="">
      <xdr:nvSpPr>
        <xdr:cNvPr id="13" name="Flowchart: Document 12">
          <a:hlinkClick xmlns:r="http://schemas.openxmlformats.org/officeDocument/2006/relationships" r:id="rId1"/>
        </xdr:cNvPr>
        <xdr:cNvSpPr/>
      </xdr:nvSpPr>
      <xdr:spPr>
        <a:xfrm>
          <a:off x="21240750" y="2809875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46</xdr:col>
      <xdr:colOff>628650</xdr:colOff>
      <xdr:row>73</xdr:row>
      <xdr:rowOff>38100</xdr:rowOff>
    </xdr:from>
    <xdr:to>
      <xdr:col>48</xdr:col>
      <xdr:colOff>120650</xdr:colOff>
      <xdr:row>77</xdr:row>
      <xdr:rowOff>76120</xdr:rowOff>
    </xdr:to>
    <xdr:sp macro="" textlink="">
      <xdr:nvSpPr>
        <xdr:cNvPr id="14" name="Flowchart: Document 13">
          <a:hlinkClick xmlns:r="http://schemas.openxmlformats.org/officeDocument/2006/relationships" r:id="rId1"/>
        </xdr:cNvPr>
        <xdr:cNvSpPr/>
      </xdr:nvSpPr>
      <xdr:spPr>
        <a:xfrm>
          <a:off x="46348650" y="281559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71</xdr:col>
      <xdr:colOff>495300</xdr:colOff>
      <xdr:row>73</xdr:row>
      <xdr:rowOff>76200</xdr:rowOff>
    </xdr:from>
    <xdr:to>
      <xdr:col>72</xdr:col>
      <xdr:colOff>939800</xdr:colOff>
      <xdr:row>77</xdr:row>
      <xdr:rowOff>133189</xdr:rowOff>
    </xdr:to>
    <xdr:sp macro="" textlink="">
      <xdr:nvSpPr>
        <xdr:cNvPr id="15" name="Flowchart: Document 14">
          <a:hlinkClick xmlns:r="http://schemas.openxmlformats.org/officeDocument/2006/relationships" r:id="rId1"/>
        </xdr:cNvPr>
        <xdr:cNvSpPr/>
      </xdr:nvSpPr>
      <xdr:spPr>
        <a:xfrm>
          <a:off x="70789800" y="2821305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96</xdr:col>
      <xdr:colOff>742950</xdr:colOff>
      <xdr:row>72</xdr:row>
      <xdr:rowOff>266700</xdr:rowOff>
    </xdr:from>
    <xdr:to>
      <xdr:col>98</xdr:col>
      <xdr:colOff>234950</xdr:colOff>
      <xdr:row>77</xdr:row>
      <xdr:rowOff>0</xdr:rowOff>
    </xdr:to>
    <xdr:sp macro="" textlink="">
      <xdr:nvSpPr>
        <xdr:cNvPr id="16" name="Flowchart: Document 15">
          <a:hlinkClick xmlns:r="http://schemas.openxmlformats.org/officeDocument/2006/relationships" r:id="rId1"/>
        </xdr:cNvPr>
        <xdr:cNvSpPr/>
      </xdr:nvSpPr>
      <xdr:spPr>
        <a:xfrm>
          <a:off x="95611950" y="280797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121</xdr:col>
      <xdr:colOff>800100</xdr:colOff>
      <xdr:row>72</xdr:row>
      <xdr:rowOff>85725</xdr:rowOff>
    </xdr:from>
    <xdr:to>
      <xdr:col>123</xdr:col>
      <xdr:colOff>292100</xdr:colOff>
      <xdr:row>76</xdr:row>
      <xdr:rowOff>56902</xdr:rowOff>
    </xdr:to>
    <xdr:sp macro="" textlink="">
      <xdr:nvSpPr>
        <xdr:cNvPr id="17" name="Flowchart: Document 16">
          <a:hlinkClick xmlns:r="http://schemas.openxmlformats.org/officeDocument/2006/relationships" r:id="rId1"/>
        </xdr:cNvPr>
        <xdr:cNvSpPr/>
      </xdr:nvSpPr>
      <xdr:spPr>
        <a:xfrm>
          <a:off x="120243600" y="2794635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146</xdr:col>
      <xdr:colOff>762000</xdr:colOff>
      <xdr:row>72</xdr:row>
      <xdr:rowOff>0</xdr:rowOff>
    </xdr:from>
    <xdr:to>
      <xdr:col>148</xdr:col>
      <xdr:colOff>254000</xdr:colOff>
      <xdr:row>75</xdr:row>
      <xdr:rowOff>114300</xdr:rowOff>
    </xdr:to>
    <xdr:sp macro="" textlink="">
      <xdr:nvSpPr>
        <xdr:cNvPr id="18" name="Flowchart: Document 17">
          <a:hlinkClick xmlns:r="http://schemas.openxmlformats.org/officeDocument/2006/relationships" r:id="rId1"/>
        </xdr:cNvPr>
        <xdr:cNvSpPr/>
      </xdr:nvSpPr>
      <xdr:spPr>
        <a:xfrm>
          <a:off x="144780000" y="278130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46</xdr:col>
      <xdr:colOff>762000</xdr:colOff>
      <xdr:row>109</xdr:row>
      <xdr:rowOff>57150</xdr:rowOff>
    </xdr:from>
    <xdr:to>
      <xdr:col>48</xdr:col>
      <xdr:colOff>254000</xdr:colOff>
      <xdr:row>113</xdr:row>
      <xdr:rowOff>114626</xdr:rowOff>
    </xdr:to>
    <xdr:sp macro="" textlink="">
      <xdr:nvSpPr>
        <xdr:cNvPr id="19" name="Flowchart: Document 18">
          <a:hlinkClick xmlns:r="http://schemas.openxmlformats.org/officeDocument/2006/relationships" r:id="rId1"/>
        </xdr:cNvPr>
        <xdr:cNvSpPr/>
      </xdr:nvSpPr>
      <xdr:spPr>
        <a:xfrm>
          <a:off x="46482000" y="421005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twoCellAnchor>
    <xdr:from>
      <xdr:col>21</xdr:col>
      <xdr:colOff>628650</xdr:colOff>
      <xdr:row>109</xdr:row>
      <xdr:rowOff>38100</xdr:rowOff>
    </xdr:from>
    <xdr:to>
      <xdr:col>23</xdr:col>
      <xdr:colOff>120650</xdr:colOff>
      <xdr:row>113</xdr:row>
      <xdr:rowOff>76363</xdr:rowOff>
    </xdr:to>
    <xdr:sp macro="" textlink="">
      <xdr:nvSpPr>
        <xdr:cNvPr id="23" name="Flowchart: Document 22">
          <a:hlinkClick xmlns:r="http://schemas.openxmlformats.org/officeDocument/2006/relationships" r:id="rId1"/>
        </xdr:cNvPr>
        <xdr:cNvSpPr/>
      </xdr:nvSpPr>
      <xdr:spPr>
        <a:xfrm>
          <a:off x="21774150" y="420624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7</xdr:col>
      <xdr:colOff>638175</xdr:colOff>
      <xdr:row>2</xdr:row>
      <xdr:rowOff>180975</xdr:rowOff>
    </xdr:from>
    <xdr:to>
      <xdr:col>9</xdr:col>
      <xdr:colOff>301625</xdr:colOff>
      <xdr:row>7</xdr:row>
      <xdr:rowOff>37962</xdr:rowOff>
    </xdr:to>
    <xdr:sp macro="" textlink="">
      <xdr:nvSpPr>
        <xdr:cNvPr id="2" name="Flowchart: Document 1">
          <a:hlinkClick xmlns:r="http://schemas.openxmlformats.org/officeDocument/2006/relationships" r:id="rId1"/>
        </xdr:cNvPr>
        <xdr:cNvSpPr/>
      </xdr:nvSpPr>
      <xdr:spPr>
        <a:xfrm>
          <a:off x="9525000" y="809625"/>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10</xdr:col>
      <xdr:colOff>444874</xdr:colOff>
      <xdr:row>1</xdr:row>
      <xdr:rowOff>127187</xdr:rowOff>
    </xdr:from>
    <xdr:to>
      <xdr:col>13</xdr:col>
      <xdr:colOff>26521</xdr:colOff>
      <xdr:row>5</xdr:row>
      <xdr:rowOff>85183</xdr:rowOff>
    </xdr:to>
    <xdr:sp macro="" textlink="">
      <xdr:nvSpPr>
        <xdr:cNvPr id="2" name="Flowchart: Document 1">
          <a:hlinkClick xmlns:r="http://schemas.openxmlformats.org/officeDocument/2006/relationships" r:id="rId1"/>
        </xdr:cNvPr>
        <xdr:cNvSpPr/>
      </xdr:nvSpPr>
      <xdr:spPr>
        <a:xfrm>
          <a:off x="9950824" y="479612"/>
          <a:ext cx="1410447" cy="872938"/>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47.xml><?xml version="1.0" encoding="utf-8"?>
<xdr:wsDr xmlns:xdr="http://schemas.openxmlformats.org/drawingml/2006/spreadsheetDrawing" xmlns:a="http://schemas.openxmlformats.org/drawingml/2006/main">
  <xdr:twoCellAnchor>
    <xdr:from>
      <xdr:col>7</xdr:col>
      <xdr:colOff>638175</xdr:colOff>
      <xdr:row>2</xdr:row>
      <xdr:rowOff>180975</xdr:rowOff>
    </xdr:from>
    <xdr:to>
      <xdr:col>9</xdr:col>
      <xdr:colOff>301625</xdr:colOff>
      <xdr:row>7</xdr:row>
      <xdr:rowOff>38112</xdr:rowOff>
    </xdr:to>
    <xdr:sp macro="" textlink="">
      <xdr:nvSpPr>
        <xdr:cNvPr id="2" name="Flowchart: Document 1">
          <a:hlinkClick xmlns:r="http://schemas.openxmlformats.org/officeDocument/2006/relationships" r:id="rId1"/>
        </xdr:cNvPr>
        <xdr:cNvSpPr/>
      </xdr:nvSpPr>
      <xdr:spPr>
        <a:xfrm>
          <a:off x="9525000" y="809625"/>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48.xml><?xml version="1.0" encoding="utf-8"?>
<xdr:wsDr xmlns:xdr="http://schemas.openxmlformats.org/drawingml/2006/spreadsheetDrawing" xmlns:a="http://schemas.openxmlformats.org/drawingml/2006/main">
  <xdr:twoCellAnchor>
    <xdr:from>
      <xdr:col>10</xdr:col>
      <xdr:colOff>444874</xdr:colOff>
      <xdr:row>1</xdr:row>
      <xdr:rowOff>127187</xdr:rowOff>
    </xdr:from>
    <xdr:to>
      <xdr:col>13</xdr:col>
      <xdr:colOff>26521</xdr:colOff>
      <xdr:row>5</xdr:row>
      <xdr:rowOff>85707</xdr:rowOff>
    </xdr:to>
    <xdr:sp macro="" textlink="">
      <xdr:nvSpPr>
        <xdr:cNvPr id="2" name="Flowchart: Document 1">
          <a:hlinkClick xmlns:r="http://schemas.openxmlformats.org/officeDocument/2006/relationships" r:id="rId1"/>
        </xdr:cNvPr>
        <xdr:cNvSpPr/>
      </xdr:nvSpPr>
      <xdr:spPr>
        <a:xfrm>
          <a:off x="9925050" y="47569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49.xml><?xml version="1.0" encoding="utf-8"?>
<xdr:wsDr xmlns:xdr="http://schemas.openxmlformats.org/drawingml/2006/spreadsheetDrawing" xmlns:a="http://schemas.openxmlformats.org/drawingml/2006/main">
  <xdr:twoCellAnchor>
    <xdr:from>
      <xdr:col>10</xdr:col>
      <xdr:colOff>673100</xdr:colOff>
      <xdr:row>1</xdr:row>
      <xdr:rowOff>136525</xdr:rowOff>
    </xdr:from>
    <xdr:to>
      <xdr:col>13</xdr:col>
      <xdr:colOff>193675</xdr:colOff>
      <xdr:row>3</xdr:row>
      <xdr:rowOff>203200</xdr:rowOff>
    </xdr:to>
    <xdr:sp macro="" textlink="">
      <xdr:nvSpPr>
        <xdr:cNvPr id="6" name="Flowchart: Document 5">
          <a:hlinkClick xmlns:r="http://schemas.openxmlformats.org/officeDocument/2006/relationships" r:id="rId1"/>
        </xdr:cNvPr>
        <xdr:cNvSpPr/>
      </xdr:nvSpPr>
      <xdr:spPr>
        <a:xfrm>
          <a:off x="14084300" y="403225"/>
          <a:ext cx="1425575" cy="88582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50.xml><?xml version="1.0" encoding="utf-8"?>
<xdr:wsDr xmlns:xdr="http://schemas.openxmlformats.org/drawingml/2006/spreadsheetDrawing" xmlns:a="http://schemas.openxmlformats.org/drawingml/2006/main">
  <xdr:twoCellAnchor>
    <xdr:from>
      <xdr:col>10</xdr:col>
      <xdr:colOff>42181</xdr:colOff>
      <xdr:row>1</xdr:row>
      <xdr:rowOff>344261</xdr:rowOff>
    </xdr:from>
    <xdr:to>
      <xdr:col>12</xdr:col>
      <xdr:colOff>187324</xdr:colOff>
      <xdr:row>3</xdr:row>
      <xdr:rowOff>322490</xdr:rowOff>
    </xdr:to>
    <xdr:sp macro="" textlink="">
      <xdr:nvSpPr>
        <xdr:cNvPr id="2" name="Flowchart: Document 1">
          <a:hlinkClick xmlns:r="http://schemas.openxmlformats.org/officeDocument/2006/relationships" r:id="rId1"/>
        </xdr:cNvPr>
        <xdr:cNvSpPr/>
      </xdr:nvSpPr>
      <xdr:spPr>
        <a:xfrm>
          <a:off x="11295288" y="616404"/>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51.xml><?xml version="1.0" encoding="utf-8"?>
<xdr:wsDr xmlns:xdr="http://schemas.openxmlformats.org/drawingml/2006/spreadsheetDrawing" xmlns:a="http://schemas.openxmlformats.org/drawingml/2006/main">
  <xdr:twoCellAnchor>
    <xdr:from>
      <xdr:col>9</xdr:col>
      <xdr:colOff>317500</xdr:colOff>
      <xdr:row>7</xdr:row>
      <xdr:rowOff>304800</xdr:rowOff>
    </xdr:from>
    <xdr:to>
      <xdr:col>10</xdr:col>
      <xdr:colOff>1104900</xdr:colOff>
      <xdr:row>14</xdr:row>
      <xdr:rowOff>98425</xdr:rowOff>
    </xdr:to>
    <xdr:sp macro="" textlink="">
      <xdr:nvSpPr>
        <xdr:cNvPr id="2" name="Flowchart: Document 1">
          <a:hlinkClick xmlns:r="http://schemas.openxmlformats.org/officeDocument/2006/relationships" r:id="rId1"/>
        </xdr:cNvPr>
        <xdr:cNvSpPr/>
      </xdr:nvSpPr>
      <xdr:spPr>
        <a:xfrm>
          <a:off x="10906125" y="1495425"/>
          <a:ext cx="1390650" cy="87312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52.xml><?xml version="1.0" encoding="utf-8"?>
<xdr:wsDr xmlns:xdr="http://schemas.openxmlformats.org/drawingml/2006/spreadsheetDrawing" xmlns:a="http://schemas.openxmlformats.org/drawingml/2006/main">
  <xdr:twoCellAnchor>
    <xdr:from>
      <xdr:col>12</xdr:col>
      <xdr:colOff>254000</xdr:colOff>
      <xdr:row>1</xdr:row>
      <xdr:rowOff>180975</xdr:rowOff>
    </xdr:from>
    <xdr:to>
      <xdr:col>14</xdr:col>
      <xdr:colOff>446768</xdr:colOff>
      <xdr:row>5</xdr:row>
      <xdr:rowOff>152400</xdr:rowOff>
    </xdr:to>
    <xdr:sp macro="" textlink="">
      <xdr:nvSpPr>
        <xdr:cNvPr id="2" name="Flowchart: Document 1">
          <a:hlinkClick xmlns:r="http://schemas.openxmlformats.org/officeDocument/2006/relationships" r:id="rId1"/>
        </xdr:cNvPr>
        <xdr:cNvSpPr/>
      </xdr:nvSpPr>
      <xdr:spPr>
        <a:xfrm>
          <a:off x="15890875" y="466725"/>
          <a:ext cx="1399268"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53.xml><?xml version="1.0" encoding="utf-8"?>
<xdr:wsDr xmlns:xdr="http://schemas.openxmlformats.org/drawingml/2006/spreadsheetDrawing" xmlns:a="http://schemas.openxmlformats.org/drawingml/2006/main">
  <xdr:twoCellAnchor>
    <xdr:from>
      <xdr:col>5</xdr:col>
      <xdr:colOff>693964</xdr:colOff>
      <xdr:row>10</xdr:row>
      <xdr:rowOff>68036</xdr:rowOff>
    </xdr:from>
    <xdr:to>
      <xdr:col>6</xdr:col>
      <xdr:colOff>771071</xdr:colOff>
      <xdr:row>15</xdr:row>
      <xdr:rowOff>59871</xdr:rowOff>
    </xdr:to>
    <xdr:sp macro="" textlink="">
      <xdr:nvSpPr>
        <xdr:cNvPr id="2" name="Flowchart: Document 1">
          <a:hlinkClick xmlns:r="http://schemas.openxmlformats.org/officeDocument/2006/relationships" r:id="rId1"/>
        </xdr:cNvPr>
        <xdr:cNvSpPr/>
      </xdr:nvSpPr>
      <xdr:spPr>
        <a:xfrm>
          <a:off x="8708571" y="19050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54.xml><?xml version="1.0" encoding="utf-8"?>
<xdr:wsDr xmlns:xdr="http://schemas.openxmlformats.org/drawingml/2006/spreadsheetDrawing" xmlns:a="http://schemas.openxmlformats.org/drawingml/2006/main">
  <xdr:twoCellAnchor>
    <xdr:from>
      <xdr:col>14</xdr:col>
      <xdr:colOff>340179</xdr:colOff>
      <xdr:row>0</xdr:row>
      <xdr:rowOff>176894</xdr:rowOff>
    </xdr:from>
    <xdr:to>
      <xdr:col>16</xdr:col>
      <xdr:colOff>512536</xdr:colOff>
      <xdr:row>4</xdr:row>
      <xdr:rowOff>46265</xdr:rowOff>
    </xdr:to>
    <xdr:sp macro="" textlink="">
      <xdr:nvSpPr>
        <xdr:cNvPr id="2" name="Flowchart: Document 1">
          <a:hlinkClick xmlns:r="http://schemas.openxmlformats.org/officeDocument/2006/relationships" r:id="rId1"/>
        </xdr:cNvPr>
        <xdr:cNvSpPr/>
      </xdr:nvSpPr>
      <xdr:spPr>
        <a:xfrm>
          <a:off x="13416643" y="176894"/>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55.xml><?xml version="1.0" encoding="utf-8"?>
<xdr:wsDr xmlns:xdr="http://schemas.openxmlformats.org/drawingml/2006/spreadsheetDrawing" xmlns:a="http://schemas.openxmlformats.org/drawingml/2006/main">
  <xdr:twoCellAnchor>
    <xdr:from>
      <xdr:col>24</xdr:col>
      <xdr:colOff>226002</xdr:colOff>
      <xdr:row>2</xdr:row>
      <xdr:rowOff>426027</xdr:rowOff>
    </xdr:from>
    <xdr:to>
      <xdr:col>25</xdr:col>
      <xdr:colOff>520163</xdr:colOff>
      <xdr:row>6</xdr:row>
      <xdr:rowOff>193880</xdr:rowOff>
    </xdr:to>
    <xdr:sp macro="" textlink="">
      <xdr:nvSpPr>
        <xdr:cNvPr id="2" name="Flowchart: Document 1">
          <a:hlinkClick xmlns:r="http://schemas.openxmlformats.org/officeDocument/2006/relationships" r:id="rId1"/>
        </xdr:cNvPr>
        <xdr:cNvSpPr/>
      </xdr:nvSpPr>
      <xdr:spPr>
        <a:xfrm>
          <a:off x="20263138" y="980209"/>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56.xml><?xml version="1.0" encoding="utf-8"?>
<xdr:wsDr xmlns:xdr="http://schemas.openxmlformats.org/drawingml/2006/spreadsheetDrawing" xmlns:a="http://schemas.openxmlformats.org/drawingml/2006/main">
  <xdr:twoCellAnchor>
    <xdr:from>
      <xdr:col>24</xdr:col>
      <xdr:colOff>172168</xdr:colOff>
      <xdr:row>2</xdr:row>
      <xdr:rowOff>407574</xdr:rowOff>
    </xdr:from>
    <xdr:to>
      <xdr:col>25</xdr:col>
      <xdr:colOff>529997</xdr:colOff>
      <xdr:row>6</xdr:row>
      <xdr:rowOff>201546</xdr:rowOff>
    </xdr:to>
    <xdr:sp macro="" textlink="">
      <xdr:nvSpPr>
        <xdr:cNvPr id="2" name="Flowchart: Document 1">
          <a:hlinkClick xmlns:r="http://schemas.openxmlformats.org/officeDocument/2006/relationships" r:id="rId1"/>
        </xdr:cNvPr>
        <xdr:cNvSpPr/>
      </xdr:nvSpPr>
      <xdr:spPr>
        <a:xfrm>
          <a:off x="20226623" y="961756"/>
          <a:ext cx="1448874" cy="919654"/>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57.xml><?xml version="1.0" encoding="utf-8"?>
<xdr:wsDr xmlns:xdr="http://schemas.openxmlformats.org/drawingml/2006/spreadsheetDrawing" xmlns:a="http://schemas.openxmlformats.org/drawingml/2006/main">
  <xdr:twoCellAnchor>
    <xdr:from>
      <xdr:col>24</xdr:col>
      <xdr:colOff>147205</xdr:colOff>
      <xdr:row>2</xdr:row>
      <xdr:rowOff>426026</xdr:rowOff>
    </xdr:from>
    <xdr:to>
      <xdr:col>25</xdr:col>
      <xdr:colOff>441366</xdr:colOff>
      <xdr:row>6</xdr:row>
      <xdr:rowOff>193879</xdr:rowOff>
    </xdr:to>
    <xdr:sp macro="" textlink="">
      <xdr:nvSpPr>
        <xdr:cNvPr id="3" name="Flowchart: Document 2">
          <a:hlinkClick xmlns:r="http://schemas.openxmlformats.org/officeDocument/2006/relationships" r:id="rId1"/>
        </xdr:cNvPr>
        <xdr:cNvSpPr/>
      </xdr:nvSpPr>
      <xdr:spPr>
        <a:xfrm>
          <a:off x="20184341" y="980208"/>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58.xml><?xml version="1.0" encoding="utf-8"?>
<xdr:wsDr xmlns:xdr="http://schemas.openxmlformats.org/drawingml/2006/spreadsheetDrawing" xmlns:a="http://schemas.openxmlformats.org/drawingml/2006/main">
  <xdr:twoCellAnchor>
    <xdr:from>
      <xdr:col>24</xdr:col>
      <xdr:colOff>443406</xdr:colOff>
      <xdr:row>1</xdr:row>
      <xdr:rowOff>82112</xdr:rowOff>
    </xdr:from>
    <xdr:to>
      <xdr:col>25</xdr:col>
      <xdr:colOff>744733</xdr:colOff>
      <xdr:row>3</xdr:row>
      <xdr:rowOff>253061</xdr:rowOff>
    </xdr:to>
    <xdr:sp macro="" textlink="">
      <xdr:nvSpPr>
        <xdr:cNvPr id="2" name="Flowchart: Document 1">
          <a:hlinkClick xmlns:r="http://schemas.openxmlformats.org/officeDocument/2006/relationships" r:id="rId1"/>
        </xdr:cNvPr>
        <xdr:cNvSpPr/>
      </xdr:nvSpPr>
      <xdr:spPr>
        <a:xfrm>
          <a:off x="20462328" y="361293"/>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59.xml><?xml version="1.0" encoding="utf-8"?>
<xdr:wsDr xmlns:xdr="http://schemas.openxmlformats.org/drawingml/2006/spreadsheetDrawing" xmlns:a="http://schemas.openxmlformats.org/drawingml/2006/main">
  <xdr:twoCellAnchor>
    <xdr:from>
      <xdr:col>8</xdr:col>
      <xdr:colOff>884464</xdr:colOff>
      <xdr:row>2</xdr:row>
      <xdr:rowOff>57150</xdr:rowOff>
    </xdr:from>
    <xdr:to>
      <xdr:col>10</xdr:col>
      <xdr:colOff>228599</xdr:colOff>
      <xdr:row>7</xdr:row>
      <xdr:rowOff>22931</xdr:rowOff>
    </xdr:to>
    <xdr:sp macro="" textlink="">
      <xdr:nvSpPr>
        <xdr:cNvPr id="2" name="Flowchart: Document 1">
          <a:hlinkClick xmlns:r="http://schemas.openxmlformats.org/officeDocument/2006/relationships" r:id="rId1"/>
        </xdr:cNvPr>
        <xdr:cNvSpPr/>
      </xdr:nvSpPr>
      <xdr:spPr>
        <a:xfrm>
          <a:off x="13960928" y="693964"/>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60.xml><?xml version="1.0" encoding="utf-8"?>
<xdr:wsDr xmlns:xdr="http://schemas.openxmlformats.org/drawingml/2006/spreadsheetDrawing" xmlns:a="http://schemas.openxmlformats.org/drawingml/2006/main">
  <xdr:twoCellAnchor>
    <xdr:from>
      <xdr:col>8</xdr:col>
      <xdr:colOff>898071</xdr:colOff>
      <xdr:row>2</xdr:row>
      <xdr:rowOff>21771</xdr:rowOff>
    </xdr:from>
    <xdr:to>
      <xdr:col>10</xdr:col>
      <xdr:colOff>242206</xdr:colOff>
      <xdr:row>6</xdr:row>
      <xdr:rowOff>172243</xdr:rowOff>
    </xdr:to>
    <xdr:sp macro="" textlink="">
      <xdr:nvSpPr>
        <xdr:cNvPr id="2" name="Flowchart: Document 1">
          <a:hlinkClick xmlns:r="http://schemas.openxmlformats.org/officeDocument/2006/relationships" r:id="rId1"/>
        </xdr:cNvPr>
        <xdr:cNvSpPr/>
      </xdr:nvSpPr>
      <xdr:spPr>
        <a:xfrm>
          <a:off x="13974535" y="639535"/>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61.xml><?xml version="1.0" encoding="utf-8"?>
<xdr:wsDr xmlns:xdr="http://schemas.openxmlformats.org/drawingml/2006/spreadsheetDrawing" xmlns:a="http://schemas.openxmlformats.org/drawingml/2006/main">
  <xdr:twoCellAnchor>
    <xdr:from>
      <xdr:col>8</xdr:col>
      <xdr:colOff>762000</xdr:colOff>
      <xdr:row>2</xdr:row>
      <xdr:rowOff>83004</xdr:rowOff>
    </xdr:from>
    <xdr:to>
      <xdr:col>10</xdr:col>
      <xdr:colOff>106135</xdr:colOff>
      <xdr:row>7</xdr:row>
      <xdr:rowOff>77549</xdr:rowOff>
    </xdr:to>
    <xdr:sp macro="" textlink="">
      <xdr:nvSpPr>
        <xdr:cNvPr id="2" name="Flowchart: Document 1">
          <a:hlinkClick xmlns:r="http://schemas.openxmlformats.org/officeDocument/2006/relationships" r:id="rId1"/>
        </xdr:cNvPr>
        <xdr:cNvSpPr/>
      </xdr:nvSpPr>
      <xdr:spPr>
        <a:xfrm>
          <a:off x="13838464" y="748393"/>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62.xml><?xml version="1.0" encoding="utf-8"?>
<xdr:wsDr xmlns:xdr="http://schemas.openxmlformats.org/drawingml/2006/spreadsheetDrawing" xmlns:a="http://schemas.openxmlformats.org/drawingml/2006/main">
  <xdr:twoCellAnchor>
    <xdr:from>
      <xdr:col>8</xdr:col>
      <xdr:colOff>830036</xdr:colOff>
      <xdr:row>2</xdr:row>
      <xdr:rowOff>87086</xdr:rowOff>
    </xdr:from>
    <xdr:to>
      <xdr:col>10</xdr:col>
      <xdr:colOff>174171</xdr:colOff>
      <xdr:row>7</xdr:row>
      <xdr:rowOff>90260</xdr:rowOff>
    </xdr:to>
    <xdr:sp macro="" textlink="">
      <xdr:nvSpPr>
        <xdr:cNvPr id="2" name="Flowchart: Document 1">
          <a:hlinkClick xmlns:r="http://schemas.openxmlformats.org/officeDocument/2006/relationships" r:id="rId1"/>
        </xdr:cNvPr>
        <xdr:cNvSpPr/>
      </xdr:nvSpPr>
      <xdr:spPr>
        <a:xfrm>
          <a:off x="13906500" y="762000"/>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63.xml><?xml version="1.0" encoding="utf-8"?>
<xdr:wsDr xmlns:xdr="http://schemas.openxmlformats.org/drawingml/2006/spreadsheetDrawing" xmlns:a="http://schemas.openxmlformats.org/drawingml/2006/main">
  <xdr:twoCellAnchor>
    <xdr:from>
      <xdr:col>48</xdr:col>
      <xdr:colOff>158750</xdr:colOff>
      <xdr:row>0</xdr:row>
      <xdr:rowOff>149225</xdr:rowOff>
    </xdr:from>
    <xdr:to>
      <xdr:col>50</xdr:col>
      <xdr:colOff>337457</xdr:colOff>
      <xdr:row>6</xdr:row>
      <xdr:rowOff>4585</xdr:rowOff>
    </xdr:to>
    <xdr:sp macro="" textlink="">
      <xdr:nvSpPr>
        <xdr:cNvPr id="2" name="Flowchart: Document 1">
          <a:hlinkClick xmlns:r="http://schemas.openxmlformats.org/officeDocument/2006/relationships" r:id="rId1"/>
        </xdr:cNvPr>
        <xdr:cNvSpPr/>
      </xdr:nvSpPr>
      <xdr:spPr>
        <a:xfrm>
          <a:off x="35861625" y="158750"/>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64.xml><?xml version="1.0" encoding="utf-8"?>
<xdr:wsDr xmlns:xdr="http://schemas.openxmlformats.org/drawingml/2006/spreadsheetDrawing" xmlns:a="http://schemas.openxmlformats.org/drawingml/2006/main">
  <xdr:twoCellAnchor>
    <xdr:from>
      <xdr:col>48</xdr:col>
      <xdr:colOff>381000</xdr:colOff>
      <xdr:row>0</xdr:row>
      <xdr:rowOff>81643</xdr:rowOff>
    </xdr:from>
    <xdr:to>
      <xdr:col>50</xdr:col>
      <xdr:colOff>541564</xdr:colOff>
      <xdr:row>5</xdr:row>
      <xdr:rowOff>77107</xdr:rowOff>
    </xdr:to>
    <xdr:sp macro="" textlink="">
      <xdr:nvSpPr>
        <xdr:cNvPr id="2" name="Flowchart: Document 1">
          <a:hlinkClick xmlns:r="http://schemas.openxmlformats.org/officeDocument/2006/relationships" r:id="rId1"/>
        </xdr:cNvPr>
        <xdr:cNvSpPr/>
      </xdr:nvSpPr>
      <xdr:spPr>
        <a:xfrm>
          <a:off x="36113357" y="81643"/>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65.xml><?xml version="1.0" encoding="utf-8"?>
<xdr:wsDr xmlns:xdr="http://schemas.openxmlformats.org/drawingml/2006/spreadsheetDrawing" xmlns:a="http://schemas.openxmlformats.org/drawingml/2006/main">
  <xdr:twoCellAnchor>
    <xdr:from>
      <xdr:col>48</xdr:col>
      <xdr:colOff>326569</xdr:colOff>
      <xdr:row>0</xdr:row>
      <xdr:rowOff>126546</xdr:rowOff>
    </xdr:from>
    <xdr:to>
      <xdr:col>50</xdr:col>
      <xdr:colOff>487133</xdr:colOff>
      <xdr:row>5</xdr:row>
      <xdr:rowOff>131530</xdr:rowOff>
    </xdr:to>
    <xdr:sp macro="" textlink="">
      <xdr:nvSpPr>
        <xdr:cNvPr id="2" name="Flowchart: Document 1">
          <a:hlinkClick xmlns:r="http://schemas.openxmlformats.org/officeDocument/2006/relationships" r:id="rId1"/>
        </xdr:cNvPr>
        <xdr:cNvSpPr/>
      </xdr:nvSpPr>
      <xdr:spPr>
        <a:xfrm>
          <a:off x="36058926" y="136071"/>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66.xml><?xml version="1.0" encoding="utf-8"?>
<xdr:wsDr xmlns:xdr="http://schemas.openxmlformats.org/drawingml/2006/spreadsheetDrawing" xmlns:a="http://schemas.openxmlformats.org/drawingml/2006/main">
  <xdr:twoCellAnchor>
    <xdr:from>
      <xdr:col>43</xdr:col>
      <xdr:colOff>238125</xdr:colOff>
      <xdr:row>0</xdr:row>
      <xdr:rowOff>95250</xdr:rowOff>
    </xdr:from>
    <xdr:to>
      <xdr:col>49</xdr:col>
      <xdr:colOff>337457</xdr:colOff>
      <xdr:row>5</xdr:row>
      <xdr:rowOff>99785</xdr:rowOff>
    </xdr:to>
    <xdr:sp macro="" textlink="">
      <xdr:nvSpPr>
        <xdr:cNvPr id="2" name="Flowchart: Document 1">
          <a:hlinkClick xmlns:r="http://schemas.openxmlformats.org/officeDocument/2006/relationships" r:id="rId1"/>
        </xdr:cNvPr>
        <xdr:cNvSpPr/>
      </xdr:nvSpPr>
      <xdr:spPr>
        <a:xfrm>
          <a:off x="35290125" y="95250"/>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67.xml><?xml version="1.0" encoding="utf-8"?>
<xdr:wsDr xmlns:xdr="http://schemas.openxmlformats.org/drawingml/2006/spreadsheetDrawing" xmlns:a="http://schemas.openxmlformats.org/drawingml/2006/main">
  <xdr:twoCellAnchor>
    <xdr:from>
      <xdr:col>9</xdr:col>
      <xdr:colOff>190500</xdr:colOff>
      <xdr:row>3</xdr:row>
      <xdr:rowOff>70597</xdr:rowOff>
    </xdr:from>
    <xdr:to>
      <xdr:col>9</xdr:col>
      <xdr:colOff>1587500</xdr:colOff>
      <xdr:row>7</xdr:row>
      <xdr:rowOff>13294</xdr:rowOff>
    </xdr:to>
    <xdr:sp macro="" textlink="">
      <xdr:nvSpPr>
        <xdr:cNvPr id="2" name="Flowchart: Document 1">
          <a:hlinkClick xmlns:r="http://schemas.openxmlformats.org/officeDocument/2006/relationships" r:id="rId1"/>
        </xdr:cNvPr>
        <xdr:cNvSpPr/>
      </xdr:nvSpPr>
      <xdr:spPr>
        <a:xfrm>
          <a:off x="8841441" y="694765"/>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68.xml><?xml version="1.0" encoding="utf-8"?>
<xdr:wsDr xmlns:xdr="http://schemas.openxmlformats.org/drawingml/2006/spreadsheetDrawing" xmlns:a="http://schemas.openxmlformats.org/drawingml/2006/main">
  <xdr:twoCellAnchor>
    <xdr:from>
      <xdr:col>9</xdr:col>
      <xdr:colOff>372596</xdr:colOff>
      <xdr:row>2</xdr:row>
      <xdr:rowOff>138952</xdr:rowOff>
    </xdr:from>
    <xdr:to>
      <xdr:col>9</xdr:col>
      <xdr:colOff>1769596</xdr:colOff>
      <xdr:row>6</xdr:row>
      <xdr:rowOff>104494</xdr:rowOff>
    </xdr:to>
    <xdr:sp macro="" textlink="">
      <xdr:nvSpPr>
        <xdr:cNvPr id="2" name="Flowchart: Document 1">
          <a:hlinkClick xmlns:r="http://schemas.openxmlformats.org/officeDocument/2006/relationships" r:id="rId1"/>
        </xdr:cNvPr>
        <xdr:cNvSpPr/>
      </xdr:nvSpPr>
      <xdr:spPr>
        <a:xfrm>
          <a:off x="9023537" y="570939"/>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69.xml><?xml version="1.0" encoding="utf-8"?>
<xdr:wsDr xmlns:xdr="http://schemas.openxmlformats.org/drawingml/2006/spreadsheetDrawing" xmlns:a="http://schemas.openxmlformats.org/drawingml/2006/main">
  <xdr:twoCellAnchor>
    <xdr:from>
      <xdr:col>4</xdr:col>
      <xdr:colOff>272144</xdr:colOff>
      <xdr:row>0</xdr:row>
      <xdr:rowOff>62594</xdr:rowOff>
    </xdr:from>
    <xdr:to>
      <xdr:col>5</xdr:col>
      <xdr:colOff>1056822</xdr:colOff>
      <xdr:row>4</xdr:row>
      <xdr:rowOff>141613</xdr:rowOff>
    </xdr:to>
    <xdr:sp macro="" textlink="">
      <xdr:nvSpPr>
        <xdr:cNvPr id="2" name="Flowchart: Document 1">
          <a:hlinkClick xmlns:r="http://schemas.openxmlformats.org/officeDocument/2006/relationships" r:id="rId1"/>
        </xdr:cNvPr>
        <xdr:cNvSpPr/>
      </xdr:nvSpPr>
      <xdr:spPr>
        <a:xfrm>
          <a:off x="5932715" y="81644"/>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70.xml><?xml version="1.0" encoding="utf-8"?>
<xdr:wsDr xmlns:xdr="http://schemas.openxmlformats.org/drawingml/2006/spreadsheetDrawing" xmlns:a="http://schemas.openxmlformats.org/drawingml/2006/main">
  <xdr:twoCellAnchor>
    <xdr:from>
      <xdr:col>9</xdr:col>
      <xdr:colOff>114300</xdr:colOff>
      <xdr:row>5</xdr:row>
      <xdr:rowOff>20731</xdr:rowOff>
    </xdr:from>
    <xdr:to>
      <xdr:col>9</xdr:col>
      <xdr:colOff>1511300</xdr:colOff>
      <xdr:row>8</xdr:row>
      <xdr:rowOff>34178</xdr:rowOff>
    </xdr:to>
    <xdr:sp macro="" textlink="">
      <xdr:nvSpPr>
        <xdr:cNvPr id="2" name="Flowchart: Document 1">
          <a:hlinkClick xmlns:r="http://schemas.openxmlformats.org/officeDocument/2006/relationships" r:id="rId1"/>
        </xdr:cNvPr>
        <xdr:cNvSpPr/>
      </xdr:nvSpPr>
      <xdr:spPr>
        <a:xfrm>
          <a:off x="8765241" y="995643"/>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71.xml><?xml version="1.0" encoding="utf-8"?>
<xdr:wsDr xmlns:xdr="http://schemas.openxmlformats.org/drawingml/2006/spreadsheetDrawing" xmlns:a="http://schemas.openxmlformats.org/drawingml/2006/main">
  <xdr:twoCellAnchor>
    <xdr:from>
      <xdr:col>9</xdr:col>
      <xdr:colOff>442633</xdr:colOff>
      <xdr:row>6</xdr:row>
      <xdr:rowOff>100853</xdr:rowOff>
    </xdr:from>
    <xdr:to>
      <xdr:col>9</xdr:col>
      <xdr:colOff>1839633</xdr:colOff>
      <xdr:row>10</xdr:row>
      <xdr:rowOff>114300</xdr:rowOff>
    </xdr:to>
    <xdr:sp macro="" textlink="">
      <xdr:nvSpPr>
        <xdr:cNvPr id="2" name="Flowchart: Document 1">
          <a:hlinkClick xmlns:r="http://schemas.openxmlformats.org/officeDocument/2006/relationships" r:id="rId1"/>
        </xdr:cNvPr>
        <xdr:cNvSpPr/>
      </xdr:nvSpPr>
      <xdr:spPr>
        <a:xfrm>
          <a:off x="9093574" y="1367118"/>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72.xml><?xml version="1.0" encoding="utf-8"?>
<xdr:wsDr xmlns:xdr="http://schemas.openxmlformats.org/drawingml/2006/spreadsheetDrawing" xmlns:a="http://schemas.openxmlformats.org/drawingml/2006/main">
  <xdr:twoCellAnchor>
    <xdr:from>
      <xdr:col>5</xdr:col>
      <xdr:colOff>288471</xdr:colOff>
      <xdr:row>6</xdr:row>
      <xdr:rowOff>1360</xdr:rowOff>
    </xdr:from>
    <xdr:to>
      <xdr:col>5</xdr:col>
      <xdr:colOff>1685471</xdr:colOff>
      <xdr:row>11</xdr:row>
      <xdr:rowOff>102052</xdr:rowOff>
    </xdr:to>
    <xdr:sp macro="" textlink="">
      <xdr:nvSpPr>
        <xdr:cNvPr id="2" name="Flowchart: Document 1">
          <a:hlinkClick xmlns:r="http://schemas.openxmlformats.org/officeDocument/2006/relationships" r:id="rId1"/>
        </xdr:cNvPr>
        <xdr:cNvSpPr/>
      </xdr:nvSpPr>
      <xdr:spPr>
        <a:xfrm>
          <a:off x="6561364" y="1375681"/>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73.xml><?xml version="1.0" encoding="utf-8"?>
<xdr:wsDr xmlns:xdr="http://schemas.openxmlformats.org/drawingml/2006/spreadsheetDrawing" xmlns:a="http://schemas.openxmlformats.org/drawingml/2006/main">
  <xdr:twoCellAnchor>
    <xdr:from>
      <xdr:col>5</xdr:col>
      <xdr:colOff>156482</xdr:colOff>
      <xdr:row>5</xdr:row>
      <xdr:rowOff>210910</xdr:rowOff>
    </xdr:from>
    <xdr:to>
      <xdr:col>5</xdr:col>
      <xdr:colOff>1553482</xdr:colOff>
      <xdr:row>11</xdr:row>
      <xdr:rowOff>39460</xdr:rowOff>
    </xdr:to>
    <xdr:sp macro="" textlink="">
      <xdr:nvSpPr>
        <xdr:cNvPr id="2" name="Flowchart: Document 1">
          <a:hlinkClick xmlns:r="http://schemas.openxmlformats.org/officeDocument/2006/relationships" r:id="rId1"/>
        </xdr:cNvPr>
        <xdr:cNvSpPr/>
      </xdr:nvSpPr>
      <xdr:spPr>
        <a:xfrm>
          <a:off x="6252482" y="1313089"/>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74.xml><?xml version="1.0" encoding="utf-8"?>
<xdr:wsDr xmlns:xdr="http://schemas.openxmlformats.org/drawingml/2006/spreadsheetDrawing" xmlns:a="http://schemas.openxmlformats.org/drawingml/2006/main">
  <xdr:twoCellAnchor>
    <xdr:from>
      <xdr:col>17</xdr:col>
      <xdr:colOff>259772</xdr:colOff>
      <xdr:row>3</xdr:row>
      <xdr:rowOff>225136</xdr:rowOff>
    </xdr:from>
    <xdr:to>
      <xdr:col>18</xdr:col>
      <xdr:colOff>588570</xdr:colOff>
      <xdr:row>7</xdr:row>
      <xdr:rowOff>10307</xdr:rowOff>
    </xdr:to>
    <xdr:sp macro="" textlink="">
      <xdr:nvSpPr>
        <xdr:cNvPr id="2" name="Flowchart: Document 1">
          <a:hlinkClick xmlns:r="http://schemas.openxmlformats.org/officeDocument/2006/relationships" r:id="rId1"/>
        </xdr:cNvPr>
        <xdr:cNvSpPr/>
      </xdr:nvSpPr>
      <xdr:spPr>
        <a:xfrm>
          <a:off x="15430499" y="1281545"/>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75.xml><?xml version="1.0" encoding="utf-8"?>
<xdr:wsDr xmlns:xdr="http://schemas.openxmlformats.org/drawingml/2006/spreadsheetDrawing" xmlns:a="http://schemas.openxmlformats.org/drawingml/2006/main">
  <xdr:twoCellAnchor>
    <xdr:from>
      <xdr:col>15</xdr:col>
      <xdr:colOff>727364</xdr:colOff>
      <xdr:row>4</xdr:row>
      <xdr:rowOff>138545</xdr:rowOff>
    </xdr:from>
    <xdr:to>
      <xdr:col>17</xdr:col>
      <xdr:colOff>398071</xdr:colOff>
      <xdr:row>7</xdr:row>
      <xdr:rowOff>235443</xdr:rowOff>
    </xdr:to>
    <xdr:sp macro="" textlink="">
      <xdr:nvSpPr>
        <xdr:cNvPr id="2" name="Flowchart: Document 1">
          <a:hlinkClick xmlns:r="http://schemas.openxmlformats.org/officeDocument/2006/relationships" r:id="rId1"/>
        </xdr:cNvPr>
        <xdr:cNvSpPr/>
      </xdr:nvSpPr>
      <xdr:spPr>
        <a:xfrm>
          <a:off x="14183591" y="1506681"/>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76.xml><?xml version="1.0" encoding="utf-8"?>
<xdr:wsDr xmlns:xdr="http://schemas.openxmlformats.org/drawingml/2006/spreadsheetDrawing" xmlns:a="http://schemas.openxmlformats.org/drawingml/2006/main">
  <xdr:twoCellAnchor>
    <xdr:from>
      <xdr:col>15</xdr:col>
      <xdr:colOff>398318</xdr:colOff>
      <xdr:row>4</xdr:row>
      <xdr:rowOff>34636</xdr:rowOff>
    </xdr:from>
    <xdr:to>
      <xdr:col>17</xdr:col>
      <xdr:colOff>69025</xdr:colOff>
      <xdr:row>7</xdr:row>
      <xdr:rowOff>131534</xdr:rowOff>
    </xdr:to>
    <xdr:sp macro="" textlink="">
      <xdr:nvSpPr>
        <xdr:cNvPr id="2" name="Flowchart: Document 1">
          <a:hlinkClick xmlns:r="http://schemas.openxmlformats.org/officeDocument/2006/relationships" r:id="rId1"/>
        </xdr:cNvPr>
        <xdr:cNvSpPr/>
      </xdr:nvSpPr>
      <xdr:spPr>
        <a:xfrm>
          <a:off x="13854545" y="1402772"/>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77.xml><?xml version="1.0" encoding="utf-8"?>
<xdr:wsDr xmlns:xdr="http://schemas.openxmlformats.org/drawingml/2006/spreadsheetDrawing" xmlns:a="http://schemas.openxmlformats.org/drawingml/2006/main">
  <xdr:twoCellAnchor>
    <xdr:from>
      <xdr:col>15</xdr:col>
      <xdr:colOff>121227</xdr:colOff>
      <xdr:row>4</xdr:row>
      <xdr:rowOff>121227</xdr:rowOff>
    </xdr:from>
    <xdr:to>
      <xdr:col>16</xdr:col>
      <xdr:colOff>415388</xdr:colOff>
      <xdr:row>7</xdr:row>
      <xdr:rowOff>218125</xdr:rowOff>
    </xdr:to>
    <xdr:sp macro="" textlink="">
      <xdr:nvSpPr>
        <xdr:cNvPr id="2" name="Flowchart: Document 1">
          <a:hlinkClick xmlns:r="http://schemas.openxmlformats.org/officeDocument/2006/relationships" r:id="rId1"/>
        </xdr:cNvPr>
        <xdr:cNvSpPr/>
      </xdr:nvSpPr>
      <xdr:spPr>
        <a:xfrm>
          <a:off x="13577454" y="1489363"/>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78.xml><?xml version="1.0" encoding="utf-8"?>
<xdr:wsDr xmlns:xdr="http://schemas.openxmlformats.org/drawingml/2006/spreadsheetDrawing" xmlns:a="http://schemas.openxmlformats.org/drawingml/2006/main">
  <xdr:twoCellAnchor>
    <xdr:from>
      <xdr:col>16</xdr:col>
      <xdr:colOff>207818</xdr:colOff>
      <xdr:row>4</xdr:row>
      <xdr:rowOff>69273</xdr:rowOff>
    </xdr:from>
    <xdr:to>
      <xdr:col>17</xdr:col>
      <xdr:colOff>969571</xdr:colOff>
      <xdr:row>7</xdr:row>
      <xdr:rowOff>166171</xdr:rowOff>
    </xdr:to>
    <xdr:sp macro="" textlink="">
      <xdr:nvSpPr>
        <xdr:cNvPr id="2" name="Flowchart: Document 1">
          <a:hlinkClick xmlns:r="http://schemas.openxmlformats.org/officeDocument/2006/relationships" r:id="rId1"/>
        </xdr:cNvPr>
        <xdr:cNvSpPr/>
      </xdr:nvSpPr>
      <xdr:spPr>
        <a:xfrm>
          <a:off x="14755091" y="1437409"/>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79.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80.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81.xml><?xml version="1.0" encoding="utf-8"?>
<xdr:wsDr xmlns:xdr="http://schemas.openxmlformats.org/drawingml/2006/spreadsheetDrawing" xmlns:a="http://schemas.openxmlformats.org/drawingml/2006/main">
  <xdr:twoCellAnchor>
    <xdr:from>
      <xdr:col>17</xdr:col>
      <xdr:colOff>0</xdr:colOff>
      <xdr:row>4</xdr:row>
      <xdr:rowOff>0</xdr:rowOff>
    </xdr:from>
    <xdr:to>
      <xdr:col>18</xdr:col>
      <xdr:colOff>328798</xdr:colOff>
      <xdr:row>7</xdr:row>
      <xdr:rowOff>96898</xdr:rowOff>
    </xdr:to>
    <xdr:sp macro="" textlink="">
      <xdr:nvSpPr>
        <xdr:cNvPr id="2" name="Flowchart: Document 1">
          <a:hlinkClick xmlns:r="http://schemas.openxmlformats.org/officeDocument/2006/relationships" r:id="rId1"/>
        </xdr:cNvPr>
        <xdr:cNvSpPr/>
      </xdr:nvSpPr>
      <xdr:spPr>
        <a:xfrm>
          <a:off x="15170727"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82.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83.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84.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85.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86.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87.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88.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89.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90.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91.xml><?xml version="1.0" encoding="utf-8"?>
<xdr:wsDr xmlns:xdr="http://schemas.openxmlformats.org/drawingml/2006/spreadsheetDrawing" xmlns:a="http://schemas.openxmlformats.org/drawingml/2006/main">
  <xdr:twoCellAnchor>
    <xdr:from>
      <xdr:col>20</xdr:col>
      <xdr:colOff>783359</xdr:colOff>
      <xdr:row>3</xdr:row>
      <xdr:rowOff>195407</xdr:rowOff>
    </xdr:from>
    <xdr:to>
      <xdr:col>21</xdr:col>
      <xdr:colOff>972170</xdr:colOff>
      <xdr:row>7</xdr:row>
      <xdr:rowOff>0</xdr:rowOff>
    </xdr:to>
    <xdr:sp macro="" textlink="">
      <xdr:nvSpPr>
        <xdr:cNvPr id="2" name="Flowchart: Document 1">
          <a:hlinkClick xmlns:r="http://schemas.openxmlformats.org/officeDocument/2006/relationships" r:id="rId1"/>
        </xdr:cNvPr>
        <xdr:cNvSpPr/>
      </xdr:nvSpPr>
      <xdr:spPr>
        <a:xfrm>
          <a:off x="19227223" y="1251816"/>
          <a:ext cx="1401083" cy="912957"/>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92.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93.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94.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95.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96.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97.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98.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99.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00.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01.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02.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03.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04.xml><?xml version="1.0" encoding="utf-8"?>
<xdr:wsDr xmlns:xdr="http://schemas.openxmlformats.org/drawingml/2006/spreadsheetDrawing" xmlns:a="http://schemas.openxmlformats.org/drawingml/2006/main">
  <xdr:twoCellAnchor>
    <xdr:from>
      <xdr:col>16</xdr:col>
      <xdr:colOff>259773</xdr:colOff>
      <xdr:row>4</xdr:row>
      <xdr:rowOff>0</xdr:rowOff>
    </xdr:from>
    <xdr:to>
      <xdr:col>17</xdr:col>
      <xdr:colOff>1021526</xdr:colOff>
      <xdr:row>7</xdr:row>
      <xdr:rowOff>96898</xdr:rowOff>
    </xdr:to>
    <xdr:sp macro="" textlink="">
      <xdr:nvSpPr>
        <xdr:cNvPr id="2" name="Flowchart: Document 1">
          <a:hlinkClick xmlns:r="http://schemas.openxmlformats.org/officeDocument/2006/relationships" r:id="rId1"/>
        </xdr:cNvPr>
        <xdr:cNvSpPr/>
      </xdr:nvSpPr>
      <xdr:spPr>
        <a:xfrm>
          <a:off x="14807046"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05.xml><?xml version="1.0" encoding="utf-8"?>
<xdr:wsDr xmlns:xdr="http://schemas.openxmlformats.org/drawingml/2006/spreadsheetDrawing" xmlns:a="http://schemas.openxmlformats.org/drawingml/2006/main">
  <xdr:twoCellAnchor>
    <xdr:from>
      <xdr:col>16</xdr:col>
      <xdr:colOff>423429</xdr:colOff>
      <xdr:row>4</xdr:row>
      <xdr:rowOff>32039</xdr:rowOff>
    </xdr:from>
    <xdr:to>
      <xdr:col>18</xdr:col>
      <xdr:colOff>128773</xdr:colOff>
      <xdr:row>7</xdr:row>
      <xdr:rowOff>128937</xdr:rowOff>
    </xdr:to>
    <xdr:sp macro="" textlink="">
      <xdr:nvSpPr>
        <xdr:cNvPr id="8" name="Flowchart: Document 7">
          <a:hlinkClick xmlns:r="http://schemas.openxmlformats.org/officeDocument/2006/relationships" r:id="rId1"/>
        </xdr:cNvPr>
        <xdr:cNvSpPr/>
      </xdr:nvSpPr>
      <xdr:spPr>
        <a:xfrm>
          <a:off x="14970702" y="1400175"/>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06.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07.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08.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09.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10.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11.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12.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13.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14.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15.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16.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17.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18.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19.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761753</xdr:colOff>
      <xdr:row>7</xdr:row>
      <xdr:rowOff>96898</xdr:rowOff>
    </xdr:to>
    <xdr:sp macro="" textlink="">
      <xdr:nvSpPr>
        <xdr:cNvPr id="2" name="Flowchart: Document 1">
          <a:hlinkClick xmlns:r="http://schemas.openxmlformats.org/officeDocument/2006/relationships" r:id="rId1"/>
        </xdr:cNvPr>
        <xdr:cNvSpPr/>
      </xdr:nvSpPr>
      <xdr:spPr>
        <a:xfrm>
          <a:off x="14547273" y="1368136"/>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20.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756557</xdr:colOff>
      <xdr:row>7</xdr:row>
      <xdr:rowOff>74385</xdr:rowOff>
    </xdr:to>
    <xdr:sp macro="" textlink="">
      <xdr:nvSpPr>
        <xdr:cNvPr id="2" name="Flowchart: Document 1">
          <a:hlinkClick xmlns:r="http://schemas.openxmlformats.org/officeDocument/2006/relationships" r:id="rId1"/>
        </xdr:cNvPr>
        <xdr:cNvSpPr/>
      </xdr:nvSpPr>
      <xdr:spPr>
        <a:xfrm>
          <a:off x="14630400" y="1409700"/>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21.xml><?xml version="1.0" encoding="utf-8"?>
<xdr:wsDr xmlns:xdr="http://schemas.openxmlformats.org/drawingml/2006/spreadsheetDrawing" xmlns:a="http://schemas.openxmlformats.org/drawingml/2006/main">
  <xdr:twoCellAnchor>
    <xdr:from>
      <xdr:col>16</xdr:col>
      <xdr:colOff>0</xdr:colOff>
      <xdr:row>4</xdr:row>
      <xdr:rowOff>0</xdr:rowOff>
    </xdr:from>
    <xdr:to>
      <xdr:col>17</xdr:col>
      <xdr:colOff>756557</xdr:colOff>
      <xdr:row>7</xdr:row>
      <xdr:rowOff>74385</xdr:rowOff>
    </xdr:to>
    <xdr:sp macro="" textlink="">
      <xdr:nvSpPr>
        <xdr:cNvPr id="2" name="Flowchart: Document 1">
          <a:hlinkClick xmlns:r="http://schemas.openxmlformats.org/officeDocument/2006/relationships" r:id="rId1"/>
        </xdr:cNvPr>
        <xdr:cNvSpPr/>
      </xdr:nvSpPr>
      <xdr:spPr>
        <a:xfrm>
          <a:off x="14630400" y="1409700"/>
          <a:ext cx="1385207" cy="89353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22.xml><?xml version="1.0" encoding="utf-8"?>
<xdr:wsDr xmlns:xdr="http://schemas.openxmlformats.org/drawingml/2006/spreadsheetDrawing" xmlns:a="http://schemas.openxmlformats.org/drawingml/2006/main">
  <xdr:twoCellAnchor>
    <xdr:from>
      <xdr:col>9</xdr:col>
      <xdr:colOff>0</xdr:colOff>
      <xdr:row>18</xdr:row>
      <xdr:rowOff>0</xdr:rowOff>
    </xdr:from>
    <xdr:to>
      <xdr:col>11</xdr:col>
      <xdr:colOff>177800</xdr:colOff>
      <xdr:row>23</xdr:row>
      <xdr:rowOff>66675</xdr:rowOff>
    </xdr:to>
    <xdr:sp macro="" textlink="">
      <xdr:nvSpPr>
        <xdr:cNvPr id="2" name="Flowchart: Document 1">
          <a:hlinkClick xmlns:r="http://schemas.openxmlformats.org/officeDocument/2006/relationships" r:id="rId1"/>
        </xdr:cNvPr>
        <xdr:cNvSpPr/>
      </xdr:nvSpPr>
      <xdr:spPr>
        <a:xfrm>
          <a:off x="5819775" y="3552825"/>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23.xml><?xml version="1.0" encoding="utf-8"?>
<xdr:wsDr xmlns:xdr="http://schemas.openxmlformats.org/drawingml/2006/spreadsheetDrawing" xmlns:a="http://schemas.openxmlformats.org/drawingml/2006/main">
  <xdr:twoCellAnchor>
    <xdr:from>
      <xdr:col>6</xdr:col>
      <xdr:colOff>0</xdr:colOff>
      <xdr:row>17</xdr:row>
      <xdr:rowOff>66675</xdr:rowOff>
    </xdr:from>
    <xdr:to>
      <xdr:col>8</xdr:col>
      <xdr:colOff>177800</xdr:colOff>
      <xdr:row>22</xdr:row>
      <xdr:rowOff>133350</xdr:rowOff>
    </xdr:to>
    <xdr:sp macro="" textlink="">
      <xdr:nvSpPr>
        <xdr:cNvPr id="2" name="Flowchart: Document 1">
          <a:hlinkClick xmlns:r="http://schemas.openxmlformats.org/officeDocument/2006/relationships" r:id="rId1"/>
        </xdr:cNvPr>
        <xdr:cNvSpPr/>
      </xdr:nvSpPr>
      <xdr:spPr>
        <a:xfrm>
          <a:off x="3990975" y="38481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24.xml><?xml version="1.0" encoding="utf-8"?>
<xdr:wsDr xmlns:xdr="http://schemas.openxmlformats.org/drawingml/2006/spreadsheetDrawing" xmlns:a="http://schemas.openxmlformats.org/drawingml/2006/main">
  <xdr:twoCellAnchor>
    <xdr:from>
      <xdr:col>5</xdr:col>
      <xdr:colOff>0</xdr:colOff>
      <xdr:row>18</xdr:row>
      <xdr:rowOff>0</xdr:rowOff>
    </xdr:from>
    <xdr:to>
      <xdr:col>7</xdr:col>
      <xdr:colOff>177800</xdr:colOff>
      <xdr:row>23</xdr:row>
      <xdr:rowOff>66675</xdr:rowOff>
    </xdr:to>
    <xdr:sp macro="" textlink="">
      <xdr:nvSpPr>
        <xdr:cNvPr id="2" name="Flowchart: Document 1">
          <a:hlinkClick xmlns:r="http://schemas.openxmlformats.org/officeDocument/2006/relationships" r:id="rId1"/>
        </xdr:cNvPr>
        <xdr:cNvSpPr/>
      </xdr:nvSpPr>
      <xdr:spPr>
        <a:xfrm>
          <a:off x="3381375" y="340995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25.xml><?xml version="1.0" encoding="utf-8"?>
<xdr:wsDr xmlns:xdr="http://schemas.openxmlformats.org/drawingml/2006/spreadsheetDrawing" xmlns:a="http://schemas.openxmlformats.org/drawingml/2006/main">
  <xdr:twoCellAnchor>
    <xdr:from>
      <xdr:col>7</xdr:col>
      <xdr:colOff>0</xdr:colOff>
      <xdr:row>16</xdr:row>
      <xdr:rowOff>0</xdr:rowOff>
    </xdr:from>
    <xdr:to>
      <xdr:col>9</xdr:col>
      <xdr:colOff>177800</xdr:colOff>
      <xdr:row>21</xdr:row>
      <xdr:rowOff>66675</xdr:rowOff>
    </xdr:to>
    <xdr:sp macro="" textlink="">
      <xdr:nvSpPr>
        <xdr:cNvPr id="2" name="Flowchart: Document 1">
          <a:hlinkClick xmlns:r="http://schemas.openxmlformats.org/officeDocument/2006/relationships" r:id="rId1"/>
        </xdr:cNvPr>
        <xdr:cNvSpPr/>
      </xdr:nvSpPr>
      <xdr:spPr>
        <a:xfrm>
          <a:off x="4600575" y="3228975"/>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26.xml><?xml version="1.0" encoding="utf-8"?>
<xdr:wsDr xmlns:xdr="http://schemas.openxmlformats.org/drawingml/2006/spreadsheetDrawing" xmlns:a="http://schemas.openxmlformats.org/drawingml/2006/main">
  <xdr:twoCellAnchor>
    <xdr:from>
      <xdr:col>8</xdr:col>
      <xdr:colOff>304800</xdr:colOff>
      <xdr:row>17</xdr:row>
      <xdr:rowOff>9525</xdr:rowOff>
    </xdr:from>
    <xdr:to>
      <xdr:col>10</xdr:col>
      <xdr:colOff>53975</xdr:colOff>
      <xdr:row>22</xdr:row>
      <xdr:rowOff>76200</xdr:rowOff>
    </xdr:to>
    <xdr:sp macro="" textlink="">
      <xdr:nvSpPr>
        <xdr:cNvPr id="2" name="Flowchart: Document 1">
          <a:hlinkClick xmlns:r="http://schemas.openxmlformats.org/officeDocument/2006/relationships" r:id="rId1"/>
        </xdr:cNvPr>
        <xdr:cNvSpPr/>
      </xdr:nvSpPr>
      <xdr:spPr>
        <a:xfrm>
          <a:off x="5991225" y="3429000"/>
          <a:ext cx="1397000" cy="876300"/>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drawings/drawing127.xml><?xml version="1.0" encoding="utf-8"?>
<xdr:wsDr xmlns:xdr="http://schemas.openxmlformats.org/drawingml/2006/spreadsheetDrawing" xmlns:a="http://schemas.openxmlformats.org/drawingml/2006/main">
  <xdr:twoCellAnchor>
    <xdr:from>
      <xdr:col>4</xdr:col>
      <xdr:colOff>851958</xdr:colOff>
      <xdr:row>3</xdr:row>
      <xdr:rowOff>177801</xdr:rowOff>
    </xdr:from>
    <xdr:to>
      <xdr:col>5</xdr:col>
      <xdr:colOff>1286933</xdr:colOff>
      <xdr:row>8</xdr:row>
      <xdr:rowOff>100542</xdr:rowOff>
    </xdr:to>
    <xdr:sp macro="" textlink="">
      <xdr:nvSpPr>
        <xdr:cNvPr id="2" name="Flowchart: Document 1">
          <a:hlinkClick xmlns:r="http://schemas.openxmlformats.org/officeDocument/2006/relationships" r:id="rId1"/>
        </xdr:cNvPr>
        <xdr:cNvSpPr/>
      </xdr:nvSpPr>
      <xdr:spPr>
        <a:xfrm>
          <a:off x="3561291" y="886884"/>
          <a:ext cx="1398059" cy="885825"/>
        </a:xfrm>
        <a:prstGeom prst="flowChartDocument">
          <a:avLst/>
        </a:prstGeom>
        <a:solidFill>
          <a:srgbClr val="FF0000"/>
        </a:solidFill>
        <a:ln>
          <a:noFill/>
        </a:ln>
        <a:effectLst>
          <a:glow rad="228600">
            <a:schemeClr val="accent5">
              <a:satMod val="175000"/>
              <a:alpha val="40000"/>
            </a:schemeClr>
          </a:glow>
        </a:effectLst>
        <a:scene3d>
          <a:camera prst="orthographicFront">
            <a:rot lat="0" lon="0" rev="0"/>
          </a:camera>
          <a:lightRig rig="glow" dir="t">
            <a:rot lat="0" lon="0" rev="14100000"/>
          </a:lightRig>
        </a:scene3d>
        <a:sp3d prstMaterial="softEdge">
          <a:bevelT w="127000" prst="artDeco"/>
        </a:sp3d>
      </xdr:spPr>
      <xdr:style>
        <a:lnRef idx="0">
          <a:schemeClr val="accent6"/>
        </a:lnRef>
        <a:fillRef idx="3">
          <a:schemeClr val="accent6"/>
        </a:fillRef>
        <a:effectRef idx="3">
          <a:schemeClr val="accent6"/>
        </a:effectRef>
        <a:fontRef idx="minor">
          <a:schemeClr val="lt1"/>
        </a:fontRef>
      </xdr:style>
      <xdr:txBody>
        <a:bodyPr vertOverflow="clip" rtlCol="0" anchor="ctr"/>
        <a:lstStyle/>
        <a:p>
          <a:pPr algn="ctr"/>
          <a:r>
            <a:rPr lang="id-ID" sz="1200" b="1">
              <a:latin typeface="Aharoni" pitchFamily="2" charset="-79"/>
              <a:cs typeface="Aharoni" pitchFamily="2" charset="-79"/>
            </a:rPr>
            <a:t>KLIK DISINI UNTUK</a:t>
          </a:r>
          <a:r>
            <a:rPr lang="id-ID" sz="1200" b="1" baseline="0">
              <a:latin typeface="Aharoni" pitchFamily="2" charset="-79"/>
              <a:cs typeface="Aharoni" pitchFamily="2" charset="-79"/>
            </a:rPr>
            <a:t> KEMBALI KE DAFTAR ISI</a:t>
          </a:r>
          <a:endParaRPr lang="id-ID" sz="1200" b="1">
            <a:latin typeface="Aharoni" pitchFamily="2" charset="-79"/>
            <a:cs typeface="Aharoni" pitchFamily="2" charset="-79"/>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NAGRAK-02AB1BDA\07%20Juli%202012%20BHN\07%20Juli%202013ben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AGRAK-02AB1BDA\12%20Des%202013%20(Autosav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AGRAK-02AB1BDA\Users\Arin\AppData\Roaming\Microsoft\Excel\LAPOR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AR ISI"/>
      <sheetName val="Daftar Isi PINJAMAN"/>
      <sheetName val="DT"/>
      <sheetName val="DATA BANTUAN"/>
      <sheetName val="Tutup Buku"/>
      <sheetName val="Perubahan modal"/>
      <sheetName val="Lap. Realisasi Surplus"/>
      <sheetName val="BUKU HUTANG &amp; HIBAH"/>
      <sheetName val="CEK"/>
      <sheetName val="Kas B PPK"/>
      <sheetName val="Kas B PNPM-MPd"/>
      <sheetName val="Kas B GSC"/>
      <sheetName val="Kas B PNPM-TP GEMPA"/>
      <sheetName val="Kas B PASCA KRISIS"/>
      <sheetName val="Kas OP-UPK"/>
      <sheetName val="Kas UEP"/>
      <sheetName val="Kas SPP"/>
      <sheetName val="Kas SPP Pihak ke-3"/>
      <sheetName val="Kas DOK PNPM MP 2012"/>
      <sheetName val="Kas DOK Pernc."/>
      <sheetName val="Kas DOK Pelth."/>
      <sheetName val="Kas DOK MICROF"/>
      <sheetName val="Kas DOK Pernc.GSC"/>
      <sheetName val="Kas DOK Pelth.GSC"/>
      <sheetName val="Kas DOK GEMPA"/>
      <sheetName val="Kas DOK RPJMDES"/>
      <sheetName val="Bank B PPK"/>
      <sheetName val="Bank B PNPM-MPd"/>
      <sheetName val="Bank B GSC"/>
      <sheetName val="Bank B PNPM-TP GEMPA"/>
      <sheetName val="Bank B PASCA KRISIS"/>
      <sheetName val="Bank OP-UPK"/>
      <sheetName val="Bank UEP"/>
      <sheetName val="Bank SPP"/>
      <sheetName val="Bank SPP Pihak ke-3"/>
      <sheetName val="Bank DOK PNPM MP 2012"/>
      <sheetName val="Bank DOK PERNC"/>
      <sheetName val="Bank DOK PELTH"/>
      <sheetName val="Bank DOK MICROF"/>
      <sheetName val="Bank DOK PERNC-GSC"/>
      <sheetName val="Bank DOK PELTH-GSC"/>
      <sheetName val="Bank DOK GEMPA"/>
      <sheetName val="Bank DOK RPJMDES"/>
      <sheetName val="Aktiva Tetap &amp; Aktv Lain2"/>
      <sheetName val="BDD"/>
      <sheetName val="Inventaris"/>
      <sheetName val="Penyaluran dana"/>
      <sheetName val="Neraca Program"/>
      <sheetName val="Lap. Opr. Program"/>
      <sheetName val="Neraca Program REGULER"/>
      <sheetName val="Lap. Opr. Program REGULER"/>
      <sheetName val="R-L Microfinance"/>
      <sheetName val="Neraca Micro"/>
      <sheetName val="Arus Dana"/>
      <sheetName val="Rekonsiliasi"/>
      <sheetName val="Audit Keuangan"/>
      <sheetName val="Penghapusan Pinjaman"/>
      <sheetName val="LPP-UEP"/>
      <sheetName val="LPP-SPP"/>
      <sheetName val="LPP-SPP PIHAK KE-3"/>
      <sheetName val="LPP-SPP (BLM+PIHAK KE3)"/>
      <sheetName val="KOLEKTIBILITAS-UEP"/>
      <sheetName val="KOLEKTIBILITAS-SPP"/>
      <sheetName val="KOLEKTIBILITAS-SPP PIHAK KE-3"/>
      <sheetName val="KOLEKTIBILITAS-SPP(BLM+PHK KE3)"/>
      <sheetName val="84ABC-UEP"/>
      <sheetName val="84ABC-SPP"/>
      <sheetName val="84ABC-SPP PIHAK KE-3"/>
      <sheetName val="84ABC-SPP+UEP"/>
      <sheetName val="DOK PERC"/>
      <sheetName val="DOK PELT"/>
      <sheetName val="DOK MICRO"/>
      <sheetName val="DOK PERNC. GSC"/>
      <sheetName val="DOK PELT. GSC"/>
      <sheetName val="DOK GEMPA"/>
      <sheetName val="DOK RPJMDES"/>
      <sheetName val="UEP-1"/>
      <sheetName val="UEP-2"/>
      <sheetName val="UEP-3"/>
      <sheetName val="UEP-4"/>
      <sheetName val="UEP-5"/>
      <sheetName val="UEP-6"/>
      <sheetName val="UEP-7"/>
      <sheetName val="UEP-8"/>
      <sheetName val="UEP-9"/>
      <sheetName val="UEP-10"/>
      <sheetName val="UEP-11"/>
      <sheetName val="UEP-12"/>
      <sheetName val="UEP-13"/>
      <sheetName val="UEP-14"/>
      <sheetName val="UEP-15"/>
      <sheetName val="UEP-16"/>
      <sheetName val="SPP-1"/>
      <sheetName val="SPP-2"/>
      <sheetName val="SPP-3"/>
      <sheetName val="SPP-4"/>
      <sheetName val="SPP-5"/>
      <sheetName val="SPP-6"/>
      <sheetName val="SPP-7"/>
      <sheetName val="SPP-8"/>
      <sheetName val="SPP-9"/>
      <sheetName val="SPP-10"/>
      <sheetName val="SPP-11"/>
      <sheetName val="SPP-12"/>
      <sheetName val="SPP-13"/>
      <sheetName val="SPP-14"/>
      <sheetName val="SPP-15"/>
      <sheetName val="SPP-16"/>
      <sheetName val="SPP K3-1"/>
      <sheetName val="SPP K3-2"/>
      <sheetName val="SPP K3-3"/>
      <sheetName val="SPP K3-4"/>
      <sheetName val="SPP K3-5"/>
      <sheetName val="SPP K3-6"/>
      <sheetName val="SPP K3-7"/>
      <sheetName val="SPP K3-8"/>
      <sheetName val="SPP K3-9"/>
      <sheetName val="SPP K3-10"/>
      <sheetName val="SPP K3-11"/>
      <sheetName val="SPP K3-12"/>
      <sheetName val="SPP K3-13"/>
      <sheetName val="SPP K3-14"/>
      <sheetName val="SPP K3-15"/>
      <sheetName val="SPP K3-16"/>
      <sheetName val="db LPP-UEP"/>
      <sheetName val="db LPP-SPP"/>
      <sheetName val="db KOLEKTOBILITAS-UEP"/>
      <sheetName val="db KOLEKTOBILITAS-SPP"/>
      <sheetName val="db Nrc Program"/>
      <sheetName val="DB Ops Program"/>
      <sheetName val="db Nrc Micro"/>
      <sheetName val="DB RL Micro"/>
      <sheetName val="db Arus Dana"/>
      <sheetName val="db Rekonsiliasi"/>
    </sheetNames>
    <sheetDataSet>
      <sheetData sheetId="0"/>
      <sheetData sheetId="1"/>
      <sheetData sheetId="2">
        <row r="3">
          <cell r="D3" t="str">
            <v>Nagrak</v>
          </cell>
        </row>
        <row r="4">
          <cell r="D4" t="str">
            <v>Sukabumi</v>
          </cell>
        </row>
        <row r="5">
          <cell r="D5" t="str">
            <v>Jawa Barat</v>
          </cell>
        </row>
        <row r="14">
          <cell r="D14" t="str">
            <v>Endang Taryana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FTAR ISI"/>
      <sheetName val="Daftar Isi PINJAMAN"/>
      <sheetName val="DT"/>
      <sheetName val="DATA BANTUAN"/>
      <sheetName val="Tutup Buku"/>
      <sheetName val="Perubahan modal"/>
      <sheetName val="Lap. Realisasi Surplus"/>
      <sheetName val="BUKU HUTANG &amp; HIBAH"/>
      <sheetName val="CEK"/>
      <sheetName val="Kas B PPK"/>
      <sheetName val="Kas B PNPM-MPd"/>
      <sheetName val="Kas B GSC"/>
      <sheetName val="Kas B PNPM-TP GEMPA"/>
      <sheetName val="Kas B PASCA KRISIS"/>
      <sheetName val="Kas OP-UPK"/>
      <sheetName val="Kas UEP"/>
      <sheetName val="Kas SPP"/>
      <sheetName val="Kas SPP Pihak ke-3"/>
      <sheetName val="Kas DOK PNPM MP 2012"/>
      <sheetName val="Kas DOK Pernc."/>
      <sheetName val="Kas DOK Pelth."/>
      <sheetName val="Kas DOK PLUPK"/>
      <sheetName val="Kas DOK Pernc.GSC"/>
      <sheetName val="Kas DOK Pelth.GSC"/>
      <sheetName val="Kas DOK GEMPA"/>
      <sheetName val="Kas DOK RPJMDES"/>
      <sheetName val="Bank B PPK"/>
      <sheetName val="Bank B PNPM-MPd"/>
      <sheetName val="Bank B GSC"/>
      <sheetName val="Bank B PNPM-TP GEMPA"/>
      <sheetName val="Bank B PASCA KRISIS"/>
      <sheetName val="Bank OP-UPK"/>
      <sheetName val="Bank UEP"/>
      <sheetName val="Bank SPP"/>
      <sheetName val="Bank SPP Pihak ke-3"/>
      <sheetName val="Bank DOK PNPM MP 2012"/>
      <sheetName val="Bank DOK PERNC"/>
      <sheetName val="Bank DOK PELTH"/>
      <sheetName val="Bank DOK PLUPK"/>
      <sheetName val="Bank DOK PERNC-GSC"/>
      <sheetName val="Bank DOK PELTH-GSC"/>
      <sheetName val="Bank DOK GEMPA"/>
      <sheetName val="Bank DOK RPJMDES"/>
      <sheetName val="Aktiva Tetap &amp; Aktv Lain2"/>
      <sheetName val="BDD"/>
      <sheetName val="Inventaris"/>
      <sheetName val="Penyaluran dana"/>
      <sheetName val="Neraca Program"/>
      <sheetName val="Lap. Opr. Program"/>
      <sheetName val="Neraca Program REGULER"/>
      <sheetName val="Lap. Opr. Program REGULER"/>
      <sheetName val="R-L Microfinance"/>
      <sheetName val="Neraca Micro"/>
      <sheetName val="Arus Dana"/>
      <sheetName val="Rekonsiliasi"/>
      <sheetName val="Audit Keuangan"/>
      <sheetName val="Penghapusan Pinjaman"/>
      <sheetName val="LPP-UEP"/>
      <sheetName val="LPP-SPP"/>
      <sheetName val="LPP-SPP PIHAK KE-3"/>
      <sheetName val="LPP-SPP (BLM+PIHAK KE3)"/>
      <sheetName val="KOLEKTIBILITAS-UEP"/>
      <sheetName val="KOLEKTIBILITAS-SPP"/>
      <sheetName val="KOLEKTIBILITAS-SPP PIHAK KE-3"/>
      <sheetName val="KOLEKTIBILITAS-SPP(BLM+PHK KE3)"/>
      <sheetName val="84ABC-UEP"/>
      <sheetName val="84ABC-SPP"/>
      <sheetName val="84ABC-SPP PIHAK KE-3"/>
      <sheetName val="84ABC-SPP+UEP"/>
      <sheetName val="DOK PERC"/>
      <sheetName val="DOK PELT"/>
      <sheetName val="DOK MICRO"/>
      <sheetName val="DOK PERNC. GSC"/>
      <sheetName val="DOK PELT. GSC"/>
      <sheetName val="DOK GEMPA"/>
      <sheetName val="DOK RPJMDES"/>
      <sheetName val="UEP-1"/>
      <sheetName val="UEP-2"/>
      <sheetName val="UEP-3"/>
      <sheetName val="UEP-4"/>
      <sheetName val="UEP-5"/>
      <sheetName val="UEP-6"/>
      <sheetName val="UEP-7"/>
      <sheetName val="UEP-8"/>
      <sheetName val="UEP-9"/>
      <sheetName val="UEP-10"/>
      <sheetName val="UEP-11"/>
      <sheetName val="UEP-12"/>
      <sheetName val="UEP-13"/>
      <sheetName val="UEP-14"/>
      <sheetName val="UEP-15"/>
      <sheetName val="UEP-16"/>
      <sheetName val="SPP-1"/>
      <sheetName val="SPP-2"/>
      <sheetName val="SPP-3"/>
      <sheetName val="SPP-4"/>
      <sheetName val="SPP-5"/>
      <sheetName val="SPP-6"/>
      <sheetName val="SPP-7"/>
      <sheetName val="SPP-8"/>
      <sheetName val="SPP-9"/>
      <sheetName val="SPP-10"/>
      <sheetName val="SPP-11"/>
      <sheetName val="SPP-12"/>
      <sheetName val="SPP-13"/>
      <sheetName val="SPP-14"/>
      <sheetName val="SPP-15"/>
      <sheetName val="SPP-16"/>
      <sheetName val="SPP K3-1"/>
      <sheetName val="SPP K3-2"/>
      <sheetName val="SPP K3-3"/>
      <sheetName val="SPP K3-4"/>
      <sheetName val="SPP K3-5"/>
      <sheetName val="SPP K3-6"/>
      <sheetName val="SPP K3-7"/>
      <sheetName val="SPP K3-8"/>
      <sheetName val="SPP K3-9"/>
      <sheetName val="SPP K3-10"/>
      <sheetName val="SPP K3-11"/>
      <sheetName val="SPP K3-12"/>
      <sheetName val="SPP K3-13"/>
      <sheetName val="SPP K3-14"/>
      <sheetName val="SPP K3-15"/>
      <sheetName val="SPP K3-16"/>
      <sheetName val="db LPP-UEP"/>
      <sheetName val="db LPP-SPP"/>
      <sheetName val="db KOLEKTOBILITAS-UEP"/>
      <sheetName val="db KOLEKTOBILITAS-SPP"/>
      <sheetName val="db Nrc Program"/>
      <sheetName val="DB Ops Program"/>
      <sheetName val="db Nrc Micro"/>
      <sheetName val="DB RL Micro"/>
      <sheetName val="db Arus Dana"/>
      <sheetName val="db Rekonsiliasi"/>
    </sheetNames>
    <sheetDataSet>
      <sheetData sheetId="0"/>
      <sheetData sheetId="1"/>
      <sheetData sheetId="2">
        <row r="3">
          <cell r="D3" t="str">
            <v>Nagrak</v>
          </cell>
        </row>
        <row r="4">
          <cell r="D4" t="str">
            <v>Sukabumi</v>
          </cell>
        </row>
        <row r="5">
          <cell r="D5" t="str">
            <v>Jawa Barat</v>
          </cell>
        </row>
        <row r="14">
          <cell r="D14" t="str">
            <v>Endang Taryana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M 2014"/>
      <sheetName val="BLM 2013"/>
      <sheetName val="BLM 2012"/>
      <sheetName val="BLM 2011"/>
      <sheetName val="Realisasi salur dana rekap 10"/>
      <sheetName val="Realisasi salur dana pasca (11)"/>
      <sheetName val="Realisasi salur dana NOrma (10)"/>
      <sheetName val="Realisasi salur Optimal (10)"/>
      <sheetName val="Realisasi salur dana (09)"/>
      <sheetName val="Realisasi salur dana"/>
      <sheetName val="Kolektibilitas-pinjaman SPP"/>
      <sheetName val="Kolektibilitas-pinjaman UEP"/>
      <sheetName val="Perkembangan-pinj-spp"/>
      <sheetName val="Perkembangan-pinj-uep"/>
    </sheetNames>
    <sheetDataSet>
      <sheetData sheetId="0">
        <row r="31">
          <cell r="U31">
            <v>593937000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7.xml"/><Relationship Id="rId1" Type="http://schemas.openxmlformats.org/officeDocument/2006/relationships/printerSettings" Target="../printerSettings/printerSettings10.bin"/><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1.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2.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8.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50.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51.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2.bin"/></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56.bin"/><Relationship Id="rId1" Type="http://schemas.openxmlformats.org/officeDocument/2006/relationships/printerSettings" Target="../printerSettings/printerSettings55.bin"/></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5.xml"/><Relationship Id="rId1" Type="http://schemas.openxmlformats.org/officeDocument/2006/relationships/printerSettings" Target="../printerSettings/printerSettings57.bin"/><Relationship Id="rId4" Type="http://schemas.openxmlformats.org/officeDocument/2006/relationships/comments" Target="../comments9.xm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8.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47.xml"/><Relationship Id="rId1" Type="http://schemas.openxmlformats.org/officeDocument/2006/relationships/printerSettings" Target="../printerSettings/printerSettings59.bin"/><Relationship Id="rId4" Type="http://schemas.openxmlformats.org/officeDocument/2006/relationships/comments" Target="../comments10.xml"/></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60.bin"/></Relationships>
</file>

<file path=xl/worksheets/_rels/sheet5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49.xml"/><Relationship Id="rId1" Type="http://schemas.openxmlformats.org/officeDocument/2006/relationships/printerSettings" Target="../printerSettings/printerSettings61.bin"/><Relationship Id="rId4" Type="http://schemas.openxmlformats.org/officeDocument/2006/relationships/comments" Target="../comments11.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62.bin"/></Relationships>
</file>

<file path=xl/worksheets/_rels/sheet54.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51.xml"/><Relationship Id="rId1" Type="http://schemas.openxmlformats.org/officeDocument/2006/relationships/printerSettings" Target="../printerSettings/printerSettings63.bin"/><Relationship Id="rId4" Type="http://schemas.openxmlformats.org/officeDocument/2006/relationships/comments" Target="../comments12.xml"/></Relationships>
</file>

<file path=xl/worksheets/_rels/sheet55.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52.xml"/><Relationship Id="rId1" Type="http://schemas.openxmlformats.org/officeDocument/2006/relationships/printerSettings" Target="../printerSettings/printerSettings64.bin"/><Relationship Id="rId4" Type="http://schemas.openxmlformats.org/officeDocument/2006/relationships/comments" Target="../comments13.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65.bin"/></Relationships>
</file>

<file path=xl/worksheets/_rels/sheet5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54.xml"/><Relationship Id="rId1" Type="http://schemas.openxmlformats.org/officeDocument/2006/relationships/printerSettings" Target="../printerSettings/printerSettings66.bin"/><Relationship Id="rId4" Type="http://schemas.openxmlformats.org/officeDocument/2006/relationships/comments" Target="../comments14.xml"/></Relationships>
</file>

<file path=xl/worksheets/_rels/sheet5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55.xml"/><Relationship Id="rId1" Type="http://schemas.openxmlformats.org/officeDocument/2006/relationships/printerSettings" Target="../printerSettings/printerSettings67.bin"/><Relationship Id="rId4" Type="http://schemas.openxmlformats.org/officeDocument/2006/relationships/comments" Target="../comments15.xml"/></Relationships>
</file>

<file path=xl/worksheets/_rels/sheet5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56.xml"/><Relationship Id="rId1" Type="http://schemas.openxmlformats.org/officeDocument/2006/relationships/printerSettings" Target="../printerSettings/printerSettings68.bin"/><Relationship Id="rId4" Type="http://schemas.openxmlformats.org/officeDocument/2006/relationships/comments" Target="../comments16.xml"/></Relationships>
</file>

<file path=xl/worksheets/_rels/sheet6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57.xml"/><Relationship Id="rId1" Type="http://schemas.openxmlformats.org/officeDocument/2006/relationships/printerSettings" Target="../printerSettings/printerSettings69.bin"/><Relationship Id="rId4" Type="http://schemas.openxmlformats.org/officeDocument/2006/relationships/comments" Target="../comments17.xml"/></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7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7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7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7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7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7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7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7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78.bin"/></Relationships>
</file>

<file path=xl/worksheets/_rels/sheet70.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67.xml"/><Relationship Id="rId1" Type="http://schemas.openxmlformats.org/officeDocument/2006/relationships/printerSettings" Target="../printerSettings/printerSettings79.bin"/><Relationship Id="rId4" Type="http://schemas.openxmlformats.org/officeDocument/2006/relationships/comments" Target="../comments18.xml"/></Relationships>
</file>

<file path=xl/worksheets/_rels/sheet71.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68.xml"/><Relationship Id="rId1" Type="http://schemas.openxmlformats.org/officeDocument/2006/relationships/printerSettings" Target="../printerSettings/printerSettings80.bin"/><Relationship Id="rId4" Type="http://schemas.openxmlformats.org/officeDocument/2006/relationships/comments" Target="../comments19.xml"/></Relationships>
</file>

<file path=xl/worksheets/_rels/sheet72.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69.xml"/><Relationship Id="rId1" Type="http://schemas.openxmlformats.org/officeDocument/2006/relationships/printerSettings" Target="../printerSettings/printerSettings81.bin"/><Relationship Id="rId4" Type="http://schemas.openxmlformats.org/officeDocument/2006/relationships/comments" Target="../comments20.xml"/></Relationships>
</file>

<file path=xl/worksheets/_rels/sheet73.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70.xml"/><Relationship Id="rId1" Type="http://schemas.openxmlformats.org/officeDocument/2006/relationships/printerSettings" Target="../printerSettings/printerSettings82.bin"/><Relationship Id="rId4" Type="http://schemas.openxmlformats.org/officeDocument/2006/relationships/comments" Target="../comments21.xml"/></Relationships>
</file>

<file path=xl/worksheets/_rels/sheet74.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71.xml"/><Relationship Id="rId1" Type="http://schemas.openxmlformats.org/officeDocument/2006/relationships/printerSettings" Target="../printerSettings/printerSettings83.bin"/><Relationship Id="rId4" Type="http://schemas.openxmlformats.org/officeDocument/2006/relationships/comments" Target="../comments22.xml"/></Relationships>
</file>

<file path=xl/worksheets/_rels/sheet75.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72.xml"/><Relationship Id="rId1" Type="http://schemas.openxmlformats.org/officeDocument/2006/relationships/printerSettings" Target="../printerSettings/printerSettings84.bin"/><Relationship Id="rId4" Type="http://schemas.openxmlformats.org/officeDocument/2006/relationships/comments" Target="../comments23.xml"/></Relationships>
</file>

<file path=xl/worksheets/_rels/sheet76.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73.xml"/><Relationship Id="rId1" Type="http://schemas.openxmlformats.org/officeDocument/2006/relationships/printerSettings" Target="../printerSettings/printerSettings85.bin"/><Relationship Id="rId4" Type="http://schemas.openxmlformats.org/officeDocument/2006/relationships/comments" Target="../comments24.xml"/></Relationships>
</file>

<file path=xl/worksheets/_rels/sheet77.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74.xml"/><Relationship Id="rId1" Type="http://schemas.openxmlformats.org/officeDocument/2006/relationships/printerSettings" Target="../printerSettings/printerSettings86.bin"/><Relationship Id="rId4" Type="http://schemas.openxmlformats.org/officeDocument/2006/relationships/comments" Target="../comments25.xml"/></Relationships>
</file>

<file path=xl/worksheets/_rels/sheet78.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75.xml"/><Relationship Id="rId1" Type="http://schemas.openxmlformats.org/officeDocument/2006/relationships/printerSettings" Target="../printerSettings/printerSettings87.bin"/><Relationship Id="rId4" Type="http://schemas.openxmlformats.org/officeDocument/2006/relationships/comments" Target="../comments26.xml"/></Relationships>
</file>

<file path=xl/worksheets/_rels/sheet79.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76.xml"/><Relationship Id="rId1" Type="http://schemas.openxmlformats.org/officeDocument/2006/relationships/printerSettings" Target="../printerSettings/printerSettings88.bin"/><Relationship Id="rId4" Type="http://schemas.openxmlformats.org/officeDocument/2006/relationships/comments" Target="../comments27.xml"/></Relationships>
</file>

<file path=xl/worksheets/_rels/sheet80.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77.xml"/><Relationship Id="rId1" Type="http://schemas.openxmlformats.org/officeDocument/2006/relationships/printerSettings" Target="../printerSettings/printerSettings89.bin"/><Relationship Id="rId4" Type="http://schemas.openxmlformats.org/officeDocument/2006/relationships/comments" Target="../comments28.xml"/></Relationships>
</file>

<file path=xl/worksheets/_rels/sheet81.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78.xml"/><Relationship Id="rId1" Type="http://schemas.openxmlformats.org/officeDocument/2006/relationships/printerSettings" Target="../printerSettings/printerSettings90.bin"/><Relationship Id="rId4" Type="http://schemas.openxmlformats.org/officeDocument/2006/relationships/comments" Target="../comments29.xml"/></Relationships>
</file>

<file path=xl/worksheets/_rels/sheet82.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79.xml"/><Relationship Id="rId1" Type="http://schemas.openxmlformats.org/officeDocument/2006/relationships/printerSettings" Target="../printerSettings/printerSettings91.bin"/><Relationship Id="rId4" Type="http://schemas.openxmlformats.org/officeDocument/2006/relationships/comments" Target="../comments30.xml"/></Relationships>
</file>

<file path=xl/worksheets/_rels/sheet83.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80.xml"/><Relationship Id="rId1" Type="http://schemas.openxmlformats.org/officeDocument/2006/relationships/printerSettings" Target="../printerSettings/printerSettings92.bin"/><Relationship Id="rId4" Type="http://schemas.openxmlformats.org/officeDocument/2006/relationships/comments" Target="../comments31.xml"/></Relationships>
</file>

<file path=xl/worksheets/_rels/sheet84.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81.xml"/><Relationship Id="rId1" Type="http://schemas.openxmlformats.org/officeDocument/2006/relationships/printerSettings" Target="../printerSettings/printerSettings93.bin"/><Relationship Id="rId4" Type="http://schemas.openxmlformats.org/officeDocument/2006/relationships/comments" Target="../comments32.xml"/></Relationships>
</file>

<file path=xl/worksheets/_rels/sheet85.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82.xml"/><Relationship Id="rId1" Type="http://schemas.openxmlformats.org/officeDocument/2006/relationships/printerSettings" Target="../printerSettings/printerSettings94.bin"/><Relationship Id="rId4" Type="http://schemas.openxmlformats.org/officeDocument/2006/relationships/comments" Target="../comments33.xml"/></Relationships>
</file>

<file path=xl/worksheets/_rels/sheet86.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83.xml"/><Relationship Id="rId1" Type="http://schemas.openxmlformats.org/officeDocument/2006/relationships/printerSettings" Target="../printerSettings/printerSettings95.bin"/><Relationship Id="rId4" Type="http://schemas.openxmlformats.org/officeDocument/2006/relationships/comments" Target="../comments34.xml"/></Relationships>
</file>

<file path=xl/worksheets/_rels/sheet87.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84.xml"/><Relationship Id="rId1" Type="http://schemas.openxmlformats.org/officeDocument/2006/relationships/printerSettings" Target="../printerSettings/printerSettings96.bin"/><Relationship Id="rId4" Type="http://schemas.openxmlformats.org/officeDocument/2006/relationships/comments" Target="../comments35.xml"/></Relationships>
</file>

<file path=xl/worksheets/_rels/sheet88.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85.xml"/><Relationship Id="rId1" Type="http://schemas.openxmlformats.org/officeDocument/2006/relationships/printerSettings" Target="../printerSettings/printerSettings97.bin"/><Relationship Id="rId4" Type="http://schemas.openxmlformats.org/officeDocument/2006/relationships/comments" Target="../comments36.xml"/></Relationships>
</file>

<file path=xl/worksheets/_rels/sheet89.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86.xml"/><Relationship Id="rId1" Type="http://schemas.openxmlformats.org/officeDocument/2006/relationships/printerSettings" Target="../printerSettings/printerSettings98.bin"/><Relationship Id="rId4" Type="http://schemas.openxmlformats.org/officeDocument/2006/relationships/comments" Target="../comments37.xml"/></Relationships>
</file>

<file path=xl/worksheets/_rels/sheet90.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87.xml"/><Relationship Id="rId1" Type="http://schemas.openxmlformats.org/officeDocument/2006/relationships/printerSettings" Target="../printerSettings/printerSettings99.bin"/><Relationship Id="rId4" Type="http://schemas.openxmlformats.org/officeDocument/2006/relationships/comments" Target="../comments38.xml"/></Relationships>
</file>

<file path=xl/worksheets/_rels/sheet91.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88.xml"/><Relationship Id="rId1" Type="http://schemas.openxmlformats.org/officeDocument/2006/relationships/printerSettings" Target="../printerSettings/printerSettings100.bin"/><Relationship Id="rId4" Type="http://schemas.openxmlformats.org/officeDocument/2006/relationships/comments" Target="../comments39.xml"/></Relationships>
</file>

<file path=xl/worksheets/_rels/sheet92.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89.xml"/><Relationship Id="rId1" Type="http://schemas.openxmlformats.org/officeDocument/2006/relationships/printerSettings" Target="../printerSettings/printerSettings101.bin"/><Relationship Id="rId4" Type="http://schemas.openxmlformats.org/officeDocument/2006/relationships/comments" Target="../comments40.xml"/></Relationships>
</file>

<file path=xl/worksheets/_rels/sheet93.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90.xml"/><Relationship Id="rId1" Type="http://schemas.openxmlformats.org/officeDocument/2006/relationships/printerSettings" Target="../printerSettings/printerSettings102.bin"/><Relationship Id="rId4" Type="http://schemas.openxmlformats.org/officeDocument/2006/relationships/comments" Target="../comments41.xml"/></Relationships>
</file>

<file path=xl/worksheets/_rels/sheet94.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91.xml"/><Relationship Id="rId1" Type="http://schemas.openxmlformats.org/officeDocument/2006/relationships/printerSettings" Target="../printerSettings/printerSettings103.bin"/><Relationship Id="rId4" Type="http://schemas.openxmlformats.org/officeDocument/2006/relationships/comments" Target="../comments42.xml"/></Relationships>
</file>

<file path=xl/worksheets/_rels/sheet95.xml.rels><?xml version="1.0" encoding="UTF-8" standalone="yes"?>
<Relationships xmlns="http://schemas.openxmlformats.org/package/2006/relationships"><Relationship Id="rId3" Type="http://schemas.openxmlformats.org/officeDocument/2006/relationships/vmlDrawing" Target="../drawings/vmlDrawing43.vml"/><Relationship Id="rId2" Type="http://schemas.openxmlformats.org/officeDocument/2006/relationships/drawing" Target="../drawings/drawing92.xml"/><Relationship Id="rId1" Type="http://schemas.openxmlformats.org/officeDocument/2006/relationships/printerSettings" Target="../printerSettings/printerSettings104.bin"/><Relationship Id="rId4" Type="http://schemas.openxmlformats.org/officeDocument/2006/relationships/comments" Target="../comments43.xml"/></Relationships>
</file>

<file path=xl/worksheets/_rels/sheet96.xml.rels><?xml version="1.0" encoding="UTF-8" standalone="yes"?>
<Relationships xmlns="http://schemas.openxmlformats.org/package/2006/relationships"><Relationship Id="rId3" Type="http://schemas.openxmlformats.org/officeDocument/2006/relationships/vmlDrawing" Target="../drawings/vmlDrawing44.vml"/><Relationship Id="rId2" Type="http://schemas.openxmlformats.org/officeDocument/2006/relationships/drawing" Target="../drawings/drawing93.xml"/><Relationship Id="rId1" Type="http://schemas.openxmlformats.org/officeDocument/2006/relationships/printerSettings" Target="../printerSettings/printerSettings105.bin"/><Relationship Id="rId4" Type="http://schemas.openxmlformats.org/officeDocument/2006/relationships/comments" Target="../comments44.xml"/></Relationships>
</file>

<file path=xl/worksheets/_rels/sheet97.xml.rels><?xml version="1.0" encoding="UTF-8" standalone="yes"?>
<Relationships xmlns="http://schemas.openxmlformats.org/package/2006/relationships"><Relationship Id="rId3" Type="http://schemas.openxmlformats.org/officeDocument/2006/relationships/vmlDrawing" Target="../drawings/vmlDrawing45.vml"/><Relationship Id="rId2" Type="http://schemas.openxmlformats.org/officeDocument/2006/relationships/drawing" Target="../drawings/drawing94.xml"/><Relationship Id="rId1" Type="http://schemas.openxmlformats.org/officeDocument/2006/relationships/printerSettings" Target="../printerSettings/printerSettings106.bin"/><Relationship Id="rId4" Type="http://schemas.openxmlformats.org/officeDocument/2006/relationships/comments" Target="../comments45.xml"/></Relationships>
</file>

<file path=xl/worksheets/_rels/sheet98.xml.rels><?xml version="1.0" encoding="UTF-8" standalone="yes"?>
<Relationships xmlns="http://schemas.openxmlformats.org/package/2006/relationships"><Relationship Id="rId3" Type="http://schemas.openxmlformats.org/officeDocument/2006/relationships/vmlDrawing" Target="../drawings/vmlDrawing46.vml"/><Relationship Id="rId2" Type="http://schemas.openxmlformats.org/officeDocument/2006/relationships/drawing" Target="../drawings/drawing95.xml"/><Relationship Id="rId1" Type="http://schemas.openxmlformats.org/officeDocument/2006/relationships/printerSettings" Target="../printerSettings/printerSettings107.bin"/><Relationship Id="rId4" Type="http://schemas.openxmlformats.org/officeDocument/2006/relationships/comments" Target="../comments46.xml"/></Relationships>
</file>

<file path=xl/worksheets/_rels/sheet99.xml.rels><?xml version="1.0" encoding="UTF-8" standalone="yes"?>
<Relationships xmlns="http://schemas.openxmlformats.org/package/2006/relationships"><Relationship Id="rId3" Type="http://schemas.openxmlformats.org/officeDocument/2006/relationships/vmlDrawing" Target="../drawings/vmlDrawing47.vml"/><Relationship Id="rId2" Type="http://schemas.openxmlformats.org/officeDocument/2006/relationships/drawing" Target="../drawings/drawing96.xml"/><Relationship Id="rId1" Type="http://schemas.openxmlformats.org/officeDocument/2006/relationships/printerSettings" Target="../printerSettings/printerSettings108.bin"/><Relationship Id="rId4" Type="http://schemas.openxmlformats.org/officeDocument/2006/relationships/comments" Target="../comments47.xml"/></Relationships>
</file>

<file path=xl/worksheets/_rels/sheet100.xml.rels><?xml version="1.0" encoding="UTF-8" standalone="yes"?>
<Relationships xmlns="http://schemas.openxmlformats.org/package/2006/relationships"><Relationship Id="rId3" Type="http://schemas.openxmlformats.org/officeDocument/2006/relationships/vmlDrawing" Target="../drawings/vmlDrawing48.vml"/><Relationship Id="rId2" Type="http://schemas.openxmlformats.org/officeDocument/2006/relationships/drawing" Target="../drawings/drawing97.xml"/><Relationship Id="rId1" Type="http://schemas.openxmlformats.org/officeDocument/2006/relationships/printerSettings" Target="../printerSettings/printerSettings109.bin"/><Relationship Id="rId4" Type="http://schemas.openxmlformats.org/officeDocument/2006/relationships/comments" Target="../comments48.xml"/></Relationships>
</file>

<file path=xl/worksheets/_rels/sheet101.xml.rels><?xml version="1.0" encoding="UTF-8" standalone="yes"?>
<Relationships xmlns="http://schemas.openxmlformats.org/package/2006/relationships"><Relationship Id="rId3" Type="http://schemas.openxmlformats.org/officeDocument/2006/relationships/vmlDrawing" Target="../drawings/vmlDrawing49.vml"/><Relationship Id="rId2" Type="http://schemas.openxmlformats.org/officeDocument/2006/relationships/drawing" Target="../drawings/drawing98.xml"/><Relationship Id="rId1" Type="http://schemas.openxmlformats.org/officeDocument/2006/relationships/printerSettings" Target="../printerSettings/printerSettings110.bin"/><Relationship Id="rId4" Type="http://schemas.openxmlformats.org/officeDocument/2006/relationships/comments" Target="../comments49.xml"/></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50.vml"/><Relationship Id="rId2" Type="http://schemas.openxmlformats.org/officeDocument/2006/relationships/drawing" Target="../drawings/drawing99.xml"/><Relationship Id="rId1" Type="http://schemas.openxmlformats.org/officeDocument/2006/relationships/printerSettings" Target="../printerSettings/printerSettings111.bin"/><Relationship Id="rId4" Type="http://schemas.openxmlformats.org/officeDocument/2006/relationships/comments" Target="../comments50.xml"/></Relationships>
</file>

<file path=xl/worksheets/_rels/sheet103.xml.rels><?xml version="1.0" encoding="UTF-8" standalone="yes"?>
<Relationships xmlns="http://schemas.openxmlformats.org/package/2006/relationships"><Relationship Id="rId3" Type="http://schemas.openxmlformats.org/officeDocument/2006/relationships/vmlDrawing" Target="../drawings/vmlDrawing51.vml"/><Relationship Id="rId2" Type="http://schemas.openxmlformats.org/officeDocument/2006/relationships/drawing" Target="../drawings/drawing100.xml"/><Relationship Id="rId1" Type="http://schemas.openxmlformats.org/officeDocument/2006/relationships/printerSettings" Target="../printerSettings/printerSettings112.bin"/><Relationship Id="rId4" Type="http://schemas.openxmlformats.org/officeDocument/2006/relationships/comments" Target="../comments51.xml"/></Relationships>
</file>

<file path=xl/worksheets/_rels/sheet104.xml.rels><?xml version="1.0" encoding="UTF-8" standalone="yes"?>
<Relationships xmlns="http://schemas.openxmlformats.org/package/2006/relationships"><Relationship Id="rId3" Type="http://schemas.openxmlformats.org/officeDocument/2006/relationships/vmlDrawing" Target="../drawings/vmlDrawing52.vml"/><Relationship Id="rId2" Type="http://schemas.openxmlformats.org/officeDocument/2006/relationships/drawing" Target="../drawings/drawing101.xml"/><Relationship Id="rId1" Type="http://schemas.openxmlformats.org/officeDocument/2006/relationships/printerSettings" Target="../printerSettings/printerSettings113.bin"/><Relationship Id="rId4" Type="http://schemas.openxmlformats.org/officeDocument/2006/relationships/comments" Target="../comments52.xml"/></Relationships>
</file>

<file path=xl/worksheets/_rels/sheet105.xml.rels><?xml version="1.0" encoding="UTF-8" standalone="yes"?>
<Relationships xmlns="http://schemas.openxmlformats.org/package/2006/relationships"><Relationship Id="rId3" Type="http://schemas.openxmlformats.org/officeDocument/2006/relationships/vmlDrawing" Target="../drawings/vmlDrawing53.vml"/><Relationship Id="rId2" Type="http://schemas.openxmlformats.org/officeDocument/2006/relationships/drawing" Target="../drawings/drawing102.xml"/><Relationship Id="rId1" Type="http://schemas.openxmlformats.org/officeDocument/2006/relationships/printerSettings" Target="../printerSettings/printerSettings114.bin"/><Relationship Id="rId4" Type="http://schemas.openxmlformats.org/officeDocument/2006/relationships/comments" Target="../comments53.xml"/></Relationships>
</file>

<file path=xl/worksheets/_rels/sheet106.xml.rels><?xml version="1.0" encoding="UTF-8" standalone="yes"?>
<Relationships xmlns="http://schemas.openxmlformats.org/package/2006/relationships"><Relationship Id="rId3" Type="http://schemas.openxmlformats.org/officeDocument/2006/relationships/vmlDrawing" Target="../drawings/vmlDrawing54.vml"/><Relationship Id="rId2" Type="http://schemas.openxmlformats.org/officeDocument/2006/relationships/drawing" Target="../drawings/drawing103.xml"/><Relationship Id="rId1" Type="http://schemas.openxmlformats.org/officeDocument/2006/relationships/printerSettings" Target="../printerSettings/printerSettings115.bin"/><Relationship Id="rId4" Type="http://schemas.openxmlformats.org/officeDocument/2006/relationships/comments" Target="../comments54.xml"/></Relationships>
</file>

<file path=xl/worksheets/_rels/sheet107.xml.rels><?xml version="1.0" encoding="UTF-8" standalone="yes"?>
<Relationships xmlns="http://schemas.openxmlformats.org/package/2006/relationships"><Relationship Id="rId3" Type="http://schemas.openxmlformats.org/officeDocument/2006/relationships/vmlDrawing" Target="../drawings/vmlDrawing55.vml"/><Relationship Id="rId2" Type="http://schemas.openxmlformats.org/officeDocument/2006/relationships/drawing" Target="../drawings/drawing104.xml"/><Relationship Id="rId1" Type="http://schemas.openxmlformats.org/officeDocument/2006/relationships/printerSettings" Target="../printerSettings/printerSettings116.bin"/><Relationship Id="rId4" Type="http://schemas.openxmlformats.org/officeDocument/2006/relationships/comments" Target="../comments55.xml"/></Relationships>
</file>

<file path=xl/worksheets/_rels/sheet108.xml.rels><?xml version="1.0" encoding="UTF-8" standalone="yes"?>
<Relationships xmlns="http://schemas.openxmlformats.org/package/2006/relationships"><Relationship Id="rId3" Type="http://schemas.openxmlformats.org/officeDocument/2006/relationships/vmlDrawing" Target="../drawings/vmlDrawing56.vml"/><Relationship Id="rId2" Type="http://schemas.openxmlformats.org/officeDocument/2006/relationships/drawing" Target="../drawings/drawing105.xml"/><Relationship Id="rId1" Type="http://schemas.openxmlformats.org/officeDocument/2006/relationships/printerSettings" Target="../printerSettings/printerSettings117.bin"/><Relationship Id="rId4" Type="http://schemas.openxmlformats.org/officeDocument/2006/relationships/comments" Target="../comments56.xml"/></Relationships>
</file>

<file path=xl/worksheets/_rels/sheet109.xml.rels><?xml version="1.0" encoding="UTF-8" standalone="yes"?>
<Relationships xmlns="http://schemas.openxmlformats.org/package/2006/relationships"><Relationship Id="rId3" Type="http://schemas.openxmlformats.org/officeDocument/2006/relationships/vmlDrawing" Target="../drawings/vmlDrawing57.vml"/><Relationship Id="rId2" Type="http://schemas.openxmlformats.org/officeDocument/2006/relationships/drawing" Target="../drawings/drawing106.xml"/><Relationship Id="rId1" Type="http://schemas.openxmlformats.org/officeDocument/2006/relationships/printerSettings" Target="../printerSettings/printerSettings118.bin"/><Relationship Id="rId4" Type="http://schemas.openxmlformats.org/officeDocument/2006/relationships/comments" Target="../comments57.xml"/></Relationships>
</file>

<file path=xl/worksheets/_rels/sheet110.xml.rels><?xml version="1.0" encoding="UTF-8" standalone="yes"?>
<Relationships xmlns="http://schemas.openxmlformats.org/package/2006/relationships"><Relationship Id="rId3" Type="http://schemas.openxmlformats.org/officeDocument/2006/relationships/vmlDrawing" Target="../drawings/vmlDrawing58.vml"/><Relationship Id="rId2" Type="http://schemas.openxmlformats.org/officeDocument/2006/relationships/drawing" Target="../drawings/drawing107.xml"/><Relationship Id="rId1" Type="http://schemas.openxmlformats.org/officeDocument/2006/relationships/printerSettings" Target="../printerSettings/printerSettings119.bin"/><Relationship Id="rId4" Type="http://schemas.openxmlformats.org/officeDocument/2006/relationships/comments" Target="../comments58.xml"/></Relationships>
</file>

<file path=xl/worksheets/_rels/sheet111.xml.rels><?xml version="1.0" encoding="UTF-8" standalone="yes"?>
<Relationships xmlns="http://schemas.openxmlformats.org/package/2006/relationships"><Relationship Id="rId3" Type="http://schemas.openxmlformats.org/officeDocument/2006/relationships/vmlDrawing" Target="../drawings/vmlDrawing59.vml"/><Relationship Id="rId2" Type="http://schemas.openxmlformats.org/officeDocument/2006/relationships/drawing" Target="../drawings/drawing108.xml"/><Relationship Id="rId1" Type="http://schemas.openxmlformats.org/officeDocument/2006/relationships/printerSettings" Target="../printerSettings/printerSettings120.bin"/><Relationship Id="rId4" Type="http://schemas.openxmlformats.org/officeDocument/2006/relationships/comments" Target="../comments59.xml"/></Relationships>
</file>

<file path=xl/worksheets/_rels/sheet112.xml.rels><?xml version="1.0" encoding="UTF-8" standalone="yes"?>
<Relationships xmlns="http://schemas.openxmlformats.org/package/2006/relationships"><Relationship Id="rId3" Type="http://schemas.openxmlformats.org/officeDocument/2006/relationships/vmlDrawing" Target="../drawings/vmlDrawing60.vml"/><Relationship Id="rId2" Type="http://schemas.openxmlformats.org/officeDocument/2006/relationships/drawing" Target="../drawings/drawing109.xml"/><Relationship Id="rId1" Type="http://schemas.openxmlformats.org/officeDocument/2006/relationships/printerSettings" Target="../printerSettings/printerSettings121.bin"/><Relationship Id="rId4" Type="http://schemas.openxmlformats.org/officeDocument/2006/relationships/comments" Target="../comments60.xml"/></Relationships>
</file>

<file path=xl/worksheets/_rels/sheet113.xml.rels><?xml version="1.0" encoding="UTF-8" standalone="yes"?>
<Relationships xmlns="http://schemas.openxmlformats.org/package/2006/relationships"><Relationship Id="rId3" Type="http://schemas.openxmlformats.org/officeDocument/2006/relationships/vmlDrawing" Target="../drawings/vmlDrawing61.vml"/><Relationship Id="rId2" Type="http://schemas.openxmlformats.org/officeDocument/2006/relationships/drawing" Target="../drawings/drawing110.xml"/><Relationship Id="rId1" Type="http://schemas.openxmlformats.org/officeDocument/2006/relationships/printerSettings" Target="../printerSettings/printerSettings122.bin"/><Relationship Id="rId4" Type="http://schemas.openxmlformats.org/officeDocument/2006/relationships/comments" Target="../comments61.xml"/></Relationships>
</file>

<file path=xl/worksheets/_rels/sheet114.xml.rels><?xml version="1.0" encoding="UTF-8" standalone="yes"?>
<Relationships xmlns="http://schemas.openxmlformats.org/package/2006/relationships"><Relationship Id="rId3" Type="http://schemas.openxmlformats.org/officeDocument/2006/relationships/vmlDrawing" Target="../drawings/vmlDrawing62.vml"/><Relationship Id="rId2" Type="http://schemas.openxmlformats.org/officeDocument/2006/relationships/drawing" Target="../drawings/drawing111.xml"/><Relationship Id="rId1" Type="http://schemas.openxmlformats.org/officeDocument/2006/relationships/printerSettings" Target="../printerSettings/printerSettings123.bin"/><Relationship Id="rId4" Type="http://schemas.openxmlformats.org/officeDocument/2006/relationships/comments" Target="../comments62.xml"/></Relationships>
</file>

<file path=xl/worksheets/_rels/sheet115.xml.rels><?xml version="1.0" encoding="UTF-8" standalone="yes"?>
<Relationships xmlns="http://schemas.openxmlformats.org/package/2006/relationships"><Relationship Id="rId3" Type="http://schemas.openxmlformats.org/officeDocument/2006/relationships/vmlDrawing" Target="../drawings/vmlDrawing63.vml"/><Relationship Id="rId2" Type="http://schemas.openxmlformats.org/officeDocument/2006/relationships/drawing" Target="../drawings/drawing112.xml"/><Relationship Id="rId1" Type="http://schemas.openxmlformats.org/officeDocument/2006/relationships/printerSettings" Target="../printerSettings/printerSettings124.bin"/><Relationship Id="rId4" Type="http://schemas.openxmlformats.org/officeDocument/2006/relationships/comments" Target="../comments63.xml"/></Relationships>
</file>

<file path=xl/worksheets/_rels/sheet116.xml.rels><?xml version="1.0" encoding="UTF-8" standalone="yes"?>
<Relationships xmlns="http://schemas.openxmlformats.org/package/2006/relationships"><Relationship Id="rId3" Type="http://schemas.openxmlformats.org/officeDocument/2006/relationships/vmlDrawing" Target="../drawings/vmlDrawing64.vml"/><Relationship Id="rId2" Type="http://schemas.openxmlformats.org/officeDocument/2006/relationships/drawing" Target="../drawings/drawing113.xml"/><Relationship Id="rId1" Type="http://schemas.openxmlformats.org/officeDocument/2006/relationships/printerSettings" Target="../printerSettings/printerSettings125.bin"/><Relationship Id="rId4" Type="http://schemas.openxmlformats.org/officeDocument/2006/relationships/comments" Target="../comments64.xml"/></Relationships>
</file>

<file path=xl/worksheets/_rels/sheet117.xml.rels><?xml version="1.0" encoding="UTF-8" standalone="yes"?>
<Relationships xmlns="http://schemas.openxmlformats.org/package/2006/relationships"><Relationship Id="rId3" Type="http://schemas.openxmlformats.org/officeDocument/2006/relationships/vmlDrawing" Target="../drawings/vmlDrawing65.vml"/><Relationship Id="rId2" Type="http://schemas.openxmlformats.org/officeDocument/2006/relationships/drawing" Target="../drawings/drawing114.xml"/><Relationship Id="rId1" Type="http://schemas.openxmlformats.org/officeDocument/2006/relationships/printerSettings" Target="../printerSettings/printerSettings126.bin"/><Relationship Id="rId4" Type="http://schemas.openxmlformats.org/officeDocument/2006/relationships/comments" Target="../comments65.xml"/></Relationships>
</file>

<file path=xl/worksheets/_rels/sheet118.xml.rels><?xml version="1.0" encoding="UTF-8" standalone="yes"?>
<Relationships xmlns="http://schemas.openxmlformats.org/package/2006/relationships"><Relationship Id="rId3" Type="http://schemas.openxmlformats.org/officeDocument/2006/relationships/vmlDrawing" Target="../drawings/vmlDrawing66.vml"/><Relationship Id="rId2" Type="http://schemas.openxmlformats.org/officeDocument/2006/relationships/drawing" Target="../drawings/drawing115.xml"/><Relationship Id="rId1" Type="http://schemas.openxmlformats.org/officeDocument/2006/relationships/printerSettings" Target="../printerSettings/printerSettings127.bin"/><Relationship Id="rId4" Type="http://schemas.openxmlformats.org/officeDocument/2006/relationships/comments" Target="../comments66.xml"/></Relationships>
</file>

<file path=xl/worksheets/_rels/sheet119.xml.rels><?xml version="1.0" encoding="UTF-8" standalone="yes"?>
<Relationships xmlns="http://schemas.openxmlformats.org/package/2006/relationships"><Relationship Id="rId3" Type="http://schemas.openxmlformats.org/officeDocument/2006/relationships/vmlDrawing" Target="../drawings/vmlDrawing67.vml"/><Relationship Id="rId2" Type="http://schemas.openxmlformats.org/officeDocument/2006/relationships/drawing" Target="../drawings/drawing116.xml"/><Relationship Id="rId1" Type="http://schemas.openxmlformats.org/officeDocument/2006/relationships/printerSettings" Target="../printerSettings/printerSettings128.bin"/><Relationship Id="rId4" Type="http://schemas.openxmlformats.org/officeDocument/2006/relationships/comments" Target="../comments67.xml"/></Relationships>
</file>

<file path=xl/worksheets/_rels/sheet120.xml.rels><?xml version="1.0" encoding="UTF-8" standalone="yes"?>
<Relationships xmlns="http://schemas.openxmlformats.org/package/2006/relationships"><Relationship Id="rId3" Type="http://schemas.openxmlformats.org/officeDocument/2006/relationships/vmlDrawing" Target="../drawings/vmlDrawing68.vml"/><Relationship Id="rId2" Type="http://schemas.openxmlformats.org/officeDocument/2006/relationships/drawing" Target="../drawings/drawing117.xml"/><Relationship Id="rId1" Type="http://schemas.openxmlformats.org/officeDocument/2006/relationships/printerSettings" Target="../printerSettings/printerSettings129.bin"/><Relationship Id="rId4" Type="http://schemas.openxmlformats.org/officeDocument/2006/relationships/comments" Target="../comments68.xml"/></Relationships>
</file>

<file path=xl/worksheets/_rels/sheet121.xml.rels><?xml version="1.0" encoding="UTF-8" standalone="yes"?>
<Relationships xmlns="http://schemas.openxmlformats.org/package/2006/relationships"><Relationship Id="rId3" Type="http://schemas.openxmlformats.org/officeDocument/2006/relationships/vmlDrawing" Target="../drawings/vmlDrawing69.vml"/><Relationship Id="rId2" Type="http://schemas.openxmlformats.org/officeDocument/2006/relationships/drawing" Target="../drawings/drawing118.xml"/><Relationship Id="rId1" Type="http://schemas.openxmlformats.org/officeDocument/2006/relationships/printerSettings" Target="../printerSettings/printerSettings130.bin"/><Relationship Id="rId4" Type="http://schemas.openxmlformats.org/officeDocument/2006/relationships/comments" Target="../comments69.xml"/></Relationships>
</file>

<file path=xl/worksheets/_rels/sheet122.xml.rels><?xml version="1.0" encoding="UTF-8" standalone="yes"?>
<Relationships xmlns="http://schemas.openxmlformats.org/package/2006/relationships"><Relationship Id="rId3" Type="http://schemas.openxmlformats.org/officeDocument/2006/relationships/vmlDrawing" Target="../drawings/vmlDrawing70.vml"/><Relationship Id="rId2" Type="http://schemas.openxmlformats.org/officeDocument/2006/relationships/drawing" Target="../drawings/drawing119.xml"/><Relationship Id="rId1" Type="http://schemas.openxmlformats.org/officeDocument/2006/relationships/printerSettings" Target="../printerSettings/printerSettings131.bin"/><Relationship Id="rId4" Type="http://schemas.openxmlformats.org/officeDocument/2006/relationships/comments" Target="../comments70.xml"/></Relationships>
</file>

<file path=xl/worksheets/_rels/sheet123.xml.rels><?xml version="1.0" encoding="UTF-8" standalone="yes"?>
<Relationships xmlns="http://schemas.openxmlformats.org/package/2006/relationships"><Relationship Id="rId3" Type="http://schemas.openxmlformats.org/officeDocument/2006/relationships/vmlDrawing" Target="../drawings/vmlDrawing71.vml"/><Relationship Id="rId2" Type="http://schemas.openxmlformats.org/officeDocument/2006/relationships/drawing" Target="../drawings/drawing120.xml"/><Relationship Id="rId1" Type="http://schemas.openxmlformats.org/officeDocument/2006/relationships/printerSettings" Target="../printerSettings/printerSettings132.bin"/><Relationship Id="rId4" Type="http://schemas.openxmlformats.org/officeDocument/2006/relationships/comments" Target="../comments71.xml"/></Relationships>
</file>

<file path=xl/worksheets/_rels/sheet124.xml.rels><?xml version="1.0" encoding="UTF-8" standalone="yes"?>
<Relationships xmlns="http://schemas.openxmlformats.org/package/2006/relationships"><Relationship Id="rId3" Type="http://schemas.openxmlformats.org/officeDocument/2006/relationships/vmlDrawing" Target="../drawings/vmlDrawing72.vml"/><Relationship Id="rId2" Type="http://schemas.openxmlformats.org/officeDocument/2006/relationships/drawing" Target="../drawings/drawing121.xml"/><Relationship Id="rId1" Type="http://schemas.openxmlformats.org/officeDocument/2006/relationships/printerSettings" Target="../printerSettings/printerSettings133.bin"/><Relationship Id="rId4" Type="http://schemas.openxmlformats.org/officeDocument/2006/relationships/comments" Target="../comments72.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2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0">
    <tabColor rgb="FFF4EE00"/>
  </sheetPr>
  <dimension ref="B1:L39"/>
  <sheetViews>
    <sheetView zoomScale="65" zoomScaleNormal="65" workbookViewId="0">
      <selection activeCell="C26" sqref="C26"/>
    </sheetView>
  </sheetViews>
  <sheetFormatPr defaultColWidth="9.140625" defaultRowHeight="12.75"/>
  <cols>
    <col min="1" max="1" width="1.42578125" style="1443" customWidth="1"/>
    <col min="2" max="2" width="5.5703125" style="1443" customWidth="1"/>
    <col min="3" max="3" width="33.85546875" style="1443" customWidth="1"/>
    <col min="4" max="4" width="53.140625" style="1443" customWidth="1"/>
    <col min="5" max="5" width="28.140625" style="1444" customWidth="1"/>
    <col min="6" max="6" width="10.140625" style="1443" customWidth="1"/>
    <col min="7" max="7" width="2.42578125" style="1443" customWidth="1"/>
    <col min="8" max="8" width="5.5703125" style="1443" customWidth="1"/>
    <col min="9" max="9" width="34.140625" style="1443" customWidth="1"/>
    <col min="10" max="10" width="43.140625" style="1443" customWidth="1"/>
    <col min="11" max="11" width="22.42578125" style="1444" bestFit="1" customWidth="1"/>
    <col min="12" max="12" width="10" style="1443" customWidth="1"/>
    <col min="13" max="16384" width="9.140625" style="1443"/>
  </cols>
  <sheetData>
    <row r="1" spans="2:12" ht="35.25">
      <c r="B1" s="3216" t="s">
        <v>1340</v>
      </c>
      <c r="C1" s="3216"/>
      <c r="D1" s="3216"/>
      <c r="E1" s="3216"/>
      <c r="F1" s="3216"/>
      <c r="G1" s="3216"/>
      <c r="H1" s="3216"/>
      <c r="I1" s="3216"/>
      <c r="J1" s="3216"/>
      <c r="K1" s="3216"/>
    </row>
    <row r="2" spans="2:12" ht="5.25" customHeight="1"/>
    <row r="3" spans="2:12" s="1445" customFormat="1" ht="23.25" thickBot="1">
      <c r="B3" s="1448" t="s">
        <v>978</v>
      </c>
      <c r="C3" s="1983" t="s">
        <v>1341</v>
      </c>
      <c r="D3" s="1448" t="s">
        <v>1342</v>
      </c>
      <c r="E3" s="1448" t="s">
        <v>369</v>
      </c>
      <c r="H3" s="1448" t="s">
        <v>978</v>
      </c>
      <c r="I3" s="1983" t="s">
        <v>1341</v>
      </c>
      <c r="J3" s="1448" t="s">
        <v>1342</v>
      </c>
      <c r="K3" s="1448" t="s">
        <v>369</v>
      </c>
    </row>
    <row r="4" spans="2:12" ht="15.75" customHeight="1" thickTop="1">
      <c r="B4" s="1455">
        <v>1</v>
      </c>
      <c r="C4" s="1457" t="s">
        <v>1343</v>
      </c>
      <c r="D4" s="1455" t="s">
        <v>1395</v>
      </c>
      <c r="E4" s="1456" t="s">
        <v>1446</v>
      </c>
      <c r="H4" s="3217" t="s">
        <v>1453</v>
      </c>
      <c r="I4" s="3218"/>
      <c r="J4" s="3218"/>
      <c r="K4" s="3219"/>
    </row>
    <row r="5" spans="2:12" ht="15.75" customHeight="1">
      <c r="B5" s="1446">
        <v>2</v>
      </c>
      <c r="C5" s="1453" t="s">
        <v>1344</v>
      </c>
      <c r="D5" s="3223" t="s">
        <v>1449</v>
      </c>
      <c r="E5" s="1447" t="s">
        <v>1446</v>
      </c>
      <c r="H5" s="1937">
        <v>24</v>
      </c>
      <c r="I5" s="1930" t="s">
        <v>1349</v>
      </c>
      <c r="J5" s="1931" t="s">
        <v>1401</v>
      </c>
      <c r="K5" s="1938" t="s">
        <v>1446</v>
      </c>
      <c r="L5" s="1451" t="s">
        <v>1458</v>
      </c>
    </row>
    <row r="6" spans="2:12" ht="15.75" customHeight="1">
      <c r="B6" s="1446"/>
      <c r="C6" s="1452"/>
      <c r="D6" s="3224"/>
      <c r="E6" s="1447"/>
      <c r="H6" s="1939">
        <v>25</v>
      </c>
      <c r="I6" s="1927" t="s">
        <v>1350</v>
      </c>
      <c r="J6" s="1928" t="s">
        <v>1402</v>
      </c>
      <c r="K6" s="1940" t="s">
        <v>1446</v>
      </c>
      <c r="L6" s="1451" t="s">
        <v>1458</v>
      </c>
    </row>
    <row r="7" spans="2:12" ht="15.75" customHeight="1">
      <c r="B7" s="3215" t="s">
        <v>1455</v>
      </c>
      <c r="C7" s="3215"/>
      <c r="D7" s="3215"/>
      <c r="E7" s="3215"/>
      <c r="H7" s="1937">
        <v>26</v>
      </c>
      <c r="I7" s="1930" t="s">
        <v>1351</v>
      </c>
      <c r="J7" s="1931" t="s">
        <v>1403</v>
      </c>
      <c r="K7" s="1938" t="s">
        <v>1446</v>
      </c>
      <c r="L7" s="1451" t="s">
        <v>1458</v>
      </c>
    </row>
    <row r="8" spans="2:12" ht="15.75" customHeight="1">
      <c r="B8" s="1455">
        <v>3</v>
      </c>
      <c r="C8" s="1457" t="s">
        <v>1345</v>
      </c>
      <c r="D8" s="1455" t="s">
        <v>1396</v>
      </c>
      <c r="E8" s="1456" t="s">
        <v>1446</v>
      </c>
      <c r="H8" s="1939">
        <v>27</v>
      </c>
      <c r="I8" s="1927" t="s">
        <v>1352</v>
      </c>
      <c r="J8" s="1928" t="s">
        <v>1404</v>
      </c>
      <c r="K8" s="1940" t="s">
        <v>1446</v>
      </c>
      <c r="L8" s="1451" t="s">
        <v>1458</v>
      </c>
    </row>
    <row r="9" spans="2:12" ht="15.75" customHeight="1">
      <c r="B9" s="3227">
        <v>4</v>
      </c>
      <c r="C9" s="3226" t="s">
        <v>1346</v>
      </c>
      <c r="D9" s="3223" t="s">
        <v>1450</v>
      </c>
      <c r="E9" s="3225" t="s">
        <v>1447</v>
      </c>
      <c r="H9" s="1937">
        <v>28</v>
      </c>
      <c r="I9" s="1930" t="s">
        <v>1353</v>
      </c>
      <c r="J9" s="1931" t="s">
        <v>1405</v>
      </c>
      <c r="K9" s="1938" t="s">
        <v>1446</v>
      </c>
      <c r="L9" s="1451" t="s">
        <v>1458</v>
      </c>
    </row>
    <row r="10" spans="2:12" ht="15.75" customHeight="1">
      <c r="B10" s="3227"/>
      <c r="C10" s="3226"/>
      <c r="D10" s="3224"/>
      <c r="E10" s="3225"/>
      <c r="H10" s="1939">
        <v>29</v>
      </c>
      <c r="I10" s="1927" t="s">
        <v>1354</v>
      </c>
      <c r="J10" s="1928" t="s">
        <v>1406</v>
      </c>
      <c r="K10" s="1940" t="s">
        <v>1446</v>
      </c>
      <c r="L10" s="1451" t="s">
        <v>1458</v>
      </c>
    </row>
    <row r="11" spans="2:12" ht="15.75" customHeight="1">
      <c r="B11" s="1455">
        <v>5</v>
      </c>
      <c r="C11" s="1457" t="s">
        <v>1347</v>
      </c>
      <c r="D11" s="1455" t="s">
        <v>1397</v>
      </c>
      <c r="E11" s="1456" t="s">
        <v>1446</v>
      </c>
      <c r="H11" s="1937">
        <v>30</v>
      </c>
      <c r="I11" s="1930" t="s">
        <v>1355</v>
      </c>
      <c r="J11" s="1931" t="s">
        <v>1407</v>
      </c>
      <c r="K11" s="1938" t="s">
        <v>1446</v>
      </c>
      <c r="L11" s="1451" t="s">
        <v>1458</v>
      </c>
    </row>
    <row r="12" spans="2:12" ht="15.75" customHeight="1">
      <c r="B12" s="3215" t="s">
        <v>1456</v>
      </c>
      <c r="C12" s="3215"/>
      <c r="D12" s="3215"/>
      <c r="E12" s="3215"/>
      <c r="H12" s="1939">
        <v>31</v>
      </c>
      <c r="I12" s="1927" t="s">
        <v>1356</v>
      </c>
      <c r="J12" s="1928" t="s">
        <v>1409</v>
      </c>
      <c r="K12" s="1940" t="s">
        <v>1446</v>
      </c>
      <c r="L12" s="1451" t="s">
        <v>1458</v>
      </c>
    </row>
    <row r="13" spans="2:12" ht="15.75" customHeight="1">
      <c r="B13" s="1446">
        <v>6</v>
      </c>
      <c r="C13" s="1453" t="s">
        <v>1348</v>
      </c>
      <c r="D13" s="2138" t="s">
        <v>1833</v>
      </c>
      <c r="E13" s="1447" t="s">
        <v>1446</v>
      </c>
      <c r="H13" s="1937">
        <v>32</v>
      </c>
      <c r="I13" s="1930" t="s">
        <v>1357</v>
      </c>
      <c r="J13" s="1931" t="s">
        <v>1408</v>
      </c>
      <c r="K13" s="1938" t="s">
        <v>1446</v>
      </c>
      <c r="L13" s="1451" t="s">
        <v>1458</v>
      </c>
    </row>
    <row r="14" spans="2:12" ht="15.75" customHeight="1">
      <c r="B14" s="1446"/>
      <c r="C14" s="1446"/>
      <c r="D14" s="2138" t="s">
        <v>1834</v>
      </c>
      <c r="E14" s="1447" t="s">
        <v>1446</v>
      </c>
      <c r="H14" s="1939">
        <v>33</v>
      </c>
      <c r="I14" s="1927" t="s">
        <v>1358</v>
      </c>
      <c r="J14" s="1928" t="s">
        <v>1410</v>
      </c>
      <c r="K14" s="1940" t="s">
        <v>1446</v>
      </c>
      <c r="L14" s="1451" t="s">
        <v>1458</v>
      </c>
    </row>
    <row r="15" spans="2:12" ht="15.75" customHeight="1">
      <c r="B15" s="1446"/>
      <c r="C15" s="1454"/>
      <c r="D15" s="2138" t="s">
        <v>1835</v>
      </c>
      <c r="E15" s="1447" t="s">
        <v>1447</v>
      </c>
      <c r="H15" s="1937">
        <v>34</v>
      </c>
      <c r="I15" s="1930" t="s">
        <v>1359</v>
      </c>
      <c r="J15" s="1931" t="s">
        <v>1411</v>
      </c>
      <c r="K15" s="1938" t="s">
        <v>1446</v>
      </c>
      <c r="L15" s="1451" t="s">
        <v>1458</v>
      </c>
    </row>
    <row r="16" spans="2:12" ht="15.75" customHeight="1">
      <c r="B16" s="1446"/>
      <c r="C16" s="1446"/>
      <c r="D16" s="2138" t="s">
        <v>1836</v>
      </c>
      <c r="E16" s="1447" t="s">
        <v>1446</v>
      </c>
      <c r="H16" s="1939">
        <v>35</v>
      </c>
      <c r="I16" s="1927" t="s">
        <v>1360</v>
      </c>
      <c r="J16" s="1928" t="s">
        <v>1412</v>
      </c>
      <c r="K16" s="1940" t="s">
        <v>1446</v>
      </c>
      <c r="L16" s="1451" t="s">
        <v>1458</v>
      </c>
    </row>
    <row r="17" spans="2:12" ht="15.75" customHeight="1">
      <c r="B17" s="3215" t="s">
        <v>1457</v>
      </c>
      <c r="C17" s="3215"/>
      <c r="D17" s="3215"/>
      <c r="E17" s="3215"/>
      <c r="H17" s="1937">
        <v>36</v>
      </c>
      <c r="I17" s="1930" t="s">
        <v>1361</v>
      </c>
      <c r="J17" s="1931" t="s">
        <v>1413</v>
      </c>
      <c r="K17" s="1938" t="s">
        <v>1446</v>
      </c>
      <c r="L17" s="1451" t="s">
        <v>1458</v>
      </c>
    </row>
    <row r="18" spans="2:12" ht="15.75" customHeight="1">
      <c r="B18" s="1446">
        <v>7</v>
      </c>
      <c r="C18" s="1453" t="s">
        <v>1838</v>
      </c>
      <c r="D18" s="1446" t="s">
        <v>1837</v>
      </c>
      <c r="E18" s="1449" t="s">
        <v>1446</v>
      </c>
      <c r="H18" s="1939">
        <v>37</v>
      </c>
      <c r="I18" s="1927" t="s">
        <v>1362</v>
      </c>
      <c r="J18" s="1928" t="s">
        <v>1414</v>
      </c>
      <c r="K18" s="1940" t="s">
        <v>1446</v>
      </c>
      <c r="L18" s="1451" t="s">
        <v>1458</v>
      </c>
    </row>
    <row r="19" spans="2:12" ht="15.75" customHeight="1">
      <c r="B19" s="1455">
        <v>8</v>
      </c>
      <c r="C19" s="1457" t="s">
        <v>1186</v>
      </c>
      <c r="D19" s="1455" t="s">
        <v>1398</v>
      </c>
      <c r="E19" s="1456" t="s">
        <v>1448</v>
      </c>
      <c r="F19" s="1451" t="s">
        <v>1458</v>
      </c>
      <c r="H19" s="1937">
        <v>38</v>
      </c>
      <c r="I19" s="1930" t="s">
        <v>1363</v>
      </c>
      <c r="J19" s="1931" t="s">
        <v>1415</v>
      </c>
      <c r="K19" s="1938" t="s">
        <v>1446</v>
      </c>
      <c r="L19" s="1451" t="s">
        <v>1458</v>
      </c>
    </row>
    <row r="20" spans="2:12" ht="15.75" customHeight="1" thickBot="1">
      <c r="B20" s="1446">
        <v>9</v>
      </c>
      <c r="C20" s="1453" t="s">
        <v>1225</v>
      </c>
      <c r="D20" s="1446" t="s">
        <v>1399</v>
      </c>
      <c r="E20" s="1449" t="s">
        <v>1448</v>
      </c>
      <c r="F20" s="1451" t="s">
        <v>1458</v>
      </c>
      <c r="H20" s="1941">
        <v>39</v>
      </c>
      <c r="I20" s="1934" t="s">
        <v>1364</v>
      </c>
      <c r="J20" s="1935" t="s">
        <v>1431</v>
      </c>
      <c r="K20" s="1942" t="s">
        <v>1446</v>
      </c>
      <c r="L20" s="1451" t="s">
        <v>1458</v>
      </c>
    </row>
    <row r="21" spans="2:12" ht="15.75" customHeight="1" thickTop="1">
      <c r="B21" s="3215" t="s">
        <v>1452</v>
      </c>
      <c r="C21" s="3215"/>
      <c r="D21" s="3215"/>
      <c r="E21" s="3215"/>
      <c r="H21" s="3220" t="s">
        <v>1454</v>
      </c>
      <c r="I21" s="3221"/>
      <c r="J21" s="3221"/>
      <c r="K21" s="3222"/>
    </row>
    <row r="22" spans="2:12" ht="15.75" customHeight="1">
      <c r="B22" s="1446">
        <v>10</v>
      </c>
      <c r="C22" s="1453" t="s">
        <v>1381</v>
      </c>
      <c r="D22" s="1450" t="s">
        <v>1433</v>
      </c>
      <c r="E22" s="1449" t="s">
        <v>1446</v>
      </c>
      <c r="F22" s="1451" t="s">
        <v>1458</v>
      </c>
      <c r="H22" s="1922">
        <v>40</v>
      </c>
      <c r="I22" s="1923" t="s">
        <v>1365</v>
      </c>
      <c r="J22" s="1924" t="s">
        <v>1416</v>
      </c>
      <c r="K22" s="1925" t="s">
        <v>1446</v>
      </c>
      <c r="L22" s="1451" t="s">
        <v>1458</v>
      </c>
    </row>
    <row r="23" spans="2:12" ht="15.75" customHeight="1">
      <c r="B23" s="1455">
        <v>11</v>
      </c>
      <c r="C23" s="1457" t="s">
        <v>1382</v>
      </c>
      <c r="D23" s="1455" t="s">
        <v>1434</v>
      </c>
      <c r="E23" s="1458" t="s">
        <v>1447</v>
      </c>
      <c r="F23" s="1451" t="s">
        <v>1458</v>
      </c>
      <c r="H23" s="1926">
        <v>41</v>
      </c>
      <c r="I23" s="1927" t="s">
        <v>1366</v>
      </c>
      <c r="J23" s="1928" t="s">
        <v>1417</v>
      </c>
      <c r="K23" s="1929" t="s">
        <v>1446</v>
      </c>
      <c r="L23" s="1451" t="s">
        <v>1458</v>
      </c>
    </row>
    <row r="24" spans="2:12" ht="15.75" customHeight="1">
      <c r="B24" s="1446">
        <v>12</v>
      </c>
      <c r="C24" s="1453" t="s">
        <v>1384</v>
      </c>
      <c r="D24" s="1446" t="s">
        <v>1435</v>
      </c>
      <c r="E24" s="1447" t="s">
        <v>1447</v>
      </c>
      <c r="F24" s="1451" t="s">
        <v>1458</v>
      </c>
      <c r="H24" s="1922">
        <v>42</v>
      </c>
      <c r="I24" s="1930" t="s">
        <v>1367</v>
      </c>
      <c r="J24" s="1931" t="s">
        <v>1418</v>
      </c>
      <c r="K24" s="1932" t="s">
        <v>1446</v>
      </c>
      <c r="L24" s="1451" t="s">
        <v>1458</v>
      </c>
    </row>
    <row r="25" spans="2:12" ht="15.75" customHeight="1">
      <c r="B25" s="1455">
        <v>13</v>
      </c>
      <c r="C25" s="1457" t="s">
        <v>1383</v>
      </c>
      <c r="D25" s="1455" t="s">
        <v>1339</v>
      </c>
      <c r="E25" s="1458" t="s">
        <v>1447</v>
      </c>
      <c r="F25" s="1451" t="s">
        <v>1458</v>
      </c>
      <c r="H25" s="1926">
        <v>43</v>
      </c>
      <c r="I25" s="1927" t="s">
        <v>1368</v>
      </c>
      <c r="J25" s="1928" t="s">
        <v>1419</v>
      </c>
      <c r="K25" s="1929" t="s">
        <v>1446</v>
      </c>
      <c r="L25" s="1451" t="s">
        <v>1458</v>
      </c>
    </row>
    <row r="26" spans="2:12" ht="15.75" customHeight="1">
      <c r="B26" s="1446">
        <v>14</v>
      </c>
      <c r="C26" s="1453" t="s">
        <v>1385</v>
      </c>
      <c r="D26" s="1446" t="s">
        <v>1436</v>
      </c>
      <c r="E26" s="1447" t="s">
        <v>1447</v>
      </c>
      <c r="F26" s="1451" t="s">
        <v>1458</v>
      </c>
      <c r="H26" s="1922">
        <v>44</v>
      </c>
      <c r="I26" s="1930" t="s">
        <v>1369</v>
      </c>
      <c r="J26" s="1931" t="s">
        <v>1420</v>
      </c>
      <c r="K26" s="1932" t="s">
        <v>1446</v>
      </c>
      <c r="L26" s="1451" t="s">
        <v>1458</v>
      </c>
    </row>
    <row r="27" spans="2:12" ht="15.75" customHeight="1">
      <c r="B27" s="1455">
        <v>15</v>
      </c>
      <c r="C27" s="1457" t="s">
        <v>1386</v>
      </c>
      <c r="D27" s="1455" t="s">
        <v>1437</v>
      </c>
      <c r="E27" s="1458" t="s">
        <v>1447</v>
      </c>
      <c r="F27" s="1451" t="s">
        <v>1458</v>
      </c>
      <c r="H27" s="1926">
        <v>45</v>
      </c>
      <c r="I27" s="1927" t="s">
        <v>1370</v>
      </c>
      <c r="J27" s="1928" t="s">
        <v>1421</v>
      </c>
      <c r="K27" s="1929" t="s">
        <v>1446</v>
      </c>
      <c r="L27" s="1451" t="s">
        <v>1458</v>
      </c>
    </row>
    <row r="28" spans="2:12" ht="15.75" customHeight="1">
      <c r="B28" s="1446">
        <v>16</v>
      </c>
      <c r="C28" s="1453" t="s">
        <v>1387</v>
      </c>
      <c r="D28" s="1446" t="s">
        <v>1438</v>
      </c>
      <c r="E28" s="1447" t="s">
        <v>1447</v>
      </c>
      <c r="F28" s="1451" t="s">
        <v>1458</v>
      </c>
      <c r="H28" s="1922">
        <v>46</v>
      </c>
      <c r="I28" s="1930" t="s">
        <v>1371</v>
      </c>
      <c r="J28" s="1931" t="s">
        <v>1422</v>
      </c>
      <c r="K28" s="1932" t="s">
        <v>1446</v>
      </c>
      <c r="L28" s="1451" t="s">
        <v>1458</v>
      </c>
    </row>
    <row r="29" spans="2:12" ht="15.75" customHeight="1">
      <c r="B29" s="1455">
        <v>17</v>
      </c>
      <c r="C29" s="1457" t="s">
        <v>1459</v>
      </c>
      <c r="D29" s="1455" t="s">
        <v>1400</v>
      </c>
      <c r="E29" s="1456" t="s">
        <v>1447</v>
      </c>
      <c r="F29" s="1451" t="s">
        <v>1458</v>
      </c>
      <c r="H29" s="1926">
        <v>47</v>
      </c>
      <c r="I29" s="1927" t="s">
        <v>1372</v>
      </c>
      <c r="J29" s="1928" t="s">
        <v>1423</v>
      </c>
      <c r="K29" s="1929" t="s">
        <v>1446</v>
      </c>
      <c r="L29" s="1451" t="s">
        <v>1458</v>
      </c>
    </row>
    <row r="30" spans="2:12" ht="15.75" customHeight="1">
      <c r="B30" s="3215" t="s">
        <v>1451</v>
      </c>
      <c r="C30" s="3215"/>
      <c r="D30" s="3215"/>
      <c r="E30" s="3215"/>
      <c r="H30" s="1922">
        <v>48</v>
      </c>
      <c r="I30" s="1930" t="s">
        <v>1373</v>
      </c>
      <c r="J30" s="1931" t="s">
        <v>1424</v>
      </c>
      <c r="K30" s="1932" t="s">
        <v>1446</v>
      </c>
      <c r="L30" s="1451" t="s">
        <v>1458</v>
      </c>
    </row>
    <row r="31" spans="2:12" ht="15.75" customHeight="1">
      <c r="B31" s="1446">
        <v>18</v>
      </c>
      <c r="C31" s="1453" t="s">
        <v>1388</v>
      </c>
      <c r="D31" s="1446" t="s">
        <v>1439</v>
      </c>
      <c r="E31" s="1449" t="s">
        <v>1446</v>
      </c>
      <c r="F31" s="1451" t="s">
        <v>1458</v>
      </c>
      <c r="H31" s="1926">
        <v>49</v>
      </c>
      <c r="I31" s="1927" t="s">
        <v>1374</v>
      </c>
      <c r="J31" s="1928" t="s">
        <v>1425</v>
      </c>
      <c r="K31" s="1929" t="s">
        <v>1446</v>
      </c>
      <c r="L31" s="1451" t="s">
        <v>1458</v>
      </c>
    </row>
    <row r="32" spans="2:12" ht="15.75" customHeight="1">
      <c r="B32" s="1455">
        <v>19</v>
      </c>
      <c r="C32" s="1457" t="s">
        <v>1389</v>
      </c>
      <c r="D32" s="1455" t="s">
        <v>1440</v>
      </c>
      <c r="E32" s="1456" t="s">
        <v>1446</v>
      </c>
      <c r="F32" s="1451" t="s">
        <v>1458</v>
      </c>
      <c r="H32" s="1922">
        <v>50</v>
      </c>
      <c r="I32" s="1930" t="s">
        <v>1375</v>
      </c>
      <c r="J32" s="1931" t="s">
        <v>1426</v>
      </c>
      <c r="K32" s="1932" t="s">
        <v>1446</v>
      </c>
      <c r="L32" s="1451" t="s">
        <v>1458</v>
      </c>
    </row>
    <row r="33" spans="2:12" ht="15.75" customHeight="1">
      <c r="B33" s="1446">
        <v>20</v>
      </c>
      <c r="C33" s="1453" t="s">
        <v>1390</v>
      </c>
      <c r="D33" s="1446" t="s">
        <v>1441</v>
      </c>
      <c r="E33" s="1449" t="s">
        <v>1446</v>
      </c>
      <c r="F33" s="1451" t="s">
        <v>1458</v>
      </c>
      <c r="H33" s="1926">
        <v>51</v>
      </c>
      <c r="I33" s="1927" t="s">
        <v>1376</v>
      </c>
      <c r="J33" s="1928" t="s">
        <v>1427</v>
      </c>
      <c r="K33" s="1929" t="s">
        <v>1446</v>
      </c>
      <c r="L33" s="1451" t="s">
        <v>1458</v>
      </c>
    </row>
    <row r="34" spans="2:12" ht="15.75" customHeight="1">
      <c r="B34" s="1455">
        <v>21</v>
      </c>
      <c r="C34" s="1457" t="s">
        <v>1391</v>
      </c>
      <c r="D34" s="1455" t="s">
        <v>1442</v>
      </c>
      <c r="E34" s="1456" t="s">
        <v>1446</v>
      </c>
      <c r="F34" s="1451" t="s">
        <v>1458</v>
      </c>
      <c r="H34" s="1922">
        <v>52</v>
      </c>
      <c r="I34" s="1930" t="s">
        <v>1377</v>
      </c>
      <c r="J34" s="1931" t="s">
        <v>1428</v>
      </c>
      <c r="K34" s="1932" t="s">
        <v>1446</v>
      </c>
      <c r="L34" s="1451" t="s">
        <v>1458</v>
      </c>
    </row>
    <row r="35" spans="2:12" ht="15.75" customHeight="1">
      <c r="B35" s="1446">
        <v>22</v>
      </c>
      <c r="C35" s="1453" t="s">
        <v>1392</v>
      </c>
      <c r="D35" s="1446" t="s">
        <v>1443</v>
      </c>
      <c r="E35" s="1449" t="s">
        <v>1446</v>
      </c>
      <c r="F35" s="1451" t="s">
        <v>1458</v>
      </c>
      <c r="H35" s="1926">
        <v>53</v>
      </c>
      <c r="I35" s="1927" t="s">
        <v>1378</v>
      </c>
      <c r="J35" s="1928" t="s">
        <v>1429</v>
      </c>
      <c r="K35" s="1929" t="s">
        <v>1446</v>
      </c>
      <c r="L35" s="1451" t="s">
        <v>1458</v>
      </c>
    </row>
    <row r="36" spans="2:12" ht="15.75" customHeight="1">
      <c r="B36" s="1455">
        <v>23</v>
      </c>
      <c r="C36" s="1457" t="s">
        <v>1393</v>
      </c>
      <c r="D36" s="1455" t="s">
        <v>1444</v>
      </c>
      <c r="E36" s="1456" t="s">
        <v>1446</v>
      </c>
      <c r="F36" s="1451" t="s">
        <v>1458</v>
      </c>
      <c r="H36" s="1922">
        <v>54</v>
      </c>
      <c r="I36" s="1930" t="s">
        <v>1379</v>
      </c>
      <c r="J36" s="1931" t="s">
        <v>1430</v>
      </c>
      <c r="K36" s="1932" t="s">
        <v>1446</v>
      </c>
      <c r="L36" s="1451" t="s">
        <v>1458</v>
      </c>
    </row>
    <row r="37" spans="2:12" ht="15.75" customHeight="1" thickBot="1">
      <c r="B37" s="1446">
        <v>24</v>
      </c>
      <c r="C37" s="1453" t="s">
        <v>1394</v>
      </c>
      <c r="D37" s="1446" t="s">
        <v>1445</v>
      </c>
      <c r="E37" s="1449" t="s">
        <v>1446</v>
      </c>
      <c r="F37" s="1451" t="s">
        <v>1458</v>
      </c>
      <c r="H37" s="1933">
        <v>55</v>
      </c>
      <c r="I37" s="1934" t="s">
        <v>1380</v>
      </c>
      <c r="J37" s="1935" t="s">
        <v>1432</v>
      </c>
      <c r="K37" s="1936" t="s">
        <v>1446</v>
      </c>
      <c r="L37" s="1451" t="s">
        <v>1458</v>
      </c>
    </row>
    <row r="38" spans="2:12" ht="13.5" thickTop="1"/>
    <row r="39" spans="2:12">
      <c r="C39" s="2076" t="s">
        <v>1797</v>
      </c>
    </row>
  </sheetData>
  <sheetProtection password="C13C" sheet="1" objects="1" scenarios="1" formatColumns="0" formatRows="0"/>
  <mergeCells count="13">
    <mergeCell ref="B12:E12"/>
    <mergeCell ref="B1:K1"/>
    <mergeCell ref="B30:E30"/>
    <mergeCell ref="B21:E21"/>
    <mergeCell ref="H4:K4"/>
    <mergeCell ref="H21:K21"/>
    <mergeCell ref="B17:E17"/>
    <mergeCell ref="D5:D6"/>
    <mergeCell ref="D9:D10"/>
    <mergeCell ref="E9:E10"/>
    <mergeCell ref="C9:C10"/>
    <mergeCell ref="B9:B10"/>
    <mergeCell ref="B7:E7"/>
  </mergeCells>
  <hyperlinks>
    <hyperlink ref="C4" location="DT!A1" display="DT"/>
    <hyperlink ref="C5" location="'DATA BANTUAN'!A1" display="DATA BANTUAN"/>
    <hyperlink ref="C8" location="'Tutup Buku'!A1" display="TUTUP BUKU"/>
    <hyperlink ref="C9:C10" location="'Perubahan modal'!A1" display="PERUBAHAN MODAL"/>
    <hyperlink ref="C11" location="'Lap. Realisasi Surplus'!A1" display="LAP. REALISASI SURPLUS"/>
    <hyperlink ref="C13" location="'BUKU HUTANG &amp; HIBAH'!A1" display="BUKU HUTANG &amp; HIBAH"/>
    <hyperlink ref="C19" location="BDD!A1" display="BDD"/>
    <hyperlink ref="C20" location="Inventaris!A1" display="INVENTARIS"/>
    <hyperlink ref="C22" location="'Penyaluran dana'!A1" display="PENYALURAN DANA"/>
    <hyperlink ref="C23" location="'Arus Dana'!A1" display="ARUS DANA"/>
    <hyperlink ref="C24" location="'Neraca Program'!A1" display="NERACA PROGRAM"/>
    <hyperlink ref="C25" location="'Lap. Opr. Program'!A1" display="LAP.OPR.PROGRAM"/>
    <hyperlink ref="C26" location="'R-L Microfinance'!A1" display="R/L MICROFINANCE"/>
    <hyperlink ref="C27" location="'Neraca Micro'!A1" display="NERACA MICRO"/>
    <hyperlink ref="C28" location="Rekonsiliasi!A1" display="REKONSILIASI"/>
    <hyperlink ref="C29" location="'Audit Keuangan'!A1" display="AUDIT KEUANGAN"/>
    <hyperlink ref="C31" location="'DOK PERC'!A1" display="DOK PERNC."/>
    <hyperlink ref="C32" location="'DOK PELT'!A1" display="DOK PELT."/>
    <hyperlink ref="C33" location="'DOK MICRO'!A1" display="DOK MICRO"/>
    <hyperlink ref="C34" location="'DOK PERNC. GSC'!A1" display="DOK PERNC.GSC"/>
    <hyperlink ref="C35" location="'DOK PELT. GSC'!A1" display="DOK PELT.GSC"/>
    <hyperlink ref="C36" location="'DOK GEMPA'!A1" display="DOK GEMPA"/>
    <hyperlink ref="C37" location="'DOK RPJMDES'!A1" display="DOK RPJMDE"/>
    <hyperlink ref="I5" location="'Kas B PPK'!A1" display="KAS B PPK"/>
    <hyperlink ref="I6" location="'Kas B PNPM-MPd'!A1" display="KAS B PNPM-MPd"/>
    <hyperlink ref="I7" location="'Kas B GSC'!A1" display="KAS B GSC"/>
    <hyperlink ref="I8" location="'Kas B PNPM-TP GEMPA'!A1" display="KAS B PNPM-TP GEMPA"/>
    <hyperlink ref="I9" location="'Kas B PASCA KRISIS'!A1" display="KAS B PASCA KRISIS"/>
    <hyperlink ref="I10" location="'Kas OP-UPK'!A1" display="KAS OP-UPK"/>
    <hyperlink ref="I11" location="'Kas UEP'!A1" display="KAS UEP"/>
    <hyperlink ref="I12" location="'Kas SPP'!A1" display="KAS SPP"/>
    <hyperlink ref="I13" location="'Kas SPP Pihak ke-3'!A1" display="KAS SPP PIHAK KE-3"/>
    <hyperlink ref="I14" location="'Kas DOK Pernc.'!A1" display="KAS DOK PERNC."/>
    <hyperlink ref="I15" location="'Kas DOK Pelth.'!A1" display="KAS DOK PELTH."/>
    <hyperlink ref="I16" location="'Kas DOK MICROF'!A1" display="KAS DOK MICROF"/>
    <hyperlink ref="I17" location="'Kas DOK Pernc.GSC'!A1" display="KAS DOK PERNC.GSC"/>
    <hyperlink ref="I18" location="'Kas DOK Pelth.GSC'!A1" display="KAS DOK PELTH.GSC"/>
    <hyperlink ref="I19" location="'Kas DOK GEMPA'!A1" display="KAS DOK GEMPA"/>
    <hyperlink ref="I20" location="'Kas DOK RPJMDES'!A1" display="KAS DOK RPJMDES"/>
    <hyperlink ref="I22" location="'Bank B PPK'!A1" display="BANK B PPK"/>
    <hyperlink ref="I23" location="'Bank B PNPM-MPd'!A1" display="BANK B PNPM-MPd"/>
    <hyperlink ref="I24" location="'Bank B GSC'!A1" display="BANK B GSC"/>
    <hyperlink ref="I25" location="'Bank B PNPM-TP GEMPA'!A1" display="BANK B PNPM-TP GEMPA"/>
    <hyperlink ref="I26" location="'Bank B PASCA KRISIS'!A1" display="BANK B PASCA KRISIS"/>
    <hyperlink ref="I27" location="'Bank OP-UPK'!A1" display="BANK OP-UPK"/>
    <hyperlink ref="I28" location="'Bank UEP'!A1" display="BANK UEP"/>
    <hyperlink ref="I29" location="'Bank SPP'!A1" display="BANK SPP"/>
    <hyperlink ref="I30" location="'Bank SPP Pihak ke-3'!A1" display="BANK SPP PIHAK KE-3"/>
    <hyperlink ref="I31" location="'Bank DOK PERNC'!A1" display="BANK DOK PERNC."/>
    <hyperlink ref="I32" location="'Bank DOK PELTH'!A1" display="BANK DOK PELTH."/>
    <hyperlink ref="I33" location="'Bank DOK MICROF'!A1" display="BANK DOK MICROF"/>
    <hyperlink ref="I34" location="'Bank DOK PERNC-GSC'!A1" display="BANK DOK PERNC.GSC"/>
    <hyperlink ref="I35" location="'Bank DOK PELTH-GSC'!A1" display="BANK DOK PELTH.GSC"/>
    <hyperlink ref="I36" location="'Bank DOK GEMPA'!A1" display="BANK DOK GEMPA"/>
    <hyperlink ref="I37" location="'Bank DOK RPJMDES'!A1" display="BANK DOK RPJMDES"/>
    <hyperlink ref="C18" location="'Aktiva Tetap &amp; Aktv Lain2'!A1" display="DAFTAR AKTIVA TETAP"/>
  </hyperlinks>
  <printOptions horizontalCentered="1" verticalCentered="1"/>
  <pageMargins left="0.25" right="0.25" top="0.25" bottom="0.25" header="0.3" footer="0.3"/>
  <pageSetup paperSize="9" scale="55" orientation="landscape" horizontalDpi="300" verticalDpi="300"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B1:M44"/>
  <sheetViews>
    <sheetView zoomScale="65" zoomScaleNormal="65" workbookViewId="0"/>
  </sheetViews>
  <sheetFormatPr defaultColWidth="9.140625" defaultRowHeight="12.75"/>
  <cols>
    <col min="1" max="1" width="1.42578125" style="1443" customWidth="1"/>
    <col min="2" max="2" width="5.5703125" style="1443" customWidth="1"/>
    <col min="3" max="3" width="47.5703125" style="1443" bestFit="1" customWidth="1"/>
    <col min="4" max="4" width="58.5703125" style="1443" customWidth="1"/>
    <col min="5" max="5" width="28.140625" style="1444" customWidth="1"/>
    <col min="6" max="6" width="10.140625" style="1443" customWidth="1"/>
    <col min="7" max="7" width="2.42578125" style="1443" customWidth="1"/>
    <col min="8" max="8" width="5.5703125" style="1443" customWidth="1"/>
    <col min="9" max="9" width="18" style="1443" customWidth="1"/>
    <col min="10" max="10" width="18.140625" style="1443" customWidth="1"/>
    <col min="11" max="11" width="18.140625" style="1444" customWidth="1"/>
    <col min="12" max="12" width="21" style="1443" customWidth="1"/>
    <col min="13" max="13" width="28" style="1443" bestFit="1" customWidth="1"/>
    <col min="14" max="16384" width="9.140625" style="1443"/>
  </cols>
  <sheetData>
    <row r="1" spans="2:13" ht="36.75" thickTop="1" thickBot="1">
      <c r="B1" s="3228" t="s">
        <v>1738</v>
      </c>
      <c r="C1" s="3229"/>
      <c r="D1" s="3229"/>
      <c r="E1" s="3229"/>
      <c r="F1" s="3229"/>
      <c r="G1" s="3229"/>
      <c r="H1" s="3229"/>
      <c r="I1" s="3229"/>
      <c r="J1" s="3229"/>
      <c r="K1" s="3229"/>
      <c r="L1" s="3229"/>
      <c r="M1" s="3230"/>
    </row>
    <row r="2" spans="2:13" ht="5.25" customHeight="1" thickTop="1"/>
    <row r="3" spans="2:13" s="1445" customFormat="1" ht="33.75" customHeight="1">
      <c r="B3" s="1976" t="s">
        <v>978</v>
      </c>
      <c r="C3" s="1982" t="s">
        <v>1341</v>
      </c>
      <c r="D3" s="1976" t="s">
        <v>1342</v>
      </c>
      <c r="E3" s="1976" t="s">
        <v>369</v>
      </c>
      <c r="F3" s="1947"/>
      <c r="G3" s="1947"/>
      <c r="H3" s="3231" t="s">
        <v>978</v>
      </c>
      <c r="I3" s="3231" t="s">
        <v>1503</v>
      </c>
      <c r="J3" s="3240" t="s">
        <v>1341</v>
      </c>
      <c r="K3" s="3240"/>
      <c r="L3" s="3240"/>
      <c r="M3" s="3231" t="s">
        <v>369</v>
      </c>
    </row>
    <row r="4" spans="2:13" ht="24.75" customHeight="1">
      <c r="B4" s="1961">
        <v>1</v>
      </c>
      <c r="C4" s="1962" t="s">
        <v>1343</v>
      </c>
      <c r="D4" s="1961" t="s">
        <v>1395</v>
      </c>
      <c r="E4" s="1963" t="s">
        <v>1446</v>
      </c>
      <c r="F4" s="22"/>
      <c r="G4" s="22"/>
      <c r="H4" s="3231"/>
      <c r="I4" s="3231"/>
      <c r="J4" s="1952" t="s">
        <v>52</v>
      </c>
      <c r="K4" s="1952" t="s">
        <v>53</v>
      </c>
      <c r="L4" s="1952" t="s">
        <v>1662</v>
      </c>
      <c r="M4" s="3231"/>
    </row>
    <row r="5" spans="2:13" ht="28.5" customHeight="1">
      <c r="B5" s="1964">
        <v>2</v>
      </c>
      <c r="C5" s="1965" t="s">
        <v>1344</v>
      </c>
      <c r="D5" s="1978" t="s">
        <v>1449</v>
      </c>
      <c r="E5" s="1979" t="s">
        <v>1446</v>
      </c>
      <c r="F5" s="22"/>
      <c r="G5" s="22"/>
      <c r="H5" s="1953">
        <v>1</v>
      </c>
      <c r="I5" s="1954" t="str">
        <f>DT!I3</f>
        <v>CIHANYAWAR</v>
      </c>
      <c r="J5" s="1955" t="s">
        <v>1663</v>
      </c>
      <c r="K5" s="1955" t="s">
        <v>1664</v>
      </c>
      <c r="L5" s="1955" t="s">
        <v>1665</v>
      </c>
      <c r="M5" s="1956" t="s">
        <v>1448</v>
      </c>
    </row>
    <row r="6" spans="2:13" ht="24.75" customHeight="1">
      <c r="B6" s="3238" t="s">
        <v>1724</v>
      </c>
      <c r="C6" s="3221"/>
      <c r="D6" s="3221"/>
      <c r="E6" s="3239"/>
      <c r="F6" s="22"/>
      <c r="G6" s="22"/>
      <c r="H6" s="1957">
        <f>H5+1</f>
        <v>2</v>
      </c>
      <c r="I6" s="1958" t="str">
        <f>DT!I4</f>
        <v>NAGRAK UTARA</v>
      </c>
      <c r="J6" s="1959" t="s">
        <v>1666</v>
      </c>
      <c r="K6" s="1959" t="s">
        <v>1681</v>
      </c>
      <c r="L6" s="1959" t="s">
        <v>1696</v>
      </c>
      <c r="M6" s="1960" t="s">
        <v>1448</v>
      </c>
    </row>
    <row r="7" spans="2:13" ht="24.75" customHeight="1">
      <c r="B7" s="3235"/>
      <c r="C7" s="3236"/>
      <c r="D7" s="3236"/>
      <c r="E7" s="3237"/>
      <c r="F7" s="22"/>
      <c r="G7" s="22"/>
      <c r="H7" s="1953">
        <f>H6+1</f>
        <v>3</v>
      </c>
      <c r="I7" s="1954" t="str">
        <f>DT!I5</f>
        <v>DARMAREJA</v>
      </c>
      <c r="J7" s="1955" t="s">
        <v>1667</v>
      </c>
      <c r="K7" s="1955" t="s">
        <v>1682</v>
      </c>
      <c r="L7" s="1955" t="s">
        <v>1697</v>
      </c>
      <c r="M7" s="1956" t="s">
        <v>1448</v>
      </c>
    </row>
    <row r="8" spans="2:13" ht="24.75" customHeight="1">
      <c r="B8" s="1966">
        <v>3</v>
      </c>
      <c r="C8" s="1967" t="s">
        <v>1711</v>
      </c>
      <c r="D8" s="1968" t="s">
        <v>1727</v>
      </c>
      <c r="E8" s="1969" t="s">
        <v>1447</v>
      </c>
      <c r="F8" s="1451" t="s">
        <v>1458</v>
      </c>
      <c r="G8" s="22"/>
      <c r="H8" s="1957">
        <f t="shared" ref="H8:H20" si="0">H7+1</f>
        <v>4</v>
      </c>
      <c r="I8" s="1958" t="str">
        <f>DT!I6</f>
        <v>BALEKAMBANG</v>
      </c>
      <c r="J8" s="1959" t="s">
        <v>1668</v>
      </c>
      <c r="K8" s="1959" t="s">
        <v>1683</v>
      </c>
      <c r="L8" s="1959" t="s">
        <v>1698</v>
      </c>
      <c r="M8" s="1960" t="s">
        <v>1448</v>
      </c>
    </row>
    <row r="9" spans="2:13" ht="24.75" customHeight="1">
      <c r="B9" s="1970">
        <v>4</v>
      </c>
      <c r="C9" s="1971" t="s">
        <v>1712</v>
      </c>
      <c r="D9" s="1977" t="s">
        <v>1728</v>
      </c>
      <c r="E9" s="1972" t="s">
        <v>1447</v>
      </c>
      <c r="F9" s="491"/>
      <c r="G9" s="22"/>
      <c r="H9" s="1953">
        <f t="shared" si="0"/>
        <v>5</v>
      </c>
      <c r="I9" s="1954" t="str">
        <f>DT!I7</f>
        <v>NAGRAK SELATAN</v>
      </c>
      <c r="J9" s="1955" t="s">
        <v>1669</v>
      </c>
      <c r="K9" s="1955" t="s">
        <v>1684</v>
      </c>
      <c r="L9" s="1955" t="s">
        <v>1699</v>
      </c>
      <c r="M9" s="1956" t="s">
        <v>1448</v>
      </c>
    </row>
    <row r="10" spans="2:13" ht="24.75" customHeight="1">
      <c r="B10" s="1966">
        <v>5</v>
      </c>
      <c r="C10" s="1967" t="s">
        <v>1713</v>
      </c>
      <c r="D10" s="1980" t="s">
        <v>1726</v>
      </c>
      <c r="E10" s="1973" t="s">
        <v>1447</v>
      </c>
      <c r="F10" s="491"/>
      <c r="G10" s="22"/>
      <c r="H10" s="1957">
        <f t="shared" si="0"/>
        <v>6</v>
      </c>
      <c r="I10" s="1958" t="str">
        <f>DT!I8</f>
        <v>KALAPAREA</v>
      </c>
      <c r="J10" s="1959" t="s">
        <v>1670</v>
      </c>
      <c r="K10" s="1959" t="s">
        <v>1685</v>
      </c>
      <c r="L10" s="1959" t="s">
        <v>1700</v>
      </c>
      <c r="M10" s="1960" t="s">
        <v>1448</v>
      </c>
    </row>
    <row r="11" spans="2:13" ht="24.75" customHeight="1">
      <c r="B11" s="1970">
        <v>6</v>
      </c>
      <c r="C11" s="1971" t="s">
        <v>1714</v>
      </c>
      <c r="D11" s="1974" t="s">
        <v>1729</v>
      </c>
      <c r="E11" s="1975" t="s">
        <v>1447</v>
      </c>
      <c r="F11" s="1451" t="s">
        <v>1458</v>
      </c>
      <c r="G11" s="22"/>
      <c r="H11" s="1953">
        <f t="shared" si="0"/>
        <v>7</v>
      </c>
      <c r="I11" s="1954" t="str">
        <f>DT!I9</f>
        <v>BABAKAN PANJANG</v>
      </c>
      <c r="J11" s="1955" t="s">
        <v>1671</v>
      </c>
      <c r="K11" s="1955" t="s">
        <v>1686</v>
      </c>
      <c r="L11" s="1955" t="s">
        <v>1701</v>
      </c>
      <c r="M11" s="1956" t="s">
        <v>1448</v>
      </c>
    </row>
    <row r="12" spans="2:13" ht="24.75" customHeight="1">
      <c r="B12" s="3232" t="s">
        <v>1723</v>
      </c>
      <c r="C12" s="3233"/>
      <c r="D12" s="3233"/>
      <c r="E12" s="3234"/>
      <c r="F12" s="22"/>
      <c r="G12" s="22"/>
      <c r="H12" s="1957">
        <f t="shared" si="0"/>
        <v>8</v>
      </c>
      <c r="I12" s="1958" t="str">
        <f>DT!I10</f>
        <v>PAWENANG</v>
      </c>
      <c r="J12" s="1959" t="s">
        <v>1672</v>
      </c>
      <c r="K12" s="1959" t="s">
        <v>1687</v>
      </c>
      <c r="L12" s="1959" t="s">
        <v>1702</v>
      </c>
      <c r="M12" s="1960" t="s">
        <v>1448</v>
      </c>
    </row>
    <row r="13" spans="2:13" ht="24.75" customHeight="1">
      <c r="B13" s="3235"/>
      <c r="C13" s="3236"/>
      <c r="D13" s="3236"/>
      <c r="E13" s="3237"/>
      <c r="F13" s="22"/>
      <c r="G13" s="22"/>
      <c r="H13" s="1953">
        <f t="shared" si="0"/>
        <v>9</v>
      </c>
      <c r="I13" s="1954" t="str">
        <f>DT!I11</f>
        <v>CISARUA</v>
      </c>
      <c r="J13" s="1955" t="s">
        <v>1673</v>
      </c>
      <c r="K13" s="1955" t="s">
        <v>1688</v>
      </c>
      <c r="L13" s="1955" t="s">
        <v>1703</v>
      </c>
      <c r="M13" s="1956" t="s">
        <v>1448</v>
      </c>
    </row>
    <row r="14" spans="2:13" ht="24.75" customHeight="1">
      <c r="B14" s="1966">
        <v>7</v>
      </c>
      <c r="C14" s="1967" t="s">
        <v>1715</v>
      </c>
      <c r="D14" s="1968" t="s">
        <v>1730</v>
      </c>
      <c r="E14" s="1973" t="s">
        <v>1447</v>
      </c>
      <c r="F14" s="1451" t="s">
        <v>1458</v>
      </c>
      <c r="G14" s="22"/>
      <c r="H14" s="1957">
        <f t="shared" si="0"/>
        <v>10</v>
      </c>
      <c r="I14" s="1958" t="str">
        <f>DT!I12</f>
        <v>GIRIJAYA</v>
      </c>
      <c r="J14" s="1959" t="s">
        <v>1674</v>
      </c>
      <c r="K14" s="1959" t="s">
        <v>1689</v>
      </c>
      <c r="L14" s="1959" t="s">
        <v>1704</v>
      </c>
      <c r="M14" s="1960" t="s">
        <v>1448</v>
      </c>
    </row>
    <row r="15" spans="2:13" ht="24.75" customHeight="1">
      <c r="B15" s="1970">
        <v>8</v>
      </c>
      <c r="C15" s="1971" t="s">
        <v>1716</v>
      </c>
      <c r="D15" s="1977" t="s">
        <v>1731</v>
      </c>
      <c r="E15" s="1972" t="s">
        <v>1447</v>
      </c>
      <c r="F15" s="491"/>
      <c r="G15" s="22"/>
      <c r="H15" s="1953">
        <f t="shared" si="0"/>
        <v>11</v>
      </c>
      <c r="I15" s="1954">
        <f>DT!I13</f>
        <v>0</v>
      </c>
      <c r="J15" s="1955" t="s">
        <v>1675</v>
      </c>
      <c r="K15" s="1955" t="s">
        <v>1690</v>
      </c>
      <c r="L15" s="1955" t="s">
        <v>1705</v>
      </c>
      <c r="M15" s="1956" t="s">
        <v>1448</v>
      </c>
    </row>
    <row r="16" spans="2:13" ht="24.75" customHeight="1">
      <c r="B16" s="1966">
        <v>9</v>
      </c>
      <c r="C16" s="1967" t="s">
        <v>1717</v>
      </c>
      <c r="D16" s="1980" t="s">
        <v>1732</v>
      </c>
      <c r="E16" s="1973" t="s">
        <v>1447</v>
      </c>
      <c r="F16" s="491"/>
      <c r="G16" s="22"/>
      <c r="H16" s="1957">
        <f t="shared" si="0"/>
        <v>12</v>
      </c>
      <c r="I16" s="1958">
        <f>DT!I14</f>
        <v>0</v>
      </c>
      <c r="J16" s="1959" t="s">
        <v>1676</v>
      </c>
      <c r="K16" s="1959" t="s">
        <v>1691</v>
      </c>
      <c r="L16" s="1959" t="s">
        <v>1706</v>
      </c>
      <c r="M16" s="1960" t="s">
        <v>1448</v>
      </c>
    </row>
    <row r="17" spans="2:13" ht="24.75" customHeight="1">
      <c r="B17" s="1974">
        <v>10</v>
      </c>
      <c r="C17" s="1971" t="s">
        <v>1718</v>
      </c>
      <c r="D17" s="1974" t="s">
        <v>1733</v>
      </c>
      <c r="E17" s="1972" t="s">
        <v>1447</v>
      </c>
      <c r="F17" s="1451" t="s">
        <v>1458</v>
      </c>
      <c r="G17" s="22"/>
      <c r="H17" s="1953">
        <f t="shared" si="0"/>
        <v>13</v>
      </c>
      <c r="I17" s="1954">
        <f>DT!I15</f>
        <v>0</v>
      </c>
      <c r="J17" s="1955" t="s">
        <v>1677</v>
      </c>
      <c r="K17" s="1955" t="s">
        <v>1692</v>
      </c>
      <c r="L17" s="1955" t="s">
        <v>1707</v>
      </c>
      <c r="M17" s="1956" t="s">
        <v>1448</v>
      </c>
    </row>
    <row r="18" spans="2:13" ht="24.75" customHeight="1">
      <c r="B18" s="3232" t="s">
        <v>1725</v>
      </c>
      <c r="C18" s="3233"/>
      <c r="D18" s="3233"/>
      <c r="E18" s="3234"/>
      <c r="F18" s="491"/>
      <c r="G18" s="22"/>
      <c r="H18" s="1957">
        <f t="shared" si="0"/>
        <v>14</v>
      </c>
      <c r="I18" s="1958">
        <f>DT!I16</f>
        <v>0</v>
      </c>
      <c r="J18" s="1959" t="s">
        <v>1678</v>
      </c>
      <c r="K18" s="1959" t="s">
        <v>1693</v>
      </c>
      <c r="L18" s="1959" t="s">
        <v>1708</v>
      </c>
      <c r="M18" s="1960" t="s">
        <v>1448</v>
      </c>
    </row>
    <row r="19" spans="2:13" ht="24.75" customHeight="1">
      <c r="B19" s="3235"/>
      <c r="C19" s="3236"/>
      <c r="D19" s="3236"/>
      <c r="E19" s="3237"/>
      <c r="F19" s="491"/>
      <c r="G19" s="22"/>
      <c r="H19" s="1953">
        <f t="shared" si="0"/>
        <v>15</v>
      </c>
      <c r="I19" s="1954">
        <f>DT!I17</f>
        <v>0</v>
      </c>
      <c r="J19" s="1955" t="s">
        <v>1679</v>
      </c>
      <c r="K19" s="1955" t="s">
        <v>1694</v>
      </c>
      <c r="L19" s="1955" t="s">
        <v>1709</v>
      </c>
      <c r="M19" s="1956" t="s">
        <v>1448</v>
      </c>
    </row>
    <row r="20" spans="2:13" ht="24.75" customHeight="1">
      <c r="B20" s="1968">
        <v>11</v>
      </c>
      <c r="C20" s="1967" t="s">
        <v>1719</v>
      </c>
      <c r="D20" s="1968" t="s">
        <v>1734</v>
      </c>
      <c r="E20" s="1969" t="s">
        <v>1448</v>
      </c>
      <c r="F20" s="491"/>
      <c r="G20" s="22"/>
      <c r="H20" s="1957">
        <f t="shared" si="0"/>
        <v>16</v>
      </c>
      <c r="I20" s="1958">
        <f>DT!I18</f>
        <v>0</v>
      </c>
      <c r="J20" s="1959" t="s">
        <v>1680</v>
      </c>
      <c r="K20" s="1959" t="s">
        <v>1695</v>
      </c>
      <c r="L20" s="1959" t="s">
        <v>1710</v>
      </c>
      <c r="M20" s="1960" t="s">
        <v>1448</v>
      </c>
    </row>
    <row r="21" spans="2:13" ht="24.75" customHeight="1">
      <c r="B21" s="1970">
        <v>12</v>
      </c>
      <c r="C21" s="1971" t="s">
        <v>1720</v>
      </c>
      <c r="D21" s="1974" t="s">
        <v>1735</v>
      </c>
      <c r="E21" s="1975" t="s">
        <v>1448</v>
      </c>
      <c r="F21" s="491"/>
      <c r="G21" s="22"/>
      <c r="H21" s="1950"/>
      <c r="I21" s="1948"/>
      <c r="J21" s="1950"/>
      <c r="K21" s="1950"/>
      <c r="L21" s="22"/>
      <c r="M21" s="22"/>
    </row>
    <row r="22" spans="2:13" ht="24.75" customHeight="1">
      <c r="B22" s="1966">
        <v>13</v>
      </c>
      <c r="C22" s="1967" t="s">
        <v>1721</v>
      </c>
      <c r="D22" s="1968" t="s">
        <v>1736</v>
      </c>
      <c r="E22" s="1969" t="s">
        <v>1448</v>
      </c>
      <c r="F22" s="491"/>
      <c r="G22" s="22"/>
      <c r="H22" s="22"/>
      <c r="I22" s="1948"/>
      <c r="J22" s="22"/>
      <c r="K22" s="1949"/>
      <c r="L22" s="491"/>
      <c r="M22" s="22"/>
    </row>
    <row r="23" spans="2:13" ht="24.75" customHeight="1">
      <c r="B23" s="1970">
        <v>14</v>
      </c>
      <c r="C23" s="1971" t="s">
        <v>1722</v>
      </c>
      <c r="D23" s="1974" t="s">
        <v>1737</v>
      </c>
      <c r="E23" s="1972" t="s">
        <v>1447</v>
      </c>
      <c r="F23" s="1451" t="s">
        <v>1458</v>
      </c>
      <c r="G23" s="22"/>
      <c r="H23" s="22"/>
      <c r="I23" s="1948"/>
      <c r="J23" s="22"/>
      <c r="K23" s="1949"/>
      <c r="L23" s="491"/>
      <c r="M23" s="22"/>
    </row>
    <row r="24" spans="2:13" ht="24" customHeight="1">
      <c r="B24" s="1966">
        <v>15</v>
      </c>
      <c r="C24" s="1967" t="s">
        <v>1813</v>
      </c>
      <c r="D24" s="1968" t="s">
        <v>1814</v>
      </c>
      <c r="E24" s="1969" t="s">
        <v>1448</v>
      </c>
      <c r="F24" s="491"/>
      <c r="G24" s="22"/>
      <c r="H24" s="22"/>
      <c r="I24" s="1948"/>
      <c r="J24" s="22"/>
      <c r="K24" s="1949"/>
      <c r="L24" s="491"/>
      <c r="M24" s="22"/>
    </row>
    <row r="25" spans="2:13" ht="15.75" customHeight="1">
      <c r="B25" s="22"/>
      <c r="C25" s="1948"/>
      <c r="D25" s="22"/>
      <c r="E25" s="1981"/>
      <c r="F25" s="491"/>
      <c r="G25" s="22"/>
      <c r="H25" s="22"/>
      <c r="I25" s="1948"/>
      <c r="J25" s="22"/>
      <c r="K25" s="1949"/>
      <c r="L25" s="491"/>
      <c r="M25" s="22"/>
    </row>
    <row r="26" spans="2:13" ht="15.75" customHeight="1">
      <c r="B26" s="22"/>
      <c r="C26" s="1948"/>
      <c r="D26" s="22"/>
      <c r="E26" s="1981"/>
      <c r="F26" s="491"/>
      <c r="G26" s="22"/>
      <c r="H26" s="22"/>
      <c r="I26" s="1948"/>
      <c r="J26" s="22"/>
      <c r="K26" s="1949"/>
      <c r="L26" s="491"/>
      <c r="M26" s="22"/>
    </row>
    <row r="27" spans="2:13" ht="15.75" customHeight="1">
      <c r="B27" s="22"/>
      <c r="C27" s="1948"/>
      <c r="D27" s="22"/>
      <c r="E27" s="1981"/>
      <c r="F27" s="491"/>
      <c r="G27" s="22"/>
      <c r="H27" s="22"/>
      <c r="I27" s="1948"/>
      <c r="J27" s="22"/>
      <c r="K27" s="1949"/>
      <c r="L27" s="491"/>
      <c r="M27" s="22"/>
    </row>
    <row r="28" spans="2:13" ht="15.75" customHeight="1">
      <c r="B28" s="22"/>
      <c r="C28" s="1948"/>
      <c r="D28" s="22"/>
      <c r="E28" s="1949"/>
      <c r="F28" s="491"/>
      <c r="G28" s="22"/>
      <c r="H28" s="22"/>
      <c r="I28" s="1948"/>
      <c r="J28" s="1951"/>
      <c r="K28" s="1949"/>
      <c r="L28" s="491"/>
      <c r="M28" s="22"/>
    </row>
    <row r="29" spans="2:13" ht="15.75" customHeight="1">
      <c r="B29" s="1950"/>
      <c r="C29" s="1950"/>
      <c r="D29" s="1950"/>
      <c r="E29" s="1950"/>
      <c r="F29" s="22"/>
      <c r="G29" s="22"/>
      <c r="H29" s="22"/>
      <c r="I29" s="1948"/>
      <c r="J29" s="22"/>
      <c r="K29" s="1949"/>
      <c r="L29" s="491"/>
      <c r="M29" s="22"/>
    </row>
    <row r="30" spans="2:13" ht="15.75" customHeight="1">
      <c r="B30" s="22"/>
      <c r="C30" s="1948"/>
      <c r="D30" s="22"/>
      <c r="E30" s="1949"/>
      <c r="F30" s="491"/>
      <c r="G30" s="22"/>
      <c r="H30" s="22"/>
      <c r="I30" s="1948"/>
      <c r="J30" s="22"/>
      <c r="K30" s="1949"/>
      <c r="L30" s="491"/>
      <c r="M30" s="22"/>
    </row>
    <row r="31" spans="2:13" ht="15.75" customHeight="1">
      <c r="B31" s="22"/>
      <c r="C31" s="1948"/>
      <c r="D31" s="22"/>
      <c r="E31" s="1949"/>
      <c r="F31" s="491"/>
      <c r="G31" s="22"/>
      <c r="H31" s="22"/>
      <c r="I31" s="1948"/>
      <c r="J31" s="22"/>
      <c r="K31" s="1949"/>
      <c r="L31" s="491"/>
      <c r="M31" s="22"/>
    </row>
    <row r="32" spans="2:13" ht="15.75" customHeight="1">
      <c r="B32" s="22"/>
      <c r="C32" s="1948"/>
      <c r="D32" s="22"/>
      <c r="E32" s="1949"/>
      <c r="F32" s="491"/>
      <c r="G32" s="22"/>
      <c r="H32" s="22"/>
      <c r="I32" s="1948"/>
      <c r="J32" s="22"/>
      <c r="K32" s="1949"/>
      <c r="L32" s="491"/>
      <c r="M32" s="22"/>
    </row>
    <row r="33" spans="2:13" ht="15.75" customHeight="1">
      <c r="B33" s="22"/>
      <c r="C33" s="1948"/>
      <c r="D33" s="22"/>
      <c r="E33" s="1949"/>
      <c r="F33" s="491"/>
      <c r="G33" s="22"/>
      <c r="H33" s="22"/>
      <c r="I33" s="1948"/>
      <c r="J33" s="22"/>
      <c r="K33" s="1949"/>
      <c r="L33" s="491"/>
      <c r="M33" s="22"/>
    </row>
    <row r="34" spans="2:13" ht="15.75" customHeight="1">
      <c r="B34" s="22"/>
      <c r="C34" s="1948"/>
      <c r="D34" s="22"/>
      <c r="E34" s="1949"/>
      <c r="F34" s="491"/>
      <c r="G34" s="22"/>
      <c r="H34" s="22"/>
      <c r="I34" s="1948"/>
      <c r="J34" s="22"/>
      <c r="K34" s="1949"/>
      <c r="L34" s="491"/>
      <c r="M34" s="22"/>
    </row>
    <row r="35" spans="2:13" ht="15.75" customHeight="1">
      <c r="B35" s="22"/>
      <c r="C35" s="1948"/>
      <c r="D35" s="22"/>
      <c r="E35" s="1949"/>
      <c r="F35" s="491"/>
      <c r="G35" s="22"/>
      <c r="H35" s="22"/>
      <c r="I35" s="1948"/>
      <c r="J35" s="22"/>
      <c r="K35" s="1949"/>
      <c r="L35" s="491"/>
      <c r="M35" s="22"/>
    </row>
    <row r="36" spans="2:13" ht="15.75" customHeight="1">
      <c r="B36" s="22"/>
      <c r="C36" s="1948"/>
      <c r="D36" s="22"/>
      <c r="E36" s="1949"/>
      <c r="F36" s="491"/>
      <c r="G36" s="22"/>
      <c r="H36" s="22"/>
      <c r="I36" s="1948"/>
      <c r="J36" s="22"/>
      <c r="K36" s="1949"/>
      <c r="L36" s="491"/>
      <c r="M36" s="22"/>
    </row>
    <row r="37" spans="2:13" ht="15.75" customHeight="1">
      <c r="F37" s="22"/>
      <c r="G37" s="22"/>
      <c r="H37" s="22"/>
      <c r="I37" s="1948"/>
      <c r="J37" s="22"/>
      <c r="K37" s="1949"/>
      <c r="L37" s="491"/>
      <c r="M37" s="22"/>
    </row>
    <row r="38" spans="2:13">
      <c r="F38" s="22"/>
      <c r="G38" s="22"/>
      <c r="H38" s="22"/>
      <c r="I38" s="22"/>
      <c r="J38" s="22"/>
      <c r="K38" s="1949"/>
      <c r="L38" s="22"/>
      <c r="M38" s="22"/>
    </row>
    <row r="39" spans="2:13">
      <c r="F39" s="22"/>
      <c r="G39" s="22"/>
      <c r="H39" s="22"/>
      <c r="I39" s="22"/>
      <c r="J39" s="22"/>
      <c r="K39" s="1949"/>
      <c r="L39" s="22"/>
      <c r="M39" s="22"/>
    </row>
    <row r="40" spans="2:13">
      <c r="F40" s="22"/>
      <c r="G40" s="22"/>
      <c r="H40" s="22"/>
      <c r="I40" s="22"/>
      <c r="J40" s="22"/>
      <c r="K40" s="1949"/>
      <c r="L40" s="22"/>
      <c r="M40" s="22"/>
    </row>
    <row r="41" spans="2:13">
      <c r="F41" s="22"/>
      <c r="G41" s="22"/>
      <c r="H41" s="22"/>
      <c r="I41" s="22"/>
      <c r="J41" s="22"/>
      <c r="K41" s="1949"/>
      <c r="L41" s="22"/>
      <c r="M41" s="22"/>
    </row>
    <row r="42" spans="2:13">
      <c r="F42" s="22"/>
      <c r="G42" s="22"/>
      <c r="H42" s="22"/>
      <c r="I42" s="22"/>
      <c r="J42" s="22"/>
      <c r="K42" s="1949"/>
      <c r="L42" s="22"/>
      <c r="M42" s="22"/>
    </row>
    <row r="43" spans="2:13">
      <c r="F43" s="22"/>
      <c r="G43" s="22"/>
      <c r="H43" s="22"/>
      <c r="I43" s="22"/>
      <c r="J43" s="22"/>
      <c r="K43" s="1949"/>
      <c r="L43" s="22"/>
      <c r="M43" s="22"/>
    </row>
    <row r="44" spans="2:13">
      <c r="F44" s="22"/>
      <c r="G44" s="22"/>
      <c r="H44" s="22"/>
      <c r="I44" s="22"/>
      <c r="J44" s="22"/>
      <c r="K44" s="1949"/>
      <c r="L44" s="22"/>
      <c r="M44" s="22"/>
    </row>
  </sheetData>
  <sheetProtection password="C13C" sheet="1" formatColumns="0" formatRows="0"/>
  <mergeCells count="8">
    <mergeCell ref="B1:M1"/>
    <mergeCell ref="I3:I4"/>
    <mergeCell ref="M3:M4"/>
    <mergeCell ref="B18:E19"/>
    <mergeCell ref="B12:E13"/>
    <mergeCell ref="B6:E7"/>
    <mergeCell ref="J3:L3"/>
    <mergeCell ref="H3:H4"/>
  </mergeCells>
  <hyperlinks>
    <hyperlink ref="C4" location="DT!A1" display="DT"/>
    <hyperlink ref="C5" location="'DATA BANTUAN'!A1" display="DATA BANTUAN"/>
    <hyperlink ref="C8" location="'LPP-UEP'!A1" display="LPP-UEP"/>
    <hyperlink ref="C9" location="'LPP-SPP'!A1" display="LPP-SPP"/>
    <hyperlink ref="C10" location="'LPP-SPP PIHAK KE-3'!A1" display="LPP-SPP PHAK KE-3"/>
    <hyperlink ref="C11" location="'LPP-SPP (BLM+PIHAK KE3)'!A1" display="LPP-SPP(BLM+PIHAK KE3)"/>
    <hyperlink ref="C14" location="'KOLEKTIBILITAS-UEP'!A1" display="KOLEKTIBILITAS-UEP"/>
    <hyperlink ref="C15" location="'KOLEKTIBILITAS-SPP'!A1" display="KOLEKTIBILITAS-SPP"/>
    <hyperlink ref="C16" location="'KOLEKTIBILITAS-SPP PIHAK KE-3'!A1" display="KOLEKTIBILITAS-SPP PIHAK KE-3"/>
    <hyperlink ref="C17" location="'KOLEKTIBILITAS-SPP(BLM+PHK KE3)'!A1" display="KOLEKTIBILITAS-SPP (BLM+PHK KE3)"/>
    <hyperlink ref="C20" location="'84ABC-UEP'!A1" display="84ABC-UEP"/>
    <hyperlink ref="C21" location="'84ABC-SPP'!A1" display="84ABC-SPP"/>
    <hyperlink ref="C22" location="'84ABC-SPP PIHAK KE-3'!A1" display="84ABC-SPP PIHAK KE-3"/>
    <hyperlink ref="C23" location="'84ABC-SPP+UEP'!A1" display="84ABC-SPP+UEP"/>
    <hyperlink ref="J5" location="'UEP-1'!A1" display="UEP - 1"/>
    <hyperlink ref="J6" location="'UEP-2'!A1" display="UEP - 2"/>
    <hyperlink ref="J7" location="'UEP-3'!A1" display="UEP - 3"/>
    <hyperlink ref="J8" location="'UEP-4'!A1" display="UEP - 4"/>
    <hyperlink ref="J9" location="'UEP-5'!A1" display="UEP - 5"/>
    <hyperlink ref="J10" location="'UEP-6'!A1" display="UEP - 6"/>
    <hyperlink ref="J11" location="'UEP-7'!A1" display="UEP - 7"/>
    <hyperlink ref="J12" location="'UEP-8'!A1" display="UEP - 8"/>
    <hyperlink ref="J13" location="'UEP-9'!A1" display="UEP - 9"/>
    <hyperlink ref="J14" location="'UEP-10'!A1" display="UEP - 10"/>
    <hyperlink ref="J15" location="'UEP-11'!A1" display="UEP - 11"/>
    <hyperlink ref="J16" location="'UEP-12'!A1" display="UEP - 12"/>
    <hyperlink ref="J17" location="'UEP-13'!A1" display="UEP - 13"/>
    <hyperlink ref="J18" location="'UEP-14'!A1" display="UEP - 14"/>
    <hyperlink ref="J19" location="'UEP-15'!A1" display="UEP - 15"/>
    <hyperlink ref="J20" location="'UEP-16'!A1" display="UEP - 16"/>
    <hyperlink ref="K5" location="'SPP-1'!A1" display="SPP - 1"/>
    <hyperlink ref="K6" location="'SPP-2'!A1" display="SPP - 2"/>
    <hyperlink ref="K7" location="'SPP-3'!A1" display="SPP - 3"/>
    <hyperlink ref="K8" location="'SPP-4'!A1" display="SPP - 4"/>
    <hyperlink ref="K9" location="'SPP-5'!A1" display="SPP - 5"/>
    <hyperlink ref="K10" location="'SPP-6'!A1" display="SPP - 6"/>
    <hyperlink ref="K11" location="'SPP-7'!A1" display="SPP - 7"/>
    <hyperlink ref="K12" location="'SPP-8'!A1" display="SPP - 8"/>
    <hyperlink ref="K13" location="'SPP-9'!A1" display="SPP - 9"/>
    <hyperlink ref="K14" location="'SPP-10'!A1" display="SPP - 10"/>
    <hyperlink ref="K15" location="'SPP-11'!A1" display="SPP - 11"/>
    <hyperlink ref="K16" location="'SPP-12'!A1" display="SPP - 12"/>
    <hyperlink ref="K17" location="'SPP-13'!A1" display="SPP - 13"/>
    <hyperlink ref="K18" location="'SPP-14'!A1" display="SPP - 14"/>
    <hyperlink ref="K19" location="'SPP-15'!A1" display="SPP - 15"/>
    <hyperlink ref="K20" location="'SPP-16'!A1" display="SPP - 16"/>
    <hyperlink ref="L5" location="'SPP K3-1'!A1" display="SPP K3 - 1"/>
    <hyperlink ref="L6" location="'SPP K3-2'!A1" display="SPP K3 - 2"/>
    <hyperlink ref="L7" location="'SPP K3-3'!A1" display="SPP K3 - 3"/>
    <hyperlink ref="L8" location="'SPP K3-4'!A1" display="SPP K3 - 4"/>
    <hyperlink ref="L9" location="'SPP K3-5'!A1" display="SPP K3 - 5"/>
    <hyperlink ref="L10" location="'SPP K3-6'!A1" display="SPP K3 - 6"/>
    <hyperlink ref="L11" location="'SPP K3-7'!A1" display="SPP K3 - 7"/>
    <hyperlink ref="L12" location="'SPP K3-8'!A1" display="SPP K3 - 8"/>
    <hyperlink ref="L13" location="'SPP K3-9'!A1" display="SPP K3 - 9"/>
    <hyperlink ref="L14" location="'SPP K3-10'!A1" display="SPP K3 - 10"/>
    <hyperlink ref="L15" location="'SPP K3-11'!A1" display="SPP K3 - 11"/>
    <hyperlink ref="L16" location="'SPP K3-12'!A1" display="SPP K3 - 12"/>
    <hyperlink ref="L17" location="'SPP K3-13'!A1" display="SPP K3 - 13"/>
    <hyperlink ref="L18" location="'SPP K3-14'!A1" display="SPP K3 - 14"/>
    <hyperlink ref="L19" location="'SPP K3-15'!A1" display="SPP K3 - 15"/>
    <hyperlink ref="L20" location="'SPP K3-16'!A1" display="SPP K3 - 16"/>
    <hyperlink ref="C24" location="'Penghapusan Pinjaman'!A1" display="DAFTAR PENGHAPUSAN PINJAMAN"/>
  </hyperlinks>
  <printOptions horizontalCentered="1" verticalCentered="1"/>
  <pageMargins left="0.25" right="0.25" top="0.25" bottom="0.25" header="0.3" footer="0.3"/>
  <pageSetup paperSize="9" scale="55"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10"/>
  </sheetPr>
  <dimension ref="A1:W190"/>
  <sheetViews>
    <sheetView topLeftCell="A13" zoomScale="85" zoomScaleNormal="85" workbookViewId="0">
      <selection activeCell="D26" sqref="D26"/>
    </sheetView>
  </sheetViews>
  <sheetFormatPr defaultColWidth="9.140625" defaultRowHeight="18.75" customHeight="1"/>
  <cols>
    <col min="1" max="1" width="36.85546875" style="52" customWidth="1"/>
    <col min="2" max="2" width="8.28515625" style="52" bestFit="1" customWidth="1"/>
    <col min="3" max="3" width="29.140625" style="53" customWidth="1"/>
    <col min="4" max="4" width="36.42578125" style="51" customWidth="1"/>
    <col min="5" max="5" width="18.42578125" style="51" customWidth="1"/>
    <col min="6" max="6" width="11.28515625" style="235" customWidth="1"/>
    <col min="7" max="7" width="7.85546875" style="1339" customWidth="1"/>
    <col min="8" max="8" width="21.5703125" style="1339" customWidth="1"/>
    <col min="9" max="9" width="36.140625" style="1339" customWidth="1"/>
    <col min="10" max="14" width="9.140625" style="235"/>
    <col min="15" max="15" width="25" style="235" bestFit="1" customWidth="1"/>
    <col min="16" max="23" width="9.140625" style="235"/>
    <col min="24" max="16384" width="9.140625" style="52"/>
  </cols>
  <sheetData>
    <row r="1" spans="1:9" ht="23.25" customHeight="1">
      <c r="A1" s="236" t="s">
        <v>225</v>
      </c>
      <c r="B1" s="236"/>
      <c r="C1" s="237"/>
      <c r="D1" s="238"/>
      <c r="E1" s="238"/>
      <c r="G1" s="3247" t="s">
        <v>977</v>
      </c>
      <c r="H1" s="3248"/>
      <c r="I1" s="3249"/>
    </row>
    <row r="2" spans="1:9" ht="20.25" customHeight="1" thickBot="1">
      <c r="A2" s="234"/>
      <c r="B2" s="234"/>
      <c r="C2" s="42"/>
      <c r="D2" s="41"/>
      <c r="E2" s="41"/>
      <c r="G2" s="1367" t="s">
        <v>978</v>
      </c>
      <c r="H2" s="1368" t="s">
        <v>979</v>
      </c>
      <c r="I2" s="1369" t="s">
        <v>234</v>
      </c>
    </row>
    <row r="3" spans="1:9" ht="18" customHeight="1" thickTop="1">
      <c r="A3" s="3241" t="s">
        <v>224</v>
      </c>
      <c r="B3" s="3242"/>
      <c r="C3" s="43" t="s">
        <v>2</v>
      </c>
      <c r="D3" s="44" t="s">
        <v>1860</v>
      </c>
      <c r="E3" s="2077" t="s">
        <v>1859</v>
      </c>
      <c r="G3" s="1337">
        <v>1</v>
      </c>
      <c r="H3" s="2078" t="s">
        <v>1857</v>
      </c>
      <c r="I3" s="1338" t="s">
        <v>1858</v>
      </c>
    </row>
    <row r="4" spans="1:9" ht="18" customHeight="1">
      <c r="A4" s="3243"/>
      <c r="B4" s="3244"/>
      <c r="C4" s="45" t="s">
        <v>4</v>
      </c>
      <c r="D4" s="46" t="s">
        <v>518</v>
      </c>
      <c r="E4" s="46">
        <v>3202</v>
      </c>
      <c r="G4" s="1337">
        <v>2</v>
      </c>
      <c r="H4" s="2078" t="s">
        <v>1845</v>
      </c>
      <c r="I4" s="1338" t="s">
        <v>1846</v>
      </c>
    </row>
    <row r="5" spans="1:9" ht="18" customHeight="1" thickBot="1">
      <c r="A5" s="3245"/>
      <c r="B5" s="3246"/>
      <c r="C5" s="47" t="s">
        <v>6</v>
      </c>
      <c r="D5" s="48" t="s">
        <v>218</v>
      </c>
      <c r="E5" s="48">
        <v>32</v>
      </c>
      <c r="G5" s="1337">
        <v>3</v>
      </c>
      <c r="H5" s="2078" t="s">
        <v>1849</v>
      </c>
      <c r="I5" s="1338" t="s">
        <v>1850</v>
      </c>
    </row>
    <row r="6" spans="1:9" ht="18" customHeight="1" thickTop="1" thickBot="1">
      <c r="A6" s="54"/>
      <c r="B6" s="54"/>
      <c r="C6" s="55"/>
      <c r="D6" s="49"/>
      <c r="E6" s="49"/>
      <c r="G6" s="1337">
        <v>4</v>
      </c>
      <c r="H6" s="2078" t="s">
        <v>1841</v>
      </c>
      <c r="I6" s="1338" t="s">
        <v>1842</v>
      </c>
    </row>
    <row r="7" spans="1:9" ht="18" customHeight="1" thickTop="1">
      <c r="A7" s="3241" t="s">
        <v>212</v>
      </c>
      <c r="B7" s="3242"/>
      <c r="C7" s="43" t="s">
        <v>402</v>
      </c>
      <c r="D7" s="3138" t="s">
        <v>262</v>
      </c>
      <c r="E7" s="49"/>
      <c r="G7" s="1337">
        <v>5</v>
      </c>
      <c r="H7" s="2078" t="s">
        <v>1843</v>
      </c>
      <c r="I7" s="1338" t="s">
        <v>1844</v>
      </c>
    </row>
    <row r="8" spans="1:9" ht="18" customHeight="1">
      <c r="A8" s="3243"/>
      <c r="B8" s="3244"/>
      <c r="C8" s="45" t="s">
        <v>403</v>
      </c>
      <c r="D8" s="3139" t="s">
        <v>262</v>
      </c>
      <c r="E8" s="49"/>
      <c r="G8" s="1337">
        <v>6</v>
      </c>
      <c r="H8" s="2078" t="s">
        <v>1847</v>
      </c>
      <c r="I8" s="1338" t="s">
        <v>1848</v>
      </c>
    </row>
    <row r="9" spans="1:9" ht="18" customHeight="1">
      <c r="A9" s="3243"/>
      <c r="B9" s="3244"/>
      <c r="C9" s="45" t="s">
        <v>1154</v>
      </c>
      <c r="D9" s="46"/>
      <c r="E9" s="49"/>
      <c r="G9" s="1337">
        <v>7</v>
      </c>
      <c r="H9" s="2078" t="s">
        <v>1853</v>
      </c>
      <c r="I9" s="1338" t="s">
        <v>1854</v>
      </c>
    </row>
    <row r="10" spans="1:9" ht="18" customHeight="1">
      <c r="A10" s="3243"/>
      <c r="B10" s="3244"/>
      <c r="C10" s="1365" t="s">
        <v>1155</v>
      </c>
      <c r="D10" s="1366"/>
      <c r="E10" s="49"/>
      <c r="G10" s="1337">
        <v>8</v>
      </c>
      <c r="H10" s="2078" t="s">
        <v>1855</v>
      </c>
      <c r="I10" s="1338" t="s">
        <v>1856</v>
      </c>
    </row>
    <row r="11" spans="1:9" ht="18" customHeight="1">
      <c r="A11" s="3243"/>
      <c r="B11" s="3244"/>
      <c r="C11" s="1365" t="s">
        <v>1156</v>
      </c>
      <c r="D11" s="1366"/>
      <c r="E11" s="49"/>
      <c r="G11" s="1337">
        <v>9</v>
      </c>
      <c r="H11" s="2078" t="s">
        <v>1839</v>
      </c>
      <c r="I11" s="1338" t="s">
        <v>1840</v>
      </c>
    </row>
    <row r="12" spans="1:9" ht="18" customHeight="1" thickBot="1">
      <c r="A12" s="3245"/>
      <c r="B12" s="3246"/>
      <c r="C12" s="47" t="s">
        <v>1157</v>
      </c>
      <c r="D12" s="48" t="s">
        <v>1460</v>
      </c>
      <c r="E12" s="49"/>
      <c r="G12" s="1337">
        <v>10</v>
      </c>
      <c r="H12" s="2078" t="s">
        <v>1851</v>
      </c>
      <c r="I12" s="1338" t="s">
        <v>1852</v>
      </c>
    </row>
    <row r="13" spans="1:9" ht="18" customHeight="1" thickTop="1" thickBot="1">
      <c r="A13" s="50"/>
      <c r="B13" s="50"/>
      <c r="C13" s="51"/>
      <c r="G13" s="1337">
        <v>11</v>
      </c>
      <c r="H13" s="2078"/>
      <c r="I13" s="1338"/>
    </row>
    <row r="14" spans="1:9" ht="18" customHeight="1" thickTop="1">
      <c r="A14" s="3241" t="s">
        <v>213</v>
      </c>
      <c r="B14" s="3242"/>
      <c r="C14" s="43" t="s">
        <v>214</v>
      </c>
      <c r="D14" s="44" t="s">
        <v>1861</v>
      </c>
      <c r="E14" s="49"/>
      <c r="G14" s="1337">
        <v>12</v>
      </c>
      <c r="H14" s="2078"/>
      <c r="I14" s="1338"/>
    </row>
    <row r="15" spans="1:9" ht="18" customHeight="1" thickBot="1">
      <c r="A15" s="3243"/>
      <c r="B15" s="3244"/>
      <c r="C15" s="45" t="s">
        <v>215</v>
      </c>
      <c r="D15" s="48" t="s">
        <v>1862</v>
      </c>
      <c r="E15" s="49"/>
      <c r="G15" s="1337">
        <v>13</v>
      </c>
      <c r="H15" s="2078"/>
      <c r="I15" s="1338"/>
    </row>
    <row r="16" spans="1:9" ht="18" customHeight="1" thickTop="1" thickBot="1">
      <c r="A16" s="3245"/>
      <c r="B16" s="3246"/>
      <c r="C16" s="47" t="s">
        <v>216</v>
      </c>
      <c r="D16" s="48" t="s">
        <v>2630</v>
      </c>
      <c r="E16" s="49"/>
      <c r="G16" s="1337">
        <v>14</v>
      </c>
      <c r="H16" s="2078"/>
      <c r="I16" s="1338"/>
    </row>
    <row r="17" spans="1:9" ht="18" customHeight="1" thickTop="1" thickBot="1">
      <c r="G17" s="1337">
        <v>15</v>
      </c>
      <c r="H17" s="2078"/>
      <c r="I17" s="1338"/>
    </row>
    <row r="18" spans="1:9" ht="18" customHeight="1" thickTop="1">
      <c r="A18" s="3241" t="s">
        <v>1158</v>
      </c>
      <c r="B18" s="3242"/>
      <c r="C18" s="43" t="s">
        <v>217</v>
      </c>
      <c r="D18" s="44" t="s">
        <v>2646</v>
      </c>
      <c r="E18" s="49"/>
      <c r="G18" s="1337">
        <v>16</v>
      </c>
      <c r="H18" s="2078"/>
      <c r="I18" s="1338"/>
    </row>
    <row r="19" spans="1:9" ht="18" customHeight="1">
      <c r="A19" s="3243"/>
      <c r="B19" s="3244"/>
      <c r="C19" s="45" t="s">
        <v>1159</v>
      </c>
      <c r="D19" s="46" t="s">
        <v>2631</v>
      </c>
      <c r="E19" s="49"/>
      <c r="G19" s="1441"/>
      <c r="H19" s="1442"/>
      <c r="I19" s="1441"/>
    </row>
    <row r="20" spans="1:9" ht="18" customHeight="1">
      <c r="A20" s="3243"/>
      <c r="B20" s="3244"/>
      <c r="C20" s="1365" t="s">
        <v>247</v>
      </c>
      <c r="D20" s="1366" t="s">
        <v>2506</v>
      </c>
      <c r="E20" s="49"/>
      <c r="G20" s="1441"/>
      <c r="H20" s="1442"/>
      <c r="I20" s="1441"/>
    </row>
    <row r="21" spans="1:9" ht="18" customHeight="1">
      <c r="A21" s="3243"/>
      <c r="B21" s="3244"/>
      <c r="C21" s="1365" t="s">
        <v>247</v>
      </c>
      <c r="D21" s="1366" t="s">
        <v>2632</v>
      </c>
      <c r="E21" s="49"/>
      <c r="G21" s="1441"/>
      <c r="H21" s="1442"/>
      <c r="I21" s="1441"/>
    </row>
    <row r="22" spans="1:9" ht="18" customHeight="1" thickBot="1">
      <c r="A22" s="3245"/>
      <c r="B22" s="3246"/>
      <c r="C22" s="47" t="s">
        <v>247</v>
      </c>
      <c r="D22" s="48" t="s">
        <v>2286</v>
      </c>
      <c r="E22" s="49"/>
      <c r="G22" s="1441"/>
      <c r="H22" s="1442"/>
      <c r="I22" s="1441"/>
    </row>
    <row r="23" spans="1:9" ht="18" customHeight="1" thickTop="1" thickBot="1">
      <c r="A23" s="54"/>
      <c r="B23" s="54"/>
      <c r="C23" s="55"/>
      <c r="D23" s="49"/>
      <c r="E23" s="49"/>
      <c r="G23" s="1441"/>
      <c r="H23" s="1442"/>
      <c r="I23" s="1441"/>
    </row>
    <row r="24" spans="1:9" ht="18" customHeight="1" thickTop="1">
      <c r="A24" s="3241" t="s">
        <v>220</v>
      </c>
      <c r="B24" s="3242"/>
      <c r="C24" s="43" t="s">
        <v>152</v>
      </c>
      <c r="D24" s="1459">
        <v>29</v>
      </c>
      <c r="E24" s="1359" t="s">
        <v>1076</v>
      </c>
      <c r="G24" s="1441"/>
      <c r="H24" s="1442"/>
      <c r="I24" s="1441"/>
    </row>
    <row r="25" spans="1:9" ht="18" customHeight="1">
      <c r="A25" s="3243"/>
      <c r="B25" s="3244"/>
      <c r="C25" s="45" t="s">
        <v>3</v>
      </c>
      <c r="D25" s="3018" t="s">
        <v>2737</v>
      </c>
      <c r="E25" s="1359" t="s">
        <v>1077</v>
      </c>
      <c r="G25" s="1441"/>
      <c r="H25" s="1442"/>
      <c r="I25" s="1441"/>
    </row>
    <row r="26" spans="1:9" ht="18" customHeight="1">
      <c r="A26" s="3243"/>
      <c r="B26" s="3244"/>
      <c r="C26" s="45" t="s">
        <v>918</v>
      </c>
      <c r="D26" s="1356">
        <v>2016</v>
      </c>
      <c r="E26" s="1359" t="s">
        <v>1078</v>
      </c>
      <c r="G26" s="1441"/>
      <c r="H26" s="1442"/>
      <c r="I26" s="1441"/>
    </row>
    <row r="27" spans="1:9" ht="18" customHeight="1">
      <c r="A27" s="3243"/>
      <c r="B27" s="3244"/>
      <c r="C27" s="45" t="s">
        <v>219</v>
      </c>
      <c r="D27" s="1354" t="str">
        <f>D24&amp;" "&amp;D25&amp;" "&amp;D26</f>
        <v>29 Februari 2016 2016</v>
      </c>
      <c r="E27" s="1359" t="s">
        <v>340</v>
      </c>
      <c r="G27" s="1441"/>
      <c r="H27" s="1442"/>
      <c r="I27" s="1441"/>
    </row>
    <row r="28" spans="1:9" ht="18" customHeight="1" thickBot="1">
      <c r="A28" s="3245"/>
      <c r="B28" s="3246"/>
      <c r="C28" s="47" t="s">
        <v>221</v>
      </c>
      <c r="D28" s="56" t="str">
        <f>D3&amp;", "&amp;D27</f>
        <v>Nagrak, 29 Februari 2016 2016</v>
      </c>
      <c r="E28" s="1359" t="s">
        <v>1079</v>
      </c>
      <c r="G28" s="1441"/>
      <c r="H28" s="1442"/>
      <c r="I28" s="1441"/>
    </row>
    <row r="29" spans="1:9" ht="18" customHeight="1" thickTop="1" thickBot="1">
      <c r="C29" s="57"/>
      <c r="D29" s="69"/>
      <c r="E29" s="1359" t="s">
        <v>1080</v>
      </c>
    </row>
    <row r="30" spans="1:9" ht="18.75" customHeight="1" thickTop="1" thickBot="1">
      <c r="A30" s="58" t="s">
        <v>222</v>
      </c>
      <c r="B30" s="2023" t="s">
        <v>1744</v>
      </c>
      <c r="C30" s="59" t="s">
        <v>223</v>
      </c>
      <c r="D30" s="60" t="s">
        <v>226</v>
      </c>
      <c r="E30" s="1359" t="s">
        <v>1081</v>
      </c>
      <c r="F30" s="1363" t="e">
        <f>"0" &amp; G30</f>
        <v>#VALUE!</v>
      </c>
      <c r="G30" s="1364" t="e">
        <f>MONTH(D27)</f>
        <v>#VALUE!</v>
      </c>
    </row>
    <row r="31" spans="1:9" ht="18.75" customHeight="1" thickTop="1">
      <c r="A31" s="61" t="s">
        <v>812</v>
      </c>
      <c r="B31" s="2024" t="s">
        <v>1745</v>
      </c>
      <c r="C31" s="64"/>
      <c r="D31" s="62" t="s">
        <v>896</v>
      </c>
      <c r="E31" s="1359" t="s">
        <v>1082</v>
      </c>
      <c r="F31" s="1362" t="e">
        <f>YEAR(D27)</f>
        <v>#VALUE!</v>
      </c>
    </row>
    <row r="32" spans="1:9" ht="18.75" customHeight="1">
      <c r="A32" s="61" t="s">
        <v>813</v>
      </c>
      <c r="B32" s="2024" t="s">
        <v>1745</v>
      </c>
      <c r="C32" s="64" t="s">
        <v>1863</v>
      </c>
      <c r="D32" s="65" t="s">
        <v>1864</v>
      </c>
      <c r="E32" s="1359" t="s">
        <v>348</v>
      </c>
      <c r="F32" s="1361" t="e">
        <f>IF(AND($F$31=2011,G30&gt;0),5+G30,IF(AND($F$31=2012,G30&gt;0),24+G30,IF(AND($F$31=2013,G30&gt;0),36+G30,IF(AND($F$31=2014,G30&gt;0),48+G30,IF(AND($F$31=2015,G30&gt;0),60+G30,IF(AND($F$31=2016,G30&gt;0),72+G30,IF(AND($F$31=2017,G30&gt;0),84+G30,0)))))))</f>
        <v>#VALUE!</v>
      </c>
    </row>
    <row r="33" spans="1:15" ht="18.75" customHeight="1">
      <c r="A33" s="61" t="s">
        <v>814</v>
      </c>
      <c r="B33" s="2024" t="s">
        <v>1745</v>
      </c>
      <c r="C33" s="64" t="s">
        <v>1863</v>
      </c>
      <c r="D33" s="65" t="s">
        <v>1865</v>
      </c>
      <c r="E33" s="1359" t="s">
        <v>1083</v>
      </c>
      <c r="F33" s="1355"/>
    </row>
    <row r="34" spans="1:15" ht="18.75" customHeight="1">
      <c r="A34" s="61" t="s">
        <v>815</v>
      </c>
      <c r="B34" s="2024" t="s">
        <v>1749</v>
      </c>
      <c r="C34" s="64"/>
      <c r="D34" s="65" t="s">
        <v>896</v>
      </c>
      <c r="E34" s="1359" t="s">
        <v>1084</v>
      </c>
      <c r="F34" s="1339"/>
    </row>
    <row r="35" spans="1:15" ht="18.75" customHeight="1">
      <c r="A35" s="61" t="s">
        <v>1153</v>
      </c>
      <c r="B35" s="2024" t="s">
        <v>1750</v>
      </c>
      <c r="C35" s="64"/>
      <c r="D35" s="65" t="s">
        <v>896</v>
      </c>
      <c r="E35" s="1359" t="s">
        <v>1085</v>
      </c>
      <c r="F35" s="1339"/>
      <c r="H35" s="2034"/>
      <c r="I35" s="2034"/>
      <c r="J35" s="2034"/>
      <c r="K35" s="2034"/>
      <c r="L35" s="2029"/>
      <c r="M35" s="2030"/>
      <c r="N35" s="2031"/>
      <c r="O35" s="2031"/>
    </row>
    <row r="36" spans="1:15" ht="18.75" customHeight="1">
      <c r="A36" s="63" t="s">
        <v>207</v>
      </c>
      <c r="B36" s="2025" t="s">
        <v>1746</v>
      </c>
      <c r="C36" s="64" t="s">
        <v>1863</v>
      </c>
      <c r="D36" s="65" t="s">
        <v>1866</v>
      </c>
      <c r="E36" s="1360"/>
      <c r="F36" s="1339"/>
      <c r="H36" s="2035"/>
      <c r="I36" s="2035"/>
      <c r="J36" s="2035"/>
      <c r="K36" s="2035"/>
      <c r="L36" s="2032"/>
      <c r="M36" s="2030"/>
      <c r="N36" s="2028"/>
      <c r="O36" s="2028"/>
    </row>
    <row r="37" spans="1:15" ht="18.75" customHeight="1">
      <c r="A37" s="63" t="s">
        <v>52</v>
      </c>
      <c r="B37" s="2025" t="s">
        <v>1747</v>
      </c>
      <c r="C37" s="64"/>
      <c r="D37" s="65" t="s">
        <v>896</v>
      </c>
      <c r="E37" s="1360"/>
      <c r="F37" s="1339"/>
      <c r="H37" s="2051"/>
      <c r="I37" s="2051"/>
      <c r="J37" s="2035"/>
      <c r="K37" s="2035"/>
      <c r="L37" s="2032"/>
      <c r="M37" s="2030"/>
      <c r="N37" s="2028"/>
      <c r="O37" s="2028"/>
    </row>
    <row r="38" spans="1:15" ht="18.75" customHeight="1">
      <c r="A38" s="61" t="s">
        <v>53</v>
      </c>
      <c r="B38" s="2024" t="s">
        <v>1748</v>
      </c>
      <c r="C38" s="64" t="s">
        <v>1863</v>
      </c>
      <c r="D38" s="65">
        <v>409701010423530</v>
      </c>
      <c r="E38" s="1360"/>
      <c r="F38" s="1339"/>
      <c r="H38" s="2052"/>
      <c r="I38" s="2052"/>
      <c r="J38" s="2035"/>
      <c r="K38" s="2035"/>
      <c r="L38" s="2032"/>
      <c r="M38" s="2030"/>
      <c r="N38" s="2028"/>
      <c r="O38" s="2028"/>
    </row>
    <row r="39" spans="1:15" ht="18.75" customHeight="1">
      <c r="A39" s="61" t="s">
        <v>956</v>
      </c>
      <c r="B39" s="2024" t="s">
        <v>1748</v>
      </c>
      <c r="C39" s="64"/>
      <c r="D39" s="65" t="s">
        <v>896</v>
      </c>
      <c r="E39" s="1360"/>
      <c r="F39" s="1339"/>
      <c r="H39" s="2052"/>
      <c r="I39" s="2052"/>
      <c r="J39" s="2035"/>
      <c r="K39" s="2035"/>
      <c r="L39" s="2032"/>
      <c r="M39" s="2030"/>
      <c r="N39" s="2028"/>
      <c r="O39" s="2028"/>
    </row>
    <row r="40" spans="1:15" ht="18.75" customHeight="1">
      <c r="A40" s="61" t="s">
        <v>959</v>
      </c>
      <c r="B40" s="2024" t="s">
        <v>1753</v>
      </c>
      <c r="C40" s="64"/>
      <c r="D40" s="65" t="s">
        <v>896</v>
      </c>
      <c r="E40" s="1360"/>
      <c r="F40" s="1339"/>
      <c r="H40" s="2052"/>
      <c r="I40" s="2052"/>
      <c r="J40" s="2035"/>
      <c r="K40" s="2035"/>
      <c r="L40" s="2032"/>
      <c r="M40" s="2030"/>
      <c r="N40" s="2028"/>
      <c r="O40" s="2028"/>
    </row>
    <row r="41" spans="1:15" ht="18.75" customHeight="1">
      <c r="A41" s="61" t="s">
        <v>960</v>
      </c>
      <c r="B41" s="2024" t="s">
        <v>1751</v>
      </c>
      <c r="C41" s="64" t="s">
        <v>1863</v>
      </c>
      <c r="D41" s="65" t="s">
        <v>1867</v>
      </c>
      <c r="E41" s="1360"/>
      <c r="F41" s="1339"/>
      <c r="H41" s="2052"/>
      <c r="I41" s="2052"/>
      <c r="J41" s="2035"/>
      <c r="K41" s="2035"/>
      <c r="L41" s="2032"/>
      <c r="M41" s="2030"/>
      <c r="N41" s="2028"/>
      <c r="O41" s="2028"/>
    </row>
    <row r="42" spans="1:15" ht="18.75" customHeight="1">
      <c r="A42" s="63" t="s">
        <v>961</v>
      </c>
      <c r="B42" s="2025" t="s">
        <v>1752</v>
      </c>
      <c r="C42" s="64" t="s">
        <v>1863</v>
      </c>
      <c r="D42" s="65" t="s">
        <v>1868</v>
      </c>
      <c r="E42" s="1358"/>
      <c r="H42" s="2052"/>
      <c r="I42" s="2052"/>
      <c r="J42" s="2035"/>
      <c r="K42" s="2035"/>
      <c r="L42" s="2032"/>
      <c r="M42" s="2030"/>
      <c r="N42" s="2028"/>
      <c r="O42" s="2028"/>
    </row>
    <row r="43" spans="1:15" ht="18.75" customHeight="1">
      <c r="A43" s="63" t="s">
        <v>957</v>
      </c>
      <c r="B43" s="2026" t="s">
        <v>1754</v>
      </c>
      <c r="C43" s="78"/>
      <c r="D43" s="65" t="s">
        <v>896</v>
      </c>
      <c r="E43" s="1358"/>
      <c r="H43" s="2052"/>
      <c r="I43" s="2052"/>
      <c r="J43" s="2035"/>
      <c r="K43" s="2035"/>
      <c r="L43" s="2032"/>
      <c r="M43" s="2030"/>
      <c r="N43" s="2028"/>
      <c r="O43" s="2028"/>
    </row>
    <row r="44" spans="1:15" ht="18.75" customHeight="1">
      <c r="A44" s="77" t="s">
        <v>958</v>
      </c>
      <c r="B44" s="2026" t="s">
        <v>1754</v>
      </c>
      <c r="C44" s="78"/>
      <c r="D44" s="65" t="s">
        <v>896</v>
      </c>
      <c r="E44" s="1358"/>
      <c r="H44" s="2052"/>
      <c r="I44" s="2052"/>
      <c r="J44" s="2035"/>
      <c r="K44" s="2035"/>
      <c r="L44" s="2032"/>
      <c r="M44" s="2030"/>
      <c r="N44" s="2028"/>
      <c r="O44" s="2028"/>
    </row>
    <row r="45" spans="1:15" ht="18.75" customHeight="1">
      <c r="A45" s="77" t="s">
        <v>817</v>
      </c>
      <c r="B45" s="2026" t="s">
        <v>1751</v>
      </c>
      <c r="C45" s="78" t="s">
        <v>1863</v>
      </c>
      <c r="D45" s="79" t="s">
        <v>2219</v>
      </c>
      <c r="E45" s="1358"/>
      <c r="H45" s="2052"/>
      <c r="I45" s="2052"/>
      <c r="J45" s="2035"/>
      <c r="K45" s="2035"/>
      <c r="L45" s="2032"/>
      <c r="M45" s="2030"/>
      <c r="N45" s="2028"/>
      <c r="O45" s="2028"/>
    </row>
    <row r="46" spans="1:15" ht="18.75" customHeight="1">
      <c r="A46" s="77" t="s">
        <v>818</v>
      </c>
      <c r="B46" s="2026" t="s">
        <v>1755</v>
      </c>
      <c r="C46" s="78" t="s">
        <v>1863</v>
      </c>
      <c r="D46" s="79" t="s">
        <v>1869</v>
      </c>
      <c r="E46" s="1358"/>
      <c r="H46" s="2052"/>
      <c r="I46" s="2052"/>
      <c r="J46" s="2035"/>
      <c r="K46" s="2035"/>
      <c r="L46" s="2032"/>
      <c r="M46" s="2030"/>
      <c r="N46" s="2028"/>
      <c r="O46" s="2028"/>
    </row>
    <row r="47" spans="1:15" ht="18.75" customHeight="1">
      <c r="A47" s="77"/>
      <c r="B47" s="2026"/>
      <c r="C47" s="78"/>
      <c r="D47" s="79"/>
      <c r="E47" s="1358"/>
      <c r="H47" s="2052"/>
      <c r="I47" s="2052"/>
      <c r="J47" s="2034"/>
      <c r="K47" s="2029"/>
      <c r="L47" s="2029"/>
      <c r="M47" s="2030"/>
      <c r="N47" s="2028"/>
      <c r="O47" s="2028"/>
    </row>
    <row r="48" spans="1:15" ht="18.75" customHeight="1">
      <c r="A48" s="77"/>
      <c r="B48" s="2026"/>
      <c r="C48" s="78"/>
      <c r="D48" s="79"/>
      <c r="E48" s="1358"/>
      <c r="H48" s="2052"/>
      <c r="I48" s="2052"/>
      <c r="J48" s="2036"/>
      <c r="K48" s="2033"/>
      <c r="L48" s="2032"/>
      <c r="M48" s="2030"/>
      <c r="N48" s="2028"/>
      <c r="O48" s="2028"/>
    </row>
    <row r="49" spans="1:15" ht="18.75" customHeight="1">
      <c r="A49" s="77"/>
      <c r="B49" s="2026"/>
      <c r="C49" s="78"/>
      <c r="D49" s="79"/>
      <c r="E49" s="1358"/>
      <c r="H49" s="2052"/>
      <c r="I49" s="2052"/>
      <c r="J49" s="2036"/>
      <c r="K49" s="2033"/>
      <c r="L49" s="2032"/>
      <c r="M49" s="2030"/>
      <c r="N49" s="2028"/>
      <c r="O49" s="2028"/>
    </row>
    <row r="50" spans="1:15" ht="18.75" customHeight="1">
      <c r="A50" s="77"/>
      <c r="B50" s="2026"/>
      <c r="C50" s="78"/>
      <c r="D50" s="79"/>
      <c r="E50" s="1358"/>
      <c r="H50" s="2052"/>
      <c r="I50" s="2052"/>
      <c r="J50" s="2036"/>
      <c r="K50" s="2033"/>
      <c r="L50" s="2032"/>
      <c r="M50" s="2030"/>
      <c r="N50" s="2028"/>
      <c r="O50" s="2028"/>
    </row>
    <row r="51" spans="1:15" ht="18.75" customHeight="1">
      <c r="A51" s="77"/>
      <c r="B51" s="2026"/>
      <c r="C51" s="78"/>
      <c r="D51" s="79"/>
      <c r="E51" s="1358"/>
      <c r="H51" s="2052"/>
      <c r="I51" s="2052"/>
      <c r="J51" s="2036"/>
      <c r="K51" s="2033"/>
      <c r="L51" s="2032"/>
      <c r="M51" s="2030"/>
      <c r="N51" s="2030"/>
      <c r="O51" s="2030"/>
    </row>
    <row r="52" spans="1:15" ht="18.75" customHeight="1" thickBot="1">
      <c r="A52" s="66"/>
      <c r="B52" s="2027"/>
      <c r="C52" s="67"/>
      <c r="D52" s="68"/>
      <c r="E52" s="1358"/>
      <c r="H52" s="2052"/>
      <c r="I52" s="2052"/>
      <c r="J52" s="2036"/>
      <c r="K52" s="2033"/>
      <c r="L52" s="2032"/>
      <c r="M52" s="2030"/>
      <c r="N52" s="2030"/>
      <c r="O52" s="2030"/>
    </row>
    <row r="53" spans="1:15" s="235" customFormat="1" ht="18.75" customHeight="1" thickTop="1">
      <c r="A53" s="76"/>
      <c r="B53" s="76"/>
      <c r="C53" s="241"/>
      <c r="D53" s="242"/>
      <c r="E53" s="242"/>
      <c r="G53" s="1339"/>
      <c r="H53" s="2036"/>
      <c r="I53" s="2036"/>
      <c r="J53" s="2036"/>
      <c r="K53" s="2033"/>
      <c r="L53" s="2032"/>
      <c r="M53" s="2030"/>
      <c r="N53" s="2030"/>
      <c r="O53" s="2030"/>
    </row>
    <row r="54" spans="1:15" s="235" customFormat="1" ht="18.75" customHeight="1">
      <c r="C54" s="240"/>
      <c r="D54" s="239"/>
      <c r="E54" s="239"/>
      <c r="G54" s="1339"/>
      <c r="H54" s="2036"/>
      <c r="I54" s="2036"/>
      <c r="J54" s="2036"/>
      <c r="K54" s="2033"/>
      <c r="L54" s="2032"/>
      <c r="M54" s="2030"/>
      <c r="N54" s="2030"/>
      <c r="O54" s="2030"/>
    </row>
    <row r="55" spans="1:15" s="235" customFormat="1" ht="18.75" customHeight="1">
      <c r="C55" s="240"/>
      <c r="D55" s="239"/>
      <c r="E55" s="239"/>
      <c r="G55" s="1339"/>
      <c r="H55" s="2037"/>
      <c r="I55" s="2037"/>
      <c r="J55" s="2037"/>
      <c r="K55" s="2033"/>
      <c r="L55" s="2032"/>
      <c r="M55" s="2030"/>
      <c r="N55" s="2030"/>
      <c r="O55" s="2030"/>
    </row>
    <row r="56" spans="1:15" s="235" customFormat="1" ht="18.75" customHeight="1">
      <c r="C56" s="240"/>
      <c r="D56" s="239"/>
      <c r="E56" s="239"/>
      <c r="G56" s="1339"/>
      <c r="H56" s="2036"/>
      <c r="I56" s="2036"/>
      <c r="J56" s="2036"/>
      <c r="K56" s="2033"/>
      <c r="L56" s="2032"/>
      <c r="M56" s="2030"/>
      <c r="N56" s="2030"/>
      <c r="O56" s="2030"/>
    </row>
    <row r="57" spans="1:15" s="235" customFormat="1" ht="18.75" customHeight="1">
      <c r="C57" s="240"/>
      <c r="D57" s="239"/>
      <c r="E57" s="239"/>
      <c r="G57" s="1339"/>
      <c r="H57" s="2036"/>
      <c r="I57" s="2036"/>
      <c r="J57" s="2036"/>
      <c r="K57" s="2033"/>
      <c r="L57" s="2032"/>
      <c r="M57" s="2030"/>
      <c r="N57" s="2030"/>
      <c r="O57" s="2030"/>
    </row>
    <row r="58" spans="1:15" s="235" customFormat="1" ht="18.75" customHeight="1">
      <c r="C58" s="240"/>
      <c r="D58" s="239"/>
      <c r="E58" s="239"/>
      <c r="G58" s="1339"/>
      <c r="H58" s="1339"/>
      <c r="I58" s="1339"/>
    </row>
    <row r="59" spans="1:15" s="235" customFormat="1" ht="18.75" customHeight="1">
      <c r="C59" s="240"/>
      <c r="D59" s="239"/>
      <c r="E59" s="239"/>
      <c r="G59" s="1339"/>
      <c r="H59" s="1339"/>
      <c r="I59" s="1339"/>
    </row>
    <row r="60" spans="1:15" s="235" customFormat="1" ht="18.75" customHeight="1">
      <c r="C60" s="240"/>
      <c r="D60" s="239"/>
      <c r="E60" s="239"/>
      <c r="G60" s="1339"/>
      <c r="H60" s="1339"/>
      <c r="I60" s="1339"/>
    </row>
    <row r="61" spans="1:15" s="235" customFormat="1" ht="18.75" customHeight="1">
      <c r="C61" s="240"/>
      <c r="D61" s="239"/>
      <c r="E61" s="239"/>
      <c r="G61" s="1339"/>
      <c r="H61" s="1339"/>
      <c r="I61" s="1339"/>
    </row>
    <row r="62" spans="1:15" s="235" customFormat="1" ht="18.75" customHeight="1">
      <c r="C62" s="240"/>
      <c r="D62" s="239"/>
      <c r="E62" s="239"/>
      <c r="G62" s="1339"/>
      <c r="H62" s="1339"/>
      <c r="I62" s="1339"/>
    </row>
    <row r="63" spans="1:15" s="235" customFormat="1" ht="18.75" customHeight="1">
      <c r="C63" s="240"/>
      <c r="D63" s="239"/>
      <c r="E63" s="239"/>
      <c r="G63" s="1339"/>
      <c r="H63" s="1339"/>
      <c r="I63" s="1339"/>
    </row>
    <row r="64" spans="1:15" s="235" customFormat="1" ht="18.75" customHeight="1">
      <c r="C64" s="240"/>
      <c r="D64" s="239"/>
      <c r="E64" s="239"/>
      <c r="G64" s="1339"/>
      <c r="H64" s="1339"/>
      <c r="I64" s="1339"/>
    </row>
    <row r="65" spans="3:9" s="235" customFormat="1" ht="18.75" customHeight="1">
      <c r="C65" s="240"/>
      <c r="D65" s="239"/>
      <c r="E65" s="239"/>
      <c r="G65" s="1339"/>
      <c r="H65" s="1339"/>
      <c r="I65" s="1339"/>
    </row>
    <row r="66" spans="3:9" s="235" customFormat="1" ht="18.75" customHeight="1">
      <c r="C66" s="240"/>
      <c r="D66" s="239"/>
      <c r="E66" s="239"/>
      <c r="G66" s="1339"/>
      <c r="H66" s="1339"/>
      <c r="I66" s="1339"/>
    </row>
    <row r="67" spans="3:9" s="235" customFormat="1" ht="18.75" customHeight="1">
      <c r="C67" s="240"/>
      <c r="D67" s="239"/>
      <c r="E67" s="239"/>
      <c r="G67" s="1339"/>
      <c r="H67" s="1339"/>
      <c r="I67" s="1339"/>
    </row>
    <row r="68" spans="3:9" s="235" customFormat="1" ht="18.75" customHeight="1">
      <c r="C68" s="240"/>
      <c r="D68" s="239"/>
      <c r="E68" s="239"/>
      <c r="G68" s="1339"/>
      <c r="H68" s="1339"/>
      <c r="I68" s="1339"/>
    </row>
    <row r="69" spans="3:9" s="235" customFormat="1" ht="18.75" customHeight="1">
      <c r="C69" s="240"/>
      <c r="D69" s="239"/>
      <c r="E69" s="239"/>
      <c r="G69" s="1339"/>
      <c r="H69" s="1339"/>
      <c r="I69" s="1339"/>
    </row>
    <row r="70" spans="3:9" s="235" customFormat="1" ht="18.75" customHeight="1">
      <c r="C70" s="240"/>
      <c r="D70" s="239"/>
      <c r="E70" s="239"/>
      <c r="G70" s="1339"/>
      <c r="H70" s="1339"/>
      <c r="I70" s="1339"/>
    </row>
    <row r="71" spans="3:9" s="235" customFormat="1" ht="18.75" customHeight="1">
      <c r="C71" s="240"/>
      <c r="D71" s="239"/>
      <c r="E71" s="239"/>
      <c r="G71" s="1339"/>
      <c r="H71" s="1339"/>
      <c r="I71" s="1339"/>
    </row>
    <row r="72" spans="3:9" s="235" customFormat="1" ht="18.75" customHeight="1">
      <c r="C72" s="240"/>
      <c r="D72" s="239"/>
      <c r="E72" s="239"/>
      <c r="G72" s="1339"/>
      <c r="H72" s="1339"/>
      <c r="I72" s="1339"/>
    </row>
    <row r="73" spans="3:9" s="235" customFormat="1" ht="18.75" customHeight="1">
      <c r="C73" s="240"/>
      <c r="D73" s="239"/>
      <c r="E73" s="239"/>
      <c r="G73" s="1339"/>
      <c r="H73" s="1339"/>
      <c r="I73" s="1339"/>
    </row>
    <row r="74" spans="3:9" s="235" customFormat="1" ht="18.75" customHeight="1">
      <c r="C74" s="240"/>
      <c r="D74" s="239"/>
      <c r="E74" s="239"/>
      <c r="G74" s="1339"/>
      <c r="H74" s="1339"/>
      <c r="I74" s="1339"/>
    </row>
    <row r="75" spans="3:9" s="235" customFormat="1" ht="18.75" customHeight="1">
      <c r="C75" s="240"/>
      <c r="D75" s="239"/>
      <c r="E75" s="239"/>
      <c r="G75" s="1339"/>
      <c r="H75" s="1339"/>
      <c r="I75" s="1339"/>
    </row>
    <row r="76" spans="3:9" s="235" customFormat="1" ht="18.75" customHeight="1">
      <c r="C76" s="240"/>
      <c r="D76" s="239"/>
      <c r="E76" s="239"/>
      <c r="G76" s="1339"/>
      <c r="H76" s="1339"/>
      <c r="I76" s="1339"/>
    </row>
    <row r="77" spans="3:9" s="235" customFormat="1" ht="18.75" customHeight="1">
      <c r="C77" s="240"/>
      <c r="D77" s="239"/>
      <c r="E77" s="239"/>
      <c r="G77" s="1339"/>
      <c r="H77" s="1339"/>
      <c r="I77" s="1339"/>
    </row>
    <row r="78" spans="3:9" s="235" customFormat="1" ht="18.75" customHeight="1">
      <c r="C78" s="240"/>
      <c r="D78" s="239"/>
      <c r="E78" s="239"/>
      <c r="G78" s="1339"/>
      <c r="H78" s="1339"/>
      <c r="I78" s="1339"/>
    </row>
    <row r="79" spans="3:9" s="235" customFormat="1" ht="18.75" customHeight="1">
      <c r="C79" s="240"/>
      <c r="D79" s="239"/>
      <c r="E79" s="239"/>
      <c r="G79" s="1339"/>
      <c r="H79" s="1339"/>
      <c r="I79" s="1339"/>
    </row>
    <row r="80" spans="3:9" s="235" customFormat="1" ht="18.75" customHeight="1">
      <c r="C80" s="240"/>
      <c r="D80" s="239"/>
      <c r="E80" s="239"/>
      <c r="G80" s="1339"/>
      <c r="H80" s="1339"/>
      <c r="I80" s="1339"/>
    </row>
    <row r="81" spans="3:9" s="235" customFormat="1" ht="18.75" customHeight="1">
      <c r="C81" s="240"/>
      <c r="D81" s="239"/>
      <c r="E81" s="239"/>
      <c r="G81" s="1339"/>
      <c r="H81" s="1339"/>
      <c r="I81" s="1339"/>
    </row>
    <row r="82" spans="3:9" s="235" customFormat="1" ht="18.75" customHeight="1">
      <c r="C82" s="240"/>
      <c r="D82" s="239"/>
      <c r="E82" s="239"/>
      <c r="G82" s="1339"/>
      <c r="H82" s="1339"/>
      <c r="I82" s="1339"/>
    </row>
    <row r="83" spans="3:9" s="235" customFormat="1" ht="18.75" customHeight="1">
      <c r="C83" s="240"/>
      <c r="D83" s="239"/>
      <c r="E83" s="239"/>
      <c r="G83" s="1339"/>
      <c r="H83" s="1339"/>
      <c r="I83" s="1339"/>
    </row>
    <row r="84" spans="3:9" s="235" customFormat="1" ht="18.75" customHeight="1">
      <c r="C84" s="240"/>
      <c r="D84" s="239"/>
      <c r="E84" s="239"/>
      <c r="G84" s="1339"/>
      <c r="H84" s="1339"/>
      <c r="I84" s="1339"/>
    </row>
    <row r="85" spans="3:9" s="235" customFormat="1" ht="18.75" customHeight="1">
      <c r="C85" s="240"/>
      <c r="D85" s="239"/>
      <c r="E85" s="239"/>
      <c r="G85" s="1339"/>
      <c r="H85" s="1339"/>
      <c r="I85" s="1339"/>
    </row>
    <row r="86" spans="3:9" s="235" customFormat="1" ht="18.75" customHeight="1">
      <c r="C86" s="240"/>
      <c r="D86" s="239"/>
      <c r="E86" s="239"/>
      <c r="G86" s="1339"/>
      <c r="H86" s="1339"/>
      <c r="I86" s="1339"/>
    </row>
    <row r="87" spans="3:9" s="235" customFormat="1" ht="18.75" customHeight="1">
      <c r="C87" s="240"/>
      <c r="D87" s="239"/>
      <c r="E87" s="239"/>
      <c r="G87" s="1339"/>
      <c r="H87" s="1339"/>
      <c r="I87" s="1339"/>
    </row>
    <row r="88" spans="3:9" s="235" customFormat="1" ht="18.75" customHeight="1">
      <c r="C88" s="240"/>
      <c r="D88" s="239"/>
      <c r="E88" s="239"/>
      <c r="G88" s="1339"/>
      <c r="H88" s="1339"/>
      <c r="I88" s="1339"/>
    </row>
    <row r="89" spans="3:9" s="235" customFormat="1" ht="18.75" customHeight="1">
      <c r="C89" s="240"/>
      <c r="D89" s="239"/>
      <c r="E89" s="239"/>
      <c r="G89" s="1339"/>
      <c r="H89" s="1339"/>
      <c r="I89" s="1339"/>
    </row>
    <row r="90" spans="3:9" s="235" customFormat="1" ht="18.75" customHeight="1">
      <c r="C90" s="240"/>
      <c r="D90" s="239"/>
      <c r="E90" s="239"/>
      <c r="G90" s="1339"/>
      <c r="H90" s="1339"/>
      <c r="I90" s="1339"/>
    </row>
    <row r="91" spans="3:9" s="235" customFormat="1" ht="18.75" customHeight="1">
      <c r="C91" s="240"/>
      <c r="D91" s="239"/>
      <c r="E91" s="239"/>
      <c r="G91" s="1339"/>
      <c r="H91" s="1339"/>
      <c r="I91" s="1339"/>
    </row>
    <row r="92" spans="3:9" s="235" customFormat="1" ht="18.75" customHeight="1">
      <c r="C92" s="240"/>
      <c r="D92" s="239"/>
      <c r="E92" s="239"/>
      <c r="G92" s="1339"/>
      <c r="H92" s="1339"/>
      <c r="I92" s="1339"/>
    </row>
    <row r="93" spans="3:9" s="235" customFormat="1" ht="18.75" customHeight="1">
      <c r="C93" s="240"/>
      <c r="D93" s="239"/>
      <c r="E93" s="239"/>
      <c r="G93" s="1339"/>
      <c r="H93" s="1339"/>
      <c r="I93" s="1339"/>
    </row>
    <row r="94" spans="3:9" s="235" customFormat="1" ht="18.75" customHeight="1">
      <c r="C94" s="240"/>
      <c r="D94" s="239"/>
      <c r="E94" s="239"/>
      <c r="G94" s="1339"/>
      <c r="H94" s="1339"/>
      <c r="I94" s="1339"/>
    </row>
    <row r="95" spans="3:9" s="235" customFormat="1" ht="18.75" customHeight="1">
      <c r="C95" s="240"/>
      <c r="D95" s="239"/>
      <c r="E95" s="239"/>
      <c r="G95" s="1339"/>
      <c r="H95" s="1339"/>
      <c r="I95" s="1339"/>
    </row>
    <row r="96" spans="3:9" s="235" customFormat="1" ht="18.75" customHeight="1">
      <c r="C96" s="240"/>
      <c r="D96" s="239"/>
      <c r="E96" s="239"/>
      <c r="G96" s="1339"/>
      <c r="H96" s="1339"/>
      <c r="I96" s="1339"/>
    </row>
    <row r="97" spans="3:9" s="235" customFormat="1" ht="18.75" customHeight="1">
      <c r="C97" s="240"/>
      <c r="D97" s="239"/>
      <c r="E97" s="239"/>
      <c r="G97" s="1339"/>
      <c r="H97" s="1339"/>
      <c r="I97" s="1339"/>
    </row>
    <row r="98" spans="3:9" s="235" customFormat="1" ht="18.75" customHeight="1">
      <c r="C98" s="240"/>
      <c r="D98" s="239"/>
      <c r="E98" s="239"/>
      <c r="G98" s="1339"/>
      <c r="H98" s="1339"/>
      <c r="I98" s="1339"/>
    </row>
    <row r="99" spans="3:9" s="235" customFormat="1" ht="18.75" customHeight="1">
      <c r="C99" s="240"/>
      <c r="D99" s="239"/>
      <c r="E99" s="239"/>
      <c r="G99" s="1339"/>
      <c r="H99" s="1339"/>
      <c r="I99" s="1339"/>
    </row>
    <row r="100" spans="3:9" s="235" customFormat="1" ht="18.75" customHeight="1">
      <c r="C100" s="240"/>
      <c r="D100" s="239"/>
      <c r="E100" s="239"/>
      <c r="G100" s="1339"/>
      <c r="H100" s="1339"/>
      <c r="I100" s="1339"/>
    </row>
    <row r="101" spans="3:9" s="235" customFormat="1" ht="18.75" customHeight="1">
      <c r="C101" s="240"/>
      <c r="D101" s="239"/>
      <c r="E101" s="239"/>
      <c r="G101" s="1339"/>
      <c r="H101" s="1339"/>
      <c r="I101" s="1339"/>
    </row>
    <row r="102" spans="3:9" s="235" customFormat="1" ht="18.75" customHeight="1">
      <c r="C102" s="240"/>
      <c r="D102" s="239"/>
      <c r="E102" s="239"/>
      <c r="G102" s="1339"/>
      <c r="H102" s="1339"/>
      <c r="I102" s="1339"/>
    </row>
    <row r="103" spans="3:9" s="235" customFormat="1" ht="18.75" customHeight="1">
      <c r="C103" s="240"/>
      <c r="D103" s="239"/>
      <c r="E103" s="239"/>
      <c r="G103" s="1339"/>
      <c r="H103" s="1339"/>
      <c r="I103" s="1339"/>
    </row>
    <row r="104" spans="3:9" s="235" customFormat="1" ht="18.75" customHeight="1">
      <c r="C104" s="240"/>
      <c r="D104" s="239"/>
      <c r="E104" s="239"/>
      <c r="G104" s="1339"/>
      <c r="H104" s="1339"/>
      <c r="I104" s="1339"/>
    </row>
    <row r="105" spans="3:9" s="235" customFormat="1" ht="18.75" customHeight="1">
      <c r="C105" s="240"/>
      <c r="D105" s="239"/>
      <c r="E105" s="239"/>
      <c r="G105" s="1339"/>
      <c r="H105" s="1339"/>
      <c r="I105" s="1339"/>
    </row>
    <row r="106" spans="3:9" s="235" customFormat="1" ht="18.75" customHeight="1">
      <c r="C106" s="240"/>
      <c r="D106" s="239"/>
      <c r="E106" s="239"/>
      <c r="G106" s="1339"/>
      <c r="H106" s="1339"/>
      <c r="I106" s="1339"/>
    </row>
    <row r="107" spans="3:9" s="235" customFormat="1" ht="18.75" customHeight="1">
      <c r="C107" s="240"/>
      <c r="D107" s="239"/>
      <c r="E107" s="239"/>
      <c r="G107" s="1339"/>
      <c r="H107" s="1339"/>
      <c r="I107" s="1339"/>
    </row>
    <row r="108" spans="3:9" s="235" customFormat="1" ht="18.75" customHeight="1">
      <c r="C108" s="240"/>
      <c r="D108" s="239"/>
      <c r="E108" s="239"/>
      <c r="G108" s="1339"/>
      <c r="H108" s="1339"/>
      <c r="I108" s="1339"/>
    </row>
    <row r="109" spans="3:9" s="235" customFormat="1" ht="18.75" customHeight="1">
      <c r="C109" s="240"/>
      <c r="D109" s="239"/>
      <c r="E109" s="239"/>
      <c r="G109" s="1339"/>
      <c r="H109" s="1339"/>
      <c r="I109" s="1339"/>
    </row>
    <row r="110" spans="3:9" s="235" customFormat="1" ht="18.75" customHeight="1">
      <c r="C110" s="240"/>
      <c r="D110" s="239"/>
      <c r="E110" s="239"/>
      <c r="G110" s="1339"/>
      <c r="H110" s="1339"/>
      <c r="I110" s="1339"/>
    </row>
    <row r="111" spans="3:9" s="235" customFormat="1" ht="18.75" customHeight="1">
      <c r="C111" s="240"/>
      <c r="D111" s="239"/>
      <c r="E111" s="239"/>
      <c r="G111" s="1339"/>
      <c r="H111" s="1339"/>
      <c r="I111" s="1339"/>
    </row>
    <row r="112" spans="3:9" s="235" customFormat="1" ht="18.75" customHeight="1">
      <c r="C112" s="240"/>
      <c r="D112" s="239"/>
      <c r="E112" s="239"/>
      <c r="G112" s="1339"/>
      <c r="H112" s="1339"/>
      <c r="I112" s="1339"/>
    </row>
    <row r="113" spans="3:9" s="235" customFormat="1" ht="18.75" customHeight="1">
      <c r="C113" s="240"/>
      <c r="D113" s="239"/>
      <c r="E113" s="239"/>
      <c r="G113" s="1339"/>
      <c r="H113" s="1339"/>
      <c r="I113" s="1339"/>
    </row>
    <row r="114" spans="3:9" s="235" customFormat="1" ht="18.75" customHeight="1">
      <c r="C114" s="240"/>
      <c r="D114" s="239"/>
      <c r="E114" s="239"/>
      <c r="G114" s="1339"/>
      <c r="H114" s="1339"/>
      <c r="I114" s="1339"/>
    </row>
    <row r="115" spans="3:9" s="235" customFormat="1" ht="18.75" customHeight="1">
      <c r="C115" s="240"/>
      <c r="D115" s="239"/>
      <c r="E115" s="239"/>
      <c r="G115" s="1339"/>
      <c r="H115" s="1339"/>
      <c r="I115" s="1339"/>
    </row>
    <row r="116" spans="3:9" s="235" customFormat="1" ht="18.75" customHeight="1">
      <c r="C116" s="240"/>
      <c r="D116" s="239"/>
      <c r="E116" s="239"/>
      <c r="G116" s="1339"/>
      <c r="H116" s="1339"/>
      <c r="I116" s="1339"/>
    </row>
    <row r="117" spans="3:9" s="235" customFormat="1" ht="18.75" customHeight="1">
      <c r="C117" s="240"/>
      <c r="D117" s="239"/>
      <c r="E117" s="239"/>
      <c r="G117" s="1339"/>
      <c r="H117" s="1339"/>
      <c r="I117" s="1339"/>
    </row>
    <row r="118" spans="3:9" s="235" customFormat="1" ht="18.75" customHeight="1">
      <c r="C118" s="240"/>
      <c r="D118" s="239"/>
      <c r="E118" s="239"/>
      <c r="G118" s="1339"/>
      <c r="H118" s="1339"/>
      <c r="I118" s="1339"/>
    </row>
    <row r="119" spans="3:9" s="235" customFormat="1" ht="18.75" customHeight="1">
      <c r="C119" s="240"/>
      <c r="D119" s="239"/>
      <c r="E119" s="239"/>
      <c r="G119" s="1339"/>
      <c r="H119" s="1339"/>
      <c r="I119" s="1339"/>
    </row>
    <row r="120" spans="3:9" s="235" customFormat="1" ht="18.75" customHeight="1">
      <c r="C120" s="240"/>
      <c r="D120" s="239"/>
      <c r="E120" s="239"/>
      <c r="G120" s="1339"/>
      <c r="H120" s="1339"/>
      <c r="I120" s="1339"/>
    </row>
    <row r="121" spans="3:9" s="235" customFormat="1" ht="18.75" customHeight="1">
      <c r="C121" s="240"/>
      <c r="D121" s="239"/>
      <c r="E121" s="239"/>
      <c r="G121" s="1339"/>
      <c r="H121" s="1339"/>
      <c r="I121" s="1339"/>
    </row>
    <row r="122" spans="3:9" s="235" customFormat="1" ht="18.75" customHeight="1">
      <c r="C122" s="240"/>
      <c r="D122" s="239"/>
      <c r="E122" s="239"/>
      <c r="G122" s="1339"/>
      <c r="H122" s="1339"/>
      <c r="I122" s="1339"/>
    </row>
    <row r="123" spans="3:9" s="235" customFormat="1" ht="18.75" customHeight="1">
      <c r="C123" s="240"/>
      <c r="D123" s="239"/>
      <c r="E123" s="239"/>
      <c r="G123" s="1339"/>
      <c r="H123" s="1339"/>
      <c r="I123" s="1339"/>
    </row>
    <row r="124" spans="3:9" s="235" customFormat="1" ht="18.75" customHeight="1">
      <c r="C124" s="240"/>
      <c r="D124" s="239"/>
      <c r="E124" s="239"/>
      <c r="G124" s="1339"/>
      <c r="H124" s="1339"/>
      <c r="I124" s="1339"/>
    </row>
    <row r="125" spans="3:9" s="235" customFormat="1" ht="18.75" customHeight="1">
      <c r="C125" s="240"/>
      <c r="D125" s="239"/>
      <c r="E125" s="239"/>
      <c r="G125" s="1339"/>
      <c r="H125" s="1339"/>
      <c r="I125" s="1339"/>
    </row>
    <row r="126" spans="3:9" s="235" customFormat="1" ht="18.75" customHeight="1">
      <c r="C126" s="240"/>
      <c r="D126" s="239"/>
      <c r="E126" s="239"/>
      <c r="G126" s="1339"/>
      <c r="H126" s="1339"/>
      <c r="I126" s="1339"/>
    </row>
    <row r="127" spans="3:9" s="235" customFormat="1" ht="18.75" customHeight="1">
      <c r="C127" s="240"/>
      <c r="D127" s="239"/>
      <c r="E127" s="239"/>
      <c r="G127" s="1339"/>
      <c r="H127" s="1339"/>
      <c r="I127" s="1339"/>
    </row>
    <row r="128" spans="3:9" s="235" customFormat="1" ht="18.75" customHeight="1">
      <c r="C128" s="240"/>
      <c r="D128" s="239"/>
      <c r="E128" s="239"/>
      <c r="G128" s="1339"/>
      <c r="H128" s="1339"/>
      <c r="I128" s="1339"/>
    </row>
    <row r="129" spans="3:9" s="235" customFormat="1" ht="18.75" customHeight="1">
      <c r="C129" s="240"/>
      <c r="D129" s="239"/>
      <c r="E129" s="239"/>
      <c r="G129" s="1339"/>
      <c r="H129" s="1339"/>
      <c r="I129" s="1339"/>
    </row>
    <row r="130" spans="3:9" s="235" customFormat="1" ht="18.75" customHeight="1">
      <c r="C130" s="240"/>
      <c r="D130" s="239"/>
      <c r="E130" s="239"/>
      <c r="G130" s="1339"/>
      <c r="H130" s="1339"/>
      <c r="I130" s="1339"/>
    </row>
    <row r="131" spans="3:9" s="235" customFormat="1" ht="18.75" customHeight="1">
      <c r="C131" s="240"/>
      <c r="D131" s="239"/>
      <c r="E131" s="239"/>
      <c r="G131" s="1339"/>
      <c r="H131" s="1339"/>
      <c r="I131" s="1339"/>
    </row>
    <row r="132" spans="3:9" s="235" customFormat="1" ht="18.75" customHeight="1">
      <c r="C132" s="240"/>
      <c r="D132" s="239"/>
      <c r="E132" s="239"/>
      <c r="G132" s="1339"/>
      <c r="H132" s="1339"/>
      <c r="I132" s="1339"/>
    </row>
    <row r="133" spans="3:9" s="235" customFormat="1" ht="18.75" customHeight="1">
      <c r="C133" s="240"/>
      <c r="D133" s="239"/>
      <c r="E133" s="239"/>
      <c r="G133" s="1339"/>
      <c r="H133" s="1339"/>
      <c r="I133" s="1339"/>
    </row>
    <row r="134" spans="3:9" s="235" customFormat="1" ht="18.75" customHeight="1">
      <c r="C134" s="240"/>
      <c r="D134" s="239"/>
      <c r="E134" s="239"/>
      <c r="G134" s="1339"/>
      <c r="H134" s="1339"/>
      <c r="I134" s="1339"/>
    </row>
    <row r="135" spans="3:9" s="235" customFormat="1" ht="18.75" customHeight="1">
      <c r="C135" s="240"/>
      <c r="D135" s="239"/>
      <c r="E135" s="239"/>
      <c r="G135" s="1339"/>
      <c r="H135" s="1339"/>
      <c r="I135" s="1339"/>
    </row>
    <row r="136" spans="3:9" s="235" customFormat="1" ht="18.75" customHeight="1">
      <c r="C136" s="240"/>
      <c r="D136" s="239"/>
      <c r="E136" s="239"/>
      <c r="G136" s="1339"/>
      <c r="H136" s="1339"/>
      <c r="I136" s="1339"/>
    </row>
    <row r="137" spans="3:9" s="235" customFormat="1" ht="18.75" customHeight="1">
      <c r="C137" s="240"/>
      <c r="D137" s="239"/>
      <c r="E137" s="239"/>
      <c r="G137" s="1339"/>
      <c r="H137" s="1339"/>
      <c r="I137" s="1339"/>
    </row>
    <row r="138" spans="3:9" s="235" customFormat="1" ht="18.75" customHeight="1">
      <c r="C138" s="240"/>
      <c r="D138" s="239"/>
      <c r="E138" s="239"/>
      <c r="G138" s="1339"/>
      <c r="H138" s="1339"/>
      <c r="I138" s="1339"/>
    </row>
    <row r="139" spans="3:9" s="235" customFormat="1" ht="18.75" customHeight="1">
      <c r="C139" s="240"/>
      <c r="D139" s="239"/>
      <c r="E139" s="239"/>
      <c r="G139" s="1339"/>
      <c r="H139" s="1339"/>
      <c r="I139" s="1339"/>
    </row>
    <row r="140" spans="3:9" s="235" customFormat="1" ht="18.75" customHeight="1">
      <c r="C140" s="240"/>
      <c r="D140" s="239"/>
      <c r="E140" s="239"/>
      <c r="G140" s="1339"/>
      <c r="H140" s="1339"/>
      <c r="I140" s="1339"/>
    </row>
    <row r="141" spans="3:9" s="235" customFormat="1" ht="18.75" customHeight="1">
      <c r="C141" s="240"/>
      <c r="D141" s="239"/>
      <c r="E141" s="239"/>
      <c r="G141" s="1339"/>
      <c r="H141" s="1339"/>
      <c r="I141" s="1339"/>
    </row>
    <row r="142" spans="3:9" s="235" customFormat="1" ht="18.75" customHeight="1">
      <c r="C142" s="240"/>
      <c r="D142" s="239"/>
      <c r="E142" s="239"/>
      <c r="G142" s="1339"/>
      <c r="H142" s="1339"/>
      <c r="I142" s="1339"/>
    </row>
    <row r="143" spans="3:9" s="235" customFormat="1" ht="18.75" customHeight="1">
      <c r="C143" s="240"/>
      <c r="D143" s="239"/>
      <c r="E143" s="239"/>
      <c r="G143" s="1339"/>
      <c r="H143" s="1339"/>
      <c r="I143" s="1339"/>
    </row>
    <row r="144" spans="3:9" s="235" customFormat="1" ht="18.75" customHeight="1">
      <c r="C144" s="240"/>
      <c r="D144" s="239"/>
      <c r="E144" s="239"/>
      <c r="G144" s="1339"/>
      <c r="H144" s="1339"/>
      <c r="I144" s="1339"/>
    </row>
    <row r="145" spans="3:9" s="235" customFormat="1" ht="18.75" customHeight="1">
      <c r="C145" s="240"/>
      <c r="D145" s="239"/>
      <c r="E145" s="239"/>
      <c r="G145" s="1339"/>
      <c r="H145" s="1339"/>
      <c r="I145" s="1339"/>
    </row>
    <row r="146" spans="3:9" s="235" customFormat="1" ht="18.75" customHeight="1">
      <c r="C146" s="240"/>
      <c r="D146" s="239"/>
      <c r="E146" s="239"/>
      <c r="G146" s="1339"/>
      <c r="H146" s="1339"/>
      <c r="I146" s="1339"/>
    </row>
    <row r="147" spans="3:9" s="235" customFormat="1" ht="18.75" customHeight="1">
      <c r="C147" s="240"/>
      <c r="D147" s="239"/>
      <c r="E147" s="239"/>
      <c r="G147" s="1339"/>
      <c r="H147" s="1339"/>
      <c r="I147" s="1339"/>
    </row>
    <row r="148" spans="3:9" s="235" customFormat="1" ht="18.75" customHeight="1">
      <c r="C148" s="240"/>
      <c r="D148" s="239"/>
      <c r="E148" s="239"/>
      <c r="G148" s="1339"/>
      <c r="H148" s="1339"/>
      <c r="I148" s="1339"/>
    </row>
    <row r="149" spans="3:9" s="235" customFormat="1" ht="18.75" customHeight="1">
      <c r="C149" s="240"/>
      <c r="D149" s="239"/>
      <c r="E149" s="239"/>
      <c r="G149" s="1339"/>
      <c r="H149" s="1339"/>
      <c r="I149" s="1339"/>
    </row>
    <row r="150" spans="3:9" s="235" customFormat="1" ht="18.75" customHeight="1">
      <c r="C150" s="240"/>
      <c r="D150" s="239"/>
      <c r="E150" s="239"/>
      <c r="G150" s="1339"/>
      <c r="H150" s="1339"/>
      <c r="I150" s="1339"/>
    </row>
    <row r="151" spans="3:9" s="235" customFormat="1" ht="18.75" customHeight="1">
      <c r="C151" s="240"/>
      <c r="D151" s="239"/>
      <c r="E151" s="239"/>
      <c r="G151" s="1339"/>
      <c r="H151" s="1339"/>
      <c r="I151" s="1339"/>
    </row>
    <row r="152" spans="3:9" s="235" customFormat="1" ht="18.75" customHeight="1">
      <c r="C152" s="240"/>
      <c r="D152" s="239"/>
      <c r="E152" s="239"/>
      <c r="G152" s="1339"/>
      <c r="H152" s="1339"/>
      <c r="I152" s="1339"/>
    </row>
    <row r="153" spans="3:9" s="235" customFormat="1" ht="18.75" customHeight="1">
      <c r="C153" s="240"/>
      <c r="D153" s="239"/>
      <c r="E153" s="239"/>
      <c r="G153" s="1339"/>
      <c r="H153" s="1339"/>
      <c r="I153" s="1339"/>
    </row>
    <row r="154" spans="3:9" s="235" customFormat="1" ht="18.75" customHeight="1">
      <c r="C154" s="240"/>
      <c r="D154" s="239"/>
      <c r="E154" s="239"/>
      <c r="G154" s="1339"/>
      <c r="H154" s="1339"/>
      <c r="I154" s="1339"/>
    </row>
    <row r="155" spans="3:9" s="235" customFormat="1" ht="18.75" customHeight="1">
      <c r="C155" s="240"/>
      <c r="D155" s="239"/>
      <c r="E155" s="239"/>
      <c r="G155" s="1339"/>
      <c r="H155" s="1339"/>
      <c r="I155" s="1339"/>
    </row>
    <row r="156" spans="3:9" s="235" customFormat="1" ht="18.75" customHeight="1">
      <c r="C156" s="240"/>
      <c r="D156" s="239"/>
      <c r="E156" s="239"/>
      <c r="G156" s="1339"/>
      <c r="H156" s="1339"/>
      <c r="I156" s="1339"/>
    </row>
    <row r="157" spans="3:9" s="235" customFormat="1" ht="18.75" customHeight="1">
      <c r="C157" s="240"/>
      <c r="D157" s="239"/>
      <c r="E157" s="239"/>
      <c r="G157" s="1339"/>
      <c r="H157" s="1339"/>
      <c r="I157" s="1339"/>
    </row>
    <row r="158" spans="3:9" s="235" customFormat="1" ht="18.75" customHeight="1">
      <c r="C158" s="240"/>
      <c r="D158" s="239"/>
      <c r="E158" s="239"/>
      <c r="G158" s="1339"/>
      <c r="H158" s="1339"/>
      <c r="I158" s="1339"/>
    </row>
    <row r="159" spans="3:9" s="235" customFormat="1" ht="18.75" customHeight="1">
      <c r="C159" s="240"/>
      <c r="D159" s="239"/>
      <c r="E159" s="239"/>
      <c r="G159" s="1339"/>
      <c r="H159" s="1339"/>
      <c r="I159" s="1339"/>
    </row>
    <row r="160" spans="3:9" s="235" customFormat="1" ht="18.75" customHeight="1">
      <c r="C160" s="240"/>
      <c r="D160" s="239"/>
      <c r="E160" s="239"/>
      <c r="G160" s="1339"/>
      <c r="H160" s="1339"/>
      <c r="I160" s="1339"/>
    </row>
    <row r="161" spans="3:9" s="235" customFormat="1" ht="18.75" customHeight="1">
      <c r="C161" s="240"/>
      <c r="D161" s="239"/>
      <c r="E161" s="239"/>
      <c r="G161" s="1339"/>
      <c r="H161" s="1339"/>
      <c r="I161" s="1339"/>
    </row>
    <row r="162" spans="3:9" s="235" customFormat="1" ht="18.75" customHeight="1">
      <c r="C162" s="240"/>
      <c r="D162" s="239"/>
      <c r="E162" s="239"/>
      <c r="G162" s="1339"/>
      <c r="H162" s="1339"/>
      <c r="I162" s="1339"/>
    </row>
    <row r="163" spans="3:9" s="235" customFormat="1" ht="18.75" customHeight="1">
      <c r="C163" s="240"/>
      <c r="D163" s="239"/>
      <c r="E163" s="239"/>
      <c r="G163" s="1339"/>
      <c r="H163" s="1339"/>
      <c r="I163" s="1339"/>
    </row>
    <row r="164" spans="3:9" s="235" customFormat="1" ht="18.75" customHeight="1">
      <c r="C164" s="240"/>
      <c r="D164" s="239"/>
      <c r="E164" s="239"/>
      <c r="G164" s="1339"/>
      <c r="H164" s="1339"/>
      <c r="I164" s="1339"/>
    </row>
    <row r="165" spans="3:9" s="235" customFormat="1" ht="18.75" customHeight="1">
      <c r="C165" s="240"/>
      <c r="D165" s="239"/>
      <c r="E165" s="239"/>
      <c r="G165" s="1339"/>
      <c r="H165" s="1339"/>
      <c r="I165" s="1339"/>
    </row>
    <row r="166" spans="3:9" s="235" customFormat="1" ht="18.75" customHeight="1">
      <c r="C166" s="240"/>
      <c r="D166" s="239"/>
      <c r="E166" s="239"/>
      <c r="G166" s="1339"/>
      <c r="H166" s="1339"/>
      <c r="I166" s="1339"/>
    </row>
    <row r="167" spans="3:9" s="235" customFormat="1" ht="18.75" customHeight="1">
      <c r="C167" s="240"/>
      <c r="D167" s="239"/>
      <c r="E167" s="239"/>
      <c r="G167" s="1339"/>
      <c r="H167" s="1339"/>
      <c r="I167" s="1339"/>
    </row>
    <row r="168" spans="3:9" s="235" customFormat="1" ht="18.75" customHeight="1">
      <c r="C168" s="240"/>
      <c r="D168" s="239"/>
      <c r="E168" s="239"/>
      <c r="G168" s="1339"/>
      <c r="H168" s="1339"/>
      <c r="I168" s="1339"/>
    </row>
    <row r="169" spans="3:9" s="235" customFormat="1" ht="18.75" customHeight="1">
      <c r="C169" s="240"/>
      <c r="D169" s="239"/>
      <c r="E169" s="239"/>
      <c r="G169" s="1339"/>
      <c r="H169" s="1339"/>
      <c r="I169" s="1339"/>
    </row>
    <row r="170" spans="3:9" s="235" customFormat="1" ht="18.75" customHeight="1">
      <c r="C170" s="240"/>
      <c r="D170" s="239"/>
      <c r="E170" s="239"/>
      <c r="G170" s="1339"/>
      <c r="H170" s="1339"/>
      <c r="I170" s="1339"/>
    </row>
    <row r="171" spans="3:9" s="235" customFormat="1" ht="18.75" customHeight="1">
      <c r="C171" s="240"/>
      <c r="D171" s="239"/>
      <c r="E171" s="239"/>
      <c r="G171" s="1339"/>
      <c r="H171" s="1339"/>
      <c r="I171" s="1339"/>
    </row>
    <row r="172" spans="3:9" s="235" customFormat="1" ht="18.75" customHeight="1">
      <c r="C172" s="240"/>
      <c r="D172" s="239"/>
      <c r="E172" s="239"/>
      <c r="G172" s="1339"/>
      <c r="H172" s="1339"/>
      <c r="I172" s="1339"/>
    </row>
    <row r="173" spans="3:9" s="235" customFormat="1" ht="18.75" customHeight="1">
      <c r="C173" s="240"/>
      <c r="D173" s="239"/>
      <c r="E173" s="239"/>
      <c r="G173" s="1339"/>
      <c r="H173" s="1339"/>
      <c r="I173" s="1339"/>
    </row>
    <row r="174" spans="3:9" s="235" customFormat="1" ht="18.75" customHeight="1">
      <c r="C174" s="240"/>
      <c r="D174" s="239"/>
      <c r="E174" s="239"/>
      <c r="G174" s="1339"/>
      <c r="H174" s="1339"/>
      <c r="I174" s="1339"/>
    </row>
    <row r="175" spans="3:9" s="235" customFormat="1" ht="18.75" customHeight="1">
      <c r="C175" s="240"/>
      <c r="D175" s="239"/>
      <c r="E175" s="239"/>
      <c r="G175" s="1339"/>
      <c r="H175" s="1339"/>
      <c r="I175" s="1339"/>
    </row>
    <row r="176" spans="3:9" s="235" customFormat="1" ht="18.75" customHeight="1">
      <c r="C176" s="240"/>
      <c r="D176" s="239"/>
      <c r="E176" s="239"/>
      <c r="G176" s="1339"/>
      <c r="H176" s="1339"/>
      <c r="I176" s="1339"/>
    </row>
    <row r="177" spans="3:9" s="235" customFormat="1" ht="18.75" customHeight="1">
      <c r="C177" s="240"/>
      <c r="D177" s="239"/>
      <c r="E177" s="239"/>
      <c r="G177" s="1339"/>
      <c r="H177" s="1339"/>
      <c r="I177" s="1339"/>
    </row>
    <row r="178" spans="3:9" s="235" customFormat="1" ht="18.75" customHeight="1">
      <c r="C178" s="240"/>
      <c r="D178" s="239"/>
      <c r="E178" s="239"/>
      <c r="G178" s="1339"/>
      <c r="H178" s="1339"/>
      <c r="I178" s="1339"/>
    </row>
    <row r="179" spans="3:9" s="235" customFormat="1" ht="18.75" customHeight="1">
      <c r="C179" s="240"/>
      <c r="D179" s="239"/>
      <c r="E179" s="239"/>
      <c r="G179" s="1339"/>
      <c r="H179" s="1339"/>
      <c r="I179" s="1339"/>
    </row>
    <row r="180" spans="3:9" s="235" customFormat="1" ht="18.75" customHeight="1">
      <c r="C180" s="240"/>
      <c r="D180" s="239"/>
      <c r="E180" s="239"/>
      <c r="G180" s="1339"/>
      <c r="H180" s="1339"/>
      <c r="I180" s="1339"/>
    </row>
    <row r="181" spans="3:9" s="235" customFormat="1" ht="18.75" customHeight="1">
      <c r="C181" s="240"/>
      <c r="D181" s="239"/>
      <c r="E181" s="239"/>
      <c r="G181" s="1339"/>
      <c r="H181" s="1339"/>
      <c r="I181" s="1339"/>
    </row>
    <row r="182" spans="3:9" s="235" customFormat="1" ht="18.75" customHeight="1">
      <c r="C182" s="240"/>
      <c r="D182" s="239"/>
      <c r="E182" s="239"/>
      <c r="G182" s="1339"/>
      <c r="H182" s="1339"/>
      <c r="I182" s="1339"/>
    </row>
    <row r="183" spans="3:9" s="235" customFormat="1" ht="18.75" customHeight="1">
      <c r="C183" s="240"/>
      <c r="D183" s="239"/>
      <c r="E183" s="239"/>
      <c r="G183" s="1339"/>
      <c r="H183" s="1339"/>
      <c r="I183" s="1339"/>
    </row>
    <row r="184" spans="3:9" s="235" customFormat="1" ht="18.75" customHeight="1">
      <c r="C184" s="240"/>
      <c r="D184" s="239"/>
      <c r="E184" s="239"/>
      <c r="G184" s="1339"/>
      <c r="H184" s="1339"/>
      <c r="I184" s="1339"/>
    </row>
    <row r="185" spans="3:9" s="235" customFormat="1" ht="18.75" customHeight="1">
      <c r="C185" s="240"/>
      <c r="D185" s="239"/>
      <c r="E185" s="239"/>
      <c r="G185" s="1339"/>
      <c r="H185" s="1339"/>
      <c r="I185" s="1339"/>
    </row>
    <row r="186" spans="3:9" s="235" customFormat="1" ht="18.75" customHeight="1">
      <c r="C186" s="240"/>
      <c r="D186" s="239"/>
      <c r="E186" s="239"/>
      <c r="G186" s="1339"/>
      <c r="H186" s="1339"/>
      <c r="I186" s="1339"/>
    </row>
    <row r="187" spans="3:9" s="235" customFormat="1" ht="18.75" customHeight="1">
      <c r="C187" s="240"/>
      <c r="D187" s="239"/>
      <c r="E187" s="239"/>
      <c r="G187" s="1339"/>
      <c r="H187" s="1339"/>
      <c r="I187" s="1339"/>
    </row>
    <row r="188" spans="3:9" s="235" customFormat="1" ht="18.75" customHeight="1">
      <c r="C188" s="240"/>
      <c r="D188" s="239"/>
      <c r="E188" s="239"/>
      <c r="G188" s="1339"/>
      <c r="H188" s="1339"/>
      <c r="I188" s="1339"/>
    </row>
    <row r="189" spans="3:9" s="235" customFormat="1" ht="18.75" customHeight="1">
      <c r="C189" s="240"/>
      <c r="D189" s="239"/>
      <c r="E189" s="239"/>
      <c r="G189" s="1339"/>
      <c r="H189" s="1339"/>
      <c r="I189" s="1339"/>
    </row>
    <row r="190" spans="3:9" s="235" customFormat="1" ht="18.75" customHeight="1">
      <c r="C190" s="240"/>
      <c r="D190" s="239"/>
      <c r="E190" s="239"/>
      <c r="G190" s="1339"/>
      <c r="H190" s="1339"/>
      <c r="I190" s="1339"/>
    </row>
  </sheetData>
  <sheetProtection password="C13C" sheet="1" formatColumns="0" formatRows="0"/>
  <protectedRanges>
    <protectedRange sqref="H3:I28" name="Range1"/>
  </protectedRanges>
  <customSheetViews>
    <customSheetView guid="{4567A2CF-35AA-4E08-B7D1-F029A2641346}" scale="75" topLeftCell="A2">
      <selection activeCell="A2" sqref="A1:IV65536"/>
      <pageMargins left="0.25" right="0.25" top="0.25" bottom="0.25" header="0.5" footer="0.5"/>
      <printOptions horizontalCentered="1" verticalCentered="1"/>
      <pageSetup paperSize="9" orientation="portrait" horizontalDpi="4294967293" verticalDpi="4294967293" r:id="rId1"/>
      <headerFooter alignWithMargins="0"/>
    </customSheetView>
  </customSheetViews>
  <mergeCells count="6">
    <mergeCell ref="A24:B28"/>
    <mergeCell ref="G1:I1"/>
    <mergeCell ref="A3:B5"/>
    <mergeCell ref="A7:B12"/>
    <mergeCell ref="A14:B16"/>
    <mergeCell ref="A18:B22"/>
  </mergeCells>
  <phoneticPr fontId="0" type="noConversion"/>
  <printOptions horizontalCentered="1" verticalCentered="1"/>
  <pageMargins left="0.25" right="0.25" top="0.25" bottom="0.25" header="0.5" footer="0.5"/>
  <pageSetup paperSize="9" scale="49" orientation="portrait" horizontalDpi="4294967293" verticalDpi="4294967293" r:id="rId2"/>
  <headerFooter alignWithMargins="0"/>
  <drawing r:id="rId3"/>
  <legacy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0000"/>
  </sheetPr>
  <dimension ref="A1:R75"/>
  <sheetViews>
    <sheetView topLeftCell="F1" zoomScale="70" zoomScaleNormal="70" zoomScaleSheetLayoutView="50" workbookViewId="0">
      <selection activeCell="K20" sqref="K20"/>
    </sheetView>
  </sheetViews>
  <sheetFormatPr defaultColWidth="9.140625" defaultRowHeight="12.75"/>
  <cols>
    <col min="1" max="1" width="4.42578125" style="36" customWidth="1"/>
    <col min="2" max="2" width="21.5703125" style="36" customWidth="1"/>
    <col min="3" max="3" width="9.28515625" style="36" customWidth="1"/>
    <col min="4" max="4" width="23.5703125" style="36" customWidth="1"/>
    <col min="5" max="5" width="23.5703125" style="1207" customWidth="1"/>
    <col min="6" max="6" width="24.42578125" style="1207" customWidth="1"/>
    <col min="7" max="7" width="7.5703125" style="1207" customWidth="1"/>
    <col min="8" max="8" width="21.5703125" style="36" customWidth="1"/>
    <col min="9" max="9" width="9.28515625" style="36" customWidth="1"/>
    <col min="10" max="10" width="23" style="36" customWidth="1"/>
    <col min="11" max="11" width="23.28515625" style="1207" customWidth="1"/>
    <col min="12" max="12" width="24.42578125" style="1207" customWidth="1"/>
    <col min="13" max="13" width="7.5703125" style="36" customWidth="1"/>
    <col min="14" max="14" width="21.5703125" style="36" customWidth="1"/>
    <col min="15" max="15" width="9.28515625" style="36" customWidth="1"/>
    <col min="16" max="16" width="23.5703125" style="36" customWidth="1"/>
    <col min="17" max="17" width="23.5703125" style="1207" customWidth="1"/>
    <col min="18" max="18" width="24.7109375" style="1207" customWidth="1"/>
    <col min="19" max="16384" width="9.140625" style="36"/>
  </cols>
  <sheetData>
    <row r="1" spans="1:18" s="1246" customFormat="1" ht="15.75">
      <c r="B1" s="3277" t="s">
        <v>913</v>
      </c>
      <c r="C1" s="3279" t="s">
        <v>918</v>
      </c>
      <c r="D1" s="3274" t="s">
        <v>914</v>
      </c>
      <c r="E1" s="3274"/>
      <c r="F1" s="3275" t="s">
        <v>496</v>
      </c>
      <c r="H1" s="3277" t="s">
        <v>913</v>
      </c>
      <c r="I1" s="3279" t="s">
        <v>918</v>
      </c>
      <c r="J1" s="3274" t="s">
        <v>914</v>
      </c>
      <c r="K1" s="3274"/>
      <c r="L1" s="3275" t="s">
        <v>496</v>
      </c>
      <c r="N1" s="3277" t="s">
        <v>913</v>
      </c>
      <c r="O1" s="3279" t="s">
        <v>918</v>
      </c>
      <c r="P1" s="3274" t="s">
        <v>914</v>
      </c>
      <c r="Q1" s="3274"/>
      <c r="R1" s="3275" t="s">
        <v>496</v>
      </c>
    </row>
    <row r="2" spans="1:18" s="1246" customFormat="1" ht="16.5" thickBot="1">
      <c r="B2" s="3278"/>
      <c r="C2" s="3280"/>
      <c r="D2" s="1251" t="s">
        <v>915</v>
      </c>
      <c r="E2" s="1251" t="s">
        <v>916</v>
      </c>
      <c r="F2" s="3276"/>
      <c r="H2" s="3278"/>
      <c r="I2" s="3280"/>
      <c r="J2" s="1251" t="s">
        <v>915</v>
      </c>
      <c r="K2" s="1251" t="s">
        <v>916</v>
      </c>
      <c r="L2" s="3276"/>
      <c r="N2" s="3278"/>
      <c r="O2" s="3280"/>
      <c r="P2" s="1251" t="s">
        <v>915</v>
      </c>
      <c r="Q2" s="1251" t="s">
        <v>916</v>
      </c>
      <c r="R2" s="3276"/>
    </row>
    <row r="3" spans="1:18" s="1246" customFormat="1" ht="21.75" customHeight="1" thickTop="1">
      <c r="B3" s="1250" t="s">
        <v>910</v>
      </c>
      <c r="C3" s="1258"/>
      <c r="D3" s="1252"/>
      <c r="E3" s="1370"/>
      <c r="F3" s="1253">
        <f>SUM(D3:E3)</f>
        <v>0</v>
      </c>
      <c r="G3" s="1247"/>
      <c r="H3" s="1250" t="s">
        <v>902</v>
      </c>
      <c r="I3" s="1258">
        <v>2008</v>
      </c>
      <c r="J3" s="1252">
        <v>1400000000</v>
      </c>
      <c r="K3" s="1252">
        <v>350000000</v>
      </c>
      <c r="L3" s="1253">
        <f t="shared" ref="L3:L9" si="0">SUM(J3:K3)</f>
        <v>1750000000</v>
      </c>
      <c r="N3" s="1250" t="s">
        <v>903</v>
      </c>
      <c r="O3" s="1258"/>
      <c r="P3" s="1252"/>
      <c r="Q3" s="1984"/>
      <c r="R3" s="1253">
        <f t="shared" ref="R3:R9" si="1">SUM(P3:Q3)</f>
        <v>0</v>
      </c>
    </row>
    <row r="4" spans="1:18" s="1246" customFormat="1" ht="21.75" customHeight="1">
      <c r="B4" s="1248" t="s">
        <v>911</v>
      </c>
      <c r="C4" s="1259"/>
      <c r="D4" s="1254"/>
      <c r="E4" s="1371"/>
      <c r="F4" s="1255">
        <f>SUM(D4:E4)</f>
        <v>0</v>
      </c>
      <c r="G4" s="1247"/>
      <c r="H4" s="1248" t="s">
        <v>902</v>
      </c>
      <c r="I4" s="1259">
        <v>2009</v>
      </c>
      <c r="J4" s="1254">
        <v>1600000000</v>
      </c>
      <c r="K4" s="1254">
        <v>400000000</v>
      </c>
      <c r="L4" s="1253">
        <f t="shared" si="0"/>
        <v>2000000000</v>
      </c>
      <c r="N4" s="1248" t="s">
        <v>903</v>
      </c>
      <c r="O4" s="1259"/>
      <c r="P4" s="1254"/>
      <c r="Q4" s="1985"/>
      <c r="R4" s="1253">
        <f t="shared" si="1"/>
        <v>0</v>
      </c>
    </row>
    <row r="5" spans="1:18" s="1246" customFormat="1" ht="21.75" customHeight="1">
      <c r="B5" s="1248" t="s">
        <v>912</v>
      </c>
      <c r="C5" s="1259"/>
      <c r="D5" s="1254"/>
      <c r="E5" s="1254"/>
      <c r="F5" s="1255">
        <f>SUM(D5:E5)</f>
        <v>0</v>
      </c>
      <c r="G5" s="1247"/>
      <c r="H5" s="1248" t="s">
        <v>902</v>
      </c>
      <c r="I5" s="1259">
        <v>2010</v>
      </c>
      <c r="J5" s="1254">
        <v>2000000000</v>
      </c>
      <c r="K5" s="1254">
        <v>500000000</v>
      </c>
      <c r="L5" s="1253">
        <f t="shared" si="0"/>
        <v>2500000000</v>
      </c>
      <c r="N5" s="1248" t="s">
        <v>903</v>
      </c>
      <c r="O5" s="1259"/>
      <c r="P5" s="1254"/>
      <c r="Q5" s="1985"/>
      <c r="R5" s="1253">
        <f t="shared" si="1"/>
        <v>0</v>
      </c>
    </row>
    <row r="6" spans="1:18" s="1246" customFormat="1" ht="21.75" customHeight="1">
      <c r="B6" s="3262" t="s">
        <v>1166</v>
      </c>
      <c r="C6" s="3254"/>
      <c r="D6" s="3256"/>
      <c r="E6" s="3258"/>
      <c r="F6" s="3260">
        <f>SUM(D6:E7)</f>
        <v>0</v>
      </c>
      <c r="G6" s="1247"/>
      <c r="H6" s="1325" t="s">
        <v>902</v>
      </c>
      <c r="I6" s="1326">
        <v>2011</v>
      </c>
      <c r="J6" s="1254">
        <f>240000000+120000000+120000000</f>
        <v>480000000</v>
      </c>
      <c r="K6" s="1254">
        <v>120000000</v>
      </c>
      <c r="L6" s="1253">
        <f t="shared" si="0"/>
        <v>600000000</v>
      </c>
      <c r="N6" s="1325" t="s">
        <v>903</v>
      </c>
      <c r="O6" s="1326"/>
      <c r="P6" s="1327"/>
      <c r="Q6" s="1986"/>
      <c r="R6" s="1255">
        <f t="shared" si="1"/>
        <v>0</v>
      </c>
    </row>
    <row r="7" spans="1:18" s="1246" customFormat="1" ht="21.75" customHeight="1">
      <c r="B7" s="3263"/>
      <c r="C7" s="3255"/>
      <c r="D7" s="3257"/>
      <c r="E7" s="3259"/>
      <c r="F7" s="3261"/>
      <c r="G7" s="1247"/>
      <c r="H7" s="1325" t="s">
        <v>902</v>
      </c>
      <c r="I7" s="1326">
        <v>2012</v>
      </c>
      <c r="J7" s="1254">
        <f>937500000+250000000</f>
        <v>1187500000</v>
      </c>
      <c r="K7" s="1254">
        <v>62500000</v>
      </c>
      <c r="L7" s="1253">
        <f t="shared" si="0"/>
        <v>1250000000</v>
      </c>
      <c r="N7" s="1325" t="s">
        <v>903</v>
      </c>
      <c r="O7" s="1326"/>
      <c r="P7" s="1327"/>
      <c r="Q7" s="1986"/>
      <c r="R7" s="1255">
        <f t="shared" si="1"/>
        <v>0</v>
      </c>
    </row>
    <row r="8" spans="1:18" s="1246" customFormat="1" ht="21.75" customHeight="1">
      <c r="B8" s="3264" t="s">
        <v>917</v>
      </c>
      <c r="C8" s="3254"/>
      <c r="D8" s="3267"/>
      <c r="E8" s="3258"/>
      <c r="F8" s="3260">
        <f>SUM(D8:E9)</f>
        <v>0</v>
      </c>
      <c r="G8" s="1247"/>
      <c r="H8" s="1325" t="s">
        <v>902</v>
      </c>
      <c r="I8" s="1326">
        <v>2013</v>
      </c>
      <c r="J8" s="1254">
        <f>540000000+472500000+270000000</f>
        <v>1282500000</v>
      </c>
      <c r="K8" s="1254">
        <v>67500000</v>
      </c>
      <c r="L8" s="1253">
        <f t="shared" si="0"/>
        <v>1350000000</v>
      </c>
      <c r="N8" s="1325" t="s">
        <v>903</v>
      </c>
      <c r="O8" s="1326"/>
      <c r="P8" s="1327"/>
      <c r="Q8" s="1986"/>
      <c r="R8" s="1255">
        <f t="shared" si="1"/>
        <v>0</v>
      </c>
    </row>
    <row r="9" spans="1:18" s="1246" customFormat="1" ht="21.75" customHeight="1" thickBot="1">
      <c r="B9" s="3265"/>
      <c r="C9" s="3266"/>
      <c r="D9" s="3268"/>
      <c r="E9" s="3269"/>
      <c r="F9" s="3270"/>
      <c r="G9" s="1247"/>
      <c r="H9" s="1249" t="s">
        <v>902</v>
      </c>
      <c r="I9" s="1260">
        <v>2014</v>
      </c>
      <c r="J9" s="1256">
        <f>540000000+472500000+118665000</f>
        <v>1131165000</v>
      </c>
      <c r="K9" s="1256">
        <v>67500000</v>
      </c>
      <c r="L9" s="1262">
        <f t="shared" si="0"/>
        <v>1198665000</v>
      </c>
      <c r="N9" s="1249" t="s">
        <v>903</v>
      </c>
      <c r="O9" s="1260"/>
      <c r="P9" s="1256"/>
      <c r="Q9" s="1987"/>
      <c r="R9" s="1257">
        <f t="shared" si="1"/>
        <v>0</v>
      </c>
    </row>
    <row r="10" spans="1:18" ht="8.25" customHeight="1" thickBot="1">
      <c r="A10" s="38"/>
      <c r="B10" s="37"/>
      <c r="C10" s="37"/>
      <c r="D10" s="37"/>
      <c r="E10" s="39"/>
      <c r="F10" s="39"/>
      <c r="G10" s="39"/>
      <c r="H10" s="37"/>
      <c r="I10" s="37"/>
      <c r="J10" s="37"/>
      <c r="K10" s="39"/>
      <c r="L10" s="39"/>
      <c r="N10" s="37"/>
      <c r="O10" s="37"/>
      <c r="P10" s="37"/>
      <c r="Q10" s="39"/>
      <c r="R10" s="39"/>
    </row>
    <row r="11" spans="1:18" s="1204" customFormat="1" ht="21" customHeight="1">
      <c r="B11" s="3325" t="s">
        <v>866</v>
      </c>
      <c r="C11" s="3326"/>
      <c r="D11" s="3250" t="s">
        <v>120</v>
      </c>
      <c r="E11" s="3250"/>
      <c r="F11" s="3251"/>
      <c r="H11" s="3313" t="s">
        <v>902</v>
      </c>
      <c r="I11" s="3314"/>
      <c r="J11" s="3250" t="s">
        <v>120</v>
      </c>
      <c r="K11" s="3250"/>
      <c r="L11" s="3251"/>
      <c r="N11" s="3289" t="s">
        <v>903</v>
      </c>
      <c r="O11" s="3290"/>
      <c r="P11" s="3250" t="s">
        <v>120</v>
      </c>
      <c r="Q11" s="3250"/>
      <c r="R11" s="3251"/>
    </row>
    <row r="12" spans="1:18" s="1204" customFormat="1" ht="36.75" customHeight="1">
      <c r="B12" s="3327"/>
      <c r="C12" s="3328"/>
      <c r="D12" s="1328" t="s">
        <v>968</v>
      </c>
      <c r="E12" s="1213" t="s">
        <v>969</v>
      </c>
      <c r="F12" s="1214" t="s">
        <v>904</v>
      </c>
      <c r="H12" s="3315"/>
      <c r="I12" s="3316"/>
      <c r="J12" s="1328" t="s">
        <v>968</v>
      </c>
      <c r="K12" s="1213" t="s">
        <v>969</v>
      </c>
      <c r="L12" s="1214" t="s">
        <v>904</v>
      </c>
      <c r="N12" s="3291"/>
      <c r="O12" s="3292"/>
      <c r="P12" s="1328" t="s">
        <v>968</v>
      </c>
      <c r="Q12" s="1213" t="s">
        <v>969</v>
      </c>
      <c r="R12" s="1214" t="s">
        <v>904</v>
      </c>
    </row>
    <row r="13" spans="1:18" s="1204" customFormat="1" ht="13.5" thickBot="1">
      <c r="B13" s="3329"/>
      <c r="C13" s="3330"/>
      <c r="D13" s="1210" t="s">
        <v>122</v>
      </c>
      <c r="E13" s="1211" t="s">
        <v>122</v>
      </c>
      <c r="F13" s="1212" t="s">
        <v>122</v>
      </c>
      <c r="H13" s="3317"/>
      <c r="I13" s="3318"/>
      <c r="J13" s="1210" t="s">
        <v>122</v>
      </c>
      <c r="K13" s="1211" t="s">
        <v>122</v>
      </c>
      <c r="L13" s="1212" t="s">
        <v>122</v>
      </c>
      <c r="N13" s="3293"/>
      <c r="O13" s="3294"/>
      <c r="P13" s="1210" t="s">
        <v>122</v>
      </c>
      <c r="Q13" s="1211" t="s">
        <v>122</v>
      </c>
      <c r="R13" s="1212" t="s">
        <v>122</v>
      </c>
    </row>
    <row r="14" spans="1:18" s="1202" customFormat="1" ht="22.5" customHeight="1" thickTop="1">
      <c r="B14" s="3295" t="s">
        <v>46</v>
      </c>
      <c r="C14" s="3296"/>
      <c r="D14" s="1215">
        <f>'Kas B PPK'!G46</f>
        <v>0</v>
      </c>
      <c r="E14" s="1216"/>
      <c r="F14" s="1217">
        <f t="shared" ref="F14:F21" si="2">D14-E14</f>
        <v>0</v>
      </c>
      <c r="H14" s="3295" t="s">
        <v>46</v>
      </c>
      <c r="I14" s="3296"/>
      <c r="J14" s="1215">
        <f>'Kas B PNPM-MPd'!G27</f>
        <v>5207955700</v>
      </c>
      <c r="K14" s="1216">
        <f>2695500000+1594370500+113622000+200+426616000+377847000</f>
        <v>5207955700</v>
      </c>
      <c r="L14" s="1217">
        <f t="shared" ref="L14:L21" si="3">J14-K14</f>
        <v>0</v>
      </c>
      <c r="N14" s="3295" t="s">
        <v>46</v>
      </c>
      <c r="O14" s="3296"/>
      <c r="P14" s="1215">
        <f>'Kas B GSC'!G46</f>
        <v>0</v>
      </c>
      <c r="Q14" s="1216"/>
      <c r="R14" s="1217">
        <f t="shared" ref="R14:R21" si="4">P14-Q14</f>
        <v>0</v>
      </c>
    </row>
    <row r="15" spans="1:18" s="1202" customFormat="1" ht="22.5" customHeight="1">
      <c r="B15" s="3252" t="s">
        <v>47</v>
      </c>
      <c r="C15" s="3253"/>
      <c r="D15" s="1218">
        <f>'Kas B PPK'!H46</f>
        <v>0</v>
      </c>
      <c r="E15" s="1219"/>
      <c r="F15" s="1220">
        <f t="shared" si="2"/>
        <v>0</v>
      </c>
      <c r="H15" s="3252" t="s">
        <v>47</v>
      </c>
      <c r="I15" s="3253"/>
      <c r="J15" s="1218">
        <f>'Kas B PNPM-MPd'!H27</f>
        <v>1857930500</v>
      </c>
      <c r="K15" s="1219">
        <f>268129500+332701500+395494500+861605000</f>
        <v>1857930500</v>
      </c>
      <c r="L15" s="1220">
        <f t="shared" si="3"/>
        <v>0</v>
      </c>
      <c r="N15" s="3252" t="s">
        <v>47</v>
      </c>
      <c r="O15" s="3253"/>
      <c r="P15" s="1218">
        <f>'Kas B GSC'!H46</f>
        <v>0</v>
      </c>
      <c r="Q15" s="1219"/>
      <c r="R15" s="1220">
        <f t="shared" si="4"/>
        <v>0</v>
      </c>
    </row>
    <row r="16" spans="1:18" s="1202" customFormat="1" ht="22.5" customHeight="1">
      <c r="B16" s="3252" t="s">
        <v>48</v>
      </c>
      <c r="C16" s="3253"/>
      <c r="D16" s="1218">
        <f>'Kas B PPK'!I46</f>
        <v>0</v>
      </c>
      <c r="E16" s="1219"/>
      <c r="F16" s="1220">
        <f t="shared" si="2"/>
        <v>0</v>
      </c>
      <c r="H16" s="3252" t="s">
        <v>48</v>
      </c>
      <c r="I16" s="3253"/>
      <c r="J16" s="1218">
        <f>'Kas B PNPM-MPd'!I27</f>
        <v>1000449500</v>
      </c>
      <c r="K16" s="1219">
        <f>34776000+166193500+799480000</f>
        <v>1000449500</v>
      </c>
      <c r="L16" s="1220">
        <f t="shared" si="3"/>
        <v>0</v>
      </c>
      <c r="N16" s="3252" t="s">
        <v>48</v>
      </c>
      <c r="O16" s="3253"/>
      <c r="P16" s="1218">
        <f>'Kas B GSC'!I46</f>
        <v>0</v>
      </c>
      <c r="Q16" s="1219"/>
      <c r="R16" s="1220">
        <f t="shared" si="4"/>
        <v>0</v>
      </c>
    </row>
    <row r="17" spans="1:18" s="1202" customFormat="1" ht="22.5" customHeight="1">
      <c r="B17" s="3252" t="s">
        <v>53</v>
      </c>
      <c r="C17" s="3253"/>
      <c r="D17" s="1218">
        <f>'Kas B PPK'!J46</f>
        <v>0</v>
      </c>
      <c r="E17" s="1219"/>
      <c r="F17" s="1220">
        <f t="shared" si="2"/>
        <v>0</v>
      </c>
      <c r="H17" s="3252" t="s">
        <v>53</v>
      </c>
      <c r="I17" s="3253"/>
      <c r="J17" s="1218">
        <f>'Kas B PNPM-MPd'!J27</f>
        <v>1747300000</v>
      </c>
      <c r="K17" s="1219">
        <f>867000000+512500000+88900000+200600000+78300000</f>
        <v>1747300000</v>
      </c>
      <c r="L17" s="1220">
        <f t="shared" si="3"/>
        <v>0</v>
      </c>
      <c r="N17" s="3252" t="s">
        <v>53</v>
      </c>
      <c r="O17" s="3253"/>
      <c r="P17" s="1231"/>
      <c r="Q17" s="1231"/>
      <c r="R17" s="1232">
        <f t="shared" si="4"/>
        <v>0</v>
      </c>
    </row>
    <row r="18" spans="1:18" s="1202" customFormat="1" ht="22.5" customHeight="1">
      <c r="B18" s="3252" t="s">
        <v>52</v>
      </c>
      <c r="C18" s="3253"/>
      <c r="D18" s="1218">
        <f>'Kas B PPK'!K46</f>
        <v>0</v>
      </c>
      <c r="E18" s="1219"/>
      <c r="F18" s="1220">
        <f t="shared" si="2"/>
        <v>0</v>
      </c>
      <c r="H18" s="3252" t="s">
        <v>52</v>
      </c>
      <c r="I18" s="3253"/>
      <c r="J18" s="1231"/>
      <c r="K18" s="1231"/>
      <c r="L18" s="1232">
        <f t="shared" si="3"/>
        <v>0</v>
      </c>
      <c r="N18" s="3252" t="s">
        <v>52</v>
      </c>
      <c r="O18" s="3253"/>
      <c r="P18" s="1231"/>
      <c r="Q18" s="1231"/>
      <c r="R18" s="1232">
        <f t="shared" si="4"/>
        <v>0</v>
      </c>
    </row>
    <row r="19" spans="1:18" s="1202" customFormat="1" ht="22.5" customHeight="1">
      <c r="B19" s="3252" t="s">
        <v>121</v>
      </c>
      <c r="C19" s="3253"/>
      <c r="D19" s="1218">
        <f>'Kas B PPK'!L46</f>
        <v>0</v>
      </c>
      <c r="E19" s="1219"/>
      <c r="F19" s="1220">
        <f t="shared" si="2"/>
        <v>0</v>
      </c>
      <c r="H19" s="3252" t="s">
        <v>121</v>
      </c>
      <c r="I19" s="3253"/>
      <c r="J19" s="1218">
        <f>'Kas B PNPM-MPd'!K27</f>
        <v>305775417</v>
      </c>
      <c r="K19" s="1219">
        <f>304000000+1775417</f>
        <v>305775417</v>
      </c>
      <c r="L19" s="1220">
        <f t="shared" si="3"/>
        <v>0</v>
      </c>
      <c r="N19" s="3252" t="s">
        <v>121</v>
      </c>
      <c r="O19" s="3253"/>
      <c r="P19" s="1231"/>
      <c r="Q19" s="1231"/>
      <c r="R19" s="1232">
        <f t="shared" si="4"/>
        <v>0</v>
      </c>
    </row>
    <row r="20" spans="1:18" s="1202" customFormat="1" ht="22.5" customHeight="1">
      <c r="B20" s="3252" t="s">
        <v>900</v>
      </c>
      <c r="C20" s="3253"/>
      <c r="D20" s="1218">
        <f>'Kas B PPK'!M46</f>
        <v>0</v>
      </c>
      <c r="E20" s="1219"/>
      <c r="F20" s="1220">
        <f t="shared" si="2"/>
        <v>0</v>
      </c>
      <c r="H20" s="3252" t="s">
        <v>900</v>
      </c>
      <c r="I20" s="3253"/>
      <c r="J20" s="1218">
        <f>'Kas B PNPM-MPd'!L27</f>
        <v>319454200</v>
      </c>
      <c r="K20" s="1219">
        <f>112500000+74999900+18000300+37496000+76458000</f>
        <v>319454200</v>
      </c>
      <c r="L20" s="1220">
        <f t="shared" si="3"/>
        <v>0</v>
      </c>
      <c r="N20" s="3252" t="s">
        <v>900</v>
      </c>
      <c r="O20" s="3253"/>
      <c r="P20" s="1218">
        <f>'Kas B GSC'!J46</f>
        <v>0</v>
      </c>
      <c r="Q20" s="1219"/>
      <c r="R20" s="1220">
        <f t="shared" si="4"/>
        <v>0</v>
      </c>
    </row>
    <row r="21" spans="1:18" s="1202" customFormat="1" ht="22.5" customHeight="1" thickBot="1">
      <c r="B21" s="3271" t="s">
        <v>899</v>
      </c>
      <c r="C21" s="3272"/>
      <c r="D21" s="1221">
        <f>'Kas B PPK'!N46</f>
        <v>0</v>
      </c>
      <c r="E21" s="1222"/>
      <c r="F21" s="1223">
        <f t="shared" si="2"/>
        <v>0</v>
      </c>
      <c r="H21" s="3271" t="s">
        <v>899</v>
      </c>
      <c r="I21" s="3272"/>
      <c r="J21" s="1221">
        <f>'Kas B PNPM-MPd'!M27</f>
        <v>212970600</v>
      </c>
      <c r="K21" s="1222">
        <f>75000000+49999900+12000200+24995500+50975000</f>
        <v>212970600</v>
      </c>
      <c r="L21" s="1223">
        <f t="shared" si="3"/>
        <v>0</v>
      </c>
      <c r="N21" s="3271" t="s">
        <v>899</v>
      </c>
      <c r="O21" s="3272"/>
      <c r="P21" s="1221">
        <f>'Kas B GSC'!K46</f>
        <v>0</v>
      </c>
      <c r="Q21" s="1222"/>
      <c r="R21" s="1223">
        <f t="shared" si="4"/>
        <v>0</v>
      </c>
    </row>
    <row r="22" spans="1:18" s="1205" customFormat="1" ht="32.25" customHeight="1" thickBot="1">
      <c r="B22" s="1208" t="s">
        <v>901</v>
      </c>
      <c r="C22" s="1209"/>
      <c r="D22" s="1224">
        <f>SUM(D14:D21)</f>
        <v>0</v>
      </c>
      <c r="E22" s="1225">
        <f>SUM(E14:E21)</f>
        <v>0</v>
      </c>
      <c r="F22" s="1226">
        <f>SUM(F14:F21)</f>
        <v>0</v>
      </c>
      <c r="H22" s="1242" t="s">
        <v>901</v>
      </c>
      <c r="I22" s="1227"/>
      <c r="J22" s="1224">
        <f>SUM(J14:J21)</f>
        <v>10651835917</v>
      </c>
      <c r="K22" s="1225">
        <f>SUM(K14:K21)</f>
        <v>10651835917</v>
      </c>
      <c r="L22" s="1226">
        <f>SUM(L14:L21)</f>
        <v>0</v>
      </c>
      <c r="N22" s="1243" t="s">
        <v>901</v>
      </c>
      <c r="O22" s="1228"/>
      <c r="P22" s="1224">
        <f>SUM(P14:P21)</f>
        <v>0</v>
      </c>
      <c r="Q22" s="1225">
        <f>SUM(Q14:Q21)</f>
        <v>0</v>
      </c>
      <c r="R22" s="1226">
        <f>SUM(R14:R21)</f>
        <v>0</v>
      </c>
    </row>
    <row r="23" spans="1:18" s="1202" customFormat="1" ht="26.25" customHeight="1" thickBot="1">
      <c r="A23" s="1206"/>
      <c r="E23" s="1203"/>
      <c r="F23" s="1203"/>
      <c r="G23" s="1203"/>
      <c r="K23" s="1203"/>
      <c r="L23" s="1203"/>
      <c r="Q23" s="1203"/>
      <c r="R23" s="1203"/>
    </row>
    <row r="24" spans="1:18" s="1246" customFormat="1" ht="15.75">
      <c r="B24" s="3277" t="s">
        <v>913</v>
      </c>
      <c r="C24" s="3279" t="s">
        <v>918</v>
      </c>
      <c r="D24" s="3274" t="s">
        <v>914</v>
      </c>
      <c r="E24" s="3274"/>
      <c r="F24" s="3275" t="s">
        <v>496</v>
      </c>
      <c r="H24" s="3277" t="s">
        <v>913</v>
      </c>
      <c r="I24" s="3279" t="s">
        <v>918</v>
      </c>
      <c r="J24" s="3274" t="s">
        <v>914</v>
      </c>
      <c r="K24" s="3274"/>
      <c r="L24" s="3275" t="s">
        <v>496</v>
      </c>
      <c r="N24" s="3277" t="s">
        <v>913</v>
      </c>
      <c r="O24" s="3279" t="s">
        <v>918</v>
      </c>
      <c r="P24" s="3274" t="s">
        <v>914</v>
      </c>
      <c r="Q24" s="3274"/>
      <c r="R24" s="3275" t="s">
        <v>496</v>
      </c>
    </row>
    <row r="25" spans="1:18" s="1246" customFormat="1" ht="16.5" thickBot="1">
      <c r="B25" s="3278"/>
      <c r="C25" s="3280"/>
      <c r="D25" s="1251" t="s">
        <v>915</v>
      </c>
      <c r="E25" s="1251" t="s">
        <v>916</v>
      </c>
      <c r="F25" s="3276"/>
      <c r="H25" s="3278"/>
      <c r="I25" s="3280"/>
      <c r="J25" s="1251" t="s">
        <v>915</v>
      </c>
      <c r="K25" s="1251" t="s">
        <v>916</v>
      </c>
      <c r="L25" s="3276"/>
      <c r="N25" s="3278"/>
      <c r="O25" s="3280"/>
      <c r="P25" s="1251" t="s">
        <v>915</v>
      </c>
      <c r="Q25" s="1251" t="s">
        <v>916</v>
      </c>
      <c r="R25" s="3276"/>
    </row>
    <row r="26" spans="1:18" s="1246" customFormat="1" ht="21.75" customHeight="1" thickTop="1">
      <c r="B26" s="1250" t="s">
        <v>567</v>
      </c>
      <c r="C26" s="1258">
        <v>2010</v>
      </c>
      <c r="D26" s="1252">
        <v>500000000</v>
      </c>
      <c r="E26" s="1370"/>
      <c r="F26" s="1253">
        <f>SUM(D26:E26)</f>
        <v>500000000</v>
      </c>
      <c r="G26" s="1247"/>
      <c r="H26" s="1250" t="s">
        <v>816</v>
      </c>
      <c r="I26" s="1258"/>
      <c r="J26" s="1252"/>
      <c r="K26" s="1370"/>
      <c r="L26" s="1253">
        <f>SUM(J26:K26)</f>
        <v>0</v>
      </c>
      <c r="N26" s="1250"/>
      <c r="O26" s="1258"/>
      <c r="P26" s="1252"/>
      <c r="Q26" s="1252"/>
      <c r="R26" s="1253">
        <f>SUM(P26:Q26)</f>
        <v>0</v>
      </c>
    </row>
    <row r="27" spans="1:18" s="1246" customFormat="1" ht="21.75" customHeight="1">
      <c r="B27" s="1248" t="s">
        <v>567</v>
      </c>
      <c r="C27" s="1259"/>
      <c r="D27" s="1254"/>
      <c r="E27" s="1371"/>
      <c r="F27" s="1255">
        <f>SUM(D27:E27)</f>
        <v>0</v>
      </c>
      <c r="G27" s="1247"/>
      <c r="H27" s="1248" t="s">
        <v>816</v>
      </c>
      <c r="I27" s="1259"/>
      <c r="J27" s="1254"/>
      <c r="K27" s="1371"/>
      <c r="L27" s="1255">
        <f>SUM(J27:K27)</f>
        <v>0</v>
      </c>
      <c r="N27" s="1248"/>
      <c r="O27" s="1259"/>
      <c r="P27" s="1254"/>
      <c r="Q27" s="1254"/>
      <c r="R27" s="1255">
        <f>SUM(P27:Q27)</f>
        <v>0</v>
      </c>
    </row>
    <row r="28" spans="1:18" s="1246" customFormat="1" ht="21.75" customHeight="1" thickBot="1">
      <c r="B28" s="1249" t="s">
        <v>567</v>
      </c>
      <c r="C28" s="1260"/>
      <c r="D28" s="1256"/>
      <c r="E28" s="1372"/>
      <c r="F28" s="1257">
        <f>SUM(D28:E28)</f>
        <v>0</v>
      </c>
      <c r="G28" s="1247"/>
      <c r="H28" s="1249" t="s">
        <v>816</v>
      </c>
      <c r="I28" s="1260"/>
      <c r="J28" s="1256"/>
      <c r="K28" s="1372"/>
      <c r="L28" s="1257">
        <f>SUM(J28:K28)</f>
        <v>0</v>
      </c>
      <c r="N28" s="1249"/>
      <c r="O28" s="1260"/>
      <c r="P28" s="1256"/>
      <c r="Q28" s="1256"/>
      <c r="R28" s="1257">
        <f>SUM(P28:Q28)</f>
        <v>0</v>
      </c>
    </row>
    <row r="29" spans="1:18" s="1202" customFormat="1" ht="8.25" customHeight="1" thickBot="1">
      <c r="A29" s="1206"/>
      <c r="E29" s="1203"/>
      <c r="F29" s="1203"/>
      <c r="G29" s="1203"/>
      <c r="K29" s="1203"/>
      <c r="L29" s="1203"/>
      <c r="Q29" s="1203"/>
      <c r="R29" s="1203"/>
    </row>
    <row r="30" spans="1:18" s="1204" customFormat="1" ht="21" customHeight="1" thickTop="1">
      <c r="B30" s="3331" t="s">
        <v>567</v>
      </c>
      <c r="C30" s="3332"/>
      <c r="D30" s="3250" t="s">
        <v>120</v>
      </c>
      <c r="E30" s="3250"/>
      <c r="F30" s="3251"/>
      <c r="H30" s="3319" t="s">
        <v>816</v>
      </c>
      <c r="I30" s="3320"/>
      <c r="J30" s="3250" t="s">
        <v>120</v>
      </c>
      <c r="K30" s="3250"/>
      <c r="L30" s="3251"/>
      <c r="N30" s="3297"/>
      <c r="O30" s="3298"/>
      <c r="P30" s="3305" t="s">
        <v>120</v>
      </c>
      <c r="Q30" s="3305"/>
      <c r="R30" s="3306"/>
    </row>
    <row r="31" spans="1:18" s="1204" customFormat="1" ht="36.75" customHeight="1">
      <c r="B31" s="3333"/>
      <c r="C31" s="3334"/>
      <c r="D31" s="1328" t="s">
        <v>968</v>
      </c>
      <c r="E31" s="1213" t="s">
        <v>969</v>
      </c>
      <c r="F31" s="1214" t="s">
        <v>904</v>
      </c>
      <c r="H31" s="3321"/>
      <c r="I31" s="3322"/>
      <c r="J31" s="1328" t="s">
        <v>968</v>
      </c>
      <c r="K31" s="1213" t="s">
        <v>969</v>
      </c>
      <c r="L31" s="1214" t="s">
        <v>904</v>
      </c>
      <c r="N31" s="3299"/>
      <c r="O31" s="3300"/>
      <c r="P31" s="1328" t="s">
        <v>968</v>
      </c>
      <c r="Q31" s="1213" t="s">
        <v>969</v>
      </c>
      <c r="R31" s="1233" t="s">
        <v>904</v>
      </c>
    </row>
    <row r="32" spans="1:18" s="1204" customFormat="1" ht="13.5" thickBot="1">
      <c r="B32" s="3335"/>
      <c r="C32" s="3336"/>
      <c r="D32" s="1210" t="s">
        <v>122</v>
      </c>
      <c r="E32" s="1211" t="s">
        <v>122</v>
      </c>
      <c r="F32" s="1212" t="s">
        <v>122</v>
      </c>
      <c r="H32" s="3323"/>
      <c r="I32" s="3324"/>
      <c r="J32" s="1210" t="s">
        <v>122</v>
      </c>
      <c r="K32" s="1211" t="s">
        <v>122</v>
      </c>
      <c r="L32" s="1212" t="s">
        <v>122</v>
      </c>
      <c r="N32" s="3301"/>
      <c r="O32" s="3302"/>
      <c r="P32" s="1210" t="s">
        <v>122</v>
      </c>
      <c r="Q32" s="1211" t="s">
        <v>122</v>
      </c>
      <c r="R32" s="1234" t="s">
        <v>122</v>
      </c>
    </row>
    <row r="33" spans="2:18" s="1202" customFormat="1" ht="22.5" customHeight="1" thickTop="1">
      <c r="B33" s="3295" t="s">
        <v>46</v>
      </c>
      <c r="C33" s="3296"/>
      <c r="D33" s="1215">
        <f>'Kas B PNPM-TP GEMPA'!G46</f>
        <v>207480400</v>
      </c>
      <c r="E33" s="1216">
        <v>207480400</v>
      </c>
      <c r="F33" s="1217">
        <f t="shared" ref="F33:F40" si="5">D33-E33</f>
        <v>0</v>
      </c>
      <c r="H33" s="3295" t="s">
        <v>46</v>
      </c>
      <c r="I33" s="3296"/>
      <c r="J33" s="1215">
        <f>'Kas B PASCA KRISIS'!G46</f>
        <v>0</v>
      </c>
      <c r="K33" s="1216"/>
      <c r="L33" s="1217">
        <f t="shared" ref="L33:L40" si="6">J33-K33</f>
        <v>0</v>
      </c>
      <c r="N33" s="3303" t="s">
        <v>46</v>
      </c>
      <c r="O33" s="3296"/>
      <c r="P33" s="1215"/>
      <c r="Q33" s="1216"/>
      <c r="R33" s="1235">
        <f t="shared" ref="R33:R40" si="7">P33-Q33</f>
        <v>0</v>
      </c>
    </row>
    <row r="34" spans="2:18" s="1202" customFormat="1" ht="22.5" customHeight="1">
      <c r="B34" s="3252" t="s">
        <v>47</v>
      </c>
      <c r="C34" s="3253"/>
      <c r="D34" s="1218">
        <f>'Kas B PNPM-TP GEMPA'!H46</f>
        <v>158469600</v>
      </c>
      <c r="E34" s="1219">
        <v>158469600</v>
      </c>
      <c r="F34" s="1220">
        <f t="shared" si="5"/>
        <v>0</v>
      </c>
      <c r="H34" s="3252" t="s">
        <v>47</v>
      </c>
      <c r="I34" s="3253"/>
      <c r="J34" s="1218">
        <f>'Kas B PASCA KRISIS'!H46</f>
        <v>0</v>
      </c>
      <c r="K34" s="1219"/>
      <c r="L34" s="1220">
        <f t="shared" si="6"/>
        <v>0</v>
      </c>
      <c r="N34" s="3273" t="s">
        <v>47</v>
      </c>
      <c r="O34" s="3253"/>
      <c r="P34" s="1218"/>
      <c r="Q34" s="1219"/>
      <c r="R34" s="1236">
        <f t="shared" si="7"/>
        <v>0</v>
      </c>
    </row>
    <row r="35" spans="2:18" s="1202" customFormat="1" ht="22.5" customHeight="1">
      <c r="B35" s="3252" t="s">
        <v>48</v>
      </c>
      <c r="C35" s="3253"/>
      <c r="D35" s="1218">
        <f>'Kas B PNPM-TP GEMPA'!I46</f>
        <v>0</v>
      </c>
      <c r="E35" s="1219"/>
      <c r="F35" s="1220">
        <f t="shared" si="5"/>
        <v>0</v>
      </c>
      <c r="H35" s="3252" t="s">
        <v>48</v>
      </c>
      <c r="I35" s="3253"/>
      <c r="J35" s="1218">
        <f>'Kas B PASCA KRISIS'!I46</f>
        <v>0</v>
      </c>
      <c r="K35" s="1219"/>
      <c r="L35" s="1220">
        <f t="shared" si="6"/>
        <v>0</v>
      </c>
      <c r="N35" s="3273" t="s">
        <v>48</v>
      </c>
      <c r="O35" s="3253"/>
      <c r="P35" s="1218"/>
      <c r="Q35" s="1219"/>
      <c r="R35" s="1236">
        <f t="shared" si="7"/>
        <v>0</v>
      </c>
    </row>
    <row r="36" spans="2:18" s="1202" customFormat="1" ht="22.5" customHeight="1">
      <c r="B36" s="3252" t="s">
        <v>53</v>
      </c>
      <c r="C36" s="3253"/>
      <c r="D36" s="1218">
        <f>'Kas B PNPM-TP GEMPA'!J46</f>
        <v>109050000</v>
      </c>
      <c r="E36" s="1219">
        <v>109050000</v>
      </c>
      <c r="F36" s="1220">
        <f t="shared" si="5"/>
        <v>0</v>
      </c>
      <c r="H36" s="3252" t="s">
        <v>53</v>
      </c>
      <c r="I36" s="3253"/>
      <c r="J36" s="1218">
        <f>'Kas B PASCA KRISIS'!J46</f>
        <v>0</v>
      </c>
      <c r="K36" s="1219"/>
      <c r="L36" s="1220">
        <f t="shared" si="6"/>
        <v>0</v>
      </c>
      <c r="N36" s="3273" t="s">
        <v>53</v>
      </c>
      <c r="O36" s="3253"/>
      <c r="P36" s="1218"/>
      <c r="Q36" s="1219"/>
      <c r="R36" s="1236">
        <f t="shared" si="7"/>
        <v>0</v>
      </c>
    </row>
    <row r="37" spans="2:18" s="1202" customFormat="1" ht="22.5" customHeight="1">
      <c r="B37" s="3252" t="s">
        <v>52</v>
      </c>
      <c r="C37" s="3253"/>
      <c r="D37" s="1218">
        <f>'Kas B PNPM-TP GEMPA'!K46</f>
        <v>0</v>
      </c>
      <c r="E37" s="1219"/>
      <c r="F37" s="1220">
        <f t="shared" si="5"/>
        <v>0</v>
      </c>
      <c r="H37" s="3252" t="s">
        <v>52</v>
      </c>
      <c r="I37" s="3253"/>
      <c r="J37" s="1218">
        <f>'Kas B PASCA KRISIS'!K46</f>
        <v>0</v>
      </c>
      <c r="K37" s="1219"/>
      <c r="L37" s="1220">
        <f t="shared" si="6"/>
        <v>0</v>
      </c>
      <c r="N37" s="3273" t="s">
        <v>52</v>
      </c>
      <c r="O37" s="3253"/>
      <c r="P37" s="1218"/>
      <c r="Q37" s="1219"/>
      <c r="R37" s="1236">
        <f t="shared" si="7"/>
        <v>0</v>
      </c>
    </row>
    <row r="38" spans="2:18" s="1202" customFormat="1" ht="22.5" customHeight="1">
      <c r="B38" s="3252" t="s">
        <v>121</v>
      </c>
      <c r="C38" s="3253"/>
      <c r="D38" s="1218">
        <f>'Kas B PNPM-TP GEMPA'!L46</f>
        <v>0</v>
      </c>
      <c r="E38" s="1219"/>
      <c r="F38" s="1220">
        <f t="shared" si="5"/>
        <v>0</v>
      </c>
      <c r="H38" s="3252" t="s">
        <v>121</v>
      </c>
      <c r="I38" s="3253"/>
      <c r="J38" s="1218">
        <f>'Kas B PASCA KRISIS'!L46</f>
        <v>0</v>
      </c>
      <c r="K38" s="1219"/>
      <c r="L38" s="1220">
        <f t="shared" si="6"/>
        <v>0</v>
      </c>
      <c r="N38" s="3273" t="s">
        <v>121</v>
      </c>
      <c r="O38" s="3253"/>
      <c r="P38" s="1218"/>
      <c r="Q38" s="1219"/>
      <c r="R38" s="1236">
        <f t="shared" si="7"/>
        <v>0</v>
      </c>
    </row>
    <row r="39" spans="2:18" s="1202" customFormat="1" ht="22.5" customHeight="1">
      <c r="B39" s="3252" t="s">
        <v>900</v>
      </c>
      <c r="C39" s="3253"/>
      <c r="D39" s="1218">
        <f>'Kas B PNPM-TP GEMPA'!M46</f>
        <v>15000000</v>
      </c>
      <c r="E39" s="1219">
        <v>15000000</v>
      </c>
      <c r="F39" s="1220">
        <f t="shared" si="5"/>
        <v>0</v>
      </c>
      <c r="H39" s="3252" t="s">
        <v>900</v>
      </c>
      <c r="I39" s="3253"/>
      <c r="J39" s="1218">
        <f>'Kas B PASCA KRISIS'!M46</f>
        <v>0</v>
      </c>
      <c r="K39" s="1219"/>
      <c r="L39" s="1220">
        <f t="shared" si="6"/>
        <v>0</v>
      </c>
      <c r="N39" s="3273" t="s">
        <v>900</v>
      </c>
      <c r="O39" s="3253"/>
      <c r="P39" s="1218"/>
      <c r="Q39" s="1219"/>
      <c r="R39" s="1236">
        <f t="shared" si="7"/>
        <v>0</v>
      </c>
    </row>
    <row r="40" spans="2:18" s="1202" customFormat="1" ht="22.5" customHeight="1" thickBot="1">
      <c r="B40" s="3271" t="s">
        <v>899</v>
      </c>
      <c r="C40" s="3272"/>
      <c r="D40" s="1221">
        <f>'Kas B PNPM-TP GEMPA'!N46</f>
        <v>10000000</v>
      </c>
      <c r="E40" s="1222">
        <v>10000000</v>
      </c>
      <c r="F40" s="1223">
        <f t="shared" si="5"/>
        <v>0</v>
      </c>
      <c r="H40" s="3271" t="s">
        <v>899</v>
      </c>
      <c r="I40" s="3272"/>
      <c r="J40" s="1221">
        <f>'Kas B PASCA KRISIS'!N46</f>
        <v>0</v>
      </c>
      <c r="K40" s="1222"/>
      <c r="L40" s="1223">
        <f t="shared" si="6"/>
        <v>0</v>
      </c>
      <c r="N40" s="3304" t="s">
        <v>899</v>
      </c>
      <c r="O40" s="3272"/>
      <c r="P40" s="1221"/>
      <c r="Q40" s="1222"/>
      <c r="R40" s="1237">
        <f t="shared" si="7"/>
        <v>0</v>
      </c>
    </row>
    <row r="41" spans="2:18" s="1205" customFormat="1" ht="32.25" customHeight="1" thickBot="1">
      <c r="B41" s="1244" t="s">
        <v>901</v>
      </c>
      <c r="C41" s="1229"/>
      <c r="D41" s="1224">
        <f>SUM(D33:D40)</f>
        <v>500000000</v>
      </c>
      <c r="E41" s="1225">
        <f>SUM(E33:E40)</f>
        <v>500000000</v>
      </c>
      <c r="F41" s="1226">
        <f>SUM(F33:F40)</f>
        <v>0</v>
      </c>
      <c r="H41" s="1245" t="s">
        <v>901</v>
      </c>
      <c r="I41" s="1230"/>
      <c r="J41" s="1224">
        <f>SUM(J33:J40)</f>
        <v>0</v>
      </c>
      <c r="K41" s="1225">
        <f>SUM(K33:K40)</f>
        <v>0</v>
      </c>
      <c r="L41" s="1226">
        <f>SUM(L33:L40)</f>
        <v>0</v>
      </c>
      <c r="N41" s="1238" t="s">
        <v>901</v>
      </c>
      <c r="O41" s="1261"/>
      <c r="P41" s="1239">
        <f>SUM(P33:P40)</f>
        <v>0</v>
      </c>
      <c r="Q41" s="1240">
        <f>SUM(Q33:Q40)</f>
        <v>0</v>
      </c>
      <c r="R41" s="1241">
        <f>SUM(R33:R40)</f>
        <v>0</v>
      </c>
    </row>
    <row r="42" spans="2:18" ht="30.75" customHeight="1"/>
    <row r="43" spans="2:18" ht="30.75" customHeight="1" thickBot="1"/>
    <row r="44" spans="2:18" s="1246" customFormat="1" ht="23.25" customHeight="1">
      <c r="B44" s="3307" t="s">
        <v>963</v>
      </c>
      <c r="C44" s="3284" t="s">
        <v>918</v>
      </c>
      <c r="D44" s="3281" t="s">
        <v>914</v>
      </c>
      <c r="E44" s="3281"/>
      <c r="F44" s="3282" t="s">
        <v>496</v>
      </c>
      <c r="H44" s="3310" t="s">
        <v>962</v>
      </c>
      <c r="I44" s="3284" t="s">
        <v>918</v>
      </c>
      <c r="J44" s="3281" t="s">
        <v>914</v>
      </c>
      <c r="K44" s="3281"/>
      <c r="L44" s="3282" t="s">
        <v>496</v>
      </c>
      <c r="N44" s="3286" t="s">
        <v>964</v>
      </c>
      <c r="O44" s="3284" t="s">
        <v>918</v>
      </c>
      <c r="P44" s="3281" t="s">
        <v>914</v>
      </c>
      <c r="Q44" s="3281"/>
      <c r="R44" s="3282" t="s">
        <v>496</v>
      </c>
    </row>
    <row r="45" spans="2:18" s="1246" customFormat="1" ht="23.25" customHeight="1" thickBot="1">
      <c r="B45" s="3308"/>
      <c r="C45" s="3285"/>
      <c r="D45" s="1324" t="s">
        <v>915</v>
      </c>
      <c r="E45" s="1324" t="s">
        <v>916</v>
      </c>
      <c r="F45" s="3283"/>
      <c r="H45" s="3311"/>
      <c r="I45" s="3285"/>
      <c r="J45" s="1324" t="s">
        <v>915</v>
      </c>
      <c r="K45" s="1324" t="s">
        <v>916</v>
      </c>
      <c r="L45" s="3283"/>
      <c r="N45" s="3287"/>
      <c r="O45" s="3285"/>
      <c r="P45" s="1324" t="s">
        <v>915</v>
      </c>
      <c r="Q45" s="1324" t="s">
        <v>916</v>
      </c>
      <c r="R45" s="3283"/>
    </row>
    <row r="46" spans="2:18" s="1246" customFormat="1" ht="21.75" customHeight="1" thickTop="1">
      <c r="B46" s="3308"/>
      <c r="C46" s="1258">
        <v>2008</v>
      </c>
      <c r="D46" s="1252">
        <v>73600000</v>
      </c>
      <c r="E46" s="1252"/>
      <c r="F46" s="1253">
        <f t="shared" ref="F46:F53" si="8">SUM(D46:E46)</f>
        <v>73600000</v>
      </c>
      <c r="G46" s="1247"/>
      <c r="H46" s="3311"/>
      <c r="I46" s="1258">
        <v>2008</v>
      </c>
      <c r="J46" s="1252">
        <v>22830000</v>
      </c>
      <c r="K46" s="1252"/>
      <c r="L46" s="1253">
        <f t="shared" ref="L46:L53" si="9">SUM(J46:K46)</f>
        <v>22830000</v>
      </c>
      <c r="N46" s="3287"/>
      <c r="O46" s="1258"/>
      <c r="P46" s="1252"/>
      <c r="Q46" s="1252"/>
      <c r="R46" s="1253">
        <f t="shared" ref="R46:R53" si="10">SUM(P46:Q46)</f>
        <v>0</v>
      </c>
    </row>
    <row r="47" spans="2:18" s="1246" customFormat="1" ht="21.75" customHeight="1">
      <c r="B47" s="3308"/>
      <c r="C47" s="1258">
        <v>2009</v>
      </c>
      <c r="D47" s="1252">
        <v>39800000</v>
      </c>
      <c r="E47" s="1252"/>
      <c r="F47" s="1255">
        <f t="shared" si="8"/>
        <v>39800000</v>
      </c>
      <c r="G47" s="1247"/>
      <c r="H47" s="3311"/>
      <c r="I47" s="1258">
        <v>2009</v>
      </c>
      <c r="J47" s="1252">
        <v>17025000</v>
      </c>
      <c r="K47" s="1252"/>
      <c r="L47" s="1253">
        <f t="shared" si="9"/>
        <v>17025000</v>
      </c>
      <c r="N47" s="3287"/>
      <c r="O47" s="1258"/>
      <c r="P47" s="1252"/>
      <c r="Q47" s="1252"/>
      <c r="R47" s="1253">
        <f t="shared" si="10"/>
        <v>0</v>
      </c>
    </row>
    <row r="48" spans="2:18" s="1246" customFormat="1" ht="21.75" customHeight="1">
      <c r="B48" s="3308"/>
      <c r="C48" s="1258">
        <v>2010</v>
      </c>
      <c r="D48" s="1252">
        <v>39800000</v>
      </c>
      <c r="E48" s="1252"/>
      <c r="F48" s="1255">
        <f t="shared" si="8"/>
        <v>39800000</v>
      </c>
      <c r="G48" s="1247"/>
      <c r="H48" s="3311"/>
      <c r="I48" s="1258">
        <v>2010</v>
      </c>
      <c r="J48" s="1252">
        <v>18525000</v>
      </c>
      <c r="K48" s="1252"/>
      <c r="L48" s="1253">
        <f t="shared" si="9"/>
        <v>18525000</v>
      </c>
      <c r="N48" s="3287"/>
      <c r="O48" s="1258"/>
      <c r="P48" s="1252"/>
      <c r="Q48" s="1252"/>
      <c r="R48" s="1253">
        <f t="shared" si="10"/>
        <v>0</v>
      </c>
    </row>
    <row r="49" spans="2:18" s="1246" customFormat="1" ht="21.75" customHeight="1">
      <c r="B49" s="3308"/>
      <c r="C49" s="1258">
        <v>2011</v>
      </c>
      <c r="D49" s="1252">
        <v>20400000</v>
      </c>
      <c r="E49" s="1252"/>
      <c r="F49" s="1255">
        <f t="shared" si="8"/>
        <v>20400000</v>
      </c>
      <c r="G49" s="1247"/>
      <c r="H49" s="3311"/>
      <c r="I49" s="1258">
        <v>2011</v>
      </c>
      <c r="J49" s="1252">
        <v>53450000</v>
      </c>
      <c r="K49" s="1252"/>
      <c r="L49" s="1253">
        <f t="shared" si="9"/>
        <v>53450000</v>
      </c>
      <c r="N49" s="3287"/>
      <c r="O49" s="1258"/>
      <c r="P49" s="1252"/>
      <c r="Q49" s="1252"/>
      <c r="R49" s="1253">
        <f t="shared" si="10"/>
        <v>0</v>
      </c>
    </row>
    <row r="50" spans="2:18" s="1246" customFormat="1" ht="21.75" customHeight="1">
      <c r="B50" s="3308"/>
      <c r="C50" s="1258"/>
      <c r="D50" s="1252"/>
      <c r="E50" s="1252"/>
      <c r="F50" s="1255">
        <f t="shared" si="8"/>
        <v>0</v>
      </c>
      <c r="G50" s="1247"/>
      <c r="H50" s="3311"/>
      <c r="I50" s="1258"/>
      <c r="J50" s="1252"/>
      <c r="K50" s="1252"/>
      <c r="L50" s="1253">
        <f t="shared" si="9"/>
        <v>0</v>
      </c>
      <c r="N50" s="3287"/>
      <c r="O50" s="1258"/>
      <c r="P50" s="1252"/>
      <c r="Q50" s="1252"/>
      <c r="R50" s="1253">
        <f t="shared" si="10"/>
        <v>0</v>
      </c>
    </row>
    <row r="51" spans="2:18" s="1246" customFormat="1" ht="21.75" customHeight="1">
      <c r="B51" s="3308"/>
      <c r="C51" s="1259"/>
      <c r="D51" s="1254"/>
      <c r="E51" s="1254"/>
      <c r="F51" s="1255">
        <f t="shared" si="8"/>
        <v>0</v>
      </c>
      <c r="G51" s="1247"/>
      <c r="H51" s="3311"/>
      <c r="I51" s="1259"/>
      <c r="J51" s="1254"/>
      <c r="K51" s="1254"/>
      <c r="L51" s="1253">
        <f t="shared" si="9"/>
        <v>0</v>
      </c>
      <c r="N51" s="3287"/>
      <c r="O51" s="1259"/>
      <c r="P51" s="1254"/>
      <c r="Q51" s="1254"/>
      <c r="R51" s="1253">
        <f t="shared" si="10"/>
        <v>0</v>
      </c>
    </row>
    <row r="52" spans="2:18" s="1246" customFormat="1" ht="21.75" customHeight="1">
      <c r="B52" s="3308"/>
      <c r="C52" s="1259"/>
      <c r="D52" s="1254"/>
      <c r="E52" s="1254"/>
      <c r="F52" s="1255">
        <f t="shared" si="8"/>
        <v>0</v>
      </c>
      <c r="G52" s="1247"/>
      <c r="H52" s="3311"/>
      <c r="I52" s="1259"/>
      <c r="J52" s="1254"/>
      <c r="K52" s="1254"/>
      <c r="L52" s="1253">
        <f t="shared" si="9"/>
        <v>0</v>
      </c>
      <c r="N52" s="3287"/>
      <c r="O52" s="1259"/>
      <c r="P52" s="1254"/>
      <c r="Q52" s="1254"/>
      <c r="R52" s="1253">
        <f t="shared" si="10"/>
        <v>0</v>
      </c>
    </row>
    <row r="53" spans="2:18" s="1246" customFormat="1" ht="21.75" customHeight="1" thickBot="1">
      <c r="B53" s="3309"/>
      <c r="C53" s="1260"/>
      <c r="D53" s="1256"/>
      <c r="E53" s="1256"/>
      <c r="F53" s="1257">
        <f t="shared" si="8"/>
        <v>0</v>
      </c>
      <c r="G53" s="1247"/>
      <c r="H53" s="3312"/>
      <c r="I53" s="1260"/>
      <c r="J53" s="1256"/>
      <c r="K53" s="1256"/>
      <c r="L53" s="1262">
        <f t="shared" si="9"/>
        <v>0</v>
      </c>
      <c r="N53" s="3288"/>
      <c r="O53" s="1260"/>
      <c r="P53" s="1256"/>
      <c r="Q53" s="1256"/>
      <c r="R53" s="1262">
        <f t="shared" si="10"/>
        <v>0</v>
      </c>
    </row>
    <row r="54" spans="2:18" ht="13.5" thickBot="1"/>
    <row r="55" spans="2:18" s="1246" customFormat="1" ht="23.25" customHeight="1">
      <c r="B55" s="3340" t="s">
        <v>965</v>
      </c>
      <c r="C55" s="3284" t="s">
        <v>918</v>
      </c>
      <c r="D55" s="3281" t="s">
        <v>914</v>
      </c>
      <c r="E55" s="3281"/>
      <c r="F55" s="3282" t="s">
        <v>496</v>
      </c>
      <c r="H55" s="3343" t="s">
        <v>2442</v>
      </c>
      <c r="I55" s="3284" t="s">
        <v>918</v>
      </c>
      <c r="J55" s="3281" t="s">
        <v>914</v>
      </c>
      <c r="K55" s="3281"/>
      <c r="L55" s="3282" t="s">
        <v>496</v>
      </c>
      <c r="N55" s="3337" t="s">
        <v>966</v>
      </c>
      <c r="O55" s="3284" t="s">
        <v>918</v>
      </c>
      <c r="P55" s="3281" t="s">
        <v>914</v>
      </c>
      <c r="Q55" s="3281"/>
      <c r="R55" s="3282" t="s">
        <v>496</v>
      </c>
    </row>
    <row r="56" spans="2:18" s="1246" customFormat="1" ht="23.25" customHeight="1" thickBot="1">
      <c r="B56" s="3341"/>
      <c r="C56" s="3285"/>
      <c r="D56" s="1324" t="s">
        <v>915</v>
      </c>
      <c r="E56" s="1324" t="s">
        <v>916</v>
      </c>
      <c r="F56" s="3283"/>
      <c r="H56" s="3344"/>
      <c r="I56" s="3285"/>
      <c r="J56" s="1324" t="s">
        <v>915</v>
      </c>
      <c r="K56" s="1324" t="s">
        <v>916</v>
      </c>
      <c r="L56" s="3283"/>
      <c r="N56" s="3338"/>
      <c r="O56" s="3285"/>
      <c r="P56" s="1324" t="s">
        <v>915</v>
      </c>
      <c r="Q56" s="1324" t="s">
        <v>916</v>
      </c>
      <c r="R56" s="3283"/>
    </row>
    <row r="57" spans="2:18" s="1246" customFormat="1" ht="21.75" customHeight="1" thickTop="1">
      <c r="B57" s="3341"/>
      <c r="C57" s="1258"/>
      <c r="D57" s="1252"/>
      <c r="E57" s="1252"/>
      <c r="F57" s="1253">
        <f t="shared" ref="F57:F64" si="11">SUM(D57:E57)</f>
        <v>0</v>
      </c>
      <c r="G57" s="1247"/>
      <c r="H57" s="3344"/>
      <c r="I57" s="1258">
        <v>2013</v>
      </c>
      <c r="J57" s="1252">
        <v>12000000</v>
      </c>
      <c r="K57" s="1252"/>
      <c r="L57" s="1253">
        <f t="shared" ref="L57:L64" si="12">SUM(J57:K57)</f>
        <v>12000000</v>
      </c>
      <c r="N57" s="3338"/>
      <c r="O57" s="1258">
        <v>2010</v>
      </c>
      <c r="P57" s="1252">
        <v>50000000</v>
      </c>
      <c r="Q57" s="1252"/>
      <c r="R57" s="1253">
        <f t="shared" ref="R57:R64" si="13">SUM(P57:Q57)</f>
        <v>50000000</v>
      </c>
    </row>
    <row r="58" spans="2:18" s="1246" customFormat="1" ht="21.75" customHeight="1">
      <c r="B58" s="3341"/>
      <c r="C58" s="1258"/>
      <c r="D58" s="1252"/>
      <c r="E58" s="1252"/>
      <c r="F58" s="1255">
        <f t="shared" si="11"/>
        <v>0</v>
      </c>
      <c r="G58" s="1247"/>
      <c r="H58" s="3344"/>
      <c r="I58" s="1258"/>
      <c r="J58" s="1252"/>
      <c r="K58" s="1252"/>
      <c r="L58" s="1253">
        <f t="shared" si="12"/>
        <v>0</v>
      </c>
      <c r="N58" s="3338"/>
      <c r="O58" s="1258"/>
      <c r="P58" s="1252"/>
      <c r="Q58" s="1252"/>
      <c r="R58" s="1253">
        <f t="shared" si="13"/>
        <v>0</v>
      </c>
    </row>
    <row r="59" spans="2:18" s="1246" customFormat="1" ht="21.75" customHeight="1">
      <c r="B59" s="3341"/>
      <c r="C59" s="1258"/>
      <c r="D59" s="1252"/>
      <c r="E59" s="1252"/>
      <c r="F59" s="1255">
        <f t="shared" si="11"/>
        <v>0</v>
      </c>
      <c r="G59" s="1247"/>
      <c r="H59" s="3344"/>
      <c r="I59" s="1258"/>
      <c r="J59" s="1252"/>
      <c r="K59" s="1252"/>
      <c r="L59" s="1253">
        <f t="shared" si="12"/>
        <v>0</v>
      </c>
      <c r="N59" s="3338"/>
      <c r="O59" s="1258"/>
      <c r="P59" s="1252"/>
      <c r="Q59" s="1252"/>
      <c r="R59" s="1253">
        <f t="shared" si="13"/>
        <v>0</v>
      </c>
    </row>
    <row r="60" spans="2:18" s="1246" customFormat="1" ht="21.75" customHeight="1">
      <c r="B60" s="3341"/>
      <c r="C60" s="1258"/>
      <c r="D60" s="1252"/>
      <c r="E60" s="1252"/>
      <c r="F60" s="1255">
        <f t="shared" si="11"/>
        <v>0</v>
      </c>
      <c r="G60" s="1247"/>
      <c r="H60" s="3344"/>
      <c r="I60" s="1258"/>
      <c r="J60" s="1252"/>
      <c r="K60" s="1252"/>
      <c r="L60" s="1253">
        <f t="shared" si="12"/>
        <v>0</v>
      </c>
      <c r="N60" s="3338"/>
      <c r="O60" s="1258"/>
      <c r="P60" s="1252"/>
      <c r="Q60" s="1252"/>
      <c r="R60" s="1253">
        <f t="shared" si="13"/>
        <v>0</v>
      </c>
    </row>
    <row r="61" spans="2:18" s="1246" customFormat="1" ht="21.75" customHeight="1">
      <c r="B61" s="3341"/>
      <c r="C61" s="1258"/>
      <c r="D61" s="1252"/>
      <c r="E61" s="1252"/>
      <c r="F61" s="1255">
        <f t="shared" si="11"/>
        <v>0</v>
      </c>
      <c r="G61" s="1247"/>
      <c r="H61" s="3344"/>
      <c r="I61" s="1258"/>
      <c r="J61" s="1252"/>
      <c r="K61" s="1252"/>
      <c r="L61" s="1253">
        <f t="shared" si="12"/>
        <v>0</v>
      </c>
      <c r="N61" s="3338"/>
      <c r="O61" s="1258"/>
      <c r="P61" s="1252"/>
      <c r="Q61" s="1252"/>
      <c r="R61" s="1253">
        <f t="shared" si="13"/>
        <v>0</v>
      </c>
    </row>
    <row r="62" spans="2:18" s="1246" customFormat="1" ht="21.75" customHeight="1">
      <c r="B62" s="3341"/>
      <c r="C62" s="1259"/>
      <c r="D62" s="1254"/>
      <c r="E62" s="1254"/>
      <c r="F62" s="1255">
        <f t="shared" si="11"/>
        <v>0</v>
      </c>
      <c r="G62" s="1247"/>
      <c r="H62" s="3344"/>
      <c r="I62" s="1259"/>
      <c r="J62" s="1254"/>
      <c r="K62" s="1254"/>
      <c r="L62" s="1253">
        <f t="shared" si="12"/>
        <v>0</v>
      </c>
      <c r="N62" s="3338"/>
      <c r="O62" s="1259"/>
      <c r="P62" s="1254"/>
      <c r="Q62" s="1254"/>
      <c r="R62" s="1253">
        <f t="shared" si="13"/>
        <v>0</v>
      </c>
    </row>
    <row r="63" spans="2:18" s="1246" customFormat="1" ht="21.75" customHeight="1">
      <c r="B63" s="3341"/>
      <c r="C63" s="1259"/>
      <c r="D63" s="1254"/>
      <c r="E63" s="1254"/>
      <c r="F63" s="1255">
        <f t="shared" si="11"/>
        <v>0</v>
      </c>
      <c r="G63" s="1247"/>
      <c r="H63" s="3344"/>
      <c r="I63" s="1259"/>
      <c r="J63" s="1254"/>
      <c r="K63" s="1254"/>
      <c r="L63" s="1253">
        <f t="shared" si="12"/>
        <v>0</v>
      </c>
      <c r="N63" s="3338"/>
      <c r="O63" s="1259"/>
      <c r="P63" s="1254"/>
      <c r="Q63" s="1254"/>
      <c r="R63" s="1253">
        <f t="shared" si="13"/>
        <v>0</v>
      </c>
    </row>
    <row r="64" spans="2:18" s="1246" customFormat="1" ht="21.75" customHeight="1" thickBot="1">
      <c r="B64" s="3342"/>
      <c r="C64" s="1260"/>
      <c r="D64" s="1256"/>
      <c r="E64" s="1256"/>
      <c r="F64" s="1257">
        <f t="shared" si="11"/>
        <v>0</v>
      </c>
      <c r="G64" s="1247"/>
      <c r="H64" s="3345"/>
      <c r="I64" s="1260"/>
      <c r="J64" s="1256"/>
      <c r="K64" s="1256"/>
      <c r="L64" s="1262">
        <f t="shared" si="12"/>
        <v>0</v>
      </c>
      <c r="N64" s="3339"/>
      <c r="O64" s="1260"/>
      <c r="P64" s="1256"/>
      <c r="Q64" s="1256"/>
      <c r="R64" s="1262">
        <f t="shared" si="13"/>
        <v>0</v>
      </c>
    </row>
    <row r="65" spans="2:18" ht="13.5" thickBot="1"/>
    <row r="66" spans="2:18" s="1246" customFormat="1" ht="23.25" customHeight="1">
      <c r="B66" s="3349" t="s">
        <v>967</v>
      </c>
      <c r="C66" s="3284" t="s">
        <v>918</v>
      </c>
      <c r="D66" s="3281" t="s">
        <v>914</v>
      </c>
      <c r="E66" s="3281"/>
      <c r="F66" s="3282" t="s">
        <v>496</v>
      </c>
      <c r="H66" s="3352" t="s">
        <v>2269</v>
      </c>
      <c r="I66" s="3284" t="s">
        <v>918</v>
      </c>
      <c r="J66" s="3281" t="s">
        <v>914</v>
      </c>
      <c r="K66" s="3281"/>
      <c r="L66" s="3282" t="s">
        <v>496</v>
      </c>
      <c r="N66" s="3346"/>
      <c r="O66" s="3284" t="s">
        <v>918</v>
      </c>
      <c r="P66" s="3281" t="s">
        <v>914</v>
      </c>
      <c r="Q66" s="3281"/>
      <c r="R66" s="3282" t="s">
        <v>496</v>
      </c>
    </row>
    <row r="67" spans="2:18" s="1246" customFormat="1" ht="23.25" customHeight="1" thickBot="1">
      <c r="B67" s="3350"/>
      <c r="C67" s="3285"/>
      <c r="D67" s="1324" t="s">
        <v>915</v>
      </c>
      <c r="E67" s="1324" t="s">
        <v>916</v>
      </c>
      <c r="F67" s="3283"/>
      <c r="H67" s="3353"/>
      <c r="I67" s="3285"/>
      <c r="J67" s="1324" t="s">
        <v>915</v>
      </c>
      <c r="K67" s="1324" t="s">
        <v>916</v>
      </c>
      <c r="L67" s="3283"/>
      <c r="N67" s="3347"/>
      <c r="O67" s="3285"/>
      <c r="P67" s="1324" t="s">
        <v>915</v>
      </c>
      <c r="Q67" s="1324" t="s">
        <v>916</v>
      </c>
      <c r="R67" s="3283"/>
    </row>
    <row r="68" spans="2:18" s="1246" customFormat="1" ht="21.75" customHeight="1" thickTop="1">
      <c r="B68" s="3350"/>
      <c r="C68" s="1258">
        <v>2010</v>
      </c>
      <c r="D68" s="1252">
        <v>18525000</v>
      </c>
      <c r="E68" s="1252"/>
      <c r="F68" s="1253">
        <f t="shared" ref="F68:F75" si="14">SUM(D68:E68)</f>
        <v>18525000</v>
      </c>
      <c r="G68" s="1247"/>
      <c r="H68" s="3353"/>
      <c r="I68" s="1258">
        <v>2012</v>
      </c>
      <c r="J68" s="1252">
        <v>88415000</v>
      </c>
      <c r="K68" s="1252"/>
      <c r="L68" s="1253">
        <f t="shared" ref="L68:L75" si="15">SUM(J68:K68)</f>
        <v>88415000</v>
      </c>
      <c r="N68" s="3347"/>
      <c r="O68" s="1258"/>
      <c r="P68" s="1252"/>
      <c r="Q68" s="1252"/>
      <c r="R68" s="1253">
        <f t="shared" ref="R68:R75" si="16">SUM(P68:Q68)</f>
        <v>0</v>
      </c>
    </row>
    <row r="69" spans="2:18" s="1246" customFormat="1" ht="21.75" customHeight="1">
      <c r="B69" s="3350"/>
      <c r="C69" s="1258"/>
      <c r="D69" s="1252"/>
      <c r="E69" s="1252"/>
      <c r="F69" s="1255">
        <f t="shared" si="14"/>
        <v>0</v>
      </c>
      <c r="G69" s="1247"/>
      <c r="H69" s="3353"/>
      <c r="I69" s="1258">
        <v>2013</v>
      </c>
      <c r="J69" s="1252">
        <v>80767000</v>
      </c>
      <c r="K69" s="1252"/>
      <c r="L69" s="1253">
        <f t="shared" si="15"/>
        <v>80767000</v>
      </c>
      <c r="N69" s="3347"/>
      <c r="O69" s="1258"/>
      <c r="P69" s="1252"/>
      <c r="Q69" s="1252"/>
      <c r="R69" s="1253">
        <f t="shared" si="16"/>
        <v>0</v>
      </c>
    </row>
    <row r="70" spans="2:18" s="1246" customFormat="1" ht="21.75" customHeight="1">
      <c r="B70" s="3350"/>
      <c r="C70" s="1258"/>
      <c r="D70" s="1252"/>
      <c r="E70" s="1252"/>
      <c r="F70" s="1255">
        <f t="shared" si="14"/>
        <v>0</v>
      </c>
      <c r="G70" s="1247"/>
      <c r="H70" s="3353"/>
      <c r="I70" s="1258"/>
      <c r="J70" s="1252"/>
      <c r="K70" s="1252"/>
      <c r="L70" s="1253">
        <f t="shared" si="15"/>
        <v>0</v>
      </c>
      <c r="N70" s="3347"/>
      <c r="O70" s="1258"/>
      <c r="P70" s="1252"/>
      <c r="Q70" s="1252"/>
      <c r="R70" s="1253">
        <f t="shared" si="16"/>
        <v>0</v>
      </c>
    </row>
    <row r="71" spans="2:18" s="1246" customFormat="1" ht="21.75" customHeight="1">
      <c r="B71" s="3350"/>
      <c r="C71" s="1258"/>
      <c r="D71" s="1252"/>
      <c r="E71" s="1252"/>
      <c r="F71" s="1255">
        <f t="shared" si="14"/>
        <v>0</v>
      </c>
      <c r="G71" s="1247"/>
      <c r="H71" s="3353"/>
      <c r="I71" s="1258"/>
      <c r="J71" s="1252"/>
      <c r="K71" s="1252"/>
      <c r="L71" s="1253">
        <f t="shared" si="15"/>
        <v>0</v>
      </c>
      <c r="N71" s="3347"/>
      <c r="O71" s="1258"/>
      <c r="P71" s="1252"/>
      <c r="Q71" s="1252"/>
      <c r="R71" s="1253">
        <f t="shared" si="16"/>
        <v>0</v>
      </c>
    </row>
    <row r="72" spans="2:18" s="1246" customFormat="1" ht="21.75" customHeight="1">
      <c r="B72" s="3350"/>
      <c r="C72" s="1258"/>
      <c r="D72" s="1252"/>
      <c r="E72" s="1252"/>
      <c r="F72" s="1255">
        <f t="shared" si="14"/>
        <v>0</v>
      </c>
      <c r="G72" s="1247"/>
      <c r="H72" s="3353"/>
      <c r="I72" s="1258"/>
      <c r="J72" s="1252"/>
      <c r="K72" s="1252"/>
      <c r="L72" s="1253">
        <f t="shared" si="15"/>
        <v>0</v>
      </c>
      <c r="N72" s="3347"/>
      <c r="O72" s="1258"/>
      <c r="P72" s="1252"/>
      <c r="Q72" s="1252"/>
      <c r="R72" s="1253">
        <f t="shared" si="16"/>
        <v>0</v>
      </c>
    </row>
    <row r="73" spans="2:18" s="1246" customFormat="1" ht="21.75" customHeight="1">
      <c r="B73" s="3350"/>
      <c r="C73" s="1259"/>
      <c r="D73" s="1254"/>
      <c r="E73" s="1254"/>
      <c r="F73" s="1255">
        <f t="shared" si="14"/>
        <v>0</v>
      </c>
      <c r="G73" s="1247"/>
      <c r="H73" s="3353"/>
      <c r="I73" s="1259"/>
      <c r="J73" s="1254"/>
      <c r="K73" s="1254"/>
      <c r="L73" s="1253">
        <f t="shared" si="15"/>
        <v>0</v>
      </c>
      <c r="N73" s="3347"/>
      <c r="O73" s="1259"/>
      <c r="P73" s="1254"/>
      <c r="Q73" s="1254"/>
      <c r="R73" s="1253">
        <f t="shared" si="16"/>
        <v>0</v>
      </c>
    </row>
    <row r="74" spans="2:18" s="1246" customFormat="1" ht="21.75" customHeight="1">
      <c r="B74" s="3350"/>
      <c r="C74" s="1259"/>
      <c r="D74" s="1254"/>
      <c r="E74" s="1254"/>
      <c r="F74" s="1255">
        <f t="shared" si="14"/>
        <v>0</v>
      </c>
      <c r="G74" s="1247"/>
      <c r="H74" s="3353"/>
      <c r="I74" s="1259"/>
      <c r="J74" s="1254"/>
      <c r="K74" s="1254"/>
      <c r="L74" s="1253">
        <f t="shared" si="15"/>
        <v>0</v>
      </c>
      <c r="N74" s="3347"/>
      <c r="O74" s="1259"/>
      <c r="P74" s="1254"/>
      <c r="Q74" s="1254"/>
      <c r="R74" s="1253">
        <f t="shared" si="16"/>
        <v>0</v>
      </c>
    </row>
    <row r="75" spans="2:18" s="1246" customFormat="1" ht="21.75" customHeight="1" thickBot="1">
      <c r="B75" s="3351"/>
      <c r="C75" s="1260"/>
      <c r="D75" s="1256"/>
      <c r="E75" s="1256"/>
      <c r="F75" s="1257">
        <f t="shared" si="14"/>
        <v>0</v>
      </c>
      <c r="G75" s="1247"/>
      <c r="H75" s="3354"/>
      <c r="I75" s="1260"/>
      <c r="J75" s="1256"/>
      <c r="K75" s="1256"/>
      <c r="L75" s="1262">
        <f t="shared" si="15"/>
        <v>0</v>
      </c>
      <c r="N75" s="3348"/>
      <c r="O75" s="1260"/>
      <c r="P75" s="1256"/>
      <c r="Q75" s="1256"/>
      <c r="R75" s="1262">
        <f t="shared" si="16"/>
        <v>0</v>
      </c>
    </row>
  </sheetData>
  <sheetProtection formatColumns="0" formatRows="0"/>
  <protectedRanges>
    <protectedRange sqref="H3:K9 O3:Q9 E14:E21 K14:K21 Q14:Q21 B26:E28 H26:K28 N26:Q28 E33:E40 K33:K40 Q33:Q40 C46:E53 I46:K53 O46:Q53 C57:E64 I57:K64 O57:Q64 C68:E75 I68:K75 O68:Q75 C3:E9 B3:B8" name="Range1"/>
  </protectedRanges>
  <customSheetViews>
    <customSheetView guid="{4567A2CF-35AA-4E08-B7D1-F029A2641346}" scale="60" showPageBreaks="1" view="pageBreakPreview">
      <selection activeCell="W42" sqref="W42"/>
      <pageMargins left="0.35433070866141703" right="0.15748031496063" top="0.83" bottom="0.54" header="0.38" footer="0.33"/>
      <printOptions horizontalCentered="1" verticalCentered="1"/>
      <pageSetup paperSize="175" scale="90" orientation="landscape" r:id="rId1"/>
      <headerFooter alignWithMargins="0"/>
    </customSheetView>
  </customSheetViews>
  <mergeCells count="130">
    <mergeCell ref="J66:K66"/>
    <mergeCell ref="L66:L67"/>
    <mergeCell ref="N66:N75"/>
    <mergeCell ref="O66:O67"/>
    <mergeCell ref="P66:Q66"/>
    <mergeCell ref="R66:R67"/>
    <mergeCell ref="B66:B75"/>
    <mergeCell ref="C66:C67"/>
    <mergeCell ref="D66:E66"/>
    <mergeCell ref="F66:F67"/>
    <mergeCell ref="H66:H75"/>
    <mergeCell ref="I66:I67"/>
    <mergeCell ref="J55:K55"/>
    <mergeCell ref="L55:L56"/>
    <mergeCell ref="N55:N64"/>
    <mergeCell ref="O55:O56"/>
    <mergeCell ref="P55:Q55"/>
    <mergeCell ref="R55:R56"/>
    <mergeCell ref="B55:B64"/>
    <mergeCell ref="C55:C56"/>
    <mergeCell ref="D55:E55"/>
    <mergeCell ref="F55:F56"/>
    <mergeCell ref="H55:H64"/>
    <mergeCell ref="I55:I56"/>
    <mergeCell ref="C44:C45"/>
    <mergeCell ref="D44:E44"/>
    <mergeCell ref="F44:F45"/>
    <mergeCell ref="I44:I45"/>
    <mergeCell ref="B44:B53"/>
    <mergeCell ref="H44:H53"/>
    <mergeCell ref="J11:L11"/>
    <mergeCell ref="J30:L30"/>
    <mergeCell ref="N19:O19"/>
    <mergeCell ref="N20:O20"/>
    <mergeCell ref="N21:O21"/>
    <mergeCell ref="H11:I13"/>
    <mergeCell ref="H30:I32"/>
    <mergeCell ref="H33:I33"/>
    <mergeCell ref="B34:C34"/>
    <mergeCell ref="H34:I34"/>
    <mergeCell ref="B11:C13"/>
    <mergeCell ref="B14:C14"/>
    <mergeCell ref="B15:C15"/>
    <mergeCell ref="H14:I14"/>
    <mergeCell ref="B30:C32"/>
    <mergeCell ref="B33:C33"/>
    <mergeCell ref="B21:C21"/>
    <mergeCell ref="H17:I17"/>
    <mergeCell ref="J44:K44"/>
    <mergeCell ref="L44:L45"/>
    <mergeCell ref="O44:O45"/>
    <mergeCell ref="P44:Q44"/>
    <mergeCell ref="R44:R45"/>
    <mergeCell ref="N44:N53"/>
    <mergeCell ref="N11:O13"/>
    <mergeCell ref="N14:O14"/>
    <mergeCell ref="P24:Q24"/>
    <mergeCell ref="R24:R25"/>
    <mergeCell ref="N24:N25"/>
    <mergeCell ref="O24:O25"/>
    <mergeCell ref="N15:O15"/>
    <mergeCell ref="N16:O16"/>
    <mergeCell ref="N17:O17"/>
    <mergeCell ref="N18:O18"/>
    <mergeCell ref="N30:O32"/>
    <mergeCell ref="N33:O33"/>
    <mergeCell ref="N39:O39"/>
    <mergeCell ref="N40:O40"/>
    <mergeCell ref="P11:R11"/>
    <mergeCell ref="P30:R30"/>
    <mergeCell ref="N34:O34"/>
    <mergeCell ref="N35:O35"/>
    <mergeCell ref="B20:C20"/>
    <mergeCell ref="H18:I18"/>
    <mergeCell ref="H19:I19"/>
    <mergeCell ref="B16:C16"/>
    <mergeCell ref="B24:B25"/>
    <mergeCell ref="C24:C25"/>
    <mergeCell ref="D24:E24"/>
    <mergeCell ref="F24:F25"/>
    <mergeCell ref="H24:H25"/>
    <mergeCell ref="I24:I25"/>
    <mergeCell ref="B1:B2"/>
    <mergeCell ref="P1:Q1"/>
    <mergeCell ref="R1:R2"/>
    <mergeCell ref="C1:C2"/>
    <mergeCell ref="I1:I2"/>
    <mergeCell ref="O1:O2"/>
    <mergeCell ref="D1:E1"/>
    <mergeCell ref="F1:F2"/>
    <mergeCell ref="H1:H2"/>
    <mergeCell ref="J1:K1"/>
    <mergeCell ref="L1:L2"/>
    <mergeCell ref="N1:N2"/>
    <mergeCell ref="N36:O36"/>
    <mergeCell ref="N37:O37"/>
    <mergeCell ref="N38:O38"/>
    <mergeCell ref="B37:C37"/>
    <mergeCell ref="B38:C38"/>
    <mergeCell ref="B40:C40"/>
    <mergeCell ref="J24:K24"/>
    <mergeCell ref="L24:L25"/>
    <mergeCell ref="H38:I38"/>
    <mergeCell ref="H39:I39"/>
    <mergeCell ref="H40:I40"/>
    <mergeCell ref="H37:I37"/>
    <mergeCell ref="D11:F11"/>
    <mergeCell ref="B39:C39"/>
    <mergeCell ref="H35:I35"/>
    <mergeCell ref="H36:I36"/>
    <mergeCell ref="C6:C7"/>
    <mergeCell ref="D6:D7"/>
    <mergeCell ref="E6:E7"/>
    <mergeCell ref="F6:F7"/>
    <mergeCell ref="B6:B7"/>
    <mergeCell ref="B8:B9"/>
    <mergeCell ref="C8:C9"/>
    <mergeCell ref="D8:D9"/>
    <mergeCell ref="E8:E9"/>
    <mergeCell ref="F8:F9"/>
    <mergeCell ref="B35:C35"/>
    <mergeCell ref="B36:C36"/>
    <mergeCell ref="D30:F30"/>
    <mergeCell ref="H15:I15"/>
    <mergeCell ref="H16:I16"/>
    <mergeCell ref="H20:I20"/>
    <mergeCell ref="H21:I21"/>
    <mergeCell ref="B17:C17"/>
    <mergeCell ref="B18:C18"/>
    <mergeCell ref="B19:C19"/>
  </mergeCells>
  <phoneticPr fontId="15" type="noConversion"/>
  <printOptions horizontalCentered="1" verticalCentered="1"/>
  <pageMargins left="0.35433070866141703" right="0.15748031496063" top="0.82677165354330695" bottom="0.55118110236220497" header="0.39370078740157499" footer="0.31496062992126"/>
  <pageSetup paperSize="9" scale="43" orientation="landscape" r:id="rId2"/>
  <headerFooter alignWithMargins="0"/>
  <drawing r:id="rId3"/>
  <legacy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002060"/>
  </sheetPr>
  <dimension ref="A1:M87"/>
  <sheetViews>
    <sheetView showGridLines="0" topLeftCell="A27" workbookViewId="0">
      <selection activeCell="F31" sqref="F31"/>
    </sheetView>
  </sheetViews>
  <sheetFormatPr defaultColWidth="9.140625" defaultRowHeight="12.75"/>
  <cols>
    <col min="1" max="1" width="23.28515625" style="713" customWidth="1"/>
    <col min="2" max="2" width="9.140625" style="713"/>
    <col min="3" max="3" width="19.85546875" style="713" customWidth="1"/>
    <col min="4" max="4" width="14.5703125" style="713" customWidth="1"/>
    <col min="5" max="5" width="37.140625" style="713" customWidth="1"/>
    <col min="6" max="6" width="12.42578125" style="713" customWidth="1"/>
    <col min="7" max="7" width="10.7109375" style="713" bestFit="1" customWidth="1"/>
    <col min="8" max="8" width="23.7109375" style="713" customWidth="1"/>
    <col min="9" max="9" width="24.42578125" style="713" customWidth="1"/>
    <col min="10" max="10" width="20" customWidth="1"/>
    <col min="11" max="11" width="16" bestFit="1" customWidth="1"/>
    <col min="12" max="12" width="16.42578125" customWidth="1"/>
    <col min="13" max="13" width="12.140625" bestFit="1" customWidth="1"/>
    <col min="14" max="16384" width="9.140625" style="704"/>
  </cols>
  <sheetData>
    <row r="1" spans="1:13" ht="27">
      <c r="A1" s="3355" t="str">
        <f>"Simulasi Tutup buku  "</f>
        <v xml:space="preserve">Simulasi Tutup buku  </v>
      </c>
      <c r="B1" s="3356"/>
      <c r="C1" s="3356"/>
      <c r="D1" s="3356"/>
      <c r="E1" s="3356"/>
      <c r="F1" s="3356"/>
      <c r="G1" s="3356"/>
      <c r="H1" s="3356"/>
      <c r="I1" s="1085"/>
    </row>
    <row r="3" spans="1:13" ht="15.75">
      <c r="A3" s="1086" t="s">
        <v>259</v>
      </c>
    </row>
    <row r="4" spans="1:13">
      <c r="J4" s="1309" t="s">
        <v>706</v>
      </c>
      <c r="K4" s="1309" t="s">
        <v>2235</v>
      </c>
      <c r="L4" s="1312" t="s">
        <v>2234</v>
      </c>
      <c r="M4" s="1313" t="s">
        <v>931</v>
      </c>
    </row>
    <row r="5" spans="1:13">
      <c r="A5" s="713" t="s">
        <v>260</v>
      </c>
      <c r="C5" s="1087">
        <v>1103597935</v>
      </c>
      <c r="J5" s="1310" t="s">
        <v>932</v>
      </c>
      <c r="K5" s="1314"/>
      <c r="L5" s="1315"/>
      <c r="M5" s="1316">
        <f>K5-L5</f>
        <v>0</v>
      </c>
    </row>
    <row r="6" spans="1:13">
      <c r="C6" s="1087"/>
      <c r="J6" s="1310" t="s">
        <v>933</v>
      </c>
      <c r="K6" s="1314">
        <v>368258000</v>
      </c>
      <c r="L6" s="1315"/>
      <c r="M6" s="1316">
        <f>K6-L6</f>
        <v>368258000</v>
      </c>
    </row>
    <row r="7" spans="1:13">
      <c r="A7" s="713" t="s">
        <v>261</v>
      </c>
      <c r="C7" s="1088">
        <v>246372029</v>
      </c>
      <c r="D7" s="713" t="s">
        <v>262</v>
      </c>
      <c r="J7" s="1311" t="s">
        <v>934</v>
      </c>
      <c r="K7" s="1317">
        <f>SUM(K5:K6)</f>
        <v>368258000</v>
      </c>
      <c r="L7" s="1317">
        <f>SUM(L5:L6)</f>
        <v>0</v>
      </c>
      <c r="M7" s="1318">
        <f>SUM(M5:M6)</f>
        <v>368258000</v>
      </c>
    </row>
    <row r="8" spans="1:13">
      <c r="C8" s="1089"/>
    </row>
    <row r="9" spans="1:13">
      <c r="A9" s="1321" t="s">
        <v>939</v>
      </c>
      <c r="C9" s="1089">
        <f>C5-C7</f>
        <v>857225906</v>
      </c>
    </row>
    <row r="10" spans="1:13">
      <c r="C10" s="1089"/>
    </row>
    <row r="11" spans="1:13">
      <c r="C11" s="1089"/>
    </row>
    <row r="13" spans="1:13" ht="15.75">
      <c r="A13" s="1086" t="s">
        <v>263</v>
      </c>
      <c r="E13" s="1090" t="s">
        <v>520</v>
      </c>
    </row>
    <row r="14" spans="1:13" ht="12" customHeight="1">
      <c r="A14" s="1091"/>
      <c r="E14" s="1092" t="s">
        <v>521</v>
      </c>
    </row>
    <row r="15" spans="1:13" ht="15.75">
      <c r="A15" s="1091"/>
      <c r="E15" s="1092" t="s">
        <v>522</v>
      </c>
    </row>
    <row r="16" spans="1:13" ht="12" customHeight="1">
      <c r="A16" s="1091"/>
    </row>
    <row r="17" spans="1:13" ht="12" customHeight="1">
      <c r="A17" s="1091"/>
    </row>
    <row r="18" spans="1:13" ht="12" customHeight="1">
      <c r="A18" s="1091"/>
    </row>
    <row r="19" spans="1:13" ht="12" customHeight="1">
      <c r="A19" s="1091"/>
    </row>
    <row r="20" spans="1:13" ht="12" customHeight="1">
      <c r="A20" s="1091"/>
    </row>
    <row r="21" spans="1:13" ht="12" customHeight="1">
      <c r="A21" s="1091"/>
    </row>
    <row r="22" spans="1:13" ht="12" customHeight="1">
      <c r="A22" s="1091"/>
    </row>
    <row r="23" spans="1:13" ht="12" customHeight="1">
      <c r="A23" s="1091"/>
    </row>
    <row r="24" spans="1:13" ht="12" customHeight="1">
      <c r="A24" s="713" t="s">
        <v>265</v>
      </c>
      <c r="C24" s="1089">
        <f>C9</f>
        <v>857225906</v>
      </c>
      <c r="E24" s="1092" t="s">
        <v>266</v>
      </c>
      <c r="F24" s="1089">
        <f>ROUND(C28*50%,-2)</f>
        <v>226593800</v>
      </c>
    </row>
    <row r="25" spans="1:13" ht="12" customHeight="1">
      <c r="A25" s="713" t="s">
        <v>519</v>
      </c>
      <c r="C25" s="1089">
        <v>404038335</v>
      </c>
      <c r="E25" s="1092"/>
      <c r="F25" s="1089"/>
    </row>
    <row r="26" spans="1:13" ht="12" customHeight="1">
      <c r="A26" s="713" t="s">
        <v>935</v>
      </c>
      <c r="C26" s="1093">
        <v>0</v>
      </c>
      <c r="D26" s="713" t="s">
        <v>262</v>
      </c>
      <c r="E26" s="1092"/>
      <c r="F26" s="1089">
        <f>ROUND(C28*35%,-5)</f>
        <v>158600000</v>
      </c>
      <c r="G26" s="1095">
        <f>SUM(F27:F29)</f>
        <v>145990000</v>
      </c>
      <c r="H26" s="3129">
        <f>G26/C28*100</f>
        <v>32.214034395925658</v>
      </c>
      <c r="I26" s="1095"/>
    </row>
    <row r="27" spans="1:13">
      <c r="C27" s="1089"/>
      <c r="E27" s="713" t="s">
        <v>2627</v>
      </c>
      <c r="F27" s="1089">
        <f>ROUND($C$28*12.8%,-4)</f>
        <v>58010000</v>
      </c>
      <c r="G27" s="713" t="s">
        <v>941</v>
      </c>
      <c r="J27" s="3016">
        <f>ROUND(C28*5%,-5)</f>
        <v>22700000</v>
      </c>
      <c r="L27">
        <v>2400</v>
      </c>
    </row>
    <row r="28" spans="1:13">
      <c r="A28" s="713" t="s">
        <v>267</v>
      </c>
      <c r="C28" s="1089">
        <f>C24-C25-C26</f>
        <v>453187571</v>
      </c>
      <c r="E28" s="1092" t="s">
        <v>2622</v>
      </c>
      <c r="F28" s="1089">
        <f>ROUND($C$28*15%,-5)</f>
        <v>68000000</v>
      </c>
      <c r="G28" s="713" t="s">
        <v>942</v>
      </c>
      <c r="J28">
        <v>34371358.100000001</v>
      </c>
      <c r="L28">
        <v>2300</v>
      </c>
    </row>
    <row r="29" spans="1:13">
      <c r="C29" s="1089"/>
      <c r="E29" s="1092" t="s">
        <v>2623</v>
      </c>
      <c r="F29" s="1089">
        <v>19980000</v>
      </c>
      <c r="G29" s="713" t="s">
        <v>942</v>
      </c>
      <c r="L29">
        <v>1100</v>
      </c>
    </row>
    <row r="30" spans="1:13">
      <c r="C30" s="1089"/>
      <c r="E30" s="1092"/>
      <c r="F30" s="1094">
        <f>SUM(F27:F29)</f>
        <v>145990000</v>
      </c>
      <c r="I30" s="1095"/>
      <c r="L30">
        <f>SUM(L27:L29)</f>
        <v>5800</v>
      </c>
      <c r="M30">
        <f>L30*2</f>
        <v>11600</v>
      </c>
    </row>
    <row r="31" spans="1:13">
      <c r="C31" s="1089"/>
      <c r="E31" s="713" t="s">
        <v>2625</v>
      </c>
      <c r="F31" s="1095">
        <f>F30+H31</f>
        <v>545733500</v>
      </c>
      <c r="H31" s="1095">
        <v>399743500</v>
      </c>
      <c r="I31" s="3013">
        <f>306643500-2000000</f>
        <v>304643500</v>
      </c>
    </row>
    <row r="32" spans="1:13">
      <c r="C32" s="1089"/>
      <c r="I32" s="3013">
        <f>I31-F31</f>
        <v>-241090000</v>
      </c>
    </row>
    <row r="33" spans="1:10" ht="18.75">
      <c r="A33" s="1096" t="s">
        <v>269</v>
      </c>
      <c r="C33" s="1089"/>
      <c r="E33" s="2434" t="s">
        <v>937</v>
      </c>
      <c r="F33" s="2435">
        <f>C28-F24-F30</f>
        <v>80603771</v>
      </c>
      <c r="G33" s="1097"/>
    </row>
    <row r="34" spans="1:10">
      <c r="A34" s="1096" t="s">
        <v>270</v>
      </c>
      <c r="C34" s="1089"/>
      <c r="E34" s="1092"/>
      <c r="F34" s="1095"/>
    </row>
    <row r="35" spans="1:10">
      <c r="A35" s="1098" t="s">
        <v>271</v>
      </c>
      <c r="C35" s="1089"/>
      <c r="E35" s="1092"/>
      <c r="F35" s="1099"/>
    </row>
    <row r="36" spans="1:10">
      <c r="A36" s="1096" t="s">
        <v>272</v>
      </c>
      <c r="C36" s="1089"/>
      <c r="E36" s="1092"/>
      <c r="F36" s="1099"/>
    </row>
    <row r="37" spans="1:10">
      <c r="A37" s="1098" t="s">
        <v>273</v>
      </c>
      <c r="C37" s="1089"/>
      <c r="F37" s="1099"/>
      <c r="I37" s="3014">
        <v>2100000</v>
      </c>
      <c r="J37" s="3015">
        <f>I37*2</f>
        <v>4200000</v>
      </c>
    </row>
    <row r="38" spans="1:10">
      <c r="A38" s="1096" t="s">
        <v>272</v>
      </c>
      <c r="C38" s="1089"/>
      <c r="F38" s="1099"/>
      <c r="H38" s="1099">
        <v>8625600</v>
      </c>
      <c r="I38" s="3014">
        <v>1800000</v>
      </c>
      <c r="J38" s="3015">
        <f>I38*2</f>
        <v>3600000</v>
      </c>
    </row>
    <row r="39" spans="1:10">
      <c r="A39" s="1096" t="s">
        <v>274</v>
      </c>
      <c r="C39" s="1089"/>
      <c r="F39" s="1099"/>
      <c r="H39" s="1095">
        <f>F38-H38</f>
        <v>-8625600</v>
      </c>
      <c r="I39" s="3014">
        <v>1800000</v>
      </c>
      <c r="J39" s="3015">
        <f>I39*2</f>
        <v>3600000</v>
      </c>
    </row>
    <row r="40" spans="1:10">
      <c r="C40" s="1089"/>
      <c r="F40" s="2436"/>
      <c r="J40" s="3016">
        <f>SUM(J37:J39)</f>
        <v>11400000</v>
      </c>
    </row>
    <row r="41" spans="1:10">
      <c r="A41" s="1100" t="s">
        <v>936</v>
      </c>
      <c r="C41" s="1089"/>
      <c r="E41" s="1092"/>
      <c r="F41" s="1099"/>
    </row>
    <row r="42" spans="1:10">
      <c r="C42" s="1089"/>
      <c r="F42" s="1099"/>
    </row>
    <row r="43" spans="1:10">
      <c r="A43" s="713" t="s">
        <v>275</v>
      </c>
      <c r="C43" s="1089"/>
      <c r="F43" s="1095"/>
    </row>
    <row r="44" spans="1:10">
      <c r="C44" s="1089"/>
      <c r="F44" s="1095"/>
      <c r="H44" s="713" t="s">
        <v>2733</v>
      </c>
    </row>
    <row r="45" spans="1:10">
      <c r="A45" s="3357" t="s">
        <v>276</v>
      </c>
      <c r="B45" s="3357"/>
      <c r="C45" s="3357"/>
      <c r="D45" s="3357"/>
      <c r="F45" s="1095"/>
    </row>
    <row r="46" spans="1:10" ht="13.5" thickBot="1">
      <c r="A46" s="3358" t="s">
        <v>277</v>
      </c>
      <c r="B46" s="3358"/>
      <c r="C46" s="3358"/>
      <c r="D46" s="3358"/>
      <c r="F46" s="1095"/>
    </row>
    <row r="47" spans="1:10">
      <c r="C47" s="1101" t="s">
        <v>254</v>
      </c>
      <c r="D47" s="1102">
        <f>F31</f>
        <v>545733500</v>
      </c>
      <c r="F47" s="1095"/>
    </row>
    <row r="48" spans="1:10">
      <c r="A48" s="713" t="s">
        <v>278</v>
      </c>
      <c r="B48" s="1089"/>
      <c r="C48" s="1103"/>
      <c r="D48" s="1089"/>
      <c r="E48" s="1104"/>
      <c r="F48" s="1095"/>
    </row>
    <row r="49" spans="1:6">
      <c r="B49" s="1089"/>
      <c r="C49" s="1320" t="s">
        <v>940</v>
      </c>
      <c r="D49" s="3130">
        <v>1856350000</v>
      </c>
      <c r="E49" s="1104"/>
    </row>
    <row r="50" spans="1:6">
      <c r="A50" s="713" t="s">
        <v>279</v>
      </c>
      <c r="B50" s="1089"/>
      <c r="C50" s="1320" t="s">
        <v>938</v>
      </c>
      <c r="D50" s="1089">
        <v>1326804170.998889</v>
      </c>
    </row>
    <row r="51" spans="1:6">
      <c r="B51" s="1089"/>
      <c r="C51" s="1320" t="s">
        <v>106</v>
      </c>
      <c r="D51" s="1089">
        <f>C9</f>
        <v>857225906</v>
      </c>
      <c r="E51" s="713" t="s">
        <v>280</v>
      </c>
    </row>
    <row r="52" spans="1:6">
      <c r="B52" s="1089"/>
      <c r="C52" s="1103"/>
      <c r="D52" s="1089">
        <f>E77</f>
        <v>711235906</v>
      </c>
      <c r="E52" s="713" t="s">
        <v>281</v>
      </c>
    </row>
    <row r="53" spans="1:6">
      <c r="B53" s="1089"/>
      <c r="C53" s="1103"/>
      <c r="D53" s="1089"/>
      <c r="E53" s="1322">
        <f>C25</f>
        <v>404038335</v>
      </c>
      <c r="F53" s="1321" t="s">
        <v>943</v>
      </c>
    </row>
    <row r="54" spans="1:6">
      <c r="B54" s="1089"/>
      <c r="C54" s="1103"/>
      <c r="D54" s="1089"/>
      <c r="E54" s="1322">
        <f>F24</f>
        <v>226593800</v>
      </c>
      <c r="F54" s="1321" t="s">
        <v>264</v>
      </c>
    </row>
    <row r="55" spans="1:6">
      <c r="B55" s="1089"/>
      <c r="C55" s="1103"/>
      <c r="D55" s="1089"/>
      <c r="E55" s="1322">
        <f>C26</f>
        <v>0</v>
      </c>
      <c r="F55" s="1321" t="s">
        <v>944</v>
      </c>
    </row>
    <row r="56" spans="1:6">
      <c r="B56" s="1089"/>
      <c r="C56" s="1089"/>
      <c r="D56" s="1089"/>
      <c r="E56" s="1322">
        <f>F33</f>
        <v>80603771</v>
      </c>
      <c r="F56" s="1319" t="s">
        <v>937</v>
      </c>
    </row>
    <row r="57" spans="1:6">
      <c r="B57" s="1089"/>
      <c r="C57" s="1089"/>
      <c r="D57" s="1089"/>
      <c r="E57" s="1323">
        <f>SUM(E53:E56)</f>
        <v>711235906</v>
      </c>
      <c r="F57" s="1321"/>
    </row>
    <row r="58" spans="1:6">
      <c r="A58" s="713" t="s">
        <v>282</v>
      </c>
      <c r="B58" s="1089"/>
      <c r="C58" s="1089"/>
      <c r="D58" s="1089"/>
      <c r="E58" s="1323">
        <f>E57+F31</f>
        <v>1256969406</v>
      </c>
      <c r="F58" s="1323"/>
    </row>
    <row r="59" spans="1:6">
      <c r="A59" s="713" t="s">
        <v>283</v>
      </c>
      <c r="B59" s="1089"/>
      <c r="C59" s="1089"/>
      <c r="D59" s="1089"/>
    </row>
    <row r="60" spans="1:6">
      <c r="A60" s="713" t="s">
        <v>284</v>
      </c>
      <c r="B60" s="1089"/>
      <c r="C60" s="1089"/>
      <c r="D60" s="1089"/>
    </row>
    <row r="61" spans="1:6">
      <c r="A61" s="713" t="s">
        <v>285</v>
      </c>
      <c r="B61" s="1089"/>
      <c r="C61" s="1089"/>
      <c r="D61" s="1089"/>
    </row>
    <row r="62" spans="1:6">
      <c r="A62" s="713" t="s">
        <v>286</v>
      </c>
      <c r="B62" s="1089"/>
      <c r="C62" s="1089"/>
      <c r="D62" s="1089"/>
    </row>
    <row r="63" spans="1:6">
      <c r="A63" s="713" t="s">
        <v>525</v>
      </c>
      <c r="B63" s="1089"/>
      <c r="C63" s="1089"/>
      <c r="D63" s="1089"/>
    </row>
    <row r="64" spans="1:6">
      <c r="A64" s="1105" t="s">
        <v>287</v>
      </c>
      <c r="B64" s="1089"/>
      <c r="C64" s="1089"/>
      <c r="D64" s="1089"/>
    </row>
    <row r="65" spans="1:6">
      <c r="A65" s="1105"/>
      <c r="B65" s="1089"/>
      <c r="C65" s="1089"/>
      <c r="D65" s="1089"/>
    </row>
    <row r="66" spans="1:6" ht="15.75">
      <c r="A66" s="1086" t="s">
        <v>288</v>
      </c>
    </row>
    <row r="68" spans="1:6">
      <c r="A68" s="1095" t="str">
        <f>C49</f>
        <v>Modal UEP &amp;  SPP</v>
      </c>
      <c r="D68" s="3130">
        <v>1856350000</v>
      </c>
    </row>
    <row r="69" spans="1:6">
      <c r="A69" s="713" t="s">
        <v>289</v>
      </c>
      <c r="D69" s="1107">
        <f>D50</f>
        <v>1326804170.998889</v>
      </c>
      <c r="E69" s="1089" t="s">
        <v>268</v>
      </c>
    </row>
    <row r="70" spans="1:6">
      <c r="D70" s="1089"/>
      <c r="E70" s="1089">
        <f>SUM(D68:D69)</f>
        <v>3183154170.998889</v>
      </c>
    </row>
    <row r="71" spans="1:6">
      <c r="A71" s="713" t="s">
        <v>290</v>
      </c>
      <c r="D71" s="1089">
        <f>C24</f>
        <v>857225906</v>
      </c>
    </row>
    <row r="72" spans="1:6">
      <c r="A72" s="713" t="s">
        <v>291</v>
      </c>
      <c r="D72" s="1089"/>
      <c r="E72" s="1089"/>
    </row>
    <row r="73" spans="1:6">
      <c r="A73" s="1092" t="s">
        <v>292</v>
      </c>
      <c r="D73" s="1089">
        <f>-F27</f>
        <v>-58010000</v>
      </c>
      <c r="E73" s="1089"/>
    </row>
    <row r="74" spans="1:6">
      <c r="A74" s="1092" t="s">
        <v>523</v>
      </c>
      <c r="D74" s="1089">
        <f>-F28</f>
        <v>-68000000</v>
      </c>
      <c r="E74" s="1089"/>
    </row>
    <row r="75" spans="1:6">
      <c r="A75" s="1092" t="s">
        <v>524</v>
      </c>
      <c r="D75" s="1089">
        <f>-F29</f>
        <v>-19980000</v>
      </c>
      <c r="E75" s="1089"/>
    </row>
    <row r="76" spans="1:6">
      <c r="D76" s="1089"/>
      <c r="E76" s="1089"/>
    </row>
    <row r="77" spans="1:6">
      <c r="A77" s="713" t="s">
        <v>106</v>
      </c>
      <c r="D77" s="1089"/>
      <c r="E77" s="1093">
        <f>SUM(D71:D75)</f>
        <v>711235906</v>
      </c>
      <c r="F77" s="713" t="s">
        <v>268</v>
      </c>
    </row>
    <row r="78" spans="1:6">
      <c r="A78" s="713" t="s">
        <v>293</v>
      </c>
      <c r="D78" s="1089"/>
      <c r="E78" s="1106">
        <f>SUM(E70:E77)</f>
        <v>3894390076.998889</v>
      </c>
    </row>
    <row r="79" spans="1:6">
      <c r="D79" s="1089"/>
      <c r="E79" s="1089"/>
    </row>
    <row r="80" spans="1:6">
      <c r="D80" s="1089"/>
      <c r="E80" s="1089"/>
    </row>
    <row r="81" spans="4:5">
      <c r="D81" s="1089"/>
      <c r="E81" s="1089"/>
    </row>
    <row r="82" spans="4:5">
      <c r="D82" s="1089"/>
      <c r="E82" s="1089"/>
    </row>
    <row r="83" spans="4:5">
      <c r="D83" s="1089"/>
      <c r="E83" s="1089"/>
    </row>
    <row r="84" spans="4:5">
      <c r="D84" s="1089"/>
      <c r="E84" s="1089"/>
    </row>
    <row r="85" spans="4:5">
      <c r="D85" s="1089"/>
      <c r="E85" s="1089"/>
    </row>
    <row r="86" spans="4:5">
      <c r="D86" s="1089"/>
      <c r="E86" s="1089"/>
    </row>
    <row r="87" spans="4:5">
      <c r="E87" s="1089"/>
    </row>
  </sheetData>
  <mergeCells count="3">
    <mergeCell ref="A1:H1"/>
    <mergeCell ref="A45:D45"/>
    <mergeCell ref="A46:D46"/>
  </mergeCells>
  <pageMargins left="0.59055118110236204" right="0.15748031496063" top="0.55118110236220497" bottom="0.511811023622047" header="0.511811023622047" footer="0.511811023622047"/>
  <pageSetup paperSize="9" scale="75" orientation="portrait"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rgb="FFFFC000"/>
  </sheetPr>
  <dimension ref="A2:H59"/>
  <sheetViews>
    <sheetView topLeftCell="A22" workbookViewId="0">
      <selection activeCell="E29" sqref="E29"/>
    </sheetView>
  </sheetViews>
  <sheetFormatPr defaultColWidth="9.140625" defaultRowHeight="12.75"/>
  <cols>
    <col min="1" max="1" width="16.7109375" style="704" customWidth="1"/>
    <col min="2" max="2" width="42.7109375" style="704" customWidth="1"/>
    <col min="3" max="3" width="16.28515625" style="704" customWidth="1"/>
    <col min="4" max="4" width="20.85546875" style="704" customWidth="1"/>
    <col min="5" max="5" width="21.5703125" style="704" customWidth="1"/>
    <col min="6" max="6" width="12.42578125" style="704" customWidth="1"/>
    <col min="7" max="7" width="11.28515625" style="704" bestFit="1" customWidth="1"/>
    <col min="8" max="8" width="10.85546875" style="704" bestFit="1" customWidth="1"/>
    <col min="9" max="16384" width="9.140625" style="704"/>
  </cols>
  <sheetData>
    <row r="2" spans="1:8" ht="22.5" customHeight="1" thickBot="1">
      <c r="A2" s="3361" t="s">
        <v>294</v>
      </c>
      <c r="B2" s="3361"/>
      <c r="C2" s="3361"/>
      <c r="D2" s="3361"/>
      <c r="E2" s="3361"/>
    </row>
    <row r="3" spans="1:8" ht="15.75" thickBot="1">
      <c r="A3" s="1108" t="s">
        <v>295</v>
      </c>
      <c r="B3" s="1109" t="s">
        <v>296</v>
      </c>
      <c r="C3" s="1109" t="s">
        <v>297</v>
      </c>
      <c r="D3" s="1109" t="s">
        <v>298</v>
      </c>
      <c r="E3" s="1109" t="s">
        <v>299</v>
      </c>
    </row>
    <row r="4" spans="1:8" ht="15" customHeight="1">
      <c r="A4" s="3362"/>
      <c r="B4" s="1110"/>
      <c r="C4" s="3362"/>
      <c r="D4" s="1110"/>
      <c r="E4" s="1111"/>
    </row>
    <row r="5" spans="1:8" ht="15" customHeight="1">
      <c r="A5" s="3363"/>
      <c r="B5" s="1113" t="s">
        <v>300</v>
      </c>
      <c r="C5" s="3363"/>
      <c r="D5" s="1110"/>
      <c r="E5" s="1111"/>
    </row>
    <row r="6" spans="1:8" ht="15" customHeight="1">
      <c r="A6" s="3363"/>
      <c r="B6" s="1110" t="s">
        <v>290</v>
      </c>
      <c r="C6" s="3363"/>
      <c r="D6" s="1114">
        <f>'Tutup Buku'!C9</f>
        <v>857225906</v>
      </c>
      <c r="E6" s="1111"/>
    </row>
    <row r="7" spans="1:8" ht="15" customHeight="1">
      <c r="A7" s="3363"/>
      <c r="B7" s="1110" t="s">
        <v>301</v>
      </c>
      <c r="C7" s="3363"/>
      <c r="D7" s="1110"/>
      <c r="E7" s="1115">
        <f>'Tutup Buku'!F29</f>
        <v>19980000</v>
      </c>
      <c r="F7" s="1116" t="s">
        <v>302</v>
      </c>
      <c r="G7" s="1117"/>
    </row>
    <row r="8" spans="1:8" ht="15" customHeight="1">
      <c r="A8" s="3363"/>
      <c r="B8" s="1110" t="s">
        <v>2624</v>
      </c>
      <c r="C8" s="3363"/>
      <c r="D8" s="1110"/>
      <c r="E8" s="1115">
        <f>'Tutup Buku'!F27</f>
        <v>58010000</v>
      </c>
      <c r="F8" s="3365" t="s">
        <v>304</v>
      </c>
      <c r="G8" s="1117"/>
    </row>
    <row r="9" spans="1:8" ht="15" customHeight="1">
      <c r="A9" s="3363"/>
      <c r="B9" s="1110" t="s">
        <v>303</v>
      </c>
      <c r="C9" s="3363"/>
      <c r="D9" s="1110"/>
      <c r="E9" s="1115">
        <f>'Tutup Buku'!F28</f>
        <v>68000000</v>
      </c>
      <c r="F9" s="3365"/>
    </row>
    <row r="10" spans="1:8" ht="15" customHeight="1">
      <c r="A10" s="3363"/>
      <c r="B10" s="1110" t="s">
        <v>306</v>
      </c>
      <c r="C10" s="3363"/>
      <c r="D10" s="1110"/>
      <c r="E10" s="1118">
        <f>'Tutup Buku'!D52</f>
        <v>711235906</v>
      </c>
    </row>
    <row r="11" spans="1:8" ht="15" customHeight="1">
      <c r="A11" s="3363"/>
      <c r="B11" s="1110" t="s">
        <v>307</v>
      </c>
      <c r="C11" s="3363"/>
      <c r="D11" s="1110"/>
      <c r="E11" s="1118"/>
      <c r="F11" s="1117"/>
    </row>
    <row r="12" spans="1:8" ht="15" customHeight="1">
      <c r="A12" s="3363"/>
      <c r="B12" s="1113" t="s">
        <v>308</v>
      </c>
      <c r="C12" s="3363"/>
      <c r="D12" s="1110"/>
      <c r="E12" s="1119"/>
    </row>
    <row r="13" spans="1:8" ht="15" customHeight="1">
      <c r="A13" s="3363"/>
      <c r="B13" s="1110" t="s">
        <v>301</v>
      </c>
      <c r="C13" s="3363"/>
      <c r="D13" s="1114">
        <f>E7</f>
        <v>19980000</v>
      </c>
      <c r="E13" s="1119"/>
    </row>
    <row r="14" spans="1:8" ht="15" customHeight="1">
      <c r="A14" s="3363"/>
      <c r="B14" s="1110" t="s">
        <v>305</v>
      </c>
      <c r="C14" s="3363"/>
      <c r="D14" s="1114">
        <f>E8</f>
        <v>58010000</v>
      </c>
      <c r="E14" s="1119"/>
      <c r="G14" s="1120"/>
      <c r="H14" s="1121"/>
    </row>
    <row r="15" spans="1:8" ht="15" customHeight="1">
      <c r="A15" s="3363"/>
      <c r="B15" s="1110" t="s">
        <v>303</v>
      </c>
      <c r="C15" s="3363"/>
      <c r="D15" s="1114">
        <f>E9</f>
        <v>68000000</v>
      </c>
      <c r="E15" s="1119"/>
    </row>
    <row r="16" spans="1:8" ht="15" customHeight="1">
      <c r="A16" s="3363"/>
      <c r="B16" s="1110" t="s">
        <v>309</v>
      </c>
      <c r="C16" s="3363"/>
      <c r="D16" s="1119"/>
      <c r="E16" s="1118">
        <f>E8</f>
        <v>58010000</v>
      </c>
    </row>
    <row r="17" spans="1:7" ht="15" customHeight="1">
      <c r="A17" s="3363"/>
      <c r="B17" s="1110" t="s">
        <v>256</v>
      </c>
      <c r="C17" s="3363"/>
      <c r="D17" s="1119"/>
      <c r="E17" s="1118">
        <f>E9</f>
        <v>68000000</v>
      </c>
    </row>
    <row r="18" spans="1:7" ht="15" customHeight="1">
      <c r="A18" s="3363"/>
      <c r="B18" s="1110" t="s">
        <v>310</v>
      </c>
      <c r="C18" s="3363"/>
      <c r="D18" s="1119"/>
      <c r="E18" s="1122">
        <f>D13+D14+D15-E16-E17</f>
        <v>19980000</v>
      </c>
    </row>
    <row r="19" spans="1:7" ht="15" customHeight="1">
      <c r="A19" s="3363"/>
      <c r="B19" s="1110" t="s">
        <v>307</v>
      </c>
      <c r="C19" s="3363"/>
      <c r="D19" s="1118"/>
      <c r="E19" s="1118"/>
      <c r="G19" s="1117"/>
    </row>
    <row r="20" spans="1:7" ht="15" customHeight="1">
      <c r="A20" s="3363"/>
      <c r="B20" s="1113" t="s">
        <v>311</v>
      </c>
      <c r="C20" s="3363"/>
      <c r="D20" s="1119"/>
      <c r="E20" s="1119"/>
      <c r="G20" s="1117"/>
    </row>
    <row r="21" spans="1:7" ht="15" customHeight="1">
      <c r="A21" s="3363"/>
      <c r="B21" s="1110" t="s">
        <v>309</v>
      </c>
      <c r="C21" s="3363"/>
      <c r="D21" s="1118">
        <f>E8</f>
        <v>58010000</v>
      </c>
      <c r="E21" s="1119"/>
    </row>
    <row r="22" spans="1:7" ht="15" customHeight="1">
      <c r="A22" s="3363"/>
      <c r="B22" s="1110" t="s">
        <v>256</v>
      </c>
      <c r="C22" s="3363"/>
      <c r="D22" s="1118">
        <f>E9</f>
        <v>68000000</v>
      </c>
      <c r="E22" s="1119"/>
    </row>
    <row r="23" spans="1:7" ht="15" customHeight="1">
      <c r="A23" s="3363"/>
      <c r="B23" s="1110" t="s">
        <v>310</v>
      </c>
      <c r="C23" s="3363"/>
      <c r="D23" s="1123"/>
      <c r="E23" s="1118">
        <f>SUM(D21:D22)</f>
        <v>126010000</v>
      </c>
    </row>
    <row r="24" spans="1:7" ht="15" customHeight="1" thickBot="1">
      <c r="A24" s="3364"/>
      <c r="B24" s="1125" t="s">
        <v>312</v>
      </c>
      <c r="C24" s="3364"/>
      <c r="D24" s="1126"/>
      <c r="E24" s="1126"/>
    </row>
    <row r="25" spans="1:7" ht="15" customHeight="1">
      <c r="A25" s="1127"/>
    </row>
    <row r="26" spans="1:7" ht="15" customHeight="1">
      <c r="A26" s="1127"/>
    </row>
    <row r="27" spans="1:7" ht="15" customHeight="1">
      <c r="A27" s="1127"/>
    </row>
    <row r="28" spans="1:7" ht="15" customHeight="1">
      <c r="A28" s="1127"/>
    </row>
    <row r="29" spans="1:7" ht="15" customHeight="1">
      <c r="A29" s="1127"/>
    </row>
    <row r="30" spans="1:7" ht="15" customHeight="1">
      <c r="A30" s="1127" t="s">
        <v>313</v>
      </c>
      <c r="B30" s="1127" t="s">
        <v>314</v>
      </c>
    </row>
    <row r="31" spans="1:7" ht="15" customHeight="1">
      <c r="A31" s="1127"/>
    </row>
    <row r="32" spans="1:7" ht="15" customHeight="1">
      <c r="A32" s="3359" t="s">
        <v>315</v>
      </c>
      <c r="B32" s="3359"/>
      <c r="C32" s="3359"/>
      <c r="D32" s="3359"/>
      <c r="E32" s="3359"/>
    </row>
    <row r="33" spans="1:5" ht="15" customHeight="1">
      <c r="A33" s="3366" t="s">
        <v>288</v>
      </c>
      <c r="B33" s="3366"/>
      <c r="C33" s="3366"/>
      <c r="D33" s="3366"/>
      <c r="E33" s="3366"/>
    </row>
    <row r="34" spans="1:5" ht="15" customHeight="1">
      <c r="A34" s="1129" t="s">
        <v>2</v>
      </c>
      <c r="B34" s="1129" t="s">
        <v>357</v>
      </c>
    </row>
    <row r="35" spans="1:5" ht="15" customHeight="1">
      <c r="A35" s="1129" t="s">
        <v>4</v>
      </c>
      <c r="B35" s="1129" t="s">
        <v>357</v>
      </c>
    </row>
    <row r="36" spans="1:5" ht="15" customHeight="1">
      <c r="A36" s="1129" t="s">
        <v>6</v>
      </c>
      <c r="B36" s="1129" t="s">
        <v>357</v>
      </c>
    </row>
    <row r="37" spans="1:5" ht="15" customHeight="1" thickBot="1">
      <c r="A37" s="1130"/>
    </row>
    <row r="38" spans="1:5" ht="15" customHeight="1" thickBot="1">
      <c r="A38" s="1131" t="s">
        <v>295</v>
      </c>
      <c r="B38" s="1132" t="s">
        <v>296</v>
      </c>
      <c r="C38" s="1132"/>
      <c r="D38" s="1132" t="s">
        <v>316</v>
      </c>
      <c r="E38" s="1132" t="s">
        <v>316</v>
      </c>
    </row>
    <row r="39" spans="1:5" ht="15" customHeight="1">
      <c r="A39" s="3362"/>
      <c r="B39" s="1110"/>
      <c r="C39" s="1110"/>
      <c r="D39" s="1133"/>
      <c r="E39" s="1133"/>
    </row>
    <row r="40" spans="1:5" ht="15" customHeight="1">
      <c r="A40" s="3363"/>
      <c r="B40" s="1113" t="s">
        <v>317</v>
      </c>
      <c r="C40" s="1134"/>
      <c r="D40" s="1133"/>
      <c r="E40" s="1110"/>
    </row>
    <row r="41" spans="1:5" ht="15" customHeight="1">
      <c r="A41" s="3363"/>
      <c r="B41" s="1114" t="str">
        <f>'Tutup Buku'!C49</f>
        <v>Modal UEP &amp;  SPP</v>
      </c>
      <c r="C41" s="1134" t="s">
        <v>318</v>
      </c>
      <c r="D41" s="1135">
        <f>'Tutup Buku'!D49</f>
        <v>1856350000</v>
      </c>
      <c r="E41" s="1110"/>
    </row>
    <row r="42" spans="1:5" ht="15" customHeight="1">
      <c r="A42" s="3363"/>
      <c r="B42" s="1110" t="s">
        <v>319</v>
      </c>
      <c r="C42" s="1134"/>
      <c r="D42" s="1136">
        <f>'Tutup Buku'!D50</f>
        <v>1326804170.998889</v>
      </c>
      <c r="E42" s="1110"/>
    </row>
    <row r="43" spans="1:5" ht="15" customHeight="1">
      <c r="A43" s="3363"/>
      <c r="B43" s="1110"/>
      <c r="C43" s="1134" t="s">
        <v>320</v>
      </c>
      <c r="D43" s="1137"/>
      <c r="E43" s="1138">
        <f>SUM(D41:D42)</f>
        <v>3183154170.998889</v>
      </c>
    </row>
    <row r="44" spans="1:5" ht="15" customHeight="1">
      <c r="A44" s="3363"/>
      <c r="B44" s="1113" t="s">
        <v>321</v>
      </c>
      <c r="C44" s="1134" t="s">
        <v>322</v>
      </c>
      <c r="D44" s="1139">
        <f>D6</f>
        <v>857225906</v>
      </c>
      <c r="E44" s="1113"/>
    </row>
    <row r="45" spans="1:5" ht="15" customHeight="1">
      <c r="A45" s="3363"/>
      <c r="B45" s="1113" t="s">
        <v>323</v>
      </c>
      <c r="C45" s="1134" t="s">
        <v>324</v>
      </c>
      <c r="D45" s="1137">
        <f>SUM(D46:D48)</f>
        <v>145990000</v>
      </c>
      <c r="E45" s="1113"/>
    </row>
    <row r="46" spans="1:5" ht="15" customHeight="1">
      <c r="A46" s="3363"/>
      <c r="B46" s="1110" t="s">
        <v>892</v>
      </c>
      <c r="C46" s="1134" t="s">
        <v>325</v>
      </c>
      <c r="D46" s="1137">
        <f>E7</f>
        <v>19980000</v>
      </c>
      <c r="E46" s="1113"/>
    </row>
    <row r="47" spans="1:5" ht="15" customHeight="1">
      <c r="A47" s="3363"/>
      <c r="B47" s="1110" t="s">
        <v>893</v>
      </c>
      <c r="C47" s="1134" t="s">
        <v>326</v>
      </c>
      <c r="D47" s="1137">
        <f>E8</f>
        <v>58010000</v>
      </c>
      <c r="E47" s="1113"/>
    </row>
    <row r="48" spans="1:5" ht="15" customHeight="1">
      <c r="A48" s="3363"/>
      <c r="B48" s="1110" t="s">
        <v>894</v>
      </c>
      <c r="C48" s="1134" t="s">
        <v>327</v>
      </c>
      <c r="D48" s="1137">
        <f>E9</f>
        <v>68000000</v>
      </c>
      <c r="E48" s="1113"/>
    </row>
    <row r="49" spans="1:5" ht="15" customHeight="1">
      <c r="A49" s="3363"/>
      <c r="B49" s="1113" t="s">
        <v>306</v>
      </c>
      <c r="C49" s="1134" t="s">
        <v>328</v>
      </c>
      <c r="D49" s="1140" t="s">
        <v>329</v>
      </c>
      <c r="E49" s="1138">
        <f>D44-D45</f>
        <v>711235906</v>
      </c>
    </row>
    <row r="50" spans="1:5" ht="15" customHeight="1" thickBot="1">
      <c r="A50" s="3364"/>
      <c r="B50" s="1141"/>
      <c r="C50" s="1142"/>
      <c r="D50" s="1126"/>
      <c r="E50" s="1143"/>
    </row>
    <row r="51" spans="1:5" ht="15" customHeight="1" thickBot="1">
      <c r="A51" s="1124"/>
      <c r="B51" s="1143" t="s">
        <v>330</v>
      </c>
      <c r="C51" s="1144" t="s">
        <v>331</v>
      </c>
      <c r="D51" s="1143"/>
      <c r="E51" s="1145">
        <f>E43+E49</f>
        <v>3894390076.998889</v>
      </c>
    </row>
    <row r="52" spans="1:5" ht="15" customHeight="1">
      <c r="B52" s="3367" t="s">
        <v>895</v>
      </c>
      <c r="C52" s="3367"/>
      <c r="D52" s="3367"/>
      <c r="E52" s="3367"/>
    </row>
    <row r="53" spans="1:5" ht="15" customHeight="1">
      <c r="B53" s="3359" t="s">
        <v>332</v>
      </c>
      <c r="C53" s="3359"/>
      <c r="D53" s="3359"/>
      <c r="E53" s="1128" t="s">
        <v>83</v>
      </c>
    </row>
    <row r="54" spans="1:5" ht="15" customHeight="1">
      <c r="B54" s="1128"/>
      <c r="E54" s="1128"/>
    </row>
    <row r="55" spans="1:5" ht="15" customHeight="1">
      <c r="B55" s="1128"/>
      <c r="E55" s="1128"/>
    </row>
    <row r="56" spans="1:5" ht="15" customHeight="1">
      <c r="B56" s="1128"/>
      <c r="E56" s="1128"/>
    </row>
    <row r="57" spans="1:5" ht="15" customHeight="1">
      <c r="B57" s="1146" t="s">
        <v>896</v>
      </c>
      <c r="C57" s="3360" t="s">
        <v>896</v>
      </c>
      <c r="D57" s="3360"/>
      <c r="E57" s="1146" t="s">
        <v>896</v>
      </c>
    </row>
    <row r="58" spans="1:5" ht="15" customHeight="1">
      <c r="B58" s="1128" t="s">
        <v>23</v>
      </c>
      <c r="C58" s="3359" t="s">
        <v>211</v>
      </c>
      <c r="D58" s="3359"/>
      <c r="E58" s="1128" t="s">
        <v>24</v>
      </c>
    </row>
    <row r="59" spans="1:5" ht="15" customHeight="1">
      <c r="B59" s="1128"/>
      <c r="E59" s="1147"/>
    </row>
  </sheetData>
  <mergeCells count="11">
    <mergeCell ref="F8:F9"/>
    <mergeCell ref="A32:E32"/>
    <mergeCell ref="A33:E33"/>
    <mergeCell ref="A39:A50"/>
    <mergeCell ref="B52:E52"/>
    <mergeCell ref="B53:D53"/>
    <mergeCell ref="C57:D57"/>
    <mergeCell ref="C58:D58"/>
    <mergeCell ref="A2:E2"/>
    <mergeCell ref="A4:A24"/>
    <mergeCell ref="C4:C24"/>
  </mergeCells>
  <printOptions horizontalCentered="1" verticalCentered="1"/>
  <pageMargins left="0.19685039370078741" right="0.19685039370078741" top="1.0900000000000001" bottom="1.05" header="1.1000000000000001" footer="0.84"/>
  <pageSetup paperSize="9" orientation="landscape" horizontalDpi="4294967293" verticalDpi="4294967293"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00B050"/>
  </sheetPr>
  <dimension ref="A1:P36"/>
  <sheetViews>
    <sheetView zoomScale="70" zoomScaleNormal="70" workbookViewId="0">
      <selection activeCell="M32" sqref="M32"/>
    </sheetView>
  </sheetViews>
  <sheetFormatPr defaultColWidth="9.140625" defaultRowHeight="12.75"/>
  <cols>
    <col min="1" max="1" width="4.140625" style="704" customWidth="1"/>
    <col min="2" max="2" width="28.7109375" style="704" customWidth="1"/>
    <col min="3" max="3" width="15" style="704" customWidth="1"/>
    <col min="4" max="9" width="12.5703125" style="704" customWidth="1"/>
    <col min="10" max="10" width="13.85546875" style="704" customWidth="1"/>
    <col min="11" max="14" width="12.5703125" style="704" customWidth="1"/>
    <col min="15" max="16" width="15.5703125" style="704" customWidth="1"/>
    <col min="17" max="16384" width="9.140625" style="704"/>
  </cols>
  <sheetData>
    <row r="1" spans="1:16" ht="15" customHeight="1">
      <c r="A1" s="1127"/>
    </row>
    <row r="2" spans="1:16" ht="15" customHeight="1">
      <c r="B2" s="1148" t="s">
        <v>333</v>
      </c>
      <c r="C2" s="1129" t="s">
        <v>334</v>
      </c>
    </row>
    <row r="3" spans="1:16" ht="15" customHeight="1">
      <c r="A3" s="1127"/>
    </row>
    <row r="4" spans="1:16" ht="18.75" customHeight="1">
      <c r="A4" s="3368" t="s">
        <v>315</v>
      </c>
      <c r="B4" s="3368"/>
      <c r="C4" s="3368"/>
      <c r="D4" s="3368"/>
      <c r="E4" s="3368"/>
      <c r="F4" s="3368"/>
      <c r="G4" s="3368"/>
      <c r="H4" s="3368"/>
      <c r="I4" s="3368"/>
      <c r="J4" s="3368"/>
      <c r="K4" s="3368"/>
      <c r="L4" s="3368"/>
      <c r="M4" s="3368"/>
      <c r="N4" s="3368"/>
      <c r="O4" s="3368"/>
      <c r="P4" s="3368"/>
    </row>
    <row r="5" spans="1:16" ht="28.5" customHeight="1">
      <c r="A5" s="3369" t="s">
        <v>335</v>
      </c>
      <c r="B5" s="3369"/>
      <c r="C5" s="3369"/>
      <c r="D5" s="3369"/>
      <c r="E5" s="3369"/>
      <c r="F5" s="3369"/>
      <c r="G5" s="3369"/>
      <c r="H5" s="3369"/>
      <c r="I5" s="3369"/>
      <c r="J5" s="3369"/>
      <c r="K5" s="3369"/>
      <c r="L5" s="3369"/>
      <c r="M5" s="3369"/>
      <c r="N5" s="3369"/>
      <c r="O5" s="3369"/>
      <c r="P5" s="3369"/>
    </row>
    <row r="6" spans="1:16" ht="15" customHeight="1" thickBot="1">
      <c r="A6" s="1149"/>
    </row>
    <row r="7" spans="1:16" ht="15" customHeight="1" thickBot="1">
      <c r="A7" s="3370" t="s">
        <v>72</v>
      </c>
      <c r="B7" s="3370" t="s">
        <v>336</v>
      </c>
      <c r="C7" s="3372" t="s">
        <v>337</v>
      </c>
      <c r="D7" s="3373"/>
      <c r="E7" s="3372" t="s">
        <v>338</v>
      </c>
      <c r="F7" s="3373"/>
      <c r="G7" s="3372" t="s">
        <v>339</v>
      </c>
      <c r="H7" s="3373"/>
      <c r="I7" s="3372" t="s">
        <v>340</v>
      </c>
      <c r="J7" s="3373"/>
      <c r="K7" s="3372" t="s">
        <v>341</v>
      </c>
      <c r="L7" s="3373"/>
      <c r="M7" s="3372" t="s">
        <v>342</v>
      </c>
      <c r="N7" s="3373"/>
    </row>
    <row r="8" spans="1:16" ht="15" customHeight="1" thickBot="1">
      <c r="A8" s="3371"/>
      <c r="B8" s="3371"/>
      <c r="C8" s="1150" t="s">
        <v>80</v>
      </c>
      <c r="D8" s="1150" t="s">
        <v>81</v>
      </c>
      <c r="E8" s="1150" t="s">
        <v>80</v>
      </c>
      <c r="F8" s="1150" t="s">
        <v>81</v>
      </c>
      <c r="G8" s="1150" t="s">
        <v>80</v>
      </c>
      <c r="H8" s="1150" t="s">
        <v>81</v>
      </c>
      <c r="I8" s="1150" t="s">
        <v>80</v>
      </c>
      <c r="J8" s="1150" t="s">
        <v>81</v>
      </c>
      <c r="K8" s="1150" t="s">
        <v>80</v>
      </c>
      <c r="L8" s="1150" t="s">
        <v>81</v>
      </c>
      <c r="M8" s="1150" t="s">
        <v>80</v>
      </c>
      <c r="N8" s="1150" t="s">
        <v>81</v>
      </c>
    </row>
    <row r="9" spans="1:16" ht="15" customHeight="1">
      <c r="A9" s="1112"/>
      <c r="B9" s="1110"/>
      <c r="C9" s="1151"/>
      <c r="D9" s="1151"/>
      <c r="E9" s="1151"/>
      <c r="F9" s="1151"/>
      <c r="G9" s="1151"/>
      <c r="H9" s="1151"/>
      <c r="I9" s="1151"/>
      <c r="J9" s="1151"/>
      <c r="K9" s="1151"/>
      <c r="L9" s="1151"/>
      <c r="M9" s="1151"/>
      <c r="N9" s="1151"/>
    </row>
    <row r="10" spans="1:16" ht="22.5" customHeight="1">
      <c r="A10" s="1152">
        <v>1</v>
      </c>
      <c r="B10" s="1110" t="s">
        <v>344</v>
      </c>
      <c r="C10" s="1153">
        <v>7300000</v>
      </c>
      <c r="D10" s="1153">
        <v>7300000</v>
      </c>
      <c r="E10" s="1153"/>
      <c r="F10" s="1153"/>
      <c r="G10" s="1153"/>
      <c r="H10" s="1153"/>
      <c r="I10" s="1153"/>
      <c r="J10" s="1153"/>
      <c r="K10" s="1153"/>
      <c r="L10" s="1153"/>
      <c r="M10" s="1153"/>
      <c r="N10" s="1153"/>
    </row>
    <row r="11" spans="1:16" ht="22.5" customHeight="1">
      <c r="A11" s="1152">
        <v>2</v>
      </c>
      <c r="B11" s="1110" t="s">
        <v>343</v>
      </c>
      <c r="C11" s="1153">
        <v>34371300</v>
      </c>
      <c r="D11" s="1153">
        <f>3059900+150000</f>
        <v>3209900</v>
      </c>
      <c r="E11" s="1153"/>
      <c r="F11" s="1153"/>
      <c r="G11" s="1153"/>
      <c r="H11" s="1153"/>
      <c r="I11" s="1153"/>
      <c r="J11" s="1153"/>
      <c r="K11" s="1153"/>
      <c r="L11" s="1153"/>
      <c r="M11" s="1153"/>
      <c r="N11" s="1153"/>
    </row>
    <row r="12" spans="1:16" ht="22.5" customHeight="1">
      <c r="A12" s="1152">
        <v>3</v>
      </c>
      <c r="B12" s="1110" t="s">
        <v>345</v>
      </c>
      <c r="C12" s="1153"/>
      <c r="D12" s="1153"/>
      <c r="E12" s="1153"/>
      <c r="F12" s="1153"/>
      <c r="G12" s="1153"/>
      <c r="H12" s="1153"/>
      <c r="I12" s="1153"/>
      <c r="J12" s="1153"/>
      <c r="K12" s="1153"/>
      <c r="L12" s="1153"/>
      <c r="M12" s="1153"/>
      <c r="N12" s="1153"/>
    </row>
    <row r="13" spans="1:16" ht="15" customHeight="1" thickBot="1">
      <c r="A13" s="1154"/>
      <c r="B13" s="1125"/>
      <c r="C13" s="1155"/>
      <c r="D13" s="1155"/>
      <c r="E13" s="1155"/>
      <c r="F13" s="1155"/>
      <c r="G13" s="1155"/>
      <c r="H13" s="1155"/>
      <c r="I13" s="1155"/>
      <c r="J13" s="1155"/>
      <c r="K13" s="1155"/>
      <c r="L13" s="1155"/>
      <c r="M13" s="1155"/>
      <c r="N13" s="1155"/>
    </row>
    <row r="14" spans="1:16" ht="15" customHeight="1" thickBot="1">
      <c r="A14" s="1127"/>
    </row>
    <row r="15" spans="1:16" ht="15" customHeight="1" thickTop="1" thickBot="1">
      <c r="A15" s="3370" t="s">
        <v>72</v>
      </c>
      <c r="B15" s="3370" t="s">
        <v>336</v>
      </c>
      <c r="C15" s="3372" t="s">
        <v>346</v>
      </c>
      <c r="D15" s="3373"/>
      <c r="E15" s="3372" t="s">
        <v>347</v>
      </c>
      <c r="F15" s="3373"/>
      <c r="G15" s="3372" t="s">
        <v>348</v>
      </c>
      <c r="H15" s="3373"/>
      <c r="I15" s="3372" t="s">
        <v>349</v>
      </c>
      <c r="J15" s="3373"/>
      <c r="K15" s="3372" t="s">
        <v>350</v>
      </c>
      <c r="L15" s="3373"/>
      <c r="M15" s="3372" t="s">
        <v>351</v>
      </c>
      <c r="N15" s="3374"/>
      <c r="O15" s="3375" t="s">
        <v>77</v>
      </c>
      <c r="P15" s="3376"/>
    </row>
    <row r="16" spans="1:16" ht="15" customHeight="1" thickBot="1">
      <c r="A16" s="3371"/>
      <c r="B16" s="3371"/>
      <c r="C16" s="1150" t="s">
        <v>80</v>
      </c>
      <c r="D16" s="1150" t="s">
        <v>81</v>
      </c>
      <c r="E16" s="1150" t="s">
        <v>80</v>
      </c>
      <c r="F16" s="1150" t="s">
        <v>81</v>
      </c>
      <c r="G16" s="1150" t="s">
        <v>80</v>
      </c>
      <c r="H16" s="1150" t="s">
        <v>81</v>
      </c>
      <c r="I16" s="1150" t="s">
        <v>80</v>
      </c>
      <c r="J16" s="1150" t="s">
        <v>81</v>
      </c>
      <c r="K16" s="1150" t="s">
        <v>80</v>
      </c>
      <c r="L16" s="1150" t="s">
        <v>81</v>
      </c>
      <c r="M16" s="1150" t="s">
        <v>80</v>
      </c>
      <c r="N16" s="1156" t="s">
        <v>81</v>
      </c>
      <c r="O16" s="1157" t="s">
        <v>80</v>
      </c>
      <c r="P16" s="1158" t="s">
        <v>81</v>
      </c>
    </row>
    <row r="17" spans="1:16" ht="15" customHeight="1">
      <c r="A17" s="1112"/>
      <c r="B17" s="1110"/>
      <c r="C17" s="1151"/>
      <c r="D17" s="1151"/>
      <c r="E17" s="1151"/>
      <c r="F17" s="1151"/>
      <c r="G17" s="1151"/>
      <c r="H17" s="1151"/>
      <c r="I17" s="1151"/>
      <c r="J17" s="1151"/>
      <c r="K17" s="1151"/>
      <c r="L17" s="1151"/>
      <c r="M17" s="1151"/>
      <c r="N17" s="1159"/>
      <c r="O17" s="1160"/>
      <c r="P17" s="1161"/>
    </row>
    <row r="18" spans="1:16" ht="22.5" customHeight="1">
      <c r="A18" s="1152">
        <v>1</v>
      </c>
      <c r="B18" s="1110" t="s">
        <v>344</v>
      </c>
      <c r="C18" s="1153"/>
      <c r="D18" s="1153"/>
      <c r="E18" s="1153"/>
      <c r="F18" s="1153"/>
      <c r="G18" s="1153"/>
      <c r="H18" s="1153"/>
      <c r="I18" s="1153"/>
      <c r="J18" s="1153"/>
      <c r="K18" s="1153"/>
      <c r="L18" s="1153"/>
      <c r="M18" s="1153"/>
      <c r="N18" s="1162"/>
      <c r="O18" s="1163"/>
      <c r="P18" s="1164">
        <f>D10+F10+H10+J10+L10+N10+D18+F18+H18+J18+L18+N18</f>
        <v>7300000</v>
      </c>
    </row>
    <row r="19" spans="1:16" ht="22.5" customHeight="1">
      <c r="A19" s="1152">
        <v>2</v>
      </c>
      <c r="B19" s="1110" t="s">
        <v>343</v>
      </c>
      <c r="C19" s="1153"/>
      <c r="D19" s="1153"/>
      <c r="E19" s="1153"/>
      <c r="F19" s="1153"/>
      <c r="G19" s="1153"/>
      <c r="H19" s="1153"/>
      <c r="I19" s="1153"/>
      <c r="J19" s="1153"/>
      <c r="K19" s="1153"/>
      <c r="L19" s="1153"/>
      <c r="M19" s="1153"/>
      <c r="N19" s="1162"/>
      <c r="O19" s="1163"/>
      <c r="P19" s="1164">
        <f>D11+F11+H11+J11+L11+N11+D19+F19+H19+J19+L19+N19</f>
        <v>3209900</v>
      </c>
    </row>
    <row r="20" spans="1:16" ht="22.5" customHeight="1">
      <c r="A20" s="1152">
        <v>3</v>
      </c>
      <c r="B20" s="1110" t="s">
        <v>345</v>
      </c>
      <c r="C20" s="1153"/>
      <c r="D20" s="1153"/>
      <c r="E20" s="1153"/>
      <c r="F20" s="1153"/>
      <c r="G20" s="1153"/>
      <c r="H20" s="1153"/>
      <c r="I20" s="1153"/>
      <c r="J20" s="1153"/>
      <c r="K20" s="1153"/>
      <c r="L20" s="1153"/>
      <c r="M20" s="1153"/>
      <c r="N20" s="1162"/>
      <c r="O20" s="1163"/>
      <c r="P20" s="1164">
        <f>D12+F12+H12+J12+L12+N12+D20+F20+H20+J20+L20+N20</f>
        <v>0</v>
      </c>
    </row>
    <row r="21" spans="1:16" ht="15" customHeight="1" thickBot="1">
      <c r="A21" s="1154"/>
      <c r="B21" s="1125"/>
      <c r="C21" s="1155"/>
      <c r="D21" s="1155"/>
      <c r="E21" s="1155"/>
      <c r="F21" s="1155"/>
      <c r="G21" s="1155"/>
      <c r="H21" s="1155"/>
      <c r="I21" s="1155"/>
      <c r="J21" s="1155"/>
      <c r="K21" s="1155"/>
      <c r="L21" s="1155"/>
      <c r="M21" s="1155"/>
      <c r="N21" s="1165"/>
      <c r="O21" s="1166"/>
      <c r="P21" s="1167"/>
    </row>
    <row r="22" spans="1:16" ht="15" customHeight="1">
      <c r="A22" s="1168"/>
      <c r="B22" s="1169"/>
      <c r="C22" s="1170"/>
      <c r="D22" s="1170"/>
      <c r="E22" s="1170"/>
      <c r="F22" s="1170"/>
      <c r="G22" s="1170"/>
      <c r="H22" s="1170"/>
      <c r="I22" s="1170"/>
      <c r="J22" s="1170"/>
      <c r="K22" s="1170"/>
      <c r="L22" s="1170"/>
      <c r="M22" s="1170"/>
      <c r="N22" s="1170"/>
      <c r="O22" s="1170"/>
      <c r="P22" s="1170"/>
    </row>
    <row r="23" spans="1:16" ht="15" customHeight="1">
      <c r="A23" s="1168"/>
      <c r="B23" s="1169"/>
      <c r="C23" s="1170"/>
      <c r="D23" s="1170"/>
      <c r="E23" s="1170"/>
      <c r="F23" s="1170"/>
      <c r="G23" s="1170"/>
      <c r="H23" s="1170"/>
      <c r="I23" s="1170"/>
      <c r="J23" s="1170"/>
      <c r="K23" s="1170"/>
      <c r="L23" s="1170"/>
      <c r="M23" s="1170"/>
      <c r="N23" s="1170"/>
      <c r="O23" s="1170"/>
      <c r="P23" s="1170"/>
    </row>
    <row r="24" spans="1:16" ht="15" customHeight="1">
      <c r="K24" s="1128" t="str">
        <f>'Perubahan modal'!B52</f>
        <v>.............................................................</v>
      </c>
    </row>
    <row r="25" spans="1:16" ht="15" customHeight="1">
      <c r="E25" s="1128" t="s">
        <v>352</v>
      </c>
      <c r="H25" s="1128" t="s">
        <v>353</v>
      </c>
      <c r="K25" s="1171" t="s">
        <v>83</v>
      </c>
    </row>
    <row r="26" spans="1:16" ht="15" customHeight="1">
      <c r="E26" s="1128"/>
      <c r="H26" s="1128"/>
      <c r="K26" s="1171"/>
    </row>
    <row r="27" spans="1:16" ht="15" customHeight="1">
      <c r="E27" s="1128"/>
      <c r="H27" s="1128"/>
      <c r="K27" s="1171"/>
    </row>
    <row r="28" spans="1:16" ht="15" customHeight="1">
      <c r="A28" s="1128"/>
      <c r="E28" s="1128"/>
      <c r="K28" s="1147"/>
    </row>
    <row r="29" spans="1:16" ht="15" customHeight="1">
      <c r="A29" s="1128"/>
      <c r="E29" s="1128"/>
      <c r="K29" s="1147"/>
    </row>
    <row r="30" spans="1:16" ht="15" customHeight="1">
      <c r="A30" s="1128"/>
      <c r="E30" s="1128"/>
      <c r="K30" s="1147"/>
    </row>
    <row r="31" spans="1:16" ht="15" customHeight="1">
      <c r="A31" s="1128"/>
      <c r="E31" s="1128"/>
      <c r="K31" s="1147"/>
    </row>
    <row r="32" spans="1:16" ht="15" customHeight="1">
      <c r="E32" s="1146" t="str">
        <f>'Perubahan modal'!C57</f>
        <v>.................................</v>
      </c>
      <c r="H32" s="1146" t="str">
        <f>'Perubahan modal'!B57</f>
        <v>.................................</v>
      </c>
      <c r="K32" s="1172" t="str">
        <f>'Perubahan modal'!E57</f>
        <v>.................................</v>
      </c>
    </row>
    <row r="33" spans="1:11" ht="15" customHeight="1">
      <c r="E33" s="1128" t="s">
        <v>354</v>
      </c>
      <c r="H33" s="1128" t="s">
        <v>23</v>
      </c>
      <c r="K33" s="1171" t="s">
        <v>24</v>
      </c>
    </row>
    <row r="34" spans="1:11" ht="15" customHeight="1">
      <c r="A34" s="1127"/>
    </row>
    <row r="35" spans="1:11" ht="15" customHeight="1">
      <c r="B35" s="1127"/>
    </row>
    <row r="36" spans="1:11" ht="15" customHeight="1">
      <c r="A36" s="1127"/>
    </row>
  </sheetData>
  <mergeCells count="19">
    <mergeCell ref="K15:L15"/>
    <mergeCell ref="M15:N15"/>
    <mergeCell ref="O15:P15"/>
    <mergeCell ref="A15:A16"/>
    <mergeCell ref="B15:B16"/>
    <mergeCell ref="C15:D15"/>
    <mergeCell ref="E15:F15"/>
    <mergeCell ref="G15:H15"/>
    <mergeCell ref="I15:J15"/>
    <mergeCell ref="A4:P4"/>
    <mergeCell ref="A5:P5"/>
    <mergeCell ref="A7:A8"/>
    <mergeCell ref="B7:B8"/>
    <mergeCell ref="C7:D7"/>
    <mergeCell ref="E7:F7"/>
    <mergeCell ref="G7:H7"/>
    <mergeCell ref="I7:J7"/>
    <mergeCell ref="K7:L7"/>
    <mergeCell ref="M7:N7"/>
  </mergeCells>
  <printOptions horizontalCentered="1"/>
  <pageMargins left="0.19685039370078741" right="0.19685039370078741" top="1.02" bottom="0.19685039370078741" header="0.64" footer="0.51181102362204722"/>
  <pageSetup paperSize="9" scale="68" orientation="landscape" r:id="rId1"/>
  <headerFooter alignWithMargins="0"/>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rgb="FF7030A0"/>
  </sheetPr>
  <dimension ref="A2:K290"/>
  <sheetViews>
    <sheetView zoomScale="74" zoomScaleNormal="74" workbookViewId="0">
      <selection activeCell="D113" sqref="D113"/>
    </sheetView>
  </sheetViews>
  <sheetFormatPr defaultColWidth="9.140625" defaultRowHeight="12.75"/>
  <cols>
    <col min="1" max="1" width="16.7109375" style="1173" customWidth="1"/>
    <col min="2" max="2" width="51.28515625" style="1173" customWidth="1"/>
    <col min="3" max="3" width="16.28515625" style="1173" customWidth="1"/>
    <col min="4" max="4" width="18.140625" style="1173" customWidth="1"/>
    <col min="5" max="5" width="21.5703125" style="1173" customWidth="1"/>
    <col min="6" max="6" width="12.42578125" style="1173" customWidth="1"/>
    <col min="7" max="7" width="19.140625" style="1173" customWidth="1"/>
    <col min="8" max="8" width="51.28515625" style="1173" customWidth="1"/>
    <col min="9" max="9" width="16.28515625" style="1173" customWidth="1"/>
    <col min="10" max="10" width="18.140625" style="1173" customWidth="1"/>
    <col min="11" max="11" width="21.5703125" style="1173" customWidth="1"/>
    <col min="12" max="16384" width="9.140625" style="1173"/>
  </cols>
  <sheetData>
    <row r="2" spans="1:11" ht="18">
      <c r="A2" s="3378" t="s">
        <v>315</v>
      </c>
      <c r="B2" s="3378"/>
      <c r="C2" s="3378"/>
      <c r="D2" s="3378"/>
      <c r="E2" s="3378"/>
      <c r="G2" s="3378" t="s">
        <v>315</v>
      </c>
      <c r="H2" s="3378"/>
      <c r="I2" s="3378"/>
      <c r="J2" s="3378"/>
      <c r="K2" s="3378"/>
    </row>
    <row r="3" spans="1:11" ht="20.25">
      <c r="A3" s="3377" t="s">
        <v>919</v>
      </c>
      <c r="B3" s="3377"/>
      <c r="C3" s="3377"/>
      <c r="D3" s="3377"/>
      <c r="E3" s="3377"/>
      <c r="G3" s="3387" t="s">
        <v>920</v>
      </c>
      <c r="H3" s="3387"/>
      <c r="I3" s="3387"/>
      <c r="J3" s="3387"/>
      <c r="K3" s="3387"/>
    </row>
    <row r="4" spans="1:11" ht="15">
      <c r="A4" s="1174" t="s">
        <v>2</v>
      </c>
      <c r="B4" s="1174" t="s">
        <v>357</v>
      </c>
      <c r="G4" s="1174" t="s">
        <v>2</v>
      </c>
      <c r="H4" s="1174" t="s">
        <v>357</v>
      </c>
    </row>
    <row r="5" spans="1:11" ht="15">
      <c r="A5" s="1174" t="s">
        <v>4</v>
      </c>
      <c r="B5" s="1174" t="s">
        <v>357</v>
      </c>
      <c r="G5" s="1174" t="s">
        <v>4</v>
      </c>
      <c r="H5" s="1174" t="s">
        <v>357</v>
      </c>
    </row>
    <row r="6" spans="1:11" ht="15">
      <c r="A6" s="1174" t="s">
        <v>6</v>
      </c>
      <c r="B6" s="1174" t="s">
        <v>357</v>
      </c>
      <c r="C6" s="1174"/>
      <c r="G6" s="1174" t="s">
        <v>6</v>
      </c>
      <c r="H6" s="1174" t="s">
        <v>357</v>
      </c>
      <c r="I6" s="1174"/>
    </row>
    <row r="7" spans="1:11" ht="9" customHeight="1">
      <c r="A7" s="1175"/>
      <c r="G7" s="1175"/>
    </row>
    <row r="8" spans="1:11" ht="54">
      <c r="A8" s="2467" t="s">
        <v>152</v>
      </c>
      <c r="B8" s="2467" t="s">
        <v>296</v>
      </c>
      <c r="C8" s="2467" t="s">
        <v>923</v>
      </c>
      <c r="D8" s="2467" t="s">
        <v>922</v>
      </c>
      <c r="E8" s="2467" t="s">
        <v>191</v>
      </c>
      <c r="G8" s="2467" t="s">
        <v>152</v>
      </c>
      <c r="H8" s="2467" t="s">
        <v>296</v>
      </c>
      <c r="I8" s="2467" t="s">
        <v>923</v>
      </c>
      <c r="J8" s="2467" t="s">
        <v>922</v>
      </c>
      <c r="K8" s="2467" t="s">
        <v>191</v>
      </c>
    </row>
    <row r="9" spans="1:11" ht="21.75" customHeight="1">
      <c r="A9" s="2468"/>
      <c r="B9" s="2468" t="s">
        <v>258</v>
      </c>
      <c r="C9" s="2469">
        <v>34371900</v>
      </c>
      <c r="D9" s="2469">
        <v>49776700</v>
      </c>
      <c r="E9" s="2469">
        <f>D9-C9</f>
        <v>15404800</v>
      </c>
      <c r="G9" s="2468"/>
      <c r="H9" s="2468" t="s">
        <v>258</v>
      </c>
      <c r="I9" s="2469">
        <v>73308000</v>
      </c>
      <c r="J9" s="2469">
        <v>74665100</v>
      </c>
      <c r="K9" s="2469">
        <f>J9-I9</f>
        <v>1357100</v>
      </c>
    </row>
    <row r="10" spans="1:11" ht="14.25" hidden="1" customHeight="1">
      <c r="A10" s="2470">
        <v>41275</v>
      </c>
      <c r="B10" s="2471" t="s">
        <v>2343</v>
      </c>
      <c r="C10" s="2398"/>
      <c r="D10" s="2398">
        <v>33800000</v>
      </c>
      <c r="E10" s="2398">
        <f>E9+D10-C10</f>
        <v>49204800</v>
      </c>
      <c r="G10" s="2470">
        <v>41275</v>
      </c>
      <c r="H10" s="2471" t="s">
        <v>2344</v>
      </c>
      <c r="I10" s="2398"/>
      <c r="J10" s="2398">
        <v>50600000</v>
      </c>
      <c r="K10" s="2398">
        <f>K9+J10-I10</f>
        <v>51957100</v>
      </c>
    </row>
    <row r="11" spans="1:11" ht="15" hidden="1">
      <c r="A11" s="2470">
        <v>41289</v>
      </c>
      <c r="B11" s="2471" t="s">
        <v>2356</v>
      </c>
      <c r="C11" s="2398"/>
      <c r="D11" s="2398"/>
      <c r="E11" s="2398">
        <f t="shared" ref="E11:E142" si="0">E10+D11-C11</f>
        <v>49204800</v>
      </c>
      <c r="G11" s="2470">
        <v>41289</v>
      </c>
      <c r="H11" s="2471" t="s">
        <v>2358</v>
      </c>
      <c r="I11" s="2398">
        <v>1357100</v>
      </c>
      <c r="J11" s="2398"/>
      <c r="K11" s="2398">
        <f>K10+J11-I11</f>
        <v>50600000</v>
      </c>
    </row>
    <row r="12" spans="1:11" ht="15" hidden="1">
      <c r="A12" s="2470">
        <v>41289</v>
      </c>
      <c r="B12" s="2471" t="s">
        <v>2357</v>
      </c>
      <c r="C12" s="2398">
        <v>12304800</v>
      </c>
      <c r="D12" s="2398"/>
      <c r="E12" s="2398">
        <f t="shared" si="0"/>
        <v>36900000</v>
      </c>
      <c r="G12" s="2470">
        <v>41320</v>
      </c>
      <c r="H12" s="2471" t="s">
        <v>2366</v>
      </c>
      <c r="I12" s="2398">
        <v>3638000</v>
      </c>
      <c r="J12" s="2398"/>
      <c r="K12" s="2398">
        <f>K11+J12-I12</f>
        <v>46962000</v>
      </c>
    </row>
    <row r="13" spans="1:11" ht="15" hidden="1">
      <c r="A13" s="2470">
        <v>41278</v>
      </c>
      <c r="B13" s="2471" t="s">
        <v>2359</v>
      </c>
      <c r="C13" s="2398">
        <v>300000</v>
      </c>
      <c r="D13" s="2398"/>
      <c r="E13" s="2398">
        <f>E12+D13-C13</f>
        <v>36600000</v>
      </c>
      <c r="G13" s="2470">
        <v>41323</v>
      </c>
      <c r="H13" s="2471" t="s">
        <v>2367</v>
      </c>
      <c r="I13" s="2398">
        <v>5993000</v>
      </c>
      <c r="J13" s="2398"/>
      <c r="K13" s="2398">
        <f>K12+J13-I13</f>
        <v>40969000</v>
      </c>
    </row>
    <row r="14" spans="1:11" ht="15" hidden="1">
      <c r="A14" s="2470">
        <v>41282</v>
      </c>
      <c r="B14" s="2471" t="s">
        <v>2360</v>
      </c>
      <c r="C14" s="2398">
        <v>450000</v>
      </c>
      <c r="D14" s="2398"/>
      <c r="E14" s="2398">
        <f t="shared" si="0"/>
        <v>36150000</v>
      </c>
      <c r="G14" s="2470">
        <v>41323</v>
      </c>
      <c r="H14" s="2471" t="s">
        <v>2368</v>
      </c>
      <c r="I14" s="2398">
        <v>8845000</v>
      </c>
      <c r="J14" s="2398"/>
      <c r="K14" s="2398">
        <f t="shared" ref="K14:K101" si="1">K13+J14-I14</f>
        <v>32124000</v>
      </c>
    </row>
    <row r="15" spans="1:11" ht="15" hidden="1">
      <c r="A15" s="2470">
        <v>41289</v>
      </c>
      <c r="B15" s="2471" t="s">
        <v>2361</v>
      </c>
      <c r="C15" s="2398">
        <v>3100000</v>
      </c>
      <c r="D15" s="2398"/>
      <c r="E15" s="2398">
        <f t="shared" si="0"/>
        <v>33050000</v>
      </c>
      <c r="G15" s="2470">
        <v>41324</v>
      </c>
      <c r="H15" s="2471" t="s">
        <v>2369</v>
      </c>
      <c r="I15" s="2398">
        <v>3874000</v>
      </c>
      <c r="J15" s="2398"/>
      <c r="K15" s="2398">
        <f t="shared" si="1"/>
        <v>28250000</v>
      </c>
    </row>
    <row r="16" spans="1:11" ht="15" hidden="1">
      <c r="A16" s="2470">
        <v>41292</v>
      </c>
      <c r="B16" s="2471" t="s">
        <v>2362</v>
      </c>
      <c r="C16" s="2398">
        <v>126000</v>
      </c>
      <c r="D16" s="2398"/>
      <c r="E16" s="2398">
        <f t="shared" si="0"/>
        <v>32924000</v>
      </c>
      <c r="G16" s="2470">
        <v>41324</v>
      </c>
      <c r="H16" s="2471" t="s">
        <v>2370</v>
      </c>
      <c r="I16" s="2398">
        <v>5162000</v>
      </c>
      <c r="J16" s="2398"/>
      <c r="K16" s="2398">
        <f t="shared" si="1"/>
        <v>23088000</v>
      </c>
    </row>
    <row r="17" spans="1:11" ht="15" hidden="1">
      <c r="A17" s="2470">
        <v>41295</v>
      </c>
      <c r="B17" s="2471" t="s">
        <v>2363</v>
      </c>
      <c r="C17" s="2398">
        <v>200000</v>
      </c>
      <c r="D17" s="2398"/>
      <c r="E17" s="2398">
        <f t="shared" si="0"/>
        <v>32724000</v>
      </c>
      <c r="G17" s="2470">
        <v>41325</v>
      </c>
      <c r="H17" s="2471" t="s">
        <v>2371</v>
      </c>
      <c r="I17" s="2398">
        <v>5069000</v>
      </c>
      <c r="J17" s="2398"/>
      <c r="K17" s="2398">
        <f t="shared" si="1"/>
        <v>18019000</v>
      </c>
    </row>
    <row r="18" spans="1:11" ht="15" hidden="1">
      <c r="A18" s="2470">
        <v>41303</v>
      </c>
      <c r="B18" s="2471" t="s">
        <v>2364</v>
      </c>
      <c r="C18" s="2398">
        <v>100000</v>
      </c>
      <c r="D18" s="2398"/>
      <c r="E18" s="2398">
        <f t="shared" si="0"/>
        <v>32624000</v>
      </c>
      <c r="G18" s="2470">
        <v>41327</v>
      </c>
      <c r="H18" s="2471" t="s">
        <v>2372</v>
      </c>
      <c r="I18" s="2398">
        <v>4158000</v>
      </c>
      <c r="J18" s="2398"/>
      <c r="K18" s="2398">
        <f t="shared" si="1"/>
        <v>13861000</v>
      </c>
    </row>
    <row r="19" spans="1:11" ht="15" hidden="1">
      <c r="A19" s="2470">
        <v>41309</v>
      </c>
      <c r="B19" s="2946" t="s">
        <v>2383</v>
      </c>
      <c r="C19" s="2947">
        <v>650000</v>
      </c>
      <c r="D19" s="2946"/>
      <c r="E19" s="2398">
        <f t="shared" si="0"/>
        <v>31974000</v>
      </c>
      <c r="G19" s="2440">
        <v>41331</v>
      </c>
      <c r="H19" s="2449" t="s">
        <v>2373</v>
      </c>
      <c r="I19" s="2398">
        <v>3173000</v>
      </c>
      <c r="J19" s="2449"/>
      <c r="K19" s="2398">
        <f t="shared" si="1"/>
        <v>10688000</v>
      </c>
    </row>
    <row r="20" spans="1:11" ht="15" hidden="1">
      <c r="A20" s="2470">
        <v>41309</v>
      </c>
      <c r="B20" s="2946" t="s">
        <v>2381</v>
      </c>
      <c r="C20" s="2160">
        <v>200000</v>
      </c>
      <c r="D20" s="2449"/>
      <c r="E20" s="2398">
        <f t="shared" si="0"/>
        <v>31774000</v>
      </c>
      <c r="G20" s="2449"/>
      <c r="H20" s="2378" t="s">
        <v>2375</v>
      </c>
      <c r="I20" s="2398">
        <v>4668000</v>
      </c>
      <c r="J20" s="2449"/>
      <c r="K20" s="2398">
        <f t="shared" si="1"/>
        <v>6020000</v>
      </c>
    </row>
    <row r="21" spans="1:11" ht="15" hidden="1">
      <c r="A21" s="2470">
        <v>41316</v>
      </c>
      <c r="B21" s="2946" t="s">
        <v>2380</v>
      </c>
      <c r="C21" s="2160">
        <v>100000</v>
      </c>
      <c r="D21" s="2449"/>
      <c r="E21" s="2398">
        <f t="shared" si="0"/>
        <v>31674000</v>
      </c>
      <c r="G21" s="2449"/>
      <c r="H21" s="2378" t="s">
        <v>2376</v>
      </c>
      <c r="I21" s="2398">
        <v>6020000</v>
      </c>
      <c r="J21" s="2449"/>
      <c r="K21" s="2398">
        <f t="shared" si="1"/>
        <v>0</v>
      </c>
    </row>
    <row r="22" spans="1:11" ht="15" hidden="1">
      <c r="A22" s="2470">
        <v>41317</v>
      </c>
      <c r="B22" s="2946" t="s">
        <v>32</v>
      </c>
      <c r="C22" s="2466">
        <v>200000</v>
      </c>
      <c r="D22" s="2449"/>
      <c r="E22" s="2398">
        <f t="shared" si="0"/>
        <v>31474000</v>
      </c>
      <c r="G22" s="3017">
        <v>41640</v>
      </c>
      <c r="H22" s="2439" t="s">
        <v>2493</v>
      </c>
      <c r="I22" s="2465"/>
      <c r="J22" s="3024">
        <v>54800000</v>
      </c>
      <c r="K22" s="2398">
        <f t="shared" si="1"/>
        <v>54800000</v>
      </c>
    </row>
    <row r="23" spans="1:11" ht="15" hidden="1">
      <c r="A23" s="2470">
        <v>41341</v>
      </c>
      <c r="B23" s="2946" t="s">
        <v>2364</v>
      </c>
      <c r="C23" s="2395">
        <v>100000</v>
      </c>
      <c r="D23" s="2449"/>
      <c r="E23" s="2398">
        <f t="shared" si="0"/>
        <v>31374000</v>
      </c>
      <c r="G23" s="3017">
        <v>41682</v>
      </c>
      <c r="H23" s="2378" t="s">
        <v>2516</v>
      </c>
      <c r="I23" s="2398">
        <v>7350000</v>
      </c>
      <c r="J23" s="2466"/>
      <c r="K23" s="2398">
        <f t="shared" si="1"/>
        <v>47450000</v>
      </c>
    </row>
    <row r="24" spans="1:11" ht="15" hidden="1">
      <c r="A24" s="2470"/>
      <c r="B24" s="2948" t="s">
        <v>2382</v>
      </c>
      <c r="C24" s="2466">
        <v>650000</v>
      </c>
      <c r="D24" s="2449"/>
      <c r="E24" s="2398">
        <f t="shared" si="0"/>
        <v>30724000</v>
      </c>
      <c r="G24" s="3017">
        <v>41690</v>
      </c>
      <c r="H24" s="3022" t="s">
        <v>2370</v>
      </c>
      <c r="I24" s="2398">
        <v>5410000</v>
      </c>
      <c r="J24" s="2466"/>
      <c r="K24" s="2398">
        <f t="shared" si="1"/>
        <v>42040000</v>
      </c>
    </row>
    <row r="25" spans="1:11" ht="15" hidden="1">
      <c r="A25" s="2470">
        <v>41341</v>
      </c>
      <c r="B25" s="2412" t="s">
        <v>2364</v>
      </c>
      <c r="C25" s="2395">
        <v>100000</v>
      </c>
      <c r="D25" s="2449"/>
      <c r="E25" s="2398">
        <f t="shared" si="0"/>
        <v>30624000</v>
      </c>
      <c r="G25" s="3017">
        <v>41691</v>
      </c>
      <c r="H25" s="3022" t="s">
        <v>2369</v>
      </c>
      <c r="I25" s="2398">
        <v>3720000</v>
      </c>
      <c r="J25" s="2692"/>
      <c r="K25" s="2398">
        <f t="shared" si="1"/>
        <v>38320000</v>
      </c>
    </row>
    <row r="26" spans="1:11" ht="15" hidden="1">
      <c r="A26" s="2470">
        <v>41344</v>
      </c>
      <c r="B26" s="2378" t="s">
        <v>2384</v>
      </c>
      <c r="C26" s="2466">
        <v>1000000</v>
      </c>
      <c r="D26" s="2449"/>
      <c r="E26" s="2398">
        <f t="shared" si="0"/>
        <v>29624000</v>
      </c>
      <c r="G26" s="3017">
        <v>41691</v>
      </c>
      <c r="H26" s="3022" t="s">
        <v>2367</v>
      </c>
      <c r="I26" s="2398">
        <v>6640000</v>
      </c>
      <c r="J26" s="2692"/>
      <c r="K26" s="2398">
        <f t="shared" si="1"/>
        <v>31680000</v>
      </c>
    </row>
    <row r="27" spans="1:11" ht="15" hidden="1">
      <c r="A27" s="2470">
        <v>41346</v>
      </c>
      <c r="B27" s="2378" t="s">
        <v>2384</v>
      </c>
      <c r="C27" s="2466">
        <v>500000</v>
      </c>
      <c r="D27" s="2449"/>
      <c r="E27" s="2398">
        <f t="shared" si="0"/>
        <v>29124000</v>
      </c>
      <c r="G27" s="3017">
        <v>41694</v>
      </c>
      <c r="H27" s="3022" t="s">
        <v>2368</v>
      </c>
      <c r="I27" s="2398">
        <v>5840000</v>
      </c>
      <c r="J27" s="2692"/>
      <c r="K27" s="2398">
        <f t="shared" si="1"/>
        <v>25840000</v>
      </c>
    </row>
    <row r="28" spans="1:11" ht="15" hidden="1">
      <c r="A28" s="2470"/>
      <c r="B28" s="2378"/>
      <c r="C28" s="2466"/>
      <c r="D28" s="2449"/>
      <c r="E28" s="2398">
        <f t="shared" si="0"/>
        <v>29124000</v>
      </c>
      <c r="G28" s="3017">
        <v>41694</v>
      </c>
      <c r="H28" s="3022" t="s">
        <v>2371</v>
      </c>
      <c r="I28" s="2398">
        <v>7060000</v>
      </c>
      <c r="J28" s="2692"/>
      <c r="K28" s="2398">
        <f t="shared" si="1"/>
        <v>18780000</v>
      </c>
    </row>
    <row r="29" spans="1:11" ht="15" hidden="1">
      <c r="A29" s="2470">
        <v>41365</v>
      </c>
      <c r="B29" s="2378" t="s">
        <v>2396</v>
      </c>
      <c r="C29" s="2466">
        <v>850000</v>
      </c>
      <c r="D29" s="2972"/>
      <c r="E29" s="2398">
        <f t="shared" si="0"/>
        <v>28274000</v>
      </c>
      <c r="G29" s="2440">
        <v>41697</v>
      </c>
      <c r="H29" s="3028" t="s">
        <v>2517</v>
      </c>
      <c r="I29" s="2398">
        <v>4160000</v>
      </c>
      <c r="J29" s="2692"/>
      <c r="K29" s="2398">
        <f t="shared" si="1"/>
        <v>14620000</v>
      </c>
    </row>
    <row r="30" spans="1:11" ht="15" hidden="1">
      <c r="A30" s="2470">
        <v>41366</v>
      </c>
      <c r="B30" s="2437" t="s">
        <v>2364</v>
      </c>
      <c r="C30" s="2438">
        <v>100000</v>
      </c>
      <c r="D30" s="2439"/>
      <c r="E30" s="2398">
        <f t="shared" si="0"/>
        <v>28174000</v>
      </c>
      <c r="G30" s="2440">
        <v>41698</v>
      </c>
      <c r="H30" s="2378" t="s">
        <v>2519</v>
      </c>
      <c r="I30" s="2398">
        <v>4900000</v>
      </c>
      <c r="J30" s="2692"/>
      <c r="K30" s="2398">
        <f t="shared" si="1"/>
        <v>9720000</v>
      </c>
    </row>
    <row r="31" spans="1:11" ht="15" hidden="1">
      <c r="A31" s="2470">
        <v>41383</v>
      </c>
      <c r="B31" s="2378" t="s">
        <v>2397</v>
      </c>
      <c r="C31" s="2466">
        <v>300000</v>
      </c>
      <c r="D31" s="2160"/>
      <c r="E31" s="2398">
        <f t="shared" si="0"/>
        <v>27874000</v>
      </c>
      <c r="G31" s="2440">
        <v>41702</v>
      </c>
      <c r="H31" s="2692" t="s">
        <v>2373</v>
      </c>
      <c r="I31" s="2398">
        <v>5360000</v>
      </c>
      <c r="J31" s="2692"/>
      <c r="K31" s="2398">
        <f t="shared" si="1"/>
        <v>4360000</v>
      </c>
    </row>
    <row r="32" spans="1:11" ht="15" hidden="1">
      <c r="A32" s="2470">
        <v>41387</v>
      </c>
      <c r="B32" s="2378" t="s">
        <v>2398</v>
      </c>
      <c r="C32" s="2466">
        <v>850000</v>
      </c>
      <c r="D32" s="2160"/>
      <c r="E32" s="2398">
        <f t="shared" si="0"/>
        <v>27024000</v>
      </c>
      <c r="G32" s="2440">
        <v>41705</v>
      </c>
      <c r="H32" s="2692" t="s">
        <v>2375</v>
      </c>
      <c r="I32" s="2398">
        <v>4360000</v>
      </c>
      <c r="J32" s="2692"/>
      <c r="K32" s="2398">
        <f t="shared" si="1"/>
        <v>0</v>
      </c>
    </row>
    <row r="33" spans="1:11" ht="15" hidden="1">
      <c r="A33" s="2470">
        <v>41393</v>
      </c>
      <c r="B33" s="2378" t="s">
        <v>2399</v>
      </c>
      <c r="C33" s="2466">
        <v>100000</v>
      </c>
      <c r="D33" s="2972"/>
      <c r="E33" s="2398">
        <f t="shared" si="0"/>
        <v>26924000</v>
      </c>
      <c r="G33" s="2440"/>
      <c r="H33" s="2692"/>
      <c r="I33" s="2398"/>
      <c r="J33" s="2692"/>
      <c r="K33" s="2398">
        <f t="shared" si="1"/>
        <v>0</v>
      </c>
    </row>
    <row r="34" spans="1:11" ht="15" hidden="1">
      <c r="A34" s="2470">
        <v>41407</v>
      </c>
      <c r="B34" s="2378" t="s">
        <v>2364</v>
      </c>
      <c r="C34" s="2466">
        <v>100000</v>
      </c>
      <c r="D34" s="2449"/>
      <c r="E34" s="2398">
        <f t="shared" si="0"/>
        <v>26824000</v>
      </c>
      <c r="G34" s="2440">
        <v>42005</v>
      </c>
      <c r="H34" s="3131" t="s">
        <v>2628</v>
      </c>
      <c r="I34" s="2398"/>
      <c r="J34" s="2692">
        <v>50100000</v>
      </c>
      <c r="K34" s="2398">
        <f t="shared" si="1"/>
        <v>50100000</v>
      </c>
    </row>
    <row r="35" spans="1:11" ht="15" hidden="1">
      <c r="A35" s="2470">
        <v>41407</v>
      </c>
      <c r="B35" s="2378" t="s">
        <v>2406</v>
      </c>
      <c r="C35" s="2466">
        <v>850000</v>
      </c>
      <c r="D35" s="2449"/>
      <c r="E35" s="2398">
        <f t="shared" si="0"/>
        <v>25974000</v>
      </c>
      <c r="G35" s="2440">
        <v>42055</v>
      </c>
      <c r="H35" s="3136" t="s">
        <v>2638</v>
      </c>
      <c r="I35" s="3136">
        <v>20000000</v>
      </c>
      <c r="J35" s="2692"/>
      <c r="K35" s="2398">
        <f t="shared" si="1"/>
        <v>30100000</v>
      </c>
    </row>
    <row r="36" spans="1:11" ht="15" hidden="1">
      <c r="A36" s="2470">
        <v>41410</v>
      </c>
      <c r="B36" s="2378" t="s">
        <v>2405</v>
      </c>
      <c r="C36" s="2466">
        <v>100000</v>
      </c>
      <c r="D36" s="2449"/>
      <c r="E36" s="2398">
        <f t="shared" si="0"/>
        <v>25874000</v>
      </c>
      <c r="G36" s="2440">
        <v>42078</v>
      </c>
      <c r="H36" s="3149" t="s">
        <v>2638</v>
      </c>
      <c r="I36" s="2398">
        <v>30100000</v>
      </c>
      <c r="J36" s="2692"/>
      <c r="K36" s="2398">
        <f t="shared" si="1"/>
        <v>0</v>
      </c>
    </row>
    <row r="37" spans="1:11" ht="15" hidden="1">
      <c r="A37" s="2470">
        <v>41437</v>
      </c>
      <c r="B37" s="2378" t="s">
        <v>2409</v>
      </c>
      <c r="C37" s="2466">
        <v>100000</v>
      </c>
      <c r="D37" s="2449"/>
      <c r="E37" s="2398">
        <f t="shared" si="0"/>
        <v>25774000</v>
      </c>
      <c r="G37" s="2440"/>
      <c r="H37" s="2692"/>
      <c r="I37" s="2398"/>
      <c r="J37" s="2692"/>
      <c r="K37" s="2398">
        <f t="shared" si="1"/>
        <v>0</v>
      </c>
    </row>
    <row r="38" spans="1:11" ht="15" hidden="1">
      <c r="A38" s="2470">
        <v>41445</v>
      </c>
      <c r="B38" s="2378" t="s">
        <v>2410</v>
      </c>
      <c r="C38" s="2466">
        <v>850000</v>
      </c>
      <c r="D38" s="2449"/>
      <c r="E38" s="2398">
        <f t="shared" si="0"/>
        <v>24924000</v>
      </c>
      <c r="G38" s="2440"/>
      <c r="H38" s="2692"/>
      <c r="I38" s="2398"/>
      <c r="J38" s="2692"/>
      <c r="K38" s="2398">
        <f t="shared" si="1"/>
        <v>0</v>
      </c>
    </row>
    <row r="39" spans="1:11" ht="15" hidden="1">
      <c r="A39" s="2380">
        <v>41456</v>
      </c>
      <c r="B39" s="2378" t="s">
        <v>2409</v>
      </c>
      <c r="C39" s="2466">
        <v>100000</v>
      </c>
      <c r="D39" s="2449"/>
      <c r="E39" s="2398">
        <f t="shared" si="0"/>
        <v>24824000</v>
      </c>
      <c r="G39" s="2440"/>
      <c r="H39" s="2692"/>
      <c r="I39" s="2398"/>
      <c r="J39" s="2692"/>
      <c r="K39" s="2398">
        <f t="shared" si="1"/>
        <v>0</v>
      </c>
    </row>
    <row r="40" spans="1:11" ht="15" hidden="1">
      <c r="A40" s="2380">
        <v>41459</v>
      </c>
      <c r="B40" s="2378" t="s">
        <v>2430</v>
      </c>
      <c r="C40" s="2466">
        <v>50000</v>
      </c>
      <c r="D40" s="2449"/>
      <c r="E40" s="2398">
        <f t="shared" si="0"/>
        <v>24774000</v>
      </c>
      <c r="G40" s="2440"/>
      <c r="H40" s="2692"/>
      <c r="I40" s="2398"/>
      <c r="J40" s="2692"/>
      <c r="K40" s="2398">
        <f t="shared" si="1"/>
        <v>0</v>
      </c>
    </row>
    <row r="41" spans="1:11" ht="15" hidden="1">
      <c r="A41" s="2380">
        <v>41473</v>
      </c>
      <c r="B41" s="2378" t="s">
        <v>2410</v>
      </c>
      <c r="C41" s="2466">
        <v>850000</v>
      </c>
      <c r="D41" s="2652"/>
      <c r="E41" s="2398">
        <f t="shared" si="0"/>
        <v>23924000</v>
      </c>
      <c r="G41" s="2440"/>
      <c r="H41" s="2692"/>
      <c r="I41" s="2398"/>
      <c r="J41" s="2692"/>
      <c r="K41" s="2398">
        <f t="shared" si="1"/>
        <v>0</v>
      </c>
    </row>
    <row r="42" spans="1:11" ht="15" hidden="1">
      <c r="A42" s="2380">
        <v>41485</v>
      </c>
      <c r="B42" s="2378" t="s">
        <v>2431</v>
      </c>
      <c r="C42" s="2466">
        <v>450000</v>
      </c>
      <c r="D42" s="2692"/>
      <c r="E42" s="2398">
        <f t="shared" si="0"/>
        <v>23474000</v>
      </c>
      <c r="G42" s="2440"/>
      <c r="H42" s="2692"/>
      <c r="I42" s="2398"/>
      <c r="J42" s="2692"/>
      <c r="K42" s="2398">
        <f t="shared" si="1"/>
        <v>0</v>
      </c>
    </row>
    <row r="43" spans="1:11" ht="15" hidden="1">
      <c r="A43" s="2380">
        <v>41485</v>
      </c>
      <c r="B43" s="2378" t="s">
        <v>2428</v>
      </c>
      <c r="C43" s="2466">
        <v>1150000</v>
      </c>
      <c r="D43" s="2692"/>
      <c r="E43" s="2398">
        <f t="shared" si="0"/>
        <v>22324000</v>
      </c>
      <c r="G43" s="2440"/>
      <c r="H43" s="2692"/>
      <c r="I43" s="2398"/>
      <c r="J43" s="2692"/>
      <c r="K43" s="2398">
        <f t="shared" si="1"/>
        <v>0</v>
      </c>
    </row>
    <row r="44" spans="1:11" ht="15" hidden="1">
      <c r="A44" s="3005">
        <v>41488</v>
      </c>
      <c r="B44" s="2378" t="s">
        <v>2364</v>
      </c>
      <c r="C44" s="2466">
        <v>100000</v>
      </c>
      <c r="D44" s="2692"/>
      <c r="E44" s="2398">
        <f t="shared" si="0"/>
        <v>22224000</v>
      </c>
      <c r="G44" s="2440"/>
      <c r="H44" s="2692"/>
      <c r="I44" s="2398"/>
      <c r="J44" s="2692"/>
      <c r="K44" s="2398">
        <f t="shared" si="1"/>
        <v>0</v>
      </c>
    </row>
    <row r="45" spans="1:11" ht="15" hidden="1">
      <c r="A45" s="3005">
        <v>41488</v>
      </c>
      <c r="B45" s="2378" t="s">
        <v>2431</v>
      </c>
      <c r="C45" s="2466">
        <v>600000</v>
      </c>
      <c r="D45" s="2692"/>
      <c r="E45" s="2398">
        <f t="shared" si="0"/>
        <v>21624000</v>
      </c>
      <c r="G45" s="2440"/>
      <c r="H45" s="2692"/>
      <c r="I45" s="2398"/>
      <c r="J45" s="2692"/>
      <c r="K45" s="2398">
        <f t="shared" si="1"/>
        <v>0</v>
      </c>
    </row>
    <row r="46" spans="1:11" ht="15" hidden="1">
      <c r="A46" s="3005">
        <v>41488</v>
      </c>
      <c r="B46" s="2378" t="s">
        <v>2443</v>
      </c>
      <c r="C46" s="2466">
        <v>1000000</v>
      </c>
      <c r="D46" s="2692"/>
      <c r="E46" s="2398">
        <f t="shared" si="0"/>
        <v>20624000</v>
      </c>
      <c r="G46" s="2440"/>
      <c r="H46" s="2692"/>
      <c r="I46" s="2398"/>
      <c r="J46" s="2692"/>
      <c r="K46" s="2398">
        <f t="shared" si="1"/>
        <v>0</v>
      </c>
    </row>
    <row r="47" spans="1:11" ht="15" hidden="1">
      <c r="A47" s="3005">
        <v>41488</v>
      </c>
      <c r="B47" s="2378" t="s">
        <v>2444</v>
      </c>
      <c r="C47" s="2466">
        <v>850000</v>
      </c>
      <c r="D47" s="2692"/>
      <c r="E47" s="2398">
        <f t="shared" si="0"/>
        <v>19774000</v>
      </c>
      <c r="G47" s="2440"/>
      <c r="H47" s="2692"/>
      <c r="I47" s="2398"/>
      <c r="J47" s="2692"/>
      <c r="K47" s="2398">
        <f t="shared" si="1"/>
        <v>0</v>
      </c>
    </row>
    <row r="48" spans="1:11" ht="15" hidden="1">
      <c r="A48" s="3005">
        <v>41498</v>
      </c>
      <c r="B48" s="2378" t="s">
        <v>2439</v>
      </c>
      <c r="C48" s="2466">
        <v>400000</v>
      </c>
      <c r="D48" s="2692"/>
      <c r="E48" s="2398">
        <f t="shared" si="0"/>
        <v>19374000</v>
      </c>
      <c r="G48" s="2440"/>
      <c r="H48" s="2692"/>
      <c r="I48" s="2398"/>
      <c r="J48" s="2692"/>
      <c r="K48" s="2398">
        <f t="shared" si="1"/>
        <v>0</v>
      </c>
    </row>
    <row r="49" spans="1:11" ht="15" hidden="1">
      <c r="A49" s="3005">
        <v>41505</v>
      </c>
      <c r="B49" s="2378" t="s">
        <v>2431</v>
      </c>
      <c r="C49" s="2466">
        <v>100000</v>
      </c>
      <c r="D49" s="2692"/>
      <c r="E49" s="2398">
        <f t="shared" si="0"/>
        <v>19274000</v>
      </c>
      <c r="G49" s="2440"/>
      <c r="H49" s="2692"/>
      <c r="I49" s="2398"/>
      <c r="J49" s="2692"/>
      <c r="K49" s="2398">
        <f t="shared" si="1"/>
        <v>0</v>
      </c>
    </row>
    <row r="50" spans="1:11" ht="15" hidden="1">
      <c r="A50" s="3005">
        <v>41507</v>
      </c>
      <c r="B50" s="2378" t="s">
        <v>2439</v>
      </c>
      <c r="C50" s="2466">
        <v>400000</v>
      </c>
      <c r="D50" s="2652"/>
      <c r="E50" s="2398">
        <f t="shared" si="0"/>
        <v>18874000</v>
      </c>
      <c r="G50" s="2440"/>
      <c r="H50" s="2692"/>
      <c r="I50" s="2398"/>
      <c r="J50" s="2692"/>
      <c r="K50" s="2398">
        <f t="shared" si="1"/>
        <v>0</v>
      </c>
    </row>
    <row r="51" spans="1:11" ht="15" hidden="1">
      <c r="A51" s="3005">
        <v>41512</v>
      </c>
      <c r="B51" s="2378" t="s">
        <v>2445</v>
      </c>
      <c r="C51" s="2466">
        <v>50000</v>
      </c>
      <c r="D51" s="2652"/>
      <c r="E51" s="2398">
        <f t="shared" si="0"/>
        <v>18824000</v>
      </c>
      <c r="G51" s="2440"/>
      <c r="H51" s="2692"/>
      <c r="I51" s="2398"/>
      <c r="J51" s="2692"/>
      <c r="K51" s="2398">
        <f t="shared" si="1"/>
        <v>0</v>
      </c>
    </row>
    <row r="52" spans="1:11" ht="15" hidden="1">
      <c r="A52" s="2440">
        <v>41520</v>
      </c>
      <c r="B52" s="2378" t="s">
        <v>2459</v>
      </c>
      <c r="C52" s="2466">
        <v>100000</v>
      </c>
      <c r="D52" s="2449"/>
      <c r="E52" s="2398">
        <f t="shared" si="0"/>
        <v>18724000</v>
      </c>
      <c r="G52" s="2440"/>
      <c r="H52" s="2692"/>
      <c r="I52" s="2398"/>
      <c r="J52" s="2692"/>
      <c r="K52" s="2398">
        <f t="shared" si="1"/>
        <v>0</v>
      </c>
    </row>
    <row r="53" spans="1:11" ht="15" hidden="1">
      <c r="A53" s="2440">
        <v>41520</v>
      </c>
      <c r="B53" s="2378" t="s">
        <v>2460</v>
      </c>
      <c r="C53" s="2466">
        <v>150000</v>
      </c>
      <c r="D53" s="2449"/>
      <c r="E53" s="2398">
        <f t="shared" si="0"/>
        <v>18574000</v>
      </c>
      <c r="G53" s="2440"/>
      <c r="H53" s="2692"/>
      <c r="I53" s="2398"/>
      <c r="J53" s="2692"/>
      <c r="K53" s="2398">
        <f t="shared" si="1"/>
        <v>0</v>
      </c>
    </row>
    <row r="54" spans="1:11" ht="15" hidden="1">
      <c r="A54" s="2440">
        <v>41528</v>
      </c>
      <c r="B54" s="2378" t="s">
        <v>2461</v>
      </c>
      <c r="C54" s="2466">
        <v>100000</v>
      </c>
      <c r="D54" s="2692"/>
      <c r="E54" s="2398">
        <f t="shared" si="0"/>
        <v>18474000</v>
      </c>
      <c r="G54" s="2380"/>
      <c r="H54" s="2471"/>
      <c r="I54" s="2398"/>
      <c r="J54" s="2692"/>
      <c r="K54" s="2398">
        <f t="shared" si="1"/>
        <v>0</v>
      </c>
    </row>
    <row r="55" spans="1:11" ht="15" hidden="1">
      <c r="A55" s="2440">
        <v>41535</v>
      </c>
      <c r="B55" s="2378" t="s">
        <v>2462</v>
      </c>
      <c r="C55" s="2466">
        <v>700000</v>
      </c>
      <c r="D55" s="2692"/>
      <c r="E55" s="2398">
        <f t="shared" si="0"/>
        <v>17774000</v>
      </c>
      <c r="G55" s="2692"/>
      <c r="H55" s="2692"/>
      <c r="I55" s="2398"/>
      <c r="J55" s="2692"/>
      <c r="K55" s="2398">
        <f t="shared" si="1"/>
        <v>0</v>
      </c>
    </row>
    <row r="56" spans="1:11" ht="15" hidden="1">
      <c r="A56" s="2440">
        <v>41540</v>
      </c>
      <c r="B56" s="2378" t="s">
        <v>2463</v>
      </c>
      <c r="C56" s="2466">
        <v>150000</v>
      </c>
      <c r="D56" s="2692"/>
      <c r="E56" s="2398">
        <f t="shared" si="0"/>
        <v>17624000</v>
      </c>
      <c r="G56" s="2692"/>
      <c r="H56" s="2692"/>
      <c r="I56" s="2398"/>
      <c r="J56" s="2692"/>
      <c r="K56" s="2398">
        <f t="shared" si="1"/>
        <v>0</v>
      </c>
    </row>
    <row r="57" spans="1:11" ht="15" hidden="1">
      <c r="A57" s="2440">
        <v>41543</v>
      </c>
      <c r="B57" s="2378" t="s">
        <v>2460</v>
      </c>
      <c r="C57" s="2466">
        <v>150000</v>
      </c>
      <c r="D57" s="2824"/>
      <c r="E57" s="2398">
        <f t="shared" si="0"/>
        <v>17474000</v>
      </c>
      <c r="G57" s="2824"/>
      <c r="H57" s="2824"/>
      <c r="I57" s="2398"/>
      <c r="J57" s="2824"/>
      <c r="K57" s="2398">
        <f t="shared" si="1"/>
        <v>0</v>
      </c>
    </row>
    <row r="58" spans="1:11" ht="15" hidden="1">
      <c r="A58" s="2440">
        <v>41548</v>
      </c>
      <c r="B58" s="2378" t="s">
        <v>2364</v>
      </c>
      <c r="C58" s="2466">
        <v>100000</v>
      </c>
      <c r="D58" s="2824"/>
      <c r="E58" s="2398">
        <f t="shared" si="0"/>
        <v>17374000</v>
      </c>
      <c r="G58" s="2824"/>
      <c r="H58" s="2824"/>
      <c r="I58" s="2398"/>
      <c r="J58" s="2824"/>
      <c r="K58" s="2398">
        <f t="shared" si="1"/>
        <v>0</v>
      </c>
    </row>
    <row r="59" spans="1:11" ht="15" hidden="1">
      <c r="A59" s="2440">
        <v>41548</v>
      </c>
      <c r="B59" s="2378" t="s">
        <v>2472</v>
      </c>
      <c r="C59" s="2466">
        <v>700000</v>
      </c>
      <c r="D59" s="2824"/>
      <c r="E59" s="2398">
        <f t="shared" si="0"/>
        <v>16674000</v>
      </c>
      <c r="G59" s="2824"/>
      <c r="H59" s="2824"/>
      <c r="I59" s="2398"/>
      <c r="J59" s="2824"/>
      <c r="K59" s="2398">
        <f t="shared" si="1"/>
        <v>0</v>
      </c>
    </row>
    <row r="60" spans="1:11" ht="15" hidden="1">
      <c r="A60" s="2440">
        <v>41549</v>
      </c>
      <c r="B60" s="2378" t="s">
        <v>2473</v>
      </c>
      <c r="C60" s="2466">
        <v>500000</v>
      </c>
      <c r="D60" s="2824"/>
      <c r="E60" s="2398">
        <f t="shared" si="0"/>
        <v>16174000</v>
      </c>
      <c r="G60" s="2824"/>
      <c r="H60" s="2824"/>
      <c r="I60" s="2398"/>
      <c r="J60" s="2824"/>
      <c r="K60" s="2398">
        <f t="shared" si="1"/>
        <v>0</v>
      </c>
    </row>
    <row r="61" spans="1:11" ht="15" hidden="1">
      <c r="A61" s="2440">
        <v>41579</v>
      </c>
      <c r="B61" s="2378" t="s">
        <v>2472</v>
      </c>
      <c r="C61" s="2466">
        <v>850000</v>
      </c>
      <c r="D61" s="2851"/>
      <c r="E61" s="2398">
        <f t="shared" si="0"/>
        <v>15324000</v>
      </c>
      <c r="G61" s="2851"/>
      <c r="H61" s="2851"/>
      <c r="I61" s="2398"/>
      <c r="J61" s="2851"/>
      <c r="K61" s="2398">
        <f t="shared" si="1"/>
        <v>0</v>
      </c>
    </row>
    <row r="62" spans="1:11" ht="15" hidden="1">
      <c r="A62" s="2440">
        <v>41590</v>
      </c>
      <c r="B62" s="2378" t="s">
        <v>2480</v>
      </c>
      <c r="C62" s="2466">
        <v>100000</v>
      </c>
      <c r="D62" s="2851"/>
      <c r="E62" s="2398">
        <f t="shared" si="0"/>
        <v>15224000</v>
      </c>
      <c r="G62" s="2851"/>
      <c r="H62" s="2851"/>
      <c r="I62" s="2398"/>
      <c r="J62" s="2851"/>
      <c r="K62" s="2398">
        <f t="shared" si="1"/>
        <v>0</v>
      </c>
    </row>
    <row r="63" spans="1:11" ht="15" hidden="1">
      <c r="A63" s="2440">
        <v>41611</v>
      </c>
      <c r="B63" s="2378" t="s">
        <v>2472</v>
      </c>
      <c r="C63" s="2466">
        <v>850000</v>
      </c>
      <c r="D63" s="2851"/>
      <c r="E63" s="2398">
        <f t="shared" si="0"/>
        <v>14374000</v>
      </c>
      <c r="G63" s="2851"/>
      <c r="H63" s="2851"/>
      <c r="I63" s="2398"/>
      <c r="J63" s="2851"/>
      <c r="K63" s="2398">
        <f t="shared" si="1"/>
        <v>0</v>
      </c>
    </row>
    <row r="64" spans="1:11" ht="15.75" hidden="1">
      <c r="A64" s="2440">
        <v>41618</v>
      </c>
      <c r="B64" s="2471" t="s">
        <v>2364</v>
      </c>
      <c r="C64" s="2466">
        <v>100000</v>
      </c>
      <c r="D64" s="2936"/>
      <c r="E64" s="2398">
        <f t="shared" si="0"/>
        <v>14274000</v>
      </c>
      <c r="G64" s="2934"/>
      <c r="H64" s="2934"/>
      <c r="I64" s="2398"/>
      <c r="J64" s="2934"/>
      <c r="K64" s="2398">
        <f t="shared" si="1"/>
        <v>0</v>
      </c>
    </row>
    <row r="65" spans="1:11" ht="15" hidden="1">
      <c r="A65" s="2440">
        <v>41624</v>
      </c>
      <c r="B65" s="2378" t="s">
        <v>2489</v>
      </c>
      <c r="C65" s="2466">
        <v>700000</v>
      </c>
      <c r="D65" s="2934"/>
      <c r="E65" s="2398">
        <f t="shared" si="0"/>
        <v>13574000</v>
      </c>
      <c r="G65" s="2934"/>
      <c r="H65" s="2934"/>
      <c r="I65" s="2398"/>
      <c r="J65" s="2934"/>
      <c r="K65" s="2398">
        <f t="shared" si="1"/>
        <v>0</v>
      </c>
    </row>
    <row r="66" spans="1:11" ht="15" hidden="1">
      <c r="A66" s="2440">
        <v>41631</v>
      </c>
      <c r="B66" s="2378" t="s">
        <v>2490</v>
      </c>
      <c r="C66" s="2466">
        <v>200000</v>
      </c>
      <c r="D66" s="2934"/>
      <c r="E66" s="2398">
        <f t="shared" si="0"/>
        <v>13374000</v>
      </c>
      <c r="G66" s="2934"/>
      <c r="H66" s="2934"/>
      <c r="I66" s="2398"/>
      <c r="J66" s="2934"/>
      <c r="K66" s="2398">
        <f t="shared" si="1"/>
        <v>0</v>
      </c>
    </row>
    <row r="67" spans="1:11" ht="15" hidden="1">
      <c r="A67" s="2440">
        <v>41640</v>
      </c>
      <c r="B67" s="2378" t="s">
        <v>2491</v>
      </c>
      <c r="C67" s="2466">
        <v>13374000</v>
      </c>
      <c r="D67" s="3012"/>
      <c r="E67" s="2398">
        <f t="shared" si="0"/>
        <v>0</v>
      </c>
      <c r="G67" s="3012"/>
      <c r="H67" s="3012"/>
      <c r="I67" s="2398"/>
      <c r="J67" s="3012"/>
      <c r="K67" s="2398">
        <f t="shared" si="1"/>
        <v>0</v>
      </c>
    </row>
    <row r="68" spans="1:11" ht="15" hidden="1">
      <c r="A68" s="2440">
        <v>41640</v>
      </c>
      <c r="B68" s="2378" t="s">
        <v>2492</v>
      </c>
      <c r="C68" s="2466"/>
      <c r="D68" s="3025">
        <v>36600000</v>
      </c>
      <c r="E68" s="2398">
        <f t="shared" si="0"/>
        <v>36600000</v>
      </c>
      <c r="G68" s="3012"/>
      <c r="H68" s="3012"/>
      <c r="I68" s="2398"/>
      <c r="J68" s="3012"/>
      <c r="K68" s="2398">
        <f t="shared" si="1"/>
        <v>0</v>
      </c>
    </row>
    <row r="69" spans="1:11" ht="15" hidden="1">
      <c r="A69" s="2440">
        <v>41645</v>
      </c>
      <c r="B69" s="2378" t="s">
        <v>2364</v>
      </c>
      <c r="C69" s="2466">
        <v>100000</v>
      </c>
      <c r="D69" s="3012"/>
      <c r="E69" s="2398">
        <f t="shared" si="0"/>
        <v>36500000</v>
      </c>
      <c r="G69" s="3012"/>
      <c r="H69" s="3012"/>
      <c r="I69" s="2398"/>
      <c r="J69" s="3012"/>
      <c r="K69" s="2398">
        <f t="shared" si="1"/>
        <v>0</v>
      </c>
    </row>
    <row r="70" spans="1:11" ht="15" hidden="1">
      <c r="A70" s="2440">
        <v>41667</v>
      </c>
      <c r="B70" s="2378" t="s">
        <v>2504</v>
      </c>
      <c r="C70" s="2466">
        <v>1000000</v>
      </c>
      <c r="D70" s="3012"/>
      <c r="E70" s="2398">
        <f t="shared" si="0"/>
        <v>35500000</v>
      </c>
      <c r="G70" s="3012"/>
      <c r="H70" s="3012"/>
      <c r="I70" s="2398"/>
      <c r="J70" s="3012"/>
      <c r="K70" s="2398">
        <f t="shared" si="1"/>
        <v>0</v>
      </c>
    </row>
    <row r="71" spans="1:11" ht="15" hidden="1">
      <c r="A71" s="2440">
        <v>41675</v>
      </c>
      <c r="B71" s="2378" t="s">
        <v>2504</v>
      </c>
      <c r="C71" s="2466">
        <v>1000000</v>
      </c>
      <c r="D71" s="3012"/>
      <c r="E71" s="2398">
        <f t="shared" si="0"/>
        <v>34500000</v>
      </c>
      <c r="G71" s="3012"/>
      <c r="H71" s="3012"/>
      <c r="I71" s="2398"/>
      <c r="J71" s="3012"/>
      <c r="K71" s="2398">
        <f t="shared" si="1"/>
        <v>0</v>
      </c>
    </row>
    <row r="72" spans="1:11" ht="15" hidden="1">
      <c r="A72" s="2440">
        <v>41676</v>
      </c>
      <c r="B72" s="2378" t="s">
        <v>2512</v>
      </c>
      <c r="C72" s="2466">
        <v>2400000</v>
      </c>
      <c r="D72" s="3022"/>
      <c r="E72" s="2398">
        <f t="shared" si="0"/>
        <v>32100000</v>
      </c>
      <c r="G72" s="3022"/>
      <c r="H72" s="3022"/>
      <c r="I72" s="2398"/>
      <c r="J72" s="3022"/>
      <c r="K72" s="2398">
        <f t="shared" si="1"/>
        <v>0</v>
      </c>
    </row>
    <row r="73" spans="1:11" ht="15" hidden="1">
      <c r="A73" s="2440">
        <v>41682</v>
      </c>
      <c r="B73" s="2378" t="s">
        <v>2513</v>
      </c>
      <c r="C73" s="2466">
        <v>500000</v>
      </c>
      <c r="D73" s="3022"/>
      <c r="E73" s="2398">
        <f t="shared" si="0"/>
        <v>31600000</v>
      </c>
      <c r="G73" s="3022"/>
      <c r="H73" s="3022"/>
      <c r="I73" s="2398"/>
      <c r="J73" s="3022"/>
      <c r="K73" s="2398">
        <f t="shared" si="1"/>
        <v>0</v>
      </c>
    </row>
    <row r="74" spans="1:11" ht="15" hidden="1">
      <c r="A74" s="2440">
        <v>41690</v>
      </c>
      <c r="B74" s="2378" t="s">
        <v>2514</v>
      </c>
      <c r="C74" s="2466">
        <v>3500000</v>
      </c>
      <c r="D74" s="3022"/>
      <c r="E74" s="2398">
        <f t="shared" si="0"/>
        <v>28100000</v>
      </c>
      <c r="G74" s="3022"/>
      <c r="H74" s="3022"/>
      <c r="I74" s="2398"/>
      <c r="J74" s="3022"/>
      <c r="K74" s="2398">
        <f t="shared" si="1"/>
        <v>0</v>
      </c>
    </row>
    <row r="75" spans="1:11" ht="15" hidden="1">
      <c r="A75" s="2440">
        <v>41691</v>
      </c>
      <c r="B75" s="2378" t="s">
        <v>2507</v>
      </c>
      <c r="C75" s="2466">
        <v>50000</v>
      </c>
      <c r="D75" s="2934"/>
      <c r="E75" s="2398">
        <f t="shared" si="0"/>
        <v>28050000</v>
      </c>
      <c r="G75" s="2934"/>
      <c r="H75" s="2934"/>
      <c r="I75" s="2398"/>
      <c r="J75" s="2934"/>
      <c r="K75" s="2398">
        <f t="shared" si="1"/>
        <v>0</v>
      </c>
    </row>
    <row r="76" spans="1:11" ht="15" hidden="1">
      <c r="A76" s="2440">
        <v>41694</v>
      </c>
      <c r="B76" s="2378" t="s">
        <v>2515</v>
      </c>
      <c r="C76" s="2466">
        <v>400000</v>
      </c>
      <c r="D76" s="2934"/>
      <c r="E76" s="2398">
        <f t="shared" si="0"/>
        <v>27650000</v>
      </c>
      <c r="G76" s="2934"/>
      <c r="H76" s="2934"/>
      <c r="I76" s="2398"/>
      <c r="J76" s="2934"/>
      <c r="K76" s="2398">
        <f t="shared" si="1"/>
        <v>0</v>
      </c>
    </row>
    <row r="77" spans="1:11" ht="15" hidden="1">
      <c r="A77" s="2380">
        <v>41698</v>
      </c>
      <c r="B77" s="2378" t="s">
        <v>2518</v>
      </c>
      <c r="C77" s="2466">
        <v>150000</v>
      </c>
      <c r="D77" s="2934"/>
      <c r="E77" s="2398">
        <f t="shared" si="0"/>
        <v>27500000</v>
      </c>
      <c r="G77" s="2934"/>
      <c r="H77" s="2934"/>
      <c r="I77" s="2398"/>
      <c r="J77" s="2934"/>
      <c r="K77" s="2398">
        <f t="shared" si="1"/>
        <v>0</v>
      </c>
    </row>
    <row r="78" spans="1:11" ht="15" hidden="1">
      <c r="A78" s="2380">
        <v>41701</v>
      </c>
      <c r="B78" s="2378" t="s">
        <v>2504</v>
      </c>
      <c r="C78" s="2466">
        <v>1000000</v>
      </c>
      <c r="D78" s="3029"/>
      <c r="E78" s="2398">
        <f t="shared" si="0"/>
        <v>26500000</v>
      </c>
      <c r="G78" s="3029"/>
      <c r="H78" s="3029"/>
      <c r="I78" s="2398"/>
      <c r="J78" s="3029"/>
      <c r="K78" s="2398">
        <f t="shared" si="1"/>
        <v>0</v>
      </c>
    </row>
    <row r="79" spans="1:11" ht="15" hidden="1">
      <c r="A79" s="2380">
        <v>41704</v>
      </c>
      <c r="B79" s="2378" t="s">
        <v>2531</v>
      </c>
      <c r="C79" s="2466">
        <v>100000</v>
      </c>
      <c r="D79" s="3029"/>
      <c r="E79" s="2398">
        <f t="shared" si="0"/>
        <v>26400000</v>
      </c>
      <c r="G79" s="3029"/>
      <c r="H79" s="3029"/>
      <c r="I79" s="2398"/>
      <c r="J79" s="3029"/>
      <c r="K79" s="2398">
        <f t="shared" si="1"/>
        <v>0</v>
      </c>
    </row>
    <row r="80" spans="1:11" ht="15" hidden="1">
      <c r="A80" s="2380">
        <v>41708</v>
      </c>
      <c r="B80" s="2378" t="s">
        <v>2532</v>
      </c>
      <c r="C80" s="2466">
        <v>1000000</v>
      </c>
      <c r="D80" s="3029"/>
      <c r="E80" s="2398">
        <f t="shared" si="0"/>
        <v>25400000</v>
      </c>
      <c r="G80" s="3029"/>
      <c r="H80" s="3029"/>
      <c r="I80" s="2398"/>
      <c r="J80" s="3029"/>
      <c r="K80" s="2398">
        <f t="shared" si="1"/>
        <v>0</v>
      </c>
    </row>
    <row r="81" spans="1:11" ht="15" hidden="1">
      <c r="A81" s="2380">
        <v>41709</v>
      </c>
      <c r="B81" s="2378" t="s">
        <v>2521</v>
      </c>
      <c r="C81" s="2466">
        <v>1000000</v>
      </c>
      <c r="D81" s="3029"/>
      <c r="E81" s="2398">
        <f t="shared" si="0"/>
        <v>24400000</v>
      </c>
      <c r="G81" s="3029"/>
      <c r="H81" s="3029"/>
      <c r="I81" s="2398"/>
      <c r="J81" s="3029"/>
      <c r="K81" s="2398">
        <f t="shared" si="1"/>
        <v>0</v>
      </c>
    </row>
    <row r="82" spans="1:11" ht="15" hidden="1">
      <c r="A82" s="2380">
        <v>41709</v>
      </c>
      <c r="B82" s="2378" t="s">
        <v>2522</v>
      </c>
      <c r="C82" s="2466">
        <v>1000000</v>
      </c>
      <c r="D82" s="3029"/>
      <c r="E82" s="2398">
        <f t="shared" si="0"/>
        <v>23400000</v>
      </c>
      <c r="G82" s="3029"/>
      <c r="H82" s="3029"/>
      <c r="I82" s="2398"/>
      <c r="J82" s="3029"/>
      <c r="K82" s="2398">
        <f t="shared" si="1"/>
        <v>0</v>
      </c>
    </row>
    <row r="83" spans="1:11" ht="15" hidden="1">
      <c r="A83" s="2380">
        <v>41709</v>
      </c>
      <c r="B83" s="2378" t="s">
        <v>2523</v>
      </c>
      <c r="C83" s="2466">
        <v>1000000</v>
      </c>
      <c r="D83" s="3029"/>
      <c r="E83" s="2398">
        <f t="shared" si="0"/>
        <v>22400000</v>
      </c>
      <c r="G83" s="3029"/>
      <c r="H83" s="3029"/>
      <c r="I83" s="2398"/>
      <c r="J83" s="3029"/>
      <c r="K83" s="2398">
        <f t="shared" si="1"/>
        <v>0</v>
      </c>
    </row>
    <row r="84" spans="1:11" ht="15" hidden="1">
      <c r="A84" s="2380">
        <v>41709</v>
      </c>
      <c r="B84" s="2378" t="s">
        <v>2524</v>
      </c>
      <c r="C84" s="2466">
        <v>1000000</v>
      </c>
      <c r="D84" s="3029"/>
      <c r="E84" s="2398">
        <f t="shared" si="0"/>
        <v>21400000</v>
      </c>
      <c r="G84" s="3029"/>
      <c r="H84" s="3029"/>
      <c r="I84" s="2398"/>
      <c r="J84" s="3029"/>
      <c r="K84" s="2398">
        <f t="shared" si="1"/>
        <v>0</v>
      </c>
    </row>
    <row r="85" spans="1:11" ht="15" hidden="1">
      <c r="A85" s="2380">
        <v>41709</v>
      </c>
      <c r="B85" s="2378" t="s">
        <v>2533</v>
      </c>
      <c r="C85" s="2466">
        <v>100000</v>
      </c>
      <c r="D85" s="3029"/>
      <c r="E85" s="2398">
        <f t="shared" si="0"/>
        <v>21300000</v>
      </c>
      <c r="G85" s="3029"/>
      <c r="H85" s="3029"/>
      <c r="I85" s="2398"/>
      <c r="J85" s="3029"/>
      <c r="K85" s="2398">
        <f t="shared" si="1"/>
        <v>0</v>
      </c>
    </row>
    <row r="86" spans="1:11" ht="15" hidden="1">
      <c r="A86" s="2380">
        <v>41710</v>
      </c>
      <c r="B86" s="2378" t="s">
        <v>2525</v>
      </c>
      <c r="C86" s="2466">
        <v>1000000</v>
      </c>
      <c r="D86" s="3029"/>
      <c r="E86" s="2398">
        <f t="shared" si="0"/>
        <v>20300000</v>
      </c>
      <c r="G86" s="3029"/>
      <c r="H86" s="3029"/>
      <c r="I86" s="2398"/>
      <c r="J86" s="3029"/>
      <c r="K86" s="2398">
        <f t="shared" si="1"/>
        <v>0</v>
      </c>
    </row>
    <row r="87" spans="1:11" ht="15" hidden="1">
      <c r="A87" s="2380">
        <v>41712</v>
      </c>
      <c r="B87" s="2378" t="s">
        <v>2526</v>
      </c>
      <c r="C87" s="2466">
        <v>1000000</v>
      </c>
      <c r="D87" s="3029"/>
      <c r="E87" s="2398">
        <f t="shared" si="0"/>
        <v>19300000</v>
      </c>
      <c r="G87" s="3029"/>
      <c r="H87" s="3029"/>
      <c r="I87" s="2398"/>
      <c r="J87" s="3029"/>
      <c r="K87" s="2398">
        <f t="shared" si="1"/>
        <v>0</v>
      </c>
    </row>
    <row r="88" spans="1:11" ht="15" hidden="1">
      <c r="A88" s="2380">
        <v>41712</v>
      </c>
      <c r="B88" s="2378" t="s">
        <v>2527</v>
      </c>
      <c r="C88" s="2466">
        <v>1000000</v>
      </c>
      <c r="D88" s="3029"/>
      <c r="E88" s="2398">
        <f t="shared" si="0"/>
        <v>18300000</v>
      </c>
      <c r="G88" s="3029"/>
      <c r="H88" s="3029"/>
      <c r="I88" s="2398"/>
      <c r="J88" s="3029"/>
      <c r="K88" s="2398">
        <f t="shared" si="1"/>
        <v>0</v>
      </c>
    </row>
    <row r="89" spans="1:11" ht="15" hidden="1">
      <c r="A89" s="2380">
        <v>41715</v>
      </c>
      <c r="B89" s="2378" t="s">
        <v>2528</v>
      </c>
      <c r="C89" s="2466">
        <v>1000000</v>
      </c>
      <c r="D89" s="3029"/>
      <c r="E89" s="2398">
        <f t="shared" si="0"/>
        <v>17300000</v>
      </c>
      <c r="G89" s="3029"/>
      <c r="H89" s="3029"/>
      <c r="I89" s="2398"/>
      <c r="J89" s="3029"/>
      <c r="K89" s="2398">
        <f t="shared" si="1"/>
        <v>0</v>
      </c>
    </row>
    <row r="90" spans="1:11" ht="15" hidden="1">
      <c r="A90" s="2380">
        <v>41715</v>
      </c>
      <c r="B90" s="2378" t="s">
        <v>2529</v>
      </c>
      <c r="C90" s="2466">
        <v>1000000</v>
      </c>
      <c r="D90" s="3029"/>
      <c r="E90" s="2398">
        <f t="shared" si="0"/>
        <v>16300000</v>
      </c>
      <c r="G90" s="3029"/>
      <c r="H90" s="3029"/>
      <c r="I90" s="2398"/>
      <c r="J90" s="3029"/>
      <c r="K90" s="2398">
        <f t="shared" si="1"/>
        <v>0</v>
      </c>
    </row>
    <row r="91" spans="1:11" ht="15" hidden="1">
      <c r="A91" s="2380">
        <v>41717</v>
      </c>
      <c r="B91" s="2378" t="s">
        <v>2504</v>
      </c>
      <c r="C91" s="2466">
        <v>250000</v>
      </c>
      <c r="D91" s="3029"/>
      <c r="E91" s="2398">
        <f t="shared" si="0"/>
        <v>16050000</v>
      </c>
      <c r="G91" s="3029"/>
      <c r="H91" s="3029"/>
      <c r="I91" s="2398"/>
      <c r="J91" s="3029"/>
      <c r="K91" s="2398">
        <f t="shared" si="1"/>
        <v>0</v>
      </c>
    </row>
    <row r="92" spans="1:11" ht="15" hidden="1">
      <c r="A92" s="2440">
        <v>41730</v>
      </c>
      <c r="B92" s="2378" t="s">
        <v>2534</v>
      </c>
      <c r="C92" s="2466">
        <v>100000</v>
      </c>
      <c r="D92" s="3029"/>
      <c r="E92" s="2398">
        <f t="shared" si="0"/>
        <v>15950000</v>
      </c>
      <c r="G92" s="3029"/>
      <c r="H92" s="3029"/>
      <c r="I92" s="2398"/>
      <c r="J92" s="3029"/>
      <c r="K92" s="2398">
        <f t="shared" si="1"/>
        <v>0</v>
      </c>
    </row>
    <row r="93" spans="1:11" ht="15" hidden="1">
      <c r="A93" s="2440">
        <v>41736</v>
      </c>
      <c r="B93" s="2378" t="s">
        <v>2535</v>
      </c>
      <c r="C93" s="2466">
        <v>750000</v>
      </c>
      <c r="D93" s="3033"/>
      <c r="E93" s="2398">
        <f t="shared" si="0"/>
        <v>15200000</v>
      </c>
      <c r="G93" s="3033"/>
      <c r="H93" s="3033"/>
      <c r="I93" s="2398"/>
      <c r="J93" s="3033"/>
      <c r="K93" s="2398">
        <f t="shared" si="1"/>
        <v>0</v>
      </c>
    </row>
    <row r="94" spans="1:11" ht="15" hidden="1">
      <c r="A94" s="2380">
        <v>41757</v>
      </c>
      <c r="B94" s="2378" t="s">
        <v>2546</v>
      </c>
      <c r="C94" s="2466">
        <v>250000</v>
      </c>
      <c r="D94" s="3033"/>
      <c r="E94" s="2398">
        <f t="shared" si="0"/>
        <v>14950000</v>
      </c>
      <c r="G94" s="3033"/>
      <c r="H94" s="3033"/>
      <c r="I94" s="2398"/>
      <c r="J94" s="3033"/>
      <c r="K94" s="2398">
        <f t="shared" si="1"/>
        <v>0</v>
      </c>
    </row>
    <row r="95" spans="1:11" ht="15" hidden="1">
      <c r="A95" s="2380">
        <v>41758</v>
      </c>
      <c r="B95" s="2378" t="s">
        <v>2546</v>
      </c>
      <c r="C95" s="2466">
        <v>750000</v>
      </c>
      <c r="D95" s="3033"/>
      <c r="E95" s="2398">
        <f t="shared" si="0"/>
        <v>14200000</v>
      </c>
      <c r="G95" s="3033"/>
      <c r="H95" s="3033"/>
      <c r="I95" s="2398"/>
      <c r="J95" s="3033"/>
      <c r="K95" s="2398">
        <f t="shared" si="1"/>
        <v>0</v>
      </c>
    </row>
    <row r="96" spans="1:11" ht="15" hidden="1">
      <c r="A96" s="2380">
        <v>41766</v>
      </c>
      <c r="B96" s="2378" t="s">
        <v>2504</v>
      </c>
      <c r="C96" s="2466">
        <v>500000</v>
      </c>
      <c r="D96" s="3033"/>
      <c r="E96" s="2398">
        <f t="shared" si="0"/>
        <v>13700000</v>
      </c>
      <c r="G96" s="3033"/>
      <c r="H96" s="3033"/>
      <c r="I96" s="2398"/>
      <c r="J96" s="3033"/>
      <c r="K96" s="2398">
        <f t="shared" si="1"/>
        <v>0</v>
      </c>
    </row>
    <row r="97" spans="1:11" ht="15" hidden="1">
      <c r="A97" s="2380">
        <v>41778</v>
      </c>
      <c r="B97" s="2378" t="s">
        <v>2504</v>
      </c>
      <c r="C97" s="2466">
        <v>500000</v>
      </c>
      <c r="D97" s="3033"/>
      <c r="E97" s="2398">
        <f t="shared" si="0"/>
        <v>13200000</v>
      </c>
      <c r="G97" s="3033"/>
      <c r="H97" s="3033"/>
      <c r="I97" s="2398"/>
      <c r="J97" s="3033"/>
      <c r="K97" s="2398">
        <f t="shared" si="1"/>
        <v>0</v>
      </c>
    </row>
    <row r="98" spans="1:11" ht="15" hidden="1">
      <c r="A98" s="2380">
        <v>41789</v>
      </c>
      <c r="B98" s="2378" t="s">
        <v>2553</v>
      </c>
      <c r="C98" s="2466">
        <v>200000</v>
      </c>
      <c r="D98" s="3029"/>
      <c r="E98" s="2398">
        <f t="shared" si="0"/>
        <v>13000000</v>
      </c>
      <c r="G98" s="3029"/>
      <c r="H98" s="3029"/>
      <c r="I98" s="2398"/>
      <c r="J98" s="3029"/>
      <c r="K98" s="2398">
        <f t="shared" si="1"/>
        <v>0</v>
      </c>
    </row>
    <row r="99" spans="1:11" ht="15" hidden="1">
      <c r="A99" s="2380">
        <v>41792</v>
      </c>
      <c r="B99" s="2378" t="s">
        <v>2556</v>
      </c>
      <c r="C99" s="2466">
        <v>500000</v>
      </c>
      <c r="D99" s="3029"/>
      <c r="E99" s="2398">
        <f t="shared" si="0"/>
        <v>12500000</v>
      </c>
      <c r="G99" s="3029"/>
      <c r="H99" s="3029"/>
      <c r="I99" s="2398"/>
      <c r="J99" s="3029"/>
      <c r="K99" s="2398">
        <f t="shared" si="1"/>
        <v>0</v>
      </c>
    </row>
    <row r="100" spans="1:11" ht="15" hidden="1">
      <c r="A100" s="2380">
        <v>41793</v>
      </c>
      <c r="B100" s="2378" t="s">
        <v>2557</v>
      </c>
      <c r="C100" s="2466">
        <v>500000</v>
      </c>
      <c r="D100" s="3029"/>
      <c r="E100" s="2398">
        <f t="shared" si="0"/>
        <v>12000000</v>
      </c>
      <c r="G100" s="3029"/>
      <c r="H100" s="3029"/>
      <c r="I100" s="2398"/>
      <c r="J100" s="3029"/>
      <c r="K100" s="2398">
        <f t="shared" si="1"/>
        <v>0</v>
      </c>
    </row>
    <row r="101" spans="1:11" ht="15" hidden="1">
      <c r="A101" s="2380">
        <v>41802</v>
      </c>
      <c r="B101" s="2378" t="s">
        <v>2555</v>
      </c>
      <c r="C101" s="2466">
        <v>300000</v>
      </c>
      <c r="D101" s="3029"/>
      <c r="E101" s="2398">
        <f t="shared" si="0"/>
        <v>11700000</v>
      </c>
      <c r="G101" s="3029"/>
      <c r="H101" s="3029"/>
      <c r="I101" s="2398"/>
      <c r="J101" s="3029"/>
      <c r="K101" s="2398">
        <f t="shared" si="1"/>
        <v>0</v>
      </c>
    </row>
    <row r="102" spans="1:11" ht="15" hidden="1">
      <c r="A102" s="2380">
        <v>41817</v>
      </c>
      <c r="B102" s="2378" t="s">
        <v>2558</v>
      </c>
      <c r="C102" s="2466">
        <v>200000</v>
      </c>
      <c r="D102" s="3040"/>
      <c r="E102" s="2398">
        <f t="shared" si="0"/>
        <v>11500000</v>
      </c>
      <c r="G102" s="3040"/>
      <c r="H102" s="3040"/>
      <c r="I102" s="2398"/>
      <c r="J102" s="3040"/>
      <c r="K102" s="2398"/>
    </row>
    <row r="103" spans="1:11" ht="15" hidden="1">
      <c r="A103" s="2380">
        <v>41817</v>
      </c>
      <c r="B103" s="2378" t="s">
        <v>2559</v>
      </c>
      <c r="C103" s="2466">
        <v>1000000</v>
      </c>
      <c r="D103" s="3040"/>
      <c r="E103" s="2398">
        <f t="shared" si="0"/>
        <v>10500000</v>
      </c>
      <c r="G103" s="3040"/>
      <c r="H103" s="3040"/>
      <c r="I103" s="2398"/>
      <c r="J103" s="3040"/>
      <c r="K103" s="2398"/>
    </row>
    <row r="104" spans="1:11" ht="15" hidden="1">
      <c r="A104" s="2380">
        <v>41817</v>
      </c>
      <c r="B104" s="2378" t="s">
        <v>2560</v>
      </c>
      <c r="C104" s="2466">
        <v>500000</v>
      </c>
      <c r="D104" s="3040"/>
      <c r="E104" s="2398">
        <f t="shared" si="0"/>
        <v>10000000</v>
      </c>
      <c r="G104" s="3040"/>
      <c r="H104" s="3040"/>
      <c r="I104" s="2398"/>
      <c r="J104" s="3040"/>
      <c r="K104" s="2398"/>
    </row>
    <row r="105" spans="1:11" ht="15" hidden="1">
      <c r="A105" s="2380">
        <v>41817</v>
      </c>
      <c r="B105" s="2378" t="s">
        <v>2561</v>
      </c>
      <c r="C105" s="2466">
        <v>900000</v>
      </c>
      <c r="D105" s="3040"/>
      <c r="E105" s="2398">
        <f t="shared" si="0"/>
        <v>9100000</v>
      </c>
      <c r="G105" s="3040"/>
      <c r="H105" s="3040"/>
      <c r="I105" s="2398"/>
      <c r="J105" s="3040"/>
      <c r="K105" s="2398"/>
    </row>
    <row r="106" spans="1:11" ht="15" hidden="1">
      <c r="A106" s="2380">
        <v>41817</v>
      </c>
      <c r="B106" s="2378" t="s">
        <v>2562</v>
      </c>
      <c r="C106" s="2466">
        <v>9100000</v>
      </c>
      <c r="D106" s="3040"/>
      <c r="E106" s="2398">
        <f t="shared" si="0"/>
        <v>0</v>
      </c>
      <c r="G106" s="3040"/>
      <c r="H106" s="3040"/>
      <c r="I106" s="2398"/>
      <c r="J106" s="3040"/>
      <c r="K106" s="2398"/>
    </row>
    <row r="107" spans="1:11" ht="15">
      <c r="A107" s="2380"/>
      <c r="B107" s="2378"/>
      <c r="C107" s="2466"/>
      <c r="D107" s="3128"/>
      <c r="E107" s="2398">
        <f t="shared" si="0"/>
        <v>0</v>
      </c>
      <c r="G107" s="2440">
        <v>42384</v>
      </c>
      <c r="H107" s="3128" t="s">
        <v>2731</v>
      </c>
      <c r="I107" s="2398"/>
      <c r="J107" s="2160">
        <v>68000000</v>
      </c>
      <c r="K107" s="2398">
        <f t="shared" ref="K107" si="2">K99+J107-I107</f>
        <v>68000000</v>
      </c>
    </row>
    <row r="108" spans="1:11" ht="15">
      <c r="A108" s="2380">
        <v>41640</v>
      </c>
      <c r="B108" s="2378" t="s">
        <v>2626</v>
      </c>
      <c r="C108" s="2466"/>
      <c r="D108" s="2160">
        <v>33400000</v>
      </c>
      <c r="E108" s="2398">
        <f t="shared" si="0"/>
        <v>33400000</v>
      </c>
      <c r="G108" s="2440">
        <v>42389</v>
      </c>
      <c r="H108" s="3128" t="s">
        <v>2734</v>
      </c>
      <c r="I108" s="2398">
        <v>25000000</v>
      </c>
      <c r="J108" s="3128"/>
      <c r="K108" s="2398">
        <f>K107+J108-I108</f>
        <v>43000000</v>
      </c>
    </row>
    <row r="109" spans="1:11" ht="15">
      <c r="A109" s="2380">
        <v>42036</v>
      </c>
      <c r="B109" s="2378" t="s">
        <v>2637</v>
      </c>
      <c r="C109" s="2466">
        <v>10000000</v>
      </c>
      <c r="D109" s="3029"/>
      <c r="E109" s="2398">
        <f t="shared" si="0"/>
        <v>23400000</v>
      </c>
      <c r="G109" s="3029"/>
      <c r="H109" s="3029"/>
      <c r="I109" s="2398"/>
      <c r="J109" s="3029"/>
      <c r="K109" s="2398">
        <f t="shared" ref="K109:K117" si="3">K108+J109-I109</f>
        <v>43000000</v>
      </c>
    </row>
    <row r="110" spans="1:11" ht="15">
      <c r="A110" s="2380">
        <v>42117</v>
      </c>
      <c r="B110" s="2378" t="s">
        <v>2663</v>
      </c>
      <c r="C110" s="2466">
        <v>10400000</v>
      </c>
      <c r="D110" s="2934"/>
      <c r="E110" s="2398">
        <f t="shared" si="0"/>
        <v>13000000</v>
      </c>
      <c r="G110" s="2934"/>
      <c r="H110" s="2934"/>
      <c r="I110" s="2398"/>
      <c r="J110" s="2934"/>
      <c r="K110" s="2398">
        <f t="shared" si="3"/>
        <v>43000000</v>
      </c>
    </row>
    <row r="111" spans="1:11" ht="15">
      <c r="A111" s="2380">
        <v>42306</v>
      </c>
      <c r="B111" s="2378" t="s">
        <v>2626</v>
      </c>
      <c r="C111" s="2466">
        <v>13000000</v>
      </c>
      <c r="D111" s="3197"/>
      <c r="E111" s="2398">
        <f t="shared" si="0"/>
        <v>0</v>
      </c>
      <c r="G111" s="3197"/>
      <c r="H111" s="3197"/>
      <c r="I111" s="2398"/>
      <c r="J111" s="3197"/>
      <c r="K111" s="2398">
        <f t="shared" si="3"/>
        <v>43000000</v>
      </c>
    </row>
    <row r="112" spans="1:11" ht="15">
      <c r="A112" s="2380">
        <v>42384</v>
      </c>
      <c r="B112" s="2378" t="s">
        <v>2730</v>
      </c>
      <c r="C112" s="2466"/>
      <c r="D112" s="3210">
        <v>58010000</v>
      </c>
      <c r="E112" s="2398">
        <f t="shared" si="0"/>
        <v>58010000</v>
      </c>
      <c r="G112" s="3210"/>
      <c r="H112" s="3210"/>
      <c r="I112" s="2398"/>
      <c r="J112" s="3210"/>
      <c r="K112" s="2398">
        <f t="shared" si="3"/>
        <v>43000000</v>
      </c>
    </row>
    <row r="113" spans="1:11" ht="15">
      <c r="A113" s="2380">
        <v>42389</v>
      </c>
      <c r="B113" s="2378" t="s">
        <v>2735</v>
      </c>
      <c r="C113" s="2466">
        <v>25000000</v>
      </c>
      <c r="D113" s="3210"/>
      <c r="E113" s="2398">
        <f t="shared" si="0"/>
        <v>33010000</v>
      </c>
      <c r="G113" s="3210"/>
      <c r="H113" s="3210"/>
      <c r="I113" s="2398"/>
      <c r="J113" s="3210"/>
      <c r="K113" s="2398">
        <f t="shared" si="3"/>
        <v>43000000</v>
      </c>
    </row>
    <row r="114" spans="1:11" ht="15">
      <c r="A114" s="2380"/>
      <c r="B114" s="2378"/>
      <c r="C114" s="2466"/>
      <c r="D114" s="3210"/>
      <c r="E114" s="2398">
        <f t="shared" si="0"/>
        <v>33010000</v>
      </c>
      <c r="G114" s="3210"/>
      <c r="H114" s="3210"/>
      <c r="I114" s="2398"/>
      <c r="J114" s="3210"/>
      <c r="K114" s="2398">
        <f t="shared" si="3"/>
        <v>43000000</v>
      </c>
    </row>
    <row r="115" spans="1:11" ht="15">
      <c r="A115" s="2380"/>
      <c r="B115" s="2378"/>
      <c r="C115" s="2466"/>
      <c r="D115" s="3210"/>
      <c r="E115" s="2398">
        <f t="shared" si="0"/>
        <v>33010000</v>
      </c>
      <c r="G115" s="3210"/>
      <c r="H115" s="3210"/>
      <c r="I115" s="2398"/>
      <c r="J115" s="3210"/>
      <c r="K115" s="2398">
        <f t="shared" si="3"/>
        <v>43000000</v>
      </c>
    </row>
    <row r="116" spans="1:11" ht="15">
      <c r="A116" s="2380"/>
      <c r="B116" s="2378"/>
      <c r="C116" s="2466"/>
      <c r="D116" s="3210"/>
      <c r="E116" s="2398">
        <f t="shared" si="0"/>
        <v>33010000</v>
      </c>
      <c r="G116" s="3210"/>
      <c r="H116" s="3210"/>
      <c r="I116" s="2398"/>
      <c r="J116" s="3210"/>
      <c r="K116" s="2398">
        <f t="shared" si="3"/>
        <v>43000000</v>
      </c>
    </row>
    <row r="117" spans="1:11" ht="15">
      <c r="A117" s="2380"/>
      <c r="B117" s="2378"/>
      <c r="C117" s="2466"/>
      <c r="D117" s="3210"/>
      <c r="E117" s="2398">
        <f t="shared" si="0"/>
        <v>33010000</v>
      </c>
      <c r="G117" s="3210"/>
      <c r="H117" s="3210"/>
      <c r="I117" s="2398"/>
      <c r="J117" s="3210"/>
      <c r="K117" s="2398">
        <f t="shared" si="3"/>
        <v>43000000</v>
      </c>
    </row>
    <row r="118" spans="1:11" ht="15">
      <c r="A118" s="2380"/>
      <c r="B118" s="2378"/>
      <c r="C118" s="2466"/>
      <c r="D118" s="3210"/>
      <c r="E118" s="2398">
        <f t="shared" si="0"/>
        <v>33010000</v>
      </c>
      <c r="G118" s="3210"/>
      <c r="H118" s="3210"/>
      <c r="I118" s="2398"/>
      <c r="J118" s="3210"/>
      <c r="K118" s="2398"/>
    </row>
    <row r="119" spans="1:11" ht="15">
      <c r="A119" s="2380"/>
      <c r="B119" s="2378"/>
      <c r="C119" s="2466"/>
      <c r="D119" s="3210"/>
      <c r="E119" s="2398">
        <f t="shared" si="0"/>
        <v>33010000</v>
      </c>
      <c r="G119" s="3210"/>
      <c r="H119" s="3210"/>
      <c r="I119" s="2398"/>
      <c r="J119" s="3210"/>
      <c r="K119" s="2398"/>
    </row>
    <row r="120" spans="1:11" ht="15">
      <c r="A120" s="2380"/>
      <c r="B120" s="2378"/>
      <c r="C120" s="2466"/>
      <c r="D120" s="3210"/>
      <c r="E120" s="2398">
        <f t="shared" si="0"/>
        <v>33010000</v>
      </c>
      <c r="G120" s="3210"/>
      <c r="H120" s="3210"/>
      <c r="I120" s="2398"/>
      <c r="J120" s="3210"/>
      <c r="K120" s="2398"/>
    </row>
    <row r="121" spans="1:11" ht="15">
      <c r="A121" s="2380"/>
      <c r="B121" s="2378"/>
      <c r="C121" s="2466"/>
      <c r="D121" s="3210"/>
      <c r="E121" s="2398">
        <f t="shared" si="0"/>
        <v>33010000</v>
      </c>
      <c r="G121" s="3210"/>
      <c r="H121" s="3210"/>
      <c r="I121" s="2398"/>
      <c r="J121" s="3210"/>
      <c r="K121" s="2398"/>
    </row>
    <row r="122" spans="1:11" ht="15">
      <c r="A122" s="2380"/>
      <c r="B122" s="2378"/>
      <c r="C122" s="2466"/>
      <c r="D122" s="3210"/>
      <c r="E122" s="2398">
        <f t="shared" si="0"/>
        <v>33010000</v>
      </c>
      <c r="G122" s="3210"/>
      <c r="H122" s="3210"/>
      <c r="I122" s="2398"/>
      <c r="J122" s="3210"/>
      <c r="K122" s="2398"/>
    </row>
    <row r="123" spans="1:11" ht="15">
      <c r="A123" s="2380"/>
      <c r="B123" s="2378"/>
      <c r="C123" s="2466"/>
      <c r="D123" s="3210"/>
      <c r="E123" s="2398">
        <f t="shared" si="0"/>
        <v>33010000</v>
      </c>
      <c r="G123" s="3210"/>
      <c r="H123" s="3210"/>
      <c r="I123" s="2398"/>
      <c r="J123" s="3210"/>
      <c r="K123" s="2398"/>
    </row>
    <row r="124" spans="1:11" ht="15">
      <c r="A124" s="2380"/>
      <c r="B124" s="2378"/>
      <c r="C124" s="2466"/>
      <c r="D124" s="3210"/>
      <c r="E124" s="2398">
        <f t="shared" si="0"/>
        <v>33010000</v>
      </c>
      <c r="G124" s="3210"/>
      <c r="H124" s="3210"/>
      <c r="I124" s="2398"/>
      <c r="J124" s="3210"/>
      <c r="K124" s="2398"/>
    </row>
    <row r="125" spans="1:11" ht="15">
      <c r="A125" s="2380"/>
      <c r="B125" s="2378"/>
      <c r="C125" s="2466"/>
      <c r="D125" s="3210"/>
      <c r="E125" s="2398">
        <f t="shared" si="0"/>
        <v>33010000</v>
      </c>
      <c r="G125" s="3210"/>
      <c r="H125" s="3210"/>
      <c r="I125" s="2398"/>
      <c r="J125" s="3210"/>
      <c r="K125" s="2398"/>
    </row>
    <row r="126" spans="1:11" ht="15">
      <c r="A126" s="2380"/>
      <c r="B126" s="2378"/>
      <c r="C126" s="2466"/>
      <c r="D126" s="3210"/>
      <c r="E126" s="2398">
        <f t="shared" si="0"/>
        <v>33010000</v>
      </c>
      <c r="G126" s="3210"/>
      <c r="H126" s="3210"/>
      <c r="I126" s="2398"/>
      <c r="J126" s="3210"/>
      <c r="K126" s="2398"/>
    </row>
    <row r="127" spans="1:11" ht="15">
      <c r="A127" s="2380"/>
      <c r="B127" s="2378"/>
      <c r="C127" s="2466"/>
      <c r="D127" s="3210"/>
      <c r="E127" s="2398">
        <f t="shared" si="0"/>
        <v>33010000</v>
      </c>
      <c r="G127" s="3210"/>
      <c r="H127" s="3210"/>
      <c r="I127" s="2398"/>
      <c r="J127" s="3210"/>
      <c r="K127" s="2398"/>
    </row>
    <row r="128" spans="1:11" ht="15">
      <c r="A128" s="2380"/>
      <c r="B128" s="2378"/>
      <c r="C128" s="2466"/>
      <c r="D128" s="3210"/>
      <c r="E128" s="2398">
        <f t="shared" si="0"/>
        <v>33010000</v>
      </c>
      <c r="G128" s="3210"/>
      <c r="H128" s="3210"/>
      <c r="I128" s="2398"/>
      <c r="J128" s="3210"/>
      <c r="K128" s="2398"/>
    </row>
    <row r="129" spans="1:11" ht="15">
      <c r="A129" s="2380"/>
      <c r="B129" s="2378"/>
      <c r="C129" s="2466"/>
      <c r="D129" s="3210"/>
      <c r="E129" s="2398">
        <f t="shared" si="0"/>
        <v>33010000</v>
      </c>
      <c r="G129" s="3210"/>
      <c r="H129" s="3210"/>
      <c r="I129" s="2398"/>
      <c r="J129" s="3210"/>
      <c r="K129" s="2398"/>
    </row>
    <row r="130" spans="1:11" ht="15">
      <c r="A130" s="2380"/>
      <c r="B130" s="2378"/>
      <c r="C130" s="2466"/>
      <c r="D130" s="3210"/>
      <c r="E130" s="2398">
        <f t="shared" si="0"/>
        <v>33010000</v>
      </c>
      <c r="G130" s="3210"/>
      <c r="H130" s="3210"/>
      <c r="I130" s="2398"/>
      <c r="J130" s="3210"/>
      <c r="K130" s="2398"/>
    </row>
    <row r="131" spans="1:11" ht="15">
      <c r="A131" s="2380"/>
      <c r="B131" s="2378"/>
      <c r="C131" s="2466"/>
      <c r="D131" s="3210"/>
      <c r="E131" s="2398">
        <f t="shared" si="0"/>
        <v>33010000</v>
      </c>
      <c r="G131" s="3210"/>
      <c r="H131" s="3210"/>
      <c r="I131" s="2398"/>
      <c r="J131" s="3210"/>
      <c r="K131" s="2398"/>
    </row>
    <row r="132" spans="1:11" ht="15">
      <c r="A132" s="2380"/>
      <c r="B132" s="2378"/>
      <c r="C132" s="2466"/>
      <c r="D132" s="3210"/>
      <c r="E132" s="2398">
        <f t="shared" si="0"/>
        <v>33010000</v>
      </c>
      <c r="G132" s="3210"/>
      <c r="H132" s="3210"/>
      <c r="I132" s="2398"/>
      <c r="J132" s="3210"/>
      <c r="K132" s="2398"/>
    </row>
    <row r="133" spans="1:11" ht="15">
      <c r="A133" s="2380"/>
      <c r="B133" s="2378"/>
      <c r="C133" s="2466"/>
      <c r="D133" s="3210"/>
      <c r="E133" s="2398">
        <f t="shared" si="0"/>
        <v>33010000</v>
      </c>
      <c r="G133" s="3210"/>
      <c r="H133" s="3210"/>
      <c r="I133" s="2398"/>
      <c r="J133" s="3210"/>
      <c r="K133" s="2398"/>
    </row>
    <row r="134" spans="1:11" ht="15">
      <c r="A134" s="2380"/>
      <c r="B134" s="2378"/>
      <c r="C134" s="2466"/>
      <c r="D134" s="3210"/>
      <c r="E134" s="2398">
        <f t="shared" si="0"/>
        <v>33010000</v>
      </c>
      <c r="G134" s="3210"/>
      <c r="H134" s="3210"/>
      <c r="I134" s="2398"/>
      <c r="J134" s="3210"/>
      <c r="K134" s="2398"/>
    </row>
    <row r="135" spans="1:11" ht="15">
      <c r="A135" s="2380"/>
      <c r="B135" s="2378"/>
      <c r="C135" s="2466"/>
      <c r="D135" s="3210"/>
      <c r="E135" s="2398">
        <f t="shared" si="0"/>
        <v>33010000</v>
      </c>
      <c r="G135" s="3210"/>
      <c r="H135" s="3210"/>
      <c r="I135" s="2398"/>
      <c r="J135" s="3210"/>
      <c r="K135" s="2398"/>
    </row>
    <row r="136" spans="1:11" ht="15">
      <c r="A136" s="2380"/>
      <c r="B136" s="2378"/>
      <c r="C136" s="2466"/>
      <c r="D136" s="3210"/>
      <c r="E136" s="2398">
        <f t="shared" si="0"/>
        <v>33010000</v>
      </c>
      <c r="G136" s="3210"/>
      <c r="H136" s="3210"/>
      <c r="I136" s="2398"/>
      <c r="J136" s="3210"/>
      <c r="K136" s="2398"/>
    </row>
    <row r="137" spans="1:11" ht="15">
      <c r="A137" s="2380"/>
      <c r="B137" s="2378"/>
      <c r="C137" s="2466"/>
      <c r="D137" s="3210"/>
      <c r="E137" s="2398">
        <f t="shared" si="0"/>
        <v>33010000</v>
      </c>
      <c r="G137" s="3210"/>
      <c r="H137" s="3210"/>
      <c r="I137" s="2398"/>
      <c r="J137" s="3210"/>
      <c r="K137" s="2398"/>
    </row>
    <row r="138" spans="1:11" ht="15">
      <c r="A138" s="2380"/>
      <c r="B138" s="2378"/>
      <c r="C138" s="2466"/>
      <c r="D138" s="3210"/>
      <c r="E138" s="2398">
        <f t="shared" si="0"/>
        <v>33010000</v>
      </c>
      <c r="G138" s="3210"/>
      <c r="H138" s="3210"/>
      <c r="I138" s="2398"/>
      <c r="J138" s="3210"/>
      <c r="K138" s="2398"/>
    </row>
    <row r="139" spans="1:11" ht="15">
      <c r="A139" s="2380"/>
      <c r="B139" s="2378"/>
      <c r="C139" s="2466"/>
      <c r="D139" s="3197"/>
      <c r="E139" s="2398">
        <f t="shared" si="0"/>
        <v>33010000</v>
      </c>
      <c r="G139" s="3197"/>
      <c r="H139" s="3197"/>
      <c r="I139" s="2398"/>
      <c r="J139" s="3197"/>
      <c r="K139" s="2398"/>
    </row>
    <row r="140" spans="1:11" ht="15">
      <c r="A140" s="2380"/>
      <c r="B140" s="2378"/>
      <c r="C140" s="2466"/>
      <c r="D140" s="3197"/>
      <c r="E140" s="2398">
        <f t="shared" si="0"/>
        <v>33010000</v>
      </c>
      <c r="G140" s="3197"/>
      <c r="H140" s="3197"/>
      <c r="I140" s="2398"/>
      <c r="J140" s="3197"/>
      <c r="K140" s="2398"/>
    </row>
    <row r="141" spans="1:11" ht="15">
      <c r="A141" s="2380"/>
      <c r="B141" s="2378"/>
      <c r="C141" s="2466"/>
      <c r="D141" s="3197"/>
      <c r="E141" s="2398">
        <f t="shared" si="0"/>
        <v>33010000</v>
      </c>
      <c r="G141" s="3197"/>
      <c r="H141" s="3197"/>
      <c r="I141" s="2398"/>
      <c r="J141" s="3197"/>
      <c r="K141" s="2398"/>
    </row>
    <row r="142" spans="1:11" ht="15" customHeight="1">
      <c r="A142" s="2380"/>
      <c r="B142" s="2412"/>
      <c r="C142" s="2395"/>
      <c r="D142" s="2449"/>
      <c r="E142" s="2398">
        <f t="shared" si="0"/>
        <v>33010000</v>
      </c>
      <c r="G142" s="2449"/>
      <c r="H142" s="2449"/>
      <c r="I142" s="2449"/>
      <c r="J142" s="2449"/>
      <c r="K142" s="2398">
        <f>K110+J142-I142</f>
        <v>43000000</v>
      </c>
    </row>
    <row r="143" spans="1:11" ht="24.75" customHeight="1">
      <c r="A143" s="2475"/>
      <c r="B143" s="2475" t="s">
        <v>20</v>
      </c>
      <c r="C143" s="2474">
        <f>SUM(C9:C142)</f>
        <v>178576700</v>
      </c>
      <c r="D143" s="2474">
        <f>SUM(D9:D142)</f>
        <v>211586700</v>
      </c>
      <c r="E143" s="2474">
        <f>D143-C143</f>
        <v>33010000</v>
      </c>
      <c r="G143" s="2449"/>
      <c r="H143" s="2449" t="s">
        <v>20</v>
      </c>
      <c r="I143" s="2399">
        <f>SUM(I9:I142)</f>
        <v>255165100</v>
      </c>
      <c r="J143" s="2400">
        <f>SUM(J9:J142)</f>
        <v>298165100</v>
      </c>
      <c r="K143" s="2472">
        <f>J143-I143</f>
        <v>43000000</v>
      </c>
    </row>
    <row r="144" spans="1:11" ht="10.5" customHeight="1">
      <c r="A144" s="1187"/>
      <c r="G144" s="1187"/>
    </row>
    <row r="145" spans="1:11" ht="15">
      <c r="A145" s="1174"/>
      <c r="D145" s="3385" t="s">
        <v>897</v>
      </c>
      <c r="E145" s="3385"/>
      <c r="G145" s="1174"/>
      <c r="J145" s="3385" t="s">
        <v>897</v>
      </c>
      <c r="K145" s="3385"/>
    </row>
    <row r="146" spans="1:11" ht="15">
      <c r="A146" s="3379" t="s">
        <v>332</v>
      </c>
      <c r="B146" s="3379"/>
      <c r="D146" s="3379" t="s">
        <v>83</v>
      </c>
      <c r="E146" s="3379"/>
      <c r="G146" s="3379" t="s">
        <v>332</v>
      </c>
      <c r="H146" s="3379"/>
      <c r="J146" s="3379" t="s">
        <v>83</v>
      </c>
      <c r="K146" s="3379"/>
    </row>
    <row r="147" spans="1:11" ht="15">
      <c r="A147" s="1188"/>
      <c r="B147" s="1188"/>
      <c r="D147" s="1187"/>
      <c r="G147" s="1188"/>
      <c r="H147" s="1188"/>
      <c r="J147" s="1187"/>
    </row>
    <row r="148" spans="1:11" ht="15">
      <c r="A148" s="1189" t="s">
        <v>897</v>
      </c>
      <c r="B148" s="1189" t="s">
        <v>897</v>
      </c>
      <c r="D148" s="3383" t="s">
        <v>897</v>
      </c>
      <c r="E148" s="3383"/>
      <c r="G148" s="1189" t="s">
        <v>897</v>
      </c>
      <c r="H148" s="1189" t="s">
        <v>897</v>
      </c>
      <c r="J148" s="3383" t="s">
        <v>897</v>
      </c>
      <c r="K148" s="3383"/>
    </row>
    <row r="149" spans="1:11" ht="15">
      <c r="A149" s="1188" t="s">
        <v>23</v>
      </c>
      <c r="B149" s="1188" t="s">
        <v>211</v>
      </c>
      <c r="D149" s="3379" t="s">
        <v>24</v>
      </c>
      <c r="E149" s="3379"/>
      <c r="G149" s="1188" t="s">
        <v>23</v>
      </c>
      <c r="H149" s="1188" t="s">
        <v>211</v>
      </c>
      <c r="J149" s="3379" t="s">
        <v>24</v>
      </c>
      <c r="K149" s="3379"/>
    </row>
    <row r="150" spans="1:11" ht="15">
      <c r="A150" s="1187"/>
      <c r="G150" s="1187"/>
    </row>
    <row r="151" spans="1:11" ht="18">
      <c r="A151" s="3378" t="s">
        <v>315</v>
      </c>
      <c r="B151" s="3378"/>
      <c r="C151" s="3378"/>
      <c r="D151" s="3378"/>
      <c r="E151" s="3378"/>
      <c r="G151" s="3378" t="s">
        <v>315</v>
      </c>
      <c r="H151" s="3378"/>
      <c r="I151" s="3378"/>
      <c r="J151" s="3378"/>
      <c r="K151" s="3378"/>
    </row>
    <row r="152" spans="1:11" ht="20.25">
      <c r="A152" s="3384" t="s">
        <v>921</v>
      </c>
      <c r="B152" s="3384"/>
      <c r="C152" s="3384"/>
      <c r="D152" s="3384"/>
      <c r="E152" s="3384"/>
      <c r="G152" s="3386" t="s">
        <v>924</v>
      </c>
      <c r="H152" s="3386"/>
      <c r="I152" s="3386"/>
      <c r="J152" s="3386"/>
      <c r="K152" s="3386"/>
    </row>
    <row r="153" spans="1:11" ht="15">
      <c r="A153" s="1174" t="s">
        <v>2</v>
      </c>
      <c r="B153" s="1174" t="s">
        <v>357</v>
      </c>
      <c r="G153" s="1174" t="s">
        <v>2</v>
      </c>
      <c r="H153" s="1174" t="s">
        <v>357</v>
      </c>
    </row>
    <row r="154" spans="1:11" ht="15">
      <c r="A154" s="1174" t="s">
        <v>4</v>
      </c>
      <c r="B154" s="1174" t="s">
        <v>357</v>
      </c>
      <c r="G154" s="1174" t="s">
        <v>4</v>
      </c>
      <c r="H154" s="1174" t="s">
        <v>357</v>
      </c>
    </row>
    <row r="155" spans="1:11" ht="15">
      <c r="A155" s="1174" t="s">
        <v>6</v>
      </c>
      <c r="B155" s="1174" t="s">
        <v>357</v>
      </c>
      <c r="C155" s="1174"/>
      <c r="G155" s="1174" t="s">
        <v>6</v>
      </c>
      <c r="H155" s="1174" t="s">
        <v>357</v>
      </c>
      <c r="I155" s="1174"/>
    </row>
    <row r="156" spans="1:11" ht="9" customHeight="1" thickBot="1">
      <c r="A156" s="1175"/>
      <c r="G156" s="1175"/>
    </row>
    <row r="157" spans="1:11" ht="54.75" thickBot="1">
      <c r="A157" s="1176" t="s">
        <v>152</v>
      </c>
      <c r="B157" s="1177" t="s">
        <v>296</v>
      </c>
      <c r="C157" s="1177" t="s">
        <v>923</v>
      </c>
      <c r="D157" s="1177" t="s">
        <v>922</v>
      </c>
      <c r="E157" s="1177" t="s">
        <v>191</v>
      </c>
      <c r="G157" s="1176" t="s">
        <v>152</v>
      </c>
      <c r="H157" s="3380" t="s">
        <v>296</v>
      </c>
      <c r="I157" s="3381"/>
      <c r="J157" s="3382"/>
      <c r="K157" s="1177" t="s">
        <v>736</v>
      </c>
    </row>
    <row r="158" spans="1:11" ht="21.75" customHeight="1" thickBot="1">
      <c r="A158" s="1178"/>
      <c r="B158" s="1178" t="s">
        <v>258</v>
      </c>
      <c r="C158" s="223">
        <v>0</v>
      </c>
      <c r="D158" s="223">
        <v>0</v>
      </c>
      <c r="E158" s="223">
        <f>D158-C158</f>
        <v>0</v>
      </c>
      <c r="G158" s="2071"/>
      <c r="H158" s="2072" t="s">
        <v>1788</v>
      </c>
      <c r="I158" s="2073"/>
      <c r="J158" s="2074"/>
      <c r="K158" s="2075"/>
    </row>
    <row r="159" spans="1:11" ht="15.75" thickTop="1">
      <c r="A159" s="1179"/>
      <c r="B159" s="1180"/>
      <c r="C159" s="224"/>
      <c r="D159" s="224"/>
      <c r="E159" s="224">
        <f t="shared" ref="E159:E202" si="4">E158+D159-C159</f>
        <v>0</v>
      </c>
      <c r="G159" s="1181"/>
      <c r="H159" s="1263" t="s">
        <v>925</v>
      </c>
      <c r="I159" s="1264"/>
      <c r="J159" s="1265"/>
      <c r="K159" s="225"/>
    </row>
    <row r="160" spans="1:11" ht="15">
      <c r="A160" s="1181"/>
      <c r="B160" s="1333" t="s">
        <v>974</v>
      </c>
      <c r="C160" s="225"/>
      <c r="D160" s="225"/>
      <c r="E160" s="225">
        <f t="shared" si="4"/>
        <v>0</v>
      </c>
      <c r="G160" s="1181"/>
      <c r="H160" s="1263" t="s">
        <v>926</v>
      </c>
      <c r="I160" s="1264"/>
      <c r="J160" s="1265"/>
      <c r="K160" s="225"/>
    </row>
    <row r="161" spans="1:11" ht="15">
      <c r="A161" s="1181"/>
      <c r="B161" s="1182" t="s">
        <v>812</v>
      </c>
      <c r="C161" s="225"/>
      <c r="D161" s="225">
        <f>'Kas B PPK'!E46</f>
        <v>0</v>
      </c>
      <c r="E161" s="225">
        <f t="shared" si="4"/>
        <v>0</v>
      </c>
      <c r="G161" s="1181">
        <v>40237</v>
      </c>
      <c r="H161" s="1263" t="s">
        <v>1870</v>
      </c>
      <c r="I161" s="1264"/>
      <c r="J161" s="1265"/>
      <c r="K161" s="225"/>
    </row>
    <row r="162" spans="1:11" ht="15">
      <c r="A162" s="1181"/>
      <c r="B162" s="1182" t="s">
        <v>813</v>
      </c>
      <c r="C162" s="225"/>
      <c r="D162" s="2968">
        <f>'Kas B PNPM-MPd'!E27</f>
        <v>200000</v>
      </c>
      <c r="E162" s="225">
        <f t="shared" si="4"/>
        <v>200000</v>
      </c>
      <c r="G162" s="1181">
        <v>40176</v>
      </c>
      <c r="H162" s="1263" t="s">
        <v>1871</v>
      </c>
      <c r="I162" s="1264">
        <v>47750000</v>
      </c>
      <c r="J162" s="1265"/>
      <c r="K162" s="225">
        <f>K161+I162-J162</f>
        <v>47750000</v>
      </c>
    </row>
    <row r="163" spans="1:11" ht="15">
      <c r="A163" s="1181"/>
      <c r="B163" s="1182" t="s">
        <v>814</v>
      </c>
      <c r="C163" s="225"/>
      <c r="D163" s="2968">
        <f>'Kas B PNPM-TP GEMPA'!E46</f>
        <v>100000</v>
      </c>
      <c r="E163" s="225">
        <f t="shared" si="4"/>
        <v>300000</v>
      </c>
      <c r="G163" s="1181"/>
      <c r="H163" s="1263"/>
      <c r="I163" s="1264"/>
      <c r="J163" s="1265"/>
      <c r="K163" s="225"/>
    </row>
    <row r="164" spans="1:11" ht="15">
      <c r="A164" s="1181"/>
      <c r="B164" s="1182" t="s">
        <v>815</v>
      </c>
      <c r="C164" s="225"/>
      <c r="D164" s="225">
        <f>'Kas B GSC'!E46</f>
        <v>0</v>
      </c>
      <c r="E164" s="225">
        <f t="shared" si="4"/>
        <v>300000</v>
      </c>
      <c r="G164" s="1181"/>
      <c r="H164" s="1263"/>
      <c r="I164" s="1264"/>
      <c r="J164" s="1265"/>
      <c r="K164" s="225"/>
    </row>
    <row r="165" spans="1:11" ht="15">
      <c r="A165" s="1181"/>
      <c r="B165" s="1182" t="s">
        <v>816</v>
      </c>
      <c r="C165" s="225"/>
      <c r="D165" s="225">
        <f>'Kas B PASCA KRISIS'!E46</f>
        <v>0</v>
      </c>
      <c r="E165" s="225">
        <f t="shared" si="4"/>
        <v>300000</v>
      </c>
      <c r="G165" s="1181"/>
      <c r="H165" s="1263"/>
      <c r="I165" s="1264"/>
      <c r="J165" s="1265"/>
      <c r="K165" s="225"/>
    </row>
    <row r="166" spans="1:11" ht="15">
      <c r="A166" s="1181"/>
      <c r="B166" s="1182" t="s">
        <v>207</v>
      </c>
      <c r="C166" s="225"/>
      <c r="D166" s="2968">
        <f>'Kas OP-UPK'!I90</f>
        <v>17850000</v>
      </c>
      <c r="E166" s="225">
        <f t="shared" si="4"/>
        <v>18150000</v>
      </c>
      <c r="G166" s="1181"/>
      <c r="H166" s="1263"/>
      <c r="I166" s="1264"/>
      <c r="J166" s="1265"/>
      <c r="K166" s="225"/>
    </row>
    <row r="167" spans="1:11" ht="15">
      <c r="A167" s="1181"/>
      <c r="B167" s="1182" t="s">
        <v>52</v>
      </c>
      <c r="C167" s="225"/>
      <c r="D167" s="225">
        <f>'Kas UEP'!G42</f>
        <v>0</v>
      </c>
      <c r="E167" s="225">
        <f t="shared" si="4"/>
        <v>18150000</v>
      </c>
      <c r="G167" s="1181"/>
      <c r="H167" s="1263"/>
      <c r="I167" s="1264"/>
      <c r="J167" s="1265"/>
      <c r="K167" s="225"/>
    </row>
    <row r="168" spans="1:11" ht="15">
      <c r="A168" s="1181"/>
      <c r="B168" s="1182" t="s">
        <v>53</v>
      </c>
      <c r="C168" s="225"/>
      <c r="D168" s="225">
        <f>'Kas SPP'!G367</f>
        <v>0</v>
      </c>
      <c r="E168" s="225">
        <f t="shared" si="4"/>
        <v>18150000</v>
      </c>
      <c r="G168" s="1181"/>
      <c r="H168" s="1263"/>
      <c r="I168" s="1264"/>
      <c r="J168" s="1265"/>
      <c r="K168" s="225"/>
    </row>
    <row r="169" spans="1:11" ht="15">
      <c r="A169" s="1181"/>
      <c r="B169" s="1182" t="s">
        <v>956</v>
      </c>
      <c r="C169" s="225"/>
      <c r="D169" s="225">
        <f>'Kas SPP Pihak ke-3'!G42</f>
        <v>0</v>
      </c>
      <c r="E169" s="225">
        <f t="shared" si="4"/>
        <v>18150000</v>
      </c>
      <c r="G169" s="1181"/>
      <c r="H169" s="1263"/>
      <c r="I169" s="1264"/>
      <c r="J169" s="1265"/>
      <c r="K169" s="225"/>
    </row>
    <row r="170" spans="1:11" ht="15">
      <c r="A170" s="1181"/>
      <c r="B170" s="1182" t="s">
        <v>959</v>
      </c>
      <c r="C170" s="225"/>
      <c r="D170" s="225">
        <f>'Kas DOK PLUPK'!F45</f>
        <v>2200000</v>
      </c>
      <c r="E170" s="225">
        <f t="shared" si="4"/>
        <v>20350000</v>
      </c>
      <c r="G170" s="1181"/>
      <c r="H170" s="1263"/>
      <c r="I170" s="1264"/>
      <c r="J170" s="1265"/>
      <c r="K170" s="225"/>
    </row>
    <row r="171" spans="1:11" ht="15">
      <c r="A171" s="1181"/>
      <c r="B171" s="1182" t="s">
        <v>960</v>
      </c>
      <c r="C171" s="225"/>
      <c r="D171" s="2970">
        <f>'Kas DOK Pernc.'!F46</f>
        <v>6220000</v>
      </c>
      <c r="E171" s="225">
        <f t="shared" si="4"/>
        <v>26570000</v>
      </c>
      <c r="G171" s="1181"/>
      <c r="H171" s="1263"/>
      <c r="I171" s="1264"/>
      <c r="J171" s="1265"/>
      <c r="K171" s="225"/>
    </row>
    <row r="172" spans="1:11" ht="15">
      <c r="A172" s="1181"/>
      <c r="B172" s="1182" t="s">
        <v>961</v>
      </c>
      <c r="C172" s="225"/>
      <c r="D172" s="2968">
        <f>'Kas DOK Pelth.'!F47</f>
        <v>13546000</v>
      </c>
      <c r="E172" s="225">
        <f t="shared" si="4"/>
        <v>40116000</v>
      </c>
      <c r="G172" s="1181"/>
      <c r="H172" s="1263"/>
      <c r="I172" s="1264"/>
      <c r="J172" s="1265"/>
      <c r="K172" s="225"/>
    </row>
    <row r="173" spans="1:11" ht="15">
      <c r="A173" s="1181"/>
      <c r="B173" s="1182" t="s">
        <v>957</v>
      </c>
      <c r="C173" s="225"/>
      <c r="D173" s="225">
        <f>'Kas DOK Pernc.GSC'!F45</f>
        <v>0</v>
      </c>
      <c r="E173" s="225">
        <f t="shared" si="4"/>
        <v>40116000</v>
      </c>
      <c r="G173" s="1181"/>
      <c r="H173" s="1263"/>
      <c r="I173" s="1264"/>
      <c r="J173" s="1265"/>
      <c r="K173" s="225"/>
    </row>
    <row r="174" spans="1:11" ht="15">
      <c r="A174" s="1181"/>
      <c r="B174" s="1182" t="s">
        <v>958</v>
      </c>
      <c r="C174" s="225"/>
      <c r="D174" s="225">
        <f>'Kas DOK Pelth.GSC'!F45</f>
        <v>0</v>
      </c>
      <c r="E174" s="225">
        <f t="shared" si="4"/>
        <v>40116000</v>
      </c>
      <c r="G174" s="1181"/>
      <c r="H174" s="1263"/>
      <c r="I174" s="1264"/>
      <c r="J174" s="1265"/>
      <c r="K174" s="225"/>
    </row>
    <row r="175" spans="1:11" ht="15">
      <c r="A175" s="1181"/>
      <c r="B175" s="1182" t="s">
        <v>817</v>
      </c>
      <c r="C175" s="225"/>
      <c r="D175" s="2968">
        <f>'Kas DOK GEMPA'!F45</f>
        <v>5000000</v>
      </c>
      <c r="E175" s="225">
        <f t="shared" si="4"/>
        <v>45116000</v>
      </c>
      <c r="G175" s="1181"/>
      <c r="H175" s="1263"/>
      <c r="I175" s="1264"/>
      <c r="J175" s="1265"/>
      <c r="K175" s="225"/>
    </row>
    <row r="176" spans="1:11" ht="15">
      <c r="A176" s="1181"/>
      <c r="B176" s="1182" t="s">
        <v>818</v>
      </c>
      <c r="C176" s="225"/>
      <c r="D176" s="225">
        <f>'Kas DOK RPJMDES'!F45</f>
        <v>100000</v>
      </c>
      <c r="E176" s="225">
        <f t="shared" si="4"/>
        <v>45216000</v>
      </c>
      <c r="G176" s="1181"/>
      <c r="H176" s="1263"/>
      <c r="I176" s="1264"/>
      <c r="J176" s="1265"/>
      <c r="K176" s="225"/>
    </row>
    <row r="177" spans="1:11" ht="15">
      <c r="A177" s="1181"/>
      <c r="B177" s="1182"/>
      <c r="C177" s="225"/>
      <c r="D177" s="225"/>
      <c r="E177" s="225">
        <f t="shared" si="4"/>
        <v>45216000</v>
      </c>
      <c r="G177" s="1181"/>
      <c r="H177" s="1263"/>
      <c r="I177" s="1264"/>
      <c r="J177" s="1265"/>
      <c r="K177" s="225"/>
    </row>
    <row r="178" spans="1:11" ht="15">
      <c r="A178" s="1181"/>
      <c r="B178" s="1182"/>
      <c r="C178" s="225"/>
      <c r="D178" s="225"/>
      <c r="E178" s="225">
        <f t="shared" si="4"/>
        <v>45216000</v>
      </c>
      <c r="G178" s="1181"/>
      <c r="H178" s="1263"/>
      <c r="I178" s="1264"/>
      <c r="J178" s="1265"/>
      <c r="K178" s="225"/>
    </row>
    <row r="179" spans="1:11" ht="15">
      <c r="A179" s="1181"/>
      <c r="B179" s="1182"/>
      <c r="C179" s="225"/>
      <c r="D179" s="225"/>
      <c r="E179" s="225">
        <f t="shared" si="4"/>
        <v>45216000</v>
      </c>
      <c r="G179" s="1181"/>
      <c r="H179" s="1263"/>
      <c r="I179" s="1264"/>
      <c r="J179" s="1265"/>
      <c r="K179" s="225"/>
    </row>
    <row r="180" spans="1:11" ht="15">
      <c r="A180" s="1181"/>
      <c r="B180" s="1333" t="s">
        <v>975</v>
      </c>
      <c r="C180" s="225"/>
      <c r="D180" s="225"/>
      <c r="E180" s="225">
        <f t="shared" si="4"/>
        <v>45216000</v>
      </c>
      <c r="G180" s="1181"/>
      <c r="H180" s="1263"/>
      <c r="I180" s="1264"/>
      <c r="J180" s="1265"/>
      <c r="K180" s="225"/>
    </row>
    <row r="181" spans="1:11" ht="15">
      <c r="A181" s="1181"/>
      <c r="B181" s="1182" t="s">
        <v>812</v>
      </c>
      <c r="C181" s="225">
        <f>'Kas B PPK'!O46</f>
        <v>0</v>
      </c>
      <c r="D181" s="225"/>
      <c r="E181" s="225">
        <f t="shared" si="4"/>
        <v>45216000</v>
      </c>
      <c r="G181" s="1181"/>
      <c r="H181" s="1263"/>
      <c r="I181" s="1264"/>
      <c r="J181" s="1265"/>
      <c r="K181" s="225"/>
    </row>
    <row r="182" spans="1:11" ht="15">
      <c r="A182" s="1181"/>
      <c r="B182" s="1182" t="s">
        <v>813</v>
      </c>
      <c r="C182" s="2968">
        <f>'Kas B PNPM-MPd'!N27</f>
        <v>100000</v>
      </c>
      <c r="D182" s="225"/>
      <c r="E182" s="225">
        <f t="shared" si="4"/>
        <v>45116000</v>
      </c>
      <c r="G182" s="1181"/>
      <c r="H182" s="1263"/>
      <c r="I182" s="1264"/>
      <c r="J182" s="1265"/>
      <c r="K182" s="225"/>
    </row>
    <row r="183" spans="1:11" ht="15">
      <c r="A183" s="1181"/>
      <c r="B183" s="1182" t="s">
        <v>814</v>
      </c>
      <c r="C183" s="2968">
        <f>'Kas B PNPM-TP GEMPA'!O46</f>
        <v>100000</v>
      </c>
      <c r="D183" s="225"/>
      <c r="E183" s="225">
        <f t="shared" si="4"/>
        <v>45016000</v>
      </c>
      <c r="G183" s="1181"/>
      <c r="H183" s="1263"/>
      <c r="I183" s="1264"/>
      <c r="J183" s="1265"/>
      <c r="K183" s="225"/>
    </row>
    <row r="184" spans="1:11" ht="15">
      <c r="A184" s="1181"/>
      <c r="B184" s="1182" t="s">
        <v>815</v>
      </c>
      <c r="C184" s="225">
        <f>'Kas B GSC'!L46</f>
        <v>0</v>
      </c>
      <c r="D184" s="225"/>
      <c r="E184" s="225">
        <f t="shared" si="4"/>
        <v>45016000</v>
      </c>
      <c r="G184" s="1181"/>
      <c r="H184" s="1263"/>
      <c r="I184" s="1264"/>
      <c r="J184" s="1265"/>
      <c r="K184" s="225"/>
    </row>
    <row r="185" spans="1:11" ht="15">
      <c r="A185" s="1181"/>
      <c r="B185" s="1182" t="s">
        <v>816</v>
      </c>
      <c r="C185" s="225">
        <f>'Kas B PASCA KRISIS'!O46</f>
        <v>0</v>
      </c>
      <c r="D185" s="225"/>
      <c r="E185" s="225">
        <f t="shared" si="4"/>
        <v>45016000</v>
      </c>
      <c r="G185" s="1181"/>
      <c r="H185" s="1263"/>
      <c r="I185" s="1264"/>
      <c r="J185" s="1265"/>
      <c r="K185" s="225"/>
    </row>
    <row r="186" spans="1:11" ht="15">
      <c r="A186" s="1181"/>
      <c r="B186" s="1182" t="s">
        <v>207</v>
      </c>
      <c r="C186" s="2968">
        <f>'Kas OP-UPK'!X90</f>
        <v>42850000</v>
      </c>
      <c r="D186" s="225"/>
      <c r="E186" s="225">
        <f t="shared" si="4"/>
        <v>2166000</v>
      </c>
      <c r="G186" s="1181"/>
      <c r="H186" s="1263"/>
      <c r="I186" s="1264"/>
      <c r="J186" s="1265"/>
      <c r="K186" s="225"/>
    </row>
    <row r="187" spans="1:11" ht="15">
      <c r="A187" s="1181"/>
      <c r="B187" s="1182" t="s">
        <v>52</v>
      </c>
      <c r="C187" s="225">
        <f>'Kas UEP'!K42</f>
        <v>0</v>
      </c>
      <c r="D187" s="225"/>
      <c r="E187" s="225">
        <f t="shared" si="4"/>
        <v>2166000</v>
      </c>
      <c r="G187" s="1181"/>
      <c r="H187" s="1263"/>
      <c r="I187" s="1264"/>
      <c r="J187" s="1265"/>
      <c r="K187" s="225"/>
    </row>
    <row r="188" spans="1:11" ht="15">
      <c r="A188" s="1181"/>
      <c r="B188" s="1182" t="s">
        <v>53</v>
      </c>
      <c r="C188" s="225">
        <f>'Kas SPP'!K367</f>
        <v>0</v>
      </c>
      <c r="D188" s="225"/>
      <c r="E188" s="225">
        <f t="shared" si="4"/>
        <v>2166000</v>
      </c>
      <c r="G188" s="1181"/>
      <c r="H188" s="1263"/>
      <c r="I188" s="1264"/>
      <c r="J188" s="1265"/>
      <c r="K188" s="225"/>
    </row>
    <row r="189" spans="1:11" ht="15">
      <c r="A189" s="1181"/>
      <c r="B189" s="1182" t="s">
        <v>956</v>
      </c>
      <c r="C189" s="225">
        <f>'Kas SPP Pihak ke-3'!K42</f>
        <v>0</v>
      </c>
      <c r="D189" s="225"/>
      <c r="E189" s="225">
        <f t="shared" si="4"/>
        <v>2166000</v>
      </c>
      <c r="G189" s="1181"/>
      <c r="H189" s="1263"/>
      <c r="I189" s="1264"/>
      <c r="J189" s="1265"/>
      <c r="K189" s="225"/>
    </row>
    <row r="190" spans="1:11" ht="15">
      <c r="A190" s="1181"/>
      <c r="B190" s="1182" t="s">
        <v>959</v>
      </c>
      <c r="C190" s="225">
        <f>'Kas DOK PLUPK'!P45</f>
        <v>0</v>
      </c>
      <c r="D190" s="225"/>
      <c r="E190" s="225">
        <f t="shared" si="4"/>
        <v>2166000</v>
      </c>
      <c r="G190" s="1181"/>
      <c r="H190" s="1263"/>
      <c r="I190" s="1264"/>
      <c r="J190" s="1265"/>
      <c r="K190" s="225"/>
    </row>
    <row r="191" spans="1:11" ht="15">
      <c r="A191" s="1181"/>
      <c r="B191" s="1182" t="s">
        <v>960</v>
      </c>
      <c r="C191" s="2969">
        <f>'Kas DOK Pernc.'!R46</f>
        <v>3220000</v>
      </c>
      <c r="D191" s="225"/>
      <c r="E191" s="225">
        <f t="shared" si="4"/>
        <v>-1054000</v>
      </c>
      <c r="G191" s="1181"/>
      <c r="H191" s="1263"/>
      <c r="I191" s="1264"/>
      <c r="J191" s="1265"/>
      <c r="K191" s="225"/>
    </row>
    <row r="192" spans="1:11" ht="15">
      <c r="A192" s="1181"/>
      <c r="B192" s="1182" t="s">
        <v>961</v>
      </c>
      <c r="C192" s="2968">
        <f>'Kas DOK Pelth.'!T47</f>
        <v>13546000</v>
      </c>
      <c r="D192" s="225"/>
      <c r="E192" s="225">
        <f t="shared" si="4"/>
        <v>-14600000</v>
      </c>
      <c r="G192" s="1181"/>
      <c r="H192" s="1263"/>
      <c r="I192" s="1264"/>
      <c r="J192" s="1265"/>
      <c r="K192" s="225"/>
    </row>
    <row r="193" spans="1:11" ht="15">
      <c r="A193" s="1181"/>
      <c r="B193" s="1182" t="s">
        <v>957</v>
      </c>
      <c r="C193" s="225">
        <f>'Kas DOK Pernc.GSC'!T45</f>
        <v>0</v>
      </c>
      <c r="D193" s="225"/>
      <c r="E193" s="225">
        <f t="shared" si="4"/>
        <v>-14600000</v>
      </c>
      <c r="G193" s="1181"/>
      <c r="H193" s="1263"/>
      <c r="I193" s="1264"/>
      <c r="J193" s="1265"/>
      <c r="K193" s="225"/>
    </row>
    <row r="194" spans="1:11" ht="15">
      <c r="A194" s="1181"/>
      <c r="B194" s="1182" t="s">
        <v>958</v>
      </c>
      <c r="C194" s="225">
        <f>'Kas DOK Pelth.GSC'!T45</f>
        <v>0</v>
      </c>
      <c r="D194" s="225"/>
      <c r="E194" s="225">
        <f t="shared" si="4"/>
        <v>-14600000</v>
      </c>
      <c r="G194" s="1181"/>
      <c r="H194" s="1263"/>
      <c r="I194" s="1264"/>
      <c r="J194" s="1265"/>
      <c r="K194" s="225"/>
    </row>
    <row r="195" spans="1:11" ht="15">
      <c r="A195" s="1181"/>
      <c r="B195" s="1182" t="s">
        <v>817</v>
      </c>
      <c r="C195" s="225">
        <f>'Kas DOK GEMPA'!T45</f>
        <v>5000000</v>
      </c>
      <c r="D195" s="225"/>
      <c r="E195" s="225">
        <f t="shared" si="4"/>
        <v>-19600000</v>
      </c>
      <c r="G195" s="1181"/>
      <c r="H195" s="1263"/>
      <c r="I195" s="1264"/>
      <c r="J195" s="1265"/>
      <c r="K195" s="225"/>
    </row>
    <row r="196" spans="1:11" ht="15">
      <c r="A196" s="1181"/>
      <c r="B196" s="1182" t="s">
        <v>818</v>
      </c>
      <c r="C196" s="225">
        <f>'Kas DOK RPJMDES'!T45</f>
        <v>0</v>
      </c>
      <c r="D196" s="225"/>
      <c r="E196" s="225">
        <f t="shared" si="4"/>
        <v>-19600000</v>
      </c>
      <c r="G196" s="1181"/>
      <c r="H196" s="1263"/>
      <c r="I196" s="1264"/>
      <c r="J196" s="1265"/>
      <c r="K196" s="225"/>
    </row>
    <row r="197" spans="1:11" ht="15">
      <c r="A197" s="1181"/>
      <c r="B197" s="1182"/>
      <c r="C197" s="225"/>
      <c r="D197" s="225"/>
      <c r="E197" s="225">
        <f t="shared" si="4"/>
        <v>-19600000</v>
      </c>
      <c r="G197" s="1181"/>
      <c r="H197" s="1263"/>
      <c r="I197" s="1264"/>
      <c r="J197" s="1265"/>
      <c r="K197" s="225"/>
    </row>
    <row r="198" spans="1:11" ht="15">
      <c r="A198" s="1181"/>
      <c r="B198" s="1182"/>
      <c r="C198" s="225"/>
      <c r="D198" s="225"/>
      <c r="E198" s="225">
        <f t="shared" si="4"/>
        <v>-19600000</v>
      </c>
      <c r="G198" s="1181"/>
      <c r="H198" s="1263"/>
      <c r="I198" s="1264"/>
      <c r="J198" s="1265"/>
      <c r="K198" s="225"/>
    </row>
    <row r="199" spans="1:11" ht="15">
      <c r="A199" s="1181"/>
      <c r="B199" s="1182"/>
      <c r="C199" s="225"/>
      <c r="D199" s="225"/>
      <c r="E199" s="225">
        <f t="shared" si="4"/>
        <v>-19600000</v>
      </c>
      <c r="G199" s="1181"/>
      <c r="H199" s="1263"/>
      <c r="I199" s="1264"/>
      <c r="J199" s="1265"/>
      <c r="K199" s="225"/>
    </row>
    <row r="200" spans="1:11" ht="15">
      <c r="A200" s="1181"/>
      <c r="B200" s="1182"/>
      <c r="C200" s="225"/>
      <c r="D200" s="225"/>
      <c r="E200" s="225">
        <f t="shared" si="4"/>
        <v>-19600000</v>
      </c>
      <c r="G200" s="1181"/>
      <c r="H200" s="1263"/>
      <c r="I200" s="1264"/>
      <c r="J200" s="1265"/>
      <c r="K200" s="225"/>
    </row>
    <row r="201" spans="1:11" ht="15">
      <c r="A201" s="1181"/>
      <c r="B201" s="1182"/>
      <c r="C201" s="225"/>
      <c r="D201" s="225"/>
      <c r="E201" s="225">
        <f t="shared" si="4"/>
        <v>-19600000</v>
      </c>
      <c r="G201" s="1181"/>
      <c r="H201" s="1263"/>
      <c r="I201" s="1264"/>
      <c r="J201" s="1265"/>
      <c r="K201" s="225"/>
    </row>
    <row r="202" spans="1:11" ht="15" customHeight="1" thickBot="1">
      <c r="A202" s="1183"/>
      <c r="B202" s="1184"/>
      <c r="C202" s="226"/>
      <c r="D202" s="226"/>
      <c r="E202" s="226">
        <f t="shared" si="4"/>
        <v>-19600000</v>
      </c>
      <c r="G202" s="1183"/>
      <c r="H202" s="1266"/>
      <c r="I202" s="1267"/>
      <c r="J202" s="1268"/>
      <c r="K202" s="226"/>
    </row>
    <row r="203" spans="1:11" ht="24.75" customHeight="1" thickBot="1">
      <c r="A203" s="1185"/>
      <c r="B203" s="1186" t="s">
        <v>20</v>
      </c>
      <c r="C203" s="227">
        <f>SUM(C158:C202)</f>
        <v>64816000</v>
      </c>
      <c r="D203" s="228">
        <f>SUM(D158:D202)</f>
        <v>45216000</v>
      </c>
      <c r="E203" s="222">
        <f>D203-C203</f>
        <v>-19600000</v>
      </c>
      <c r="G203" s="1185"/>
      <c r="H203" s="1269" t="s">
        <v>20</v>
      </c>
      <c r="I203" s="1270"/>
      <c r="J203" s="1271"/>
      <c r="K203" s="222">
        <f>SUM(K158:K202)</f>
        <v>47750000</v>
      </c>
    </row>
    <row r="204" spans="1:11" ht="10.5" customHeight="1">
      <c r="A204" s="1187"/>
      <c r="G204" s="1187"/>
    </row>
    <row r="205" spans="1:11" ht="15">
      <c r="A205" s="1174"/>
      <c r="D205" s="3385" t="s">
        <v>897</v>
      </c>
      <c r="E205" s="3385"/>
      <c r="G205" s="1174"/>
      <c r="J205" s="3385" t="s">
        <v>897</v>
      </c>
      <c r="K205" s="3385"/>
    </row>
    <row r="206" spans="1:11" ht="15">
      <c r="A206" s="3379" t="s">
        <v>332</v>
      </c>
      <c r="B206" s="3379"/>
      <c r="D206" s="3379" t="s">
        <v>83</v>
      </c>
      <c r="E206" s="3379"/>
      <c r="G206" s="3379" t="s">
        <v>332</v>
      </c>
      <c r="H206" s="3379"/>
      <c r="J206" s="3379" t="s">
        <v>83</v>
      </c>
      <c r="K206" s="3379"/>
    </row>
    <row r="207" spans="1:11" ht="15">
      <c r="A207" s="1188"/>
      <c r="B207" s="1188"/>
      <c r="D207" s="1188"/>
      <c r="E207" s="1188"/>
      <c r="G207" s="1188"/>
      <c r="H207" s="1188"/>
      <c r="J207" s="1188"/>
      <c r="K207" s="1188"/>
    </row>
    <row r="208" spans="1:11" ht="15">
      <c r="A208" s="1189" t="s">
        <v>897</v>
      </c>
      <c r="B208" s="1189" t="s">
        <v>897</v>
      </c>
      <c r="D208" s="3383" t="s">
        <v>897</v>
      </c>
      <c r="E208" s="3383"/>
      <c r="G208" s="1189" t="s">
        <v>897</v>
      </c>
      <c r="H208" s="1189" t="s">
        <v>897</v>
      </c>
      <c r="J208" s="3383" t="s">
        <v>897</v>
      </c>
      <c r="K208" s="3383"/>
    </row>
    <row r="209" spans="1:11" ht="15">
      <c r="A209" s="1188" t="s">
        <v>23</v>
      </c>
      <c r="B209" s="1188" t="s">
        <v>211</v>
      </c>
      <c r="D209" s="3379" t="s">
        <v>24</v>
      </c>
      <c r="E209" s="3379"/>
      <c r="G209" s="1188" t="s">
        <v>23</v>
      </c>
      <c r="H209" s="1188" t="s">
        <v>211</v>
      </c>
      <c r="J209" s="3379" t="s">
        <v>24</v>
      </c>
      <c r="K209" s="3379"/>
    </row>
    <row r="214" spans="1:11" ht="18">
      <c r="A214" s="3378" t="s">
        <v>315</v>
      </c>
      <c r="B214" s="3378"/>
      <c r="C214" s="3378"/>
      <c r="D214" s="3378"/>
      <c r="E214" s="3378"/>
    </row>
    <row r="215" spans="1:11" ht="20.25">
      <c r="A215" s="3377" t="s">
        <v>2345</v>
      </c>
      <c r="B215" s="3377"/>
      <c r="C215" s="3377"/>
      <c r="D215" s="3377"/>
      <c r="E215" s="3377"/>
    </row>
    <row r="216" spans="1:11" ht="15">
      <c r="A216" s="1174" t="s">
        <v>2</v>
      </c>
      <c r="B216" s="1174" t="s">
        <v>357</v>
      </c>
    </row>
    <row r="217" spans="1:11" ht="15">
      <c r="A217" s="1174" t="s">
        <v>4</v>
      </c>
      <c r="B217" s="1174" t="s">
        <v>357</v>
      </c>
    </row>
    <row r="218" spans="1:11" ht="15">
      <c r="A218" s="1174" t="s">
        <v>6</v>
      </c>
      <c r="B218" s="1174" t="s">
        <v>357</v>
      </c>
      <c r="C218" s="1174"/>
    </row>
    <row r="219" spans="1:11">
      <c r="A219" s="1175"/>
    </row>
    <row r="220" spans="1:11" ht="54">
      <c r="A220" s="2467" t="s">
        <v>152</v>
      </c>
      <c r="B220" s="2467" t="s">
        <v>296</v>
      </c>
      <c r="C220" s="2467" t="s">
        <v>923</v>
      </c>
      <c r="D220" s="2467" t="s">
        <v>922</v>
      </c>
      <c r="E220" s="2467" t="s">
        <v>191</v>
      </c>
    </row>
    <row r="221" spans="1:11" ht="15">
      <c r="A221" s="2468"/>
      <c r="B221" s="2468" t="s">
        <v>258</v>
      </c>
      <c r="C221" s="2469"/>
      <c r="D221" s="2469"/>
      <c r="E221" s="2469">
        <f>D221-C221</f>
        <v>0</v>
      </c>
    </row>
    <row r="222" spans="1:11" ht="15" hidden="1">
      <c r="A222" s="2470">
        <v>41275</v>
      </c>
      <c r="B222" s="2471" t="s">
        <v>2343</v>
      </c>
      <c r="C222" s="2398"/>
      <c r="D222" s="2398">
        <v>8600000</v>
      </c>
      <c r="E222" s="2398">
        <f t="shared" ref="E222:E253" si="5">E221+D222-C222</f>
        <v>8600000</v>
      </c>
    </row>
    <row r="223" spans="1:11" ht="15" hidden="1">
      <c r="A223" s="2470">
        <v>41334</v>
      </c>
      <c r="B223" s="2471" t="s">
        <v>366</v>
      </c>
      <c r="C223" s="2398">
        <v>8600000</v>
      </c>
      <c r="D223" s="2398"/>
      <c r="E223" s="2398">
        <f t="shared" si="5"/>
        <v>0</v>
      </c>
    </row>
    <row r="224" spans="1:11" ht="15" hidden="1">
      <c r="A224" s="2470">
        <v>41275</v>
      </c>
      <c r="B224" s="2471" t="s">
        <v>2494</v>
      </c>
      <c r="C224" s="2398"/>
      <c r="D224" s="2398">
        <v>11400000</v>
      </c>
      <c r="E224" s="2398">
        <f t="shared" si="5"/>
        <v>11400000</v>
      </c>
      <c r="G224" s="3019"/>
    </row>
    <row r="225" spans="1:5" ht="15" hidden="1">
      <c r="A225" s="2470">
        <v>41275</v>
      </c>
      <c r="B225" s="2471" t="s">
        <v>2503</v>
      </c>
      <c r="C225" s="2398">
        <v>2000000</v>
      </c>
      <c r="D225" s="2398"/>
      <c r="E225" s="2398">
        <f t="shared" si="5"/>
        <v>9400000</v>
      </c>
    </row>
    <row r="226" spans="1:5" ht="15" hidden="1">
      <c r="A226" s="2470">
        <v>41725</v>
      </c>
      <c r="B226" s="2471" t="s">
        <v>366</v>
      </c>
      <c r="C226" s="2398">
        <v>9400000</v>
      </c>
      <c r="D226" s="2398"/>
      <c r="E226" s="2398">
        <f t="shared" si="5"/>
        <v>0</v>
      </c>
    </row>
    <row r="227" spans="1:5" ht="15" hidden="1">
      <c r="A227" s="2470"/>
      <c r="B227" s="2471"/>
      <c r="C227" s="2398"/>
      <c r="D227" s="2398"/>
      <c r="E227" s="2398">
        <f t="shared" si="5"/>
        <v>0</v>
      </c>
    </row>
    <row r="228" spans="1:5" ht="15" hidden="1">
      <c r="A228" s="2470">
        <v>41640</v>
      </c>
      <c r="B228" s="2471" t="s">
        <v>2629</v>
      </c>
      <c r="C228" s="2398"/>
      <c r="D228" s="2398">
        <v>11600000</v>
      </c>
      <c r="E228" s="2398">
        <f t="shared" si="5"/>
        <v>11600000</v>
      </c>
    </row>
    <row r="229" spans="1:5" ht="15" hidden="1">
      <c r="A229" s="2470">
        <v>42080</v>
      </c>
      <c r="B229" s="2471" t="s">
        <v>366</v>
      </c>
      <c r="C229" s="2398">
        <v>11600000</v>
      </c>
      <c r="D229" s="2398"/>
      <c r="E229" s="2398">
        <f t="shared" si="5"/>
        <v>0</v>
      </c>
    </row>
    <row r="230" spans="1:5" ht="15">
      <c r="A230" s="2470"/>
      <c r="B230" s="2471"/>
      <c r="C230" s="2398"/>
      <c r="D230" s="2398"/>
      <c r="E230" s="2398">
        <f t="shared" si="5"/>
        <v>0</v>
      </c>
    </row>
    <row r="231" spans="1:5" ht="15">
      <c r="A231" s="2440">
        <v>42384</v>
      </c>
      <c r="B231" s="2934" t="s">
        <v>2732</v>
      </c>
      <c r="C231" s="2160"/>
      <c r="D231" s="2160">
        <v>19980000</v>
      </c>
      <c r="E231" s="2398">
        <f t="shared" si="5"/>
        <v>19980000</v>
      </c>
    </row>
    <row r="232" spans="1:5" ht="15">
      <c r="A232" s="2440"/>
      <c r="B232" s="2934"/>
      <c r="C232" s="2160"/>
      <c r="D232" s="2934"/>
      <c r="E232" s="2398">
        <f t="shared" si="5"/>
        <v>19980000</v>
      </c>
    </row>
    <row r="233" spans="1:5" ht="15">
      <c r="A233" s="2470"/>
      <c r="B233" s="2934"/>
      <c r="C233" s="2160"/>
      <c r="D233" s="2934"/>
      <c r="E233" s="2398">
        <f t="shared" si="5"/>
        <v>19980000</v>
      </c>
    </row>
    <row r="234" spans="1:5" ht="15">
      <c r="A234" s="2380"/>
      <c r="B234" s="2934"/>
      <c r="C234" s="2466"/>
      <c r="D234" s="2934"/>
      <c r="E234" s="2398">
        <f t="shared" si="5"/>
        <v>19980000</v>
      </c>
    </row>
    <row r="235" spans="1:5" ht="15">
      <c r="A235" s="2380"/>
      <c r="B235" s="2394"/>
      <c r="C235" s="2395"/>
      <c r="D235" s="2934"/>
      <c r="E235" s="2398">
        <f t="shared" si="5"/>
        <v>19980000</v>
      </c>
    </row>
    <row r="236" spans="1:5" ht="15">
      <c r="A236" s="2380"/>
      <c r="B236" s="2378"/>
      <c r="C236" s="2466"/>
      <c r="D236" s="2934"/>
      <c r="E236" s="2398">
        <f t="shared" si="5"/>
        <v>19980000</v>
      </c>
    </row>
    <row r="237" spans="1:5" ht="15">
      <c r="A237" s="2380"/>
      <c r="B237" s="2412"/>
      <c r="C237" s="2395"/>
      <c r="D237" s="2934"/>
      <c r="E237" s="2398">
        <f t="shared" si="5"/>
        <v>19980000</v>
      </c>
    </row>
    <row r="238" spans="1:5" ht="15">
      <c r="A238" s="2380"/>
      <c r="B238" s="2378"/>
      <c r="C238" s="2466"/>
      <c r="D238" s="2934"/>
      <c r="E238" s="2398">
        <f t="shared" si="5"/>
        <v>19980000</v>
      </c>
    </row>
    <row r="239" spans="1:5" ht="15">
      <c r="A239" s="2380"/>
      <c r="B239" s="2378"/>
      <c r="C239" s="2466"/>
      <c r="D239" s="2934"/>
      <c r="E239" s="2398">
        <f t="shared" si="5"/>
        <v>19980000</v>
      </c>
    </row>
    <row r="240" spans="1:5" ht="15">
      <c r="A240" s="2380"/>
      <c r="B240" s="2378"/>
      <c r="C240" s="2466"/>
      <c r="D240" s="2934"/>
      <c r="E240" s="2398">
        <f t="shared" si="5"/>
        <v>19980000</v>
      </c>
    </row>
    <row r="241" spans="1:5" ht="15">
      <c r="A241" s="2380"/>
      <c r="B241" s="2378"/>
      <c r="C241" s="2466"/>
      <c r="D241" s="2934"/>
      <c r="E241" s="2398">
        <f t="shared" si="5"/>
        <v>19980000</v>
      </c>
    </row>
    <row r="242" spans="1:5" ht="15">
      <c r="A242" s="2473"/>
      <c r="B242" s="2437"/>
      <c r="C242" s="2438"/>
      <c r="D242" s="2439"/>
      <c r="E242" s="2398">
        <f t="shared" si="5"/>
        <v>19980000</v>
      </c>
    </row>
    <row r="243" spans="1:5" ht="15">
      <c r="A243" s="2380"/>
      <c r="B243" s="2378"/>
      <c r="C243" s="2466"/>
      <c r="D243" s="2160"/>
      <c r="E243" s="2398">
        <f t="shared" si="5"/>
        <v>19980000</v>
      </c>
    </row>
    <row r="244" spans="1:5" ht="15">
      <c r="A244" s="2380"/>
      <c r="B244" s="2378"/>
      <c r="C244" s="2466"/>
      <c r="D244" s="2160"/>
      <c r="E244" s="2398">
        <f t="shared" si="5"/>
        <v>19980000</v>
      </c>
    </row>
    <row r="245" spans="1:5" ht="15">
      <c r="A245" s="2380"/>
      <c r="B245" s="2378"/>
      <c r="C245" s="2466"/>
      <c r="D245" s="2934"/>
      <c r="E245" s="2398">
        <f t="shared" si="5"/>
        <v>19980000</v>
      </c>
    </row>
    <row r="246" spans="1:5" ht="15">
      <c r="A246" s="2380"/>
      <c r="B246" s="2378"/>
      <c r="C246" s="2466"/>
      <c r="D246" s="2934"/>
      <c r="E246" s="2398">
        <f t="shared" si="5"/>
        <v>19980000</v>
      </c>
    </row>
    <row r="247" spans="1:5" ht="15">
      <c r="A247" s="2380"/>
      <c r="B247" s="2378"/>
      <c r="C247" s="2466"/>
      <c r="D247" s="2934"/>
      <c r="E247" s="2398">
        <f t="shared" si="5"/>
        <v>19980000</v>
      </c>
    </row>
    <row r="248" spans="1:5" ht="15">
      <c r="A248" s="2380"/>
      <c r="B248" s="2378"/>
      <c r="C248" s="2466"/>
      <c r="D248" s="2934"/>
      <c r="E248" s="2398">
        <f t="shared" si="5"/>
        <v>19980000</v>
      </c>
    </row>
    <row r="249" spans="1:5" ht="15">
      <c r="A249" s="2380"/>
      <c r="B249" s="2378"/>
      <c r="C249" s="2466"/>
      <c r="D249" s="2934"/>
      <c r="E249" s="2398">
        <f t="shared" si="5"/>
        <v>19980000</v>
      </c>
    </row>
    <row r="250" spans="1:5" ht="15">
      <c r="A250" s="2380"/>
      <c r="B250" s="2378"/>
      <c r="C250" s="2466"/>
      <c r="D250" s="2934"/>
      <c r="E250" s="2398">
        <f t="shared" si="5"/>
        <v>19980000</v>
      </c>
    </row>
    <row r="251" spans="1:5" ht="15">
      <c r="A251" s="2380"/>
      <c r="B251" s="2378"/>
      <c r="C251" s="2466"/>
      <c r="D251" s="2934"/>
      <c r="E251" s="2398">
        <f t="shared" si="5"/>
        <v>19980000</v>
      </c>
    </row>
    <row r="252" spans="1:5" ht="15">
      <c r="A252" s="2380"/>
      <c r="B252" s="2378"/>
      <c r="C252" s="2466"/>
      <c r="D252" s="2934"/>
      <c r="E252" s="2398">
        <f t="shared" si="5"/>
        <v>19980000</v>
      </c>
    </row>
    <row r="253" spans="1:5" ht="15">
      <c r="A253" s="2380"/>
      <c r="B253" s="2378"/>
      <c r="C253" s="2466"/>
      <c r="D253" s="2934"/>
      <c r="E253" s="2398">
        <f t="shared" si="5"/>
        <v>19980000</v>
      </c>
    </row>
    <row r="254" spans="1:5" ht="15">
      <c r="A254" s="2380"/>
      <c r="B254" s="2378"/>
      <c r="C254" s="2466"/>
      <c r="D254" s="2934"/>
      <c r="E254" s="2398">
        <f t="shared" ref="E254:E283" si="6">E253+D254-C254</f>
        <v>19980000</v>
      </c>
    </row>
    <row r="255" spans="1:5" ht="15">
      <c r="A255" s="2380"/>
      <c r="B255" s="2378"/>
      <c r="C255" s="2466"/>
      <c r="D255" s="2934"/>
      <c r="E255" s="2398">
        <f t="shared" si="6"/>
        <v>19980000</v>
      </c>
    </row>
    <row r="256" spans="1:5" ht="15">
      <c r="A256" s="2380"/>
      <c r="B256" s="2378"/>
      <c r="C256" s="2466"/>
      <c r="D256" s="2934"/>
      <c r="E256" s="2398">
        <f t="shared" si="6"/>
        <v>19980000</v>
      </c>
    </row>
    <row r="257" spans="1:5" ht="15">
      <c r="A257" s="2380"/>
      <c r="B257" s="2378"/>
      <c r="C257" s="2466"/>
      <c r="D257" s="2934"/>
      <c r="E257" s="2398">
        <f t="shared" si="6"/>
        <v>19980000</v>
      </c>
    </row>
    <row r="258" spans="1:5" ht="15">
      <c r="A258" s="2380"/>
      <c r="B258" s="2378"/>
      <c r="C258" s="2466"/>
      <c r="D258" s="2934"/>
      <c r="E258" s="2398">
        <f t="shared" si="6"/>
        <v>19980000</v>
      </c>
    </row>
    <row r="259" spans="1:5" ht="15">
      <c r="A259" s="2380"/>
      <c r="B259" s="2378"/>
      <c r="C259" s="2466"/>
      <c r="D259" s="2934"/>
      <c r="E259" s="2398">
        <f t="shared" si="6"/>
        <v>19980000</v>
      </c>
    </row>
    <row r="260" spans="1:5" ht="15">
      <c r="A260" s="2380"/>
      <c r="B260" s="2378"/>
      <c r="C260" s="2466"/>
      <c r="D260" s="2934"/>
      <c r="E260" s="2398">
        <f t="shared" si="6"/>
        <v>19980000</v>
      </c>
    </row>
    <row r="261" spans="1:5" ht="15">
      <c r="A261" s="2380"/>
      <c r="B261" s="2378"/>
      <c r="C261" s="2466"/>
      <c r="D261" s="2934"/>
      <c r="E261" s="2398">
        <f t="shared" si="6"/>
        <v>19980000</v>
      </c>
    </row>
    <row r="262" spans="1:5" ht="15">
      <c r="A262" s="2380"/>
      <c r="B262" s="2378"/>
      <c r="C262" s="2466"/>
      <c r="D262" s="2934"/>
      <c r="E262" s="2398">
        <f t="shared" si="6"/>
        <v>19980000</v>
      </c>
    </row>
    <row r="263" spans="1:5" ht="15">
      <c r="A263" s="2380"/>
      <c r="B263" s="2378"/>
      <c r="C263" s="2466"/>
      <c r="D263" s="2934"/>
      <c r="E263" s="2398">
        <f t="shared" si="6"/>
        <v>19980000</v>
      </c>
    </row>
    <row r="264" spans="1:5" ht="15">
      <c r="A264" s="2380"/>
      <c r="B264" s="2378"/>
      <c r="C264" s="2466"/>
      <c r="D264" s="2934"/>
      <c r="E264" s="2398">
        <f t="shared" si="6"/>
        <v>19980000</v>
      </c>
    </row>
    <row r="265" spans="1:5" ht="15">
      <c r="A265" s="2380"/>
      <c r="B265" s="2378"/>
      <c r="C265" s="2466"/>
      <c r="D265" s="2934"/>
      <c r="E265" s="2398">
        <f t="shared" si="6"/>
        <v>19980000</v>
      </c>
    </row>
    <row r="266" spans="1:5" ht="15">
      <c r="A266" s="2380"/>
      <c r="B266" s="2378"/>
      <c r="C266" s="2466"/>
      <c r="D266" s="2934"/>
      <c r="E266" s="2398">
        <f t="shared" si="6"/>
        <v>19980000</v>
      </c>
    </row>
    <row r="267" spans="1:5" ht="15">
      <c r="A267" s="2380"/>
      <c r="B267" s="2378"/>
      <c r="C267" s="2466"/>
      <c r="D267" s="2934"/>
      <c r="E267" s="2398">
        <f t="shared" si="6"/>
        <v>19980000</v>
      </c>
    </row>
    <row r="268" spans="1:5" ht="15">
      <c r="A268" s="2380"/>
      <c r="B268" s="2378"/>
      <c r="C268" s="2466"/>
      <c r="D268" s="2934"/>
      <c r="E268" s="2398">
        <f t="shared" si="6"/>
        <v>19980000</v>
      </c>
    </row>
    <row r="269" spans="1:5" ht="15">
      <c r="A269" s="2380"/>
      <c r="B269" s="2378"/>
      <c r="C269" s="2466"/>
      <c r="D269" s="2934"/>
      <c r="E269" s="2398">
        <f t="shared" si="6"/>
        <v>19980000</v>
      </c>
    </row>
    <row r="270" spans="1:5" ht="15">
      <c r="A270" s="2380"/>
      <c r="B270" s="2378"/>
      <c r="C270" s="2466"/>
      <c r="D270" s="2934"/>
      <c r="E270" s="2398">
        <f t="shared" si="6"/>
        <v>19980000</v>
      </c>
    </row>
    <row r="271" spans="1:5" ht="15">
      <c r="A271" s="2380"/>
      <c r="B271" s="2378"/>
      <c r="C271" s="2466"/>
      <c r="D271" s="2934"/>
      <c r="E271" s="2398">
        <f t="shared" si="6"/>
        <v>19980000</v>
      </c>
    </row>
    <row r="272" spans="1:5" ht="15">
      <c r="A272" s="2380"/>
      <c r="B272" s="2378"/>
      <c r="C272" s="2466"/>
      <c r="D272" s="2934"/>
      <c r="E272" s="2398">
        <f t="shared" si="6"/>
        <v>19980000</v>
      </c>
    </row>
    <row r="273" spans="1:5" ht="15">
      <c r="A273" s="2380"/>
      <c r="B273" s="2378"/>
      <c r="C273" s="2466"/>
      <c r="D273" s="2934"/>
      <c r="E273" s="2398">
        <f t="shared" si="6"/>
        <v>19980000</v>
      </c>
    </row>
    <row r="274" spans="1:5" ht="15">
      <c r="A274" s="2380"/>
      <c r="B274" s="2378"/>
      <c r="C274" s="2466"/>
      <c r="D274" s="2934"/>
      <c r="E274" s="2398">
        <f t="shared" si="6"/>
        <v>19980000</v>
      </c>
    </row>
    <row r="275" spans="1:5" ht="15">
      <c r="A275" s="2380"/>
      <c r="B275" s="2378"/>
      <c r="C275" s="2466"/>
      <c r="D275" s="2934"/>
      <c r="E275" s="2398">
        <f t="shared" si="6"/>
        <v>19980000</v>
      </c>
    </row>
    <row r="276" spans="1:5" ht="15.75">
      <c r="A276" s="2380"/>
      <c r="B276" s="2471"/>
      <c r="C276" s="2466"/>
      <c r="D276" s="2936"/>
      <c r="E276" s="2398">
        <f t="shared" si="6"/>
        <v>19980000</v>
      </c>
    </row>
    <row r="277" spans="1:5" ht="15">
      <c r="A277" s="2380"/>
      <c r="B277" s="2378"/>
      <c r="C277" s="2466"/>
      <c r="D277" s="2934"/>
      <c r="E277" s="2398">
        <f t="shared" si="6"/>
        <v>19980000</v>
      </c>
    </row>
    <row r="278" spans="1:5" ht="15">
      <c r="A278" s="2380"/>
      <c r="B278" s="2378"/>
      <c r="C278" s="2466"/>
      <c r="D278" s="2934"/>
      <c r="E278" s="2398">
        <f t="shared" si="6"/>
        <v>19980000</v>
      </c>
    </row>
    <row r="279" spans="1:5" ht="15">
      <c r="A279" s="2380"/>
      <c r="B279" s="2378"/>
      <c r="C279" s="2466"/>
      <c r="D279" s="2934"/>
      <c r="E279" s="2398">
        <f t="shared" si="6"/>
        <v>19980000</v>
      </c>
    </row>
    <row r="280" spans="1:5" ht="15">
      <c r="A280" s="2380"/>
      <c r="B280" s="2378"/>
      <c r="C280" s="2466"/>
      <c r="D280" s="2934"/>
      <c r="E280" s="2398">
        <f t="shared" si="6"/>
        <v>19980000</v>
      </c>
    </row>
    <row r="281" spans="1:5" ht="15">
      <c r="A281" s="2380"/>
      <c r="B281" s="2378"/>
      <c r="C281" s="2466"/>
      <c r="D281" s="2934"/>
      <c r="E281" s="2398">
        <f t="shared" si="6"/>
        <v>19980000</v>
      </c>
    </row>
    <row r="282" spans="1:5" ht="15">
      <c r="A282" s="2380"/>
      <c r="B282" s="2378"/>
      <c r="C282" s="2466"/>
      <c r="D282" s="2934"/>
      <c r="E282" s="2398">
        <f t="shared" si="6"/>
        <v>19980000</v>
      </c>
    </row>
    <row r="283" spans="1:5" ht="15">
      <c r="A283" s="2380"/>
      <c r="B283" s="2412"/>
      <c r="C283" s="2395"/>
      <c r="D283" s="2934"/>
      <c r="E283" s="2398">
        <f t="shared" si="6"/>
        <v>19980000</v>
      </c>
    </row>
    <row r="284" spans="1:5" ht="15">
      <c r="A284" s="2935"/>
      <c r="B284" s="2935" t="s">
        <v>20</v>
      </c>
      <c r="C284" s="2474">
        <f>SUM(C221:C283)</f>
        <v>31600000</v>
      </c>
      <c r="D284" s="2474">
        <f>SUM(D221:D283)</f>
        <v>51580000</v>
      </c>
      <c r="E284" s="2474">
        <f>D284-C284</f>
        <v>19980000</v>
      </c>
    </row>
    <row r="285" spans="1:5" ht="15">
      <c r="A285" s="1187"/>
    </row>
    <row r="286" spans="1:5" ht="15">
      <c r="A286" s="1174"/>
      <c r="D286" s="3385" t="s">
        <v>897</v>
      </c>
      <c r="E286" s="3385"/>
    </row>
    <row r="287" spans="1:5" ht="15">
      <c r="A287" s="3379" t="s">
        <v>332</v>
      </c>
      <c r="B287" s="3379"/>
      <c r="D287" s="3379" t="s">
        <v>83</v>
      </c>
      <c r="E287" s="3379"/>
    </row>
    <row r="288" spans="1:5" ht="15">
      <c r="A288" s="2932"/>
      <c r="B288" s="2932"/>
      <c r="D288" s="1187"/>
    </row>
    <row r="289" spans="1:5" ht="15">
      <c r="A289" s="2933" t="s">
        <v>897</v>
      </c>
      <c r="B289" s="2933" t="s">
        <v>897</v>
      </c>
      <c r="D289" s="3383" t="s">
        <v>897</v>
      </c>
      <c r="E289" s="3383"/>
    </row>
    <row r="290" spans="1:5" ht="15">
      <c r="A290" s="2932" t="s">
        <v>23</v>
      </c>
      <c r="B290" s="2932" t="s">
        <v>211</v>
      </c>
      <c r="D290" s="3379" t="s">
        <v>24</v>
      </c>
      <c r="E290" s="3379"/>
    </row>
  </sheetData>
  <mergeCells count="36">
    <mergeCell ref="D289:E289"/>
    <mergeCell ref="D290:E290"/>
    <mergeCell ref="D286:E286"/>
    <mergeCell ref="A287:B287"/>
    <mergeCell ref="D287:E287"/>
    <mergeCell ref="A2:E2"/>
    <mergeCell ref="A3:E3"/>
    <mergeCell ref="G2:K2"/>
    <mergeCell ref="G3:K3"/>
    <mergeCell ref="J145:K145"/>
    <mergeCell ref="G146:H146"/>
    <mergeCell ref="J146:K146"/>
    <mergeCell ref="D149:E149"/>
    <mergeCell ref="D145:E145"/>
    <mergeCell ref="A151:E151"/>
    <mergeCell ref="G151:K151"/>
    <mergeCell ref="D148:E148"/>
    <mergeCell ref="J148:K148"/>
    <mergeCell ref="A146:B146"/>
    <mergeCell ref="D146:E146"/>
    <mergeCell ref="J149:K149"/>
    <mergeCell ref="A152:E152"/>
    <mergeCell ref="A206:B206"/>
    <mergeCell ref="D206:E206"/>
    <mergeCell ref="G206:H206"/>
    <mergeCell ref="J206:K206"/>
    <mergeCell ref="D205:E205"/>
    <mergeCell ref="J205:K205"/>
    <mergeCell ref="G152:K152"/>
    <mergeCell ref="A215:E215"/>
    <mergeCell ref="A214:E214"/>
    <mergeCell ref="D209:E209"/>
    <mergeCell ref="J209:K209"/>
    <mergeCell ref="H157:J157"/>
    <mergeCell ref="D208:E208"/>
    <mergeCell ref="J208:K208"/>
  </mergeCells>
  <printOptions horizontalCentered="1"/>
  <pageMargins left="0.19685039370078741" right="0.19685039370078741" top="1.1811023622047245" bottom="0.78740157480314965" header="0.6692913385826772" footer="0.51181102362204722"/>
  <pageSetup paperSize="9" scale="90" orientation="landscape"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H95"/>
  <sheetViews>
    <sheetView tabSelected="1" workbookViewId="0">
      <selection activeCell="E17" sqref="E17"/>
    </sheetView>
  </sheetViews>
  <sheetFormatPr defaultColWidth="9.140625" defaultRowHeight="12.75"/>
  <cols>
    <col min="1" max="1" width="4.28515625" style="2038" customWidth="1"/>
    <col min="2" max="2" width="39.42578125" style="2038" customWidth="1"/>
    <col min="3" max="3" width="18.85546875" style="2038" customWidth="1"/>
    <col min="4" max="4" width="16.7109375" style="2038" customWidth="1"/>
    <col min="5" max="5" width="17.5703125" style="2038" customWidth="1"/>
    <col min="6" max="6" width="30.7109375" style="2038" customWidth="1"/>
    <col min="7" max="7" width="13.7109375" style="2038" customWidth="1"/>
    <col min="8" max="8" width="14.85546875" style="2038" customWidth="1"/>
    <col min="9" max="16384" width="9.140625" style="2038"/>
  </cols>
  <sheetData>
    <row r="1" spans="1:8" ht="15.75">
      <c r="A1" s="3394" t="s">
        <v>1756</v>
      </c>
      <c r="B1" s="3394"/>
      <c r="C1" s="3394"/>
      <c r="D1" s="3394"/>
      <c r="E1" s="3394"/>
      <c r="F1" s="3394"/>
    </row>
    <row r="2" spans="1:8">
      <c r="A2" s="3395" t="str">
        <f>"Periode s/d  "&amp;DT!D27</f>
        <v>Periode s/d  29 Februari 2016 2016</v>
      </c>
      <c r="B2" s="3395"/>
      <c r="C2" s="3395"/>
      <c r="D2" s="3395"/>
      <c r="E2" s="3395"/>
      <c r="F2" s="3395"/>
    </row>
    <row r="3" spans="1:8">
      <c r="A3" s="2039"/>
    </row>
    <row r="4" spans="1:8">
      <c r="A4" s="2040" t="s">
        <v>1757</v>
      </c>
    </row>
    <row r="5" spans="1:8" s="2042" customFormat="1">
      <c r="A5" s="3388" t="s">
        <v>978</v>
      </c>
      <c r="B5" s="3388" t="s">
        <v>706</v>
      </c>
      <c r="C5" s="2041" t="s">
        <v>1758</v>
      </c>
      <c r="D5" s="2041" t="s">
        <v>1759</v>
      </c>
      <c r="E5" s="3390" t="s">
        <v>369</v>
      </c>
      <c r="F5" s="3391"/>
      <c r="G5" s="2038"/>
      <c r="H5" s="2038"/>
    </row>
    <row r="6" spans="1:8" s="2042" customFormat="1">
      <c r="A6" s="3389"/>
      <c r="B6" s="3389"/>
      <c r="C6" s="2043" t="s">
        <v>1760</v>
      </c>
      <c r="D6" s="2043" t="s">
        <v>1760</v>
      </c>
      <c r="E6" s="2043" t="s">
        <v>1761</v>
      </c>
      <c r="F6" s="2043" t="s">
        <v>1762</v>
      </c>
      <c r="G6" s="2038"/>
      <c r="H6" s="2038"/>
    </row>
    <row r="7" spans="1:8">
      <c r="A7" s="2044">
        <v>1</v>
      </c>
      <c r="B7" s="2045" t="s">
        <v>812</v>
      </c>
      <c r="C7" s="2046">
        <f>'Bank B PPK'!G30</f>
        <v>0</v>
      </c>
      <c r="D7" s="2046">
        <f>'Kas B PPK'!Q46</f>
        <v>0</v>
      </c>
      <c r="E7" s="2046">
        <f t="shared" ref="E7:E22" si="0">C7-D7</f>
        <v>0</v>
      </c>
      <c r="F7" s="2046" t="str">
        <f t="shared" ref="F7:F22" si="1">IF(E7=0,"OK, Pinteerrrr","SALAH, Parios deui nya…!")</f>
        <v>OK, Pinteerrrr</v>
      </c>
    </row>
    <row r="8" spans="1:8">
      <c r="A8" s="2044">
        <f>1+A7</f>
        <v>2</v>
      </c>
      <c r="B8" s="2045" t="s">
        <v>813</v>
      </c>
      <c r="C8" s="2046">
        <f>'Bank B PNPM-MPd'!G36</f>
        <v>300000</v>
      </c>
      <c r="D8" s="2046">
        <f>'Kas B PNPM-MPd'!P27</f>
        <v>300000</v>
      </c>
      <c r="E8" s="2046">
        <f t="shared" si="0"/>
        <v>0</v>
      </c>
      <c r="F8" s="2046" t="str">
        <f t="shared" si="1"/>
        <v>OK, Pinteerrrr</v>
      </c>
    </row>
    <row r="9" spans="1:8">
      <c r="A9" s="2044">
        <f>1+A8</f>
        <v>3</v>
      </c>
      <c r="B9" s="2045" t="s">
        <v>814</v>
      </c>
      <c r="C9" s="2046">
        <f>'Bank B PNPM-TP GEMPA'!F30</f>
        <v>50100000</v>
      </c>
      <c r="D9" s="2046">
        <f>'Kas B PNPM-TP GEMPA'!Q46</f>
        <v>50100000</v>
      </c>
      <c r="E9" s="2046">
        <f t="shared" si="0"/>
        <v>0</v>
      </c>
      <c r="F9" s="2046" t="str">
        <f t="shared" si="1"/>
        <v>OK, Pinteerrrr</v>
      </c>
    </row>
    <row r="10" spans="1:8">
      <c r="A10" s="2044">
        <f t="shared" ref="A10:A22" si="2">1+A9</f>
        <v>4</v>
      </c>
      <c r="B10" s="2047" t="s">
        <v>815</v>
      </c>
      <c r="C10" s="2046">
        <f>'Bank B GSC'!G30</f>
        <v>0</v>
      </c>
      <c r="D10" s="2046">
        <f>'Kas B GSC'!N46</f>
        <v>0</v>
      </c>
      <c r="E10" s="2046">
        <f t="shared" si="0"/>
        <v>0</v>
      </c>
      <c r="F10" s="2046" t="str">
        <f t="shared" si="1"/>
        <v>OK, Pinteerrrr</v>
      </c>
    </row>
    <row r="11" spans="1:8">
      <c r="A11" s="2044">
        <f t="shared" si="2"/>
        <v>5</v>
      </c>
      <c r="B11" s="2045" t="s">
        <v>1153</v>
      </c>
      <c r="C11" s="2046">
        <f>'Bank B PASCA KRISIS'!F30</f>
        <v>0</v>
      </c>
      <c r="D11" s="2046">
        <f>'Kas B PASCA KRISIS'!Q46</f>
        <v>0</v>
      </c>
      <c r="E11" s="2046">
        <f t="shared" si="0"/>
        <v>0</v>
      </c>
      <c r="F11" s="2046" t="str">
        <f t="shared" si="1"/>
        <v>OK, Pinteerrrr</v>
      </c>
    </row>
    <row r="12" spans="1:8">
      <c r="A12" s="2044">
        <f t="shared" si="2"/>
        <v>6</v>
      </c>
      <c r="B12" s="2045" t="s">
        <v>207</v>
      </c>
      <c r="C12" s="2046">
        <f>'Bank OP-UPK'!F32</f>
        <v>1061143205</v>
      </c>
      <c r="D12" s="2046">
        <f>'Kas OP-UPK'!K90</f>
        <v>1061143205</v>
      </c>
      <c r="E12" s="2046">
        <f t="shared" si="0"/>
        <v>0</v>
      </c>
      <c r="F12" s="2046" t="str">
        <f t="shared" si="1"/>
        <v>OK, Pinteerrrr</v>
      </c>
    </row>
    <row r="13" spans="1:8">
      <c r="A13" s="2044">
        <f t="shared" si="2"/>
        <v>7</v>
      </c>
      <c r="B13" s="2045" t="s">
        <v>52</v>
      </c>
      <c r="C13" s="2046">
        <f>'Bank UEP'!F30</f>
        <v>0</v>
      </c>
      <c r="D13" s="2046">
        <f>'Kas UEP'!I42</f>
        <v>0</v>
      </c>
      <c r="E13" s="2046">
        <f t="shared" si="0"/>
        <v>0</v>
      </c>
      <c r="F13" s="2046" t="str">
        <f t="shared" si="1"/>
        <v>OK, Pinteerrrr</v>
      </c>
    </row>
    <row r="14" spans="1:8">
      <c r="A14" s="2044">
        <f t="shared" si="2"/>
        <v>8</v>
      </c>
      <c r="B14" s="2047" t="s">
        <v>53</v>
      </c>
      <c r="C14" s="2046">
        <f>'Bank SPP'!F54</f>
        <v>26708547446</v>
      </c>
      <c r="D14" s="2046">
        <f>'Kas SPP'!I367</f>
        <v>26708547446</v>
      </c>
      <c r="E14" s="2046">
        <f t="shared" si="0"/>
        <v>0</v>
      </c>
      <c r="F14" s="2046" t="str">
        <f t="shared" si="1"/>
        <v>OK, Pinteerrrr</v>
      </c>
    </row>
    <row r="15" spans="1:8">
      <c r="A15" s="2044">
        <f t="shared" si="2"/>
        <v>9</v>
      </c>
      <c r="B15" s="2047" t="s">
        <v>956</v>
      </c>
      <c r="C15" s="2046">
        <f>'Bank SPP Pihak ke-3'!F30</f>
        <v>0</v>
      </c>
      <c r="D15" s="2046">
        <f>'Kas SPP Pihak ke-3'!I42</f>
        <v>0</v>
      </c>
      <c r="E15" s="2046">
        <f t="shared" si="0"/>
        <v>0</v>
      </c>
      <c r="F15" s="2046" t="str">
        <f t="shared" si="1"/>
        <v>OK, Pinteerrrr</v>
      </c>
    </row>
    <row r="16" spans="1:8">
      <c r="A16" s="2044">
        <f t="shared" si="2"/>
        <v>10</v>
      </c>
      <c r="B16" s="2045" t="s">
        <v>959</v>
      </c>
      <c r="C16" s="2046">
        <f>'Bank DOK PLUPK'!F30</f>
        <v>200000</v>
      </c>
      <c r="D16" s="2046">
        <f>'Kas DOK PLUPK'!Q45</f>
        <v>200000</v>
      </c>
      <c r="E16" s="2046">
        <f t="shared" si="0"/>
        <v>0</v>
      </c>
      <c r="F16" s="2046" t="str">
        <f t="shared" si="1"/>
        <v>OK, Pinteerrrr</v>
      </c>
    </row>
    <row r="17" spans="1:8">
      <c r="A17" s="2044">
        <f t="shared" si="2"/>
        <v>11</v>
      </c>
      <c r="B17" s="2045" t="s">
        <v>960</v>
      </c>
      <c r="C17" s="2046">
        <f>'Bank DOK PERNC'!G30</f>
        <v>500000</v>
      </c>
      <c r="D17" s="2046">
        <f>'Kas DOK Pernc.'!S46</f>
        <v>500000</v>
      </c>
      <c r="E17" s="2046">
        <f t="shared" si="0"/>
        <v>0</v>
      </c>
      <c r="F17" s="2046" t="str">
        <f t="shared" si="1"/>
        <v>OK, Pinteerrrr</v>
      </c>
    </row>
    <row r="18" spans="1:8">
      <c r="A18" s="2044">
        <f t="shared" si="2"/>
        <v>12</v>
      </c>
      <c r="B18" s="2045" t="s">
        <v>961</v>
      </c>
      <c r="C18" s="2046">
        <f>'Bank DOK PELTH'!G30</f>
        <v>4601500</v>
      </c>
      <c r="D18" s="2046">
        <f>'Kas DOK Pelth.'!U47</f>
        <v>4601500</v>
      </c>
      <c r="E18" s="2046">
        <f t="shared" si="0"/>
        <v>0</v>
      </c>
      <c r="F18" s="2046" t="str">
        <f t="shared" si="1"/>
        <v>OK, Pinteerrrr</v>
      </c>
    </row>
    <row r="19" spans="1:8">
      <c r="A19" s="2044">
        <f t="shared" si="2"/>
        <v>13</v>
      </c>
      <c r="B19" s="2047" t="s">
        <v>957</v>
      </c>
      <c r="C19" s="2046">
        <f>'Bank DOK PERNC-GSC'!G30</f>
        <v>0</v>
      </c>
      <c r="D19" s="2046">
        <f>'Kas DOK Pernc.GSC'!U45</f>
        <v>0</v>
      </c>
      <c r="E19" s="2046">
        <f t="shared" si="0"/>
        <v>0</v>
      </c>
      <c r="F19" s="2046" t="str">
        <f t="shared" si="1"/>
        <v>OK, Pinteerrrr</v>
      </c>
    </row>
    <row r="20" spans="1:8">
      <c r="A20" s="2044">
        <f t="shared" si="2"/>
        <v>14</v>
      </c>
      <c r="B20" s="2047" t="s">
        <v>958</v>
      </c>
      <c r="C20" s="2046">
        <f>'Bank DOK PELTH-GSC'!G30</f>
        <v>0</v>
      </c>
      <c r="D20" s="2046">
        <f>'Kas DOK Pelth.GSC'!U45</f>
        <v>0</v>
      </c>
      <c r="E20" s="2046">
        <f t="shared" si="0"/>
        <v>0</v>
      </c>
      <c r="F20" s="2046" t="str">
        <f t="shared" si="1"/>
        <v>OK, Pinteerrrr</v>
      </c>
    </row>
    <row r="21" spans="1:8">
      <c r="A21" s="2044">
        <f t="shared" si="2"/>
        <v>15</v>
      </c>
      <c r="B21" s="2047" t="s">
        <v>817</v>
      </c>
      <c r="C21" s="2046">
        <f>'Bank DOK GEMPA'!F30</f>
        <v>0</v>
      </c>
      <c r="D21" s="2046">
        <f>'Kas DOK GEMPA'!U45</f>
        <v>0</v>
      </c>
      <c r="E21" s="2046">
        <f t="shared" si="0"/>
        <v>0</v>
      </c>
      <c r="F21" s="2046" t="str">
        <f t="shared" si="1"/>
        <v>OK, Pinteerrrr</v>
      </c>
    </row>
    <row r="22" spans="1:8">
      <c r="A22" s="2044">
        <f t="shared" si="2"/>
        <v>16</v>
      </c>
      <c r="B22" s="2045" t="s">
        <v>818</v>
      </c>
      <c r="C22" s="2046">
        <f>'Bank DOK RPJMDES'!F30</f>
        <v>100000</v>
      </c>
      <c r="D22" s="2046">
        <f>'Kas DOK RPJMDES'!U45</f>
        <v>100000</v>
      </c>
      <c r="E22" s="2046">
        <f t="shared" si="0"/>
        <v>0</v>
      </c>
      <c r="F22" s="2046" t="str">
        <f t="shared" si="1"/>
        <v>OK, Pinteerrrr</v>
      </c>
    </row>
    <row r="24" spans="1:8" ht="13.5" customHeight="1">
      <c r="A24" s="2040" t="s">
        <v>1763</v>
      </c>
    </row>
    <row r="25" spans="1:8" s="2042" customFormat="1">
      <c r="A25" s="3388" t="s">
        <v>978</v>
      </c>
      <c r="B25" s="3388" t="s">
        <v>706</v>
      </c>
      <c r="C25" s="2041" t="s">
        <v>1758</v>
      </c>
      <c r="D25" s="2041" t="s">
        <v>1759</v>
      </c>
      <c r="E25" s="3390" t="s">
        <v>369</v>
      </c>
      <c r="F25" s="3391"/>
      <c r="G25" s="2038"/>
      <c r="H25" s="2038"/>
    </row>
    <row r="26" spans="1:8" s="2042" customFormat="1">
      <c r="A26" s="3389"/>
      <c r="B26" s="3389"/>
      <c r="C26" s="2048" t="s">
        <v>1764</v>
      </c>
      <c r="D26" s="2048" t="s">
        <v>1764</v>
      </c>
      <c r="E26" s="2043" t="s">
        <v>1761</v>
      </c>
      <c r="F26" s="2043" t="s">
        <v>1762</v>
      </c>
      <c r="G26" s="2038"/>
      <c r="H26" s="2038"/>
    </row>
    <row r="27" spans="1:8">
      <c r="A27" s="2044">
        <v>1</v>
      </c>
      <c r="B27" s="2045" t="s">
        <v>812</v>
      </c>
      <c r="C27" s="2046">
        <f>'Bank B PPK'!I30</f>
        <v>0</v>
      </c>
      <c r="D27" s="2046">
        <f>'Kas B PPK'!D46</f>
        <v>0</v>
      </c>
      <c r="E27" s="2046">
        <f>C27-D27</f>
        <v>0</v>
      </c>
      <c r="F27" s="2046" t="str">
        <f t="shared" ref="F27:F42" si="3">IF(E27=0,"OK, Pinteerrrr","SALAH, Parios deui nya…!")</f>
        <v>OK, Pinteerrrr</v>
      </c>
    </row>
    <row r="28" spans="1:8">
      <c r="A28" s="2044">
        <f>1+A27</f>
        <v>2</v>
      </c>
      <c r="B28" s="2045" t="s">
        <v>813</v>
      </c>
      <c r="C28" s="2046">
        <f>'Bank B PNPM-MPd'!I36</f>
        <v>10660655242</v>
      </c>
      <c r="D28" s="2046">
        <f>'Kas B PNPM-MPd'!D27</f>
        <v>10660655242</v>
      </c>
      <c r="E28" s="2046">
        <f t="shared" ref="E28:E37" si="4">C28-D28</f>
        <v>0</v>
      </c>
      <c r="F28" s="2046" t="str">
        <f t="shared" si="3"/>
        <v>OK, Pinteerrrr</v>
      </c>
    </row>
    <row r="29" spans="1:8">
      <c r="A29" s="2044">
        <f>1+A28</f>
        <v>3</v>
      </c>
      <c r="B29" s="2045" t="s">
        <v>814</v>
      </c>
      <c r="C29" s="2046">
        <f>'Bank B PNPM-TP GEMPA'!H30</f>
        <v>550100000</v>
      </c>
      <c r="D29" s="2046">
        <f>'Kas B PNPM-TP GEMPA'!D46</f>
        <v>550100000</v>
      </c>
      <c r="E29" s="2046">
        <f t="shared" si="4"/>
        <v>0</v>
      </c>
      <c r="F29" s="2046" t="str">
        <f t="shared" si="3"/>
        <v>OK, Pinteerrrr</v>
      </c>
    </row>
    <row r="30" spans="1:8">
      <c r="A30" s="2044">
        <f t="shared" ref="A30:A42" si="5">1+A29</f>
        <v>4</v>
      </c>
      <c r="B30" s="2047" t="s">
        <v>815</v>
      </c>
      <c r="C30" s="2046">
        <f>'Bank B GSC'!I30</f>
        <v>0</v>
      </c>
      <c r="D30" s="2046">
        <f>'Kas B GSC'!D46</f>
        <v>0</v>
      </c>
      <c r="E30" s="2046">
        <f t="shared" si="4"/>
        <v>0</v>
      </c>
      <c r="F30" s="2046" t="str">
        <f t="shared" si="3"/>
        <v>OK, Pinteerrrr</v>
      </c>
    </row>
    <row r="31" spans="1:8">
      <c r="A31" s="2044">
        <f t="shared" si="5"/>
        <v>5</v>
      </c>
      <c r="B31" s="2045" t="s">
        <v>1153</v>
      </c>
      <c r="C31" s="2046">
        <f>'Bank B PASCA KRISIS'!H30</f>
        <v>0</v>
      </c>
      <c r="D31" s="2046">
        <f>'Kas B PASCA KRISIS'!D46</f>
        <v>0</v>
      </c>
      <c r="E31" s="2046">
        <f>C31-D31</f>
        <v>0</v>
      </c>
      <c r="F31" s="2046" t="str">
        <f t="shared" si="3"/>
        <v>OK, Pinteerrrr</v>
      </c>
    </row>
    <row r="32" spans="1:8">
      <c r="A32" s="2044">
        <f t="shared" si="5"/>
        <v>6</v>
      </c>
      <c r="B32" s="2045" t="s">
        <v>207</v>
      </c>
      <c r="C32" s="2046">
        <f>'Bank OP-UPK'!H32</f>
        <v>1074990555</v>
      </c>
      <c r="D32" s="2046">
        <f>'Kas OP-UPK'!H90</f>
        <v>1074990555</v>
      </c>
      <c r="E32" s="2046">
        <f>C32-D32</f>
        <v>0</v>
      </c>
      <c r="F32" s="2046" t="str">
        <f t="shared" si="3"/>
        <v>OK, Pinteerrrr</v>
      </c>
    </row>
    <row r="33" spans="1:8">
      <c r="A33" s="2044">
        <f t="shared" si="5"/>
        <v>7</v>
      </c>
      <c r="B33" s="2045" t="s">
        <v>52</v>
      </c>
      <c r="C33" s="2046">
        <f>'Bank UEP'!H30</f>
        <v>0</v>
      </c>
      <c r="D33" s="2046">
        <f>'Kas UEP'!H42</f>
        <v>0</v>
      </c>
      <c r="E33" s="2046">
        <f>C33-D33</f>
        <v>0</v>
      </c>
      <c r="F33" s="2046" t="str">
        <f t="shared" si="3"/>
        <v>OK, Pinteerrrr</v>
      </c>
    </row>
    <row r="34" spans="1:8">
      <c r="A34" s="2044">
        <f t="shared" si="5"/>
        <v>8</v>
      </c>
      <c r="B34" s="2047" t="s">
        <v>53</v>
      </c>
      <c r="C34" s="2046">
        <f>'Bank SPP'!H54</f>
        <v>26722965000</v>
      </c>
      <c r="D34" s="2046">
        <f>'Kas SPP'!H367</f>
        <v>26722965000</v>
      </c>
      <c r="E34" s="2046">
        <f>C34-D34</f>
        <v>0</v>
      </c>
      <c r="F34" s="2046" t="str">
        <f t="shared" si="3"/>
        <v>OK, Pinteerrrr</v>
      </c>
    </row>
    <row r="35" spans="1:8">
      <c r="A35" s="2044">
        <f t="shared" si="5"/>
        <v>9</v>
      </c>
      <c r="B35" s="2047" t="s">
        <v>956</v>
      </c>
      <c r="C35" s="2046">
        <f>'Bank SPP Pihak ke-3'!H30</f>
        <v>0</v>
      </c>
      <c r="D35" s="2046">
        <f>'Kas SPP Pihak ke-3'!H42</f>
        <v>0</v>
      </c>
      <c r="E35" s="2046">
        <f t="shared" si="4"/>
        <v>0</v>
      </c>
      <c r="F35" s="2046" t="str">
        <f t="shared" si="3"/>
        <v>OK, Pinteerrrr</v>
      </c>
    </row>
    <row r="36" spans="1:8">
      <c r="A36" s="2044">
        <f t="shared" si="5"/>
        <v>10</v>
      </c>
      <c r="B36" s="2045" t="s">
        <v>959</v>
      </c>
      <c r="C36" s="2046">
        <f>'Bank DOK PLUPK'!H30</f>
        <v>12039943</v>
      </c>
      <c r="D36" s="2046">
        <f>'Kas DOK PLUPK'!E45</f>
        <v>12039943</v>
      </c>
      <c r="E36" s="2046">
        <f t="shared" si="4"/>
        <v>0</v>
      </c>
      <c r="F36" s="2046" t="str">
        <f t="shared" si="3"/>
        <v>OK, Pinteerrrr</v>
      </c>
    </row>
    <row r="37" spans="1:8">
      <c r="A37" s="2044">
        <f t="shared" si="5"/>
        <v>11</v>
      </c>
      <c r="B37" s="2045" t="s">
        <v>960</v>
      </c>
      <c r="C37" s="2046">
        <f>'Bank DOK PERNC'!I30</f>
        <v>205470761</v>
      </c>
      <c r="D37" s="2046">
        <f>'Kas DOK Pernc.'!E46</f>
        <v>205470761</v>
      </c>
      <c r="E37" s="2046">
        <f t="shared" si="4"/>
        <v>0</v>
      </c>
      <c r="F37" s="2046" t="str">
        <f t="shared" si="3"/>
        <v>OK, Pinteerrrr</v>
      </c>
    </row>
    <row r="38" spans="1:8">
      <c r="A38" s="2044">
        <f t="shared" si="5"/>
        <v>12</v>
      </c>
      <c r="B38" s="2045" t="s">
        <v>961</v>
      </c>
      <c r="C38" s="2046">
        <f>'Bank DOK PELTH'!I30</f>
        <v>117470082</v>
      </c>
      <c r="D38" s="2046">
        <f>'Kas DOK Pelth.'!E47</f>
        <v>117470082</v>
      </c>
      <c r="E38" s="2046">
        <f>C38-D38</f>
        <v>0</v>
      </c>
      <c r="F38" s="2046" t="str">
        <f t="shared" si="3"/>
        <v>OK, Pinteerrrr</v>
      </c>
    </row>
    <row r="39" spans="1:8">
      <c r="A39" s="2044">
        <f t="shared" si="5"/>
        <v>13</v>
      </c>
      <c r="B39" s="2047" t="s">
        <v>957</v>
      </c>
      <c r="C39" s="2046">
        <f>'Bank DOK PERNC-GSC'!I30</f>
        <v>0</v>
      </c>
      <c r="D39" s="2046">
        <f>'Kas DOK Pernc.GSC'!E45</f>
        <v>0</v>
      </c>
      <c r="E39" s="2046">
        <f>C39-D39</f>
        <v>0</v>
      </c>
      <c r="F39" s="2046" t="str">
        <f t="shared" si="3"/>
        <v>OK, Pinteerrrr</v>
      </c>
    </row>
    <row r="40" spans="1:8">
      <c r="A40" s="2044">
        <f t="shared" si="5"/>
        <v>14</v>
      </c>
      <c r="B40" s="2047" t="s">
        <v>958</v>
      </c>
      <c r="C40" s="2046">
        <f>'Bank DOK PELTH-GSC'!I30</f>
        <v>0</v>
      </c>
      <c r="D40" s="2046">
        <f>'Kas DOK Pelth.GSC'!E45</f>
        <v>0</v>
      </c>
      <c r="E40" s="2046">
        <f>C40-D40</f>
        <v>0</v>
      </c>
      <c r="F40" s="2046" t="str">
        <f t="shared" si="3"/>
        <v>OK, Pinteerrrr</v>
      </c>
    </row>
    <row r="41" spans="1:8">
      <c r="A41" s="2044">
        <f t="shared" si="5"/>
        <v>15</v>
      </c>
      <c r="B41" s="2047" t="s">
        <v>817</v>
      </c>
      <c r="C41" s="2046">
        <f>'Bank DOK GEMPA'!H30</f>
        <v>50000000</v>
      </c>
      <c r="D41" s="2046">
        <f>'Kas DOK GEMPA'!E45</f>
        <v>50000000</v>
      </c>
      <c r="E41" s="2046">
        <f>C41-D41</f>
        <v>0</v>
      </c>
      <c r="F41" s="2046" t="str">
        <f t="shared" si="3"/>
        <v>OK, Pinteerrrr</v>
      </c>
    </row>
    <row r="42" spans="1:8">
      <c r="A42" s="2044">
        <f t="shared" si="5"/>
        <v>16</v>
      </c>
      <c r="B42" s="2045" t="s">
        <v>818</v>
      </c>
      <c r="C42" s="2046">
        <f>'Bank DOK RPJMDES'!H30</f>
        <v>18525000</v>
      </c>
      <c r="D42" s="2046">
        <f>'Kas DOK RPJMDES'!E45</f>
        <v>18525000</v>
      </c>
      <c r="E42" s="2046">
        <f>C42-D42</f>
        <v>0</v>
      </c>
      <c r="F42" s="2046" t="str">
        <f t="shared" si="3"/>
        <v>OK, Pinteerrrr</v>
      </c>
    </row>
    <row r="44" spans="1:8">
      <c r="A44" s="2040" t="s">
        <v>1765</v>
      </c>
    </row>
    <row r="45" spans="1:8" s="2042" customFormat="1" ht="35.25" customHeight="1">
      <c r="A45" s="3388" t="s">
        <v>978</v>
      </c>
      <c r="B45" s="3388" t="s">
        <v>706</v>
      </c>
      <c r="C45" s="3392" t="s">
        <v>1782</v>
      </c>
      <c r="D45" s="3392" t="s">
        <v>1766</v>
      </c>
      <c r="E45" s="3390" t="s">
        <v>369</v>
      </c>
      <c r="F45" s="3391"/>
      <c r="G45" s="2038"/>
      <c r="H45" s="2038"/>
    </row>
    <row r="46" spans="1:8" s="2042" customFormat="1">
      <c r="A46" s="3389"/>
      <c r="B46" s="3389"/>
      <c r="C46" s="3393"/>
      <c r="D46" s="3393"/>
      <c r="E46" s="2043" t="s">
        <v>1761</v>
      </c>
      <c r="F46" s="2043" t="s">
        <v>1762</v>
      </c>
      <c r="G46" s="2038"/>
      <c r="H46" s="2038"/>
    </row>
    <row r="47" spans="1:8">
      <c r="A47" s="2044">
        <v>1</v>
      </c>
      <c r="B47" s="2047" t="s">
        <v>1783</v>
      </c>
      <c r="C47" s="2046">
        <f>'Kas B PPK'!N12+'Kas B PNPM-MPd'!M12+'Kas B GSC'!K12+'Kas B PNPM-TP GEMPA'!N12+'Kas B PASCA KRISIS'!N12</f>
        <v>222970600</v>
      </c>
      <c r="D47" s="2046">
        <f>SUM('Kas OP-UPK'!D11:E11)</f>
        <v>222970600</v>
      </c>
      <c r="E47" s="2046">
        <f>C47-D47</f>
        <v>0</v>
      </c>
      <c r="F47" s="2046" t="str">
        <f>IF(E47=0,"OK, Pinteerrrr","SALAH, Parios deui nya…!")</f>
        <v>OK, Pinteerrrr</v>
      </c>
    </row>
    <row r="48" spans="1:8">
      <c r="A48" s="2044">
        <f>1+A46</f>
        <v>1</v>
      </c>
      <c r="B48" s="2047" t="s">
        <v>1767</v>
      </c>
      <c r="C48" s="2046">
        <f>'Kas B PPK'!N13+'Kas B PNPM-MPd'!M13+'Kas B GSC'!K13+'Kas B PNPM-TP GEMPA'!N13+'Kas B PASCA KRISIS'!N13</f>
        <v>0</v>
      </c>
      <c r="D48" s="2046">
        <f>SUM('Kas OP-UPK'!D12:E12)</f>
        <v>0</v>
      </c>
      <c r="E48" s="2046">
        <f>C48-D48</f>
        <v>0</v>
      </c>
      <c r="F48" s="2046" t="str">
        <f>IF(E48=0,"OK, Pinteerrrr","SALAH, Parios deui nya…!")</f>
        <v>OK, Pinteerrrr</v>
      </c>
    </row>
    <row r="49" spans="1:8">
      <c r="A49" s="2044">
        <f>1+A47</f>
        <v>2</v>
      </c>
      <c r="B49" s="2047" t="s">
        <v>1768</v>
      </c>
      <c r="C49" s="2046">
        <f>'Kas B PPK'!N44+'Kas B PNPM-MPd'!M25+'Kas B GSC'!K44+'Kas B PNPM-TP GEMPA'!N44+'Kas B PASCA KRISIS'!N44</f>
        <v>0</v>
      </c>
      <c r="D49" s="2046">
        <f>SUM('Kas OP-UPK'!D88:E88)</f>
        <v>0</v>
      </c>
      <c r="E49" s="2046">
        <f>C49-D49</f>
        <v>0</v>
      </c>
      <c r="F49" s="2046" t="str">
        <f>IF(E49=0,"OK, Pinteerrrr","SALAH, Parios deui nya…!")</f>
        <v>OK, Pinteerrrr</v>
      </c>
    </row>
    <row r="50" spans="1:8">
      <c r="A50" s="2044">
        <f>1+A49</f>
        <v>3</v>
      </c>
      <c r="B50" s="2047" t="s">
        <v>1742</v>
      </c>
      <c r="C50" s="2046">
        <f>'Kas B PPK'!N46+'Kas B PNPM-MPd'!M27+'Kas B GSC'!K46+'Kas B PNPM-TP GEMPA'!N46+'Kas B PASCA KRISIS'!N46</f>
        <v>222970600</v>
      </c>
      <c r="D50" s="2046">
        <f>SUM('Kas OP-UPK'!D90:E90)</f>
        <v>222970600</v>
      </c>
      <c r="E50" s="2046">
        <f>C50-D50</f>
        <v>0</v>
      </c>
      <c r="F50" s="2046" t="str">
        <f>IF(E50=0,"OK, Pinteerrrr","SALAH, Parios deui nya…!")</f>
        <v>OK, Pinteerrrr</v>
      </c>
    </row>
    <row r="51" spans="1:8">
      <c r="A51" s="2049"/>
      <c r="B51" s="2049"/>
      <c r="C51" s="2049"/>
      <c r="D51" s="2049"/>
      <c r="E51" s="2050"/>
      <c r="F51" s="2050"/>
    </row>
    <row r="52" spans="1:8">
      <c r="A52" s="2040" t="s">
        <v>1769</v>
      </c>
    </row>
    <row r="53" spans="1:8" s="2042" customFormat="1">
      <c r="A53" s="3388" t="s">
        <v>978</v>
      </c>
      <c r="B53" s="3388" t="s">
        <v>706</v>
      </c>
      <c r="C53" s="3392" t="s">
        <v>1770</v>
      </c>
      <c r="D53" s="3392" t="s">
        <v>1766</v>
      </c>
      <c r="E53" s="3390" t="s">
        <v>369</v>
      </c>
      <c r="F53" s="3391"/>
      <c r="G53" s="2038"/>
      <c r="H53" s="2038"/>
    </row>
    <row r="54" spans="1:8" s="2042" customFormat="1">
      <c r="A54" s="3389"/>
      <c r="B54" s="3389"/>
      <c r="C54" s="3393"/>
      <c r="D54" s="3393"/>
      <c r="E54" s="2043" t="s">
        <v>1761</v>
      </c>
      <c r="F54" s="2043" t="s">
        <v>1762</v>
      </c>
      <c r="G54" s="2038"/>
      <c r="H54" s="2038"/>
    </row>
    <row r="55" spans="1:8">
      <c r="A55" s="2044">
        <v>1</v>
      </c>
      <c r="B55" s="2047" t="s">
        <v>34</v>
      </c>
      <c r="C55" s="2046">
        <f>Inventaris!I73</f>
        <v>119068400</v>
      </c>
      <c r="D55" s="2046">
        <f>'Kas OP-UPK'!P90</f>
        <v>119068400</v>
      </c>
      <c r="E55" s="2046">
        <f>C55-D55</f>
        <v>0</v>
      </c>
      <c r="F55" s="2046" t="str">
        <f>IF(E55=0,"OK, Pinteerrrr","SALAH, Parios deui nya…!")</f>
        <v>OK, Pinteerrrr</v>
      </c>
    </row>
    <row r="56" spans="1:8">
      <c r="A56" s="2044">
        <f>1+A55</f>
        <v>2</v>
      </c>
      <c r="B56" s="2047" t="s">
        <v>409</v>
      </c>
      <c r="C56" s="2046">
        <f>BDD!F28</f>
        <v>5400000</v>
      </c>
      <c r="D56" s="2046">
        <f>'Kas OP-UPK'!O90</f>
        <v>5400000</v>
      </c>
      <c r="E56" s="2046">
        <f>C56-D56</f>
        <v>0</v>
      </c>
      <c r="F56" s="2046" t="str">
        <f>IF(E56=0,"OK, Pinteerrrr","SALAH, Parios deui nya…!")</f>
        <v>OK, Pinteerrrr</v>
      </c>
    </row>
    <row r="57" spans="1:8">
      <c r="A57" s="2049"/>
      <c r="B57" s="2049"/>
      <c r="C57" s="2049"/>
      <c r="D57" s="2049"/>
      <c r="E57" s="2050"/>
      <c r="F57" s="2050"/>
    </row>
    <row r="58" spans="1:8">
      <c r="A58" s="2040" t="s">
        <v>1786</v>
      </c>
    </row>
    <row r="59" spans="1:8" s="2042" customFormat="1">
      <c r="A59" s="3388" t="s">
        <v>978</v>
      </c>
      <c r="B59" s="3388" t="s">
        <v>706</v>
      </c>
      <c r="C59" s="3392" t="s">
        <v>1785</v>
      </c>
      <c r="D59" s="3392" t="s">
        <v>1766</v>
      </c>
      <c r="E59" s="3390" t="s">
        <v>369</v>
      </c>
      <c r="F59" s="3391"/>
      <c r="G59" s="2038"/>
      <c r="H59" s="2038"/>
    </row>
    <row r="60" spans="1:8" s="2042" customFormat="1">
      <c r="A60" s="3389"/>
      <c r="B60" s="3389"/>
      <c r="C60" s="3393"/>
      <c r="D60" s="3393"/>
      <c r="E60" s="2043" t="s">
        <v>1761</v>
      </c>
      <c r="F60" s="2043" t="s">
        <v>1762</v>
      </c>
      <c r="G60" s="2038"/>
      <c r="H60" s="2038"/>
    </row>
    <row r="61" spans="1:8">
      <c r="A61" s="2044">
        <v>1</v>
      </c>
      <c r="B61" s="2047" t="s">
        <v>1784</v>
      </c>
      <c r="C61" s="2046">
        <f>'Kas UEP'!L42</f>
        <v>0</v>
      </c>
      <c r="D61" s="2046">
        <f>'Kas OP-UPK'!F90</f>
        <v>0</v>
      </c>
      <c r="E61" s="2046">
        <f>C61-D61</f>
        <v>0</v>
      </c>
      <c r="F61" s="2046" t="str">
        <f>IF(E61=0,"OK, Pinteerrrr","SALAH, Parios deui nya…!")</f>
        <v>OK, Pinteerrrr</v>
      </c>
    </row>
    <row r="62" spans="1:8">
      <c r="A62" s="2044">
        <f>1+A61</f>
        <v>2</v>
      </c>
      <c r="B62" s="2047" t="s">
        <v>1787</v>
      </c>
      <c r="C62" s="2046">
        <f>'Kas SPP'!L367+'Kas SPP Pihak ke-3'!L42</f>
        <v>1696041854</v>
      </c>
      <c r="D62" s="2046">
        <f>'Kas OP-UPK'!G90</f>
        <v>1696041854</v>
      </c>
      <c r="E62" s="2046">
        <f>C62-D62</f>
        <v>0</v>
      </c>
      <c r="F62" s="2046" t="str">
        <f>IF(E62=0,"OK, Pinteerrrr","SALAH, Parios deui nya…!")</f>
        <v>OK, Pinteerrrr</v>
      </c>
    </row>
    <row r="63" spans="1:8">
      <c r="A63" s="2068"/>
      <c r="B63" s="2069"/>
      <c r="C63" s="2070"/>
      <c r="D63" s="2070"/>
      <c r="E63" s="2070"/>
      <c r="F63" s="2070"/>
    </row>
    <row r="64" spans="1:8">
      <c r="A64" s="2040" t="s">
        <v>1794</v>
      </c>
    </row>
    <row r="65" spans="1:8" s="2042" customFormat="1">
      <c r="A65" s="3388" t="s">
        <v>978</v>
      </c>
      <c r="B65" s="3388" t="s">
        <v>706</v>
      </c>
      <c r="C65" s="3392" t="s">
        <v>1791</v>
      </c>
      <c r="D65" s="3392" t="s">
        <v>1759</v>
      </c>
      <c r="E65" s="3390" t="s">
        <v>369</v>
      </c>
      <c r="F65" s="3391"/>
      <c r="G65" s="2038"/>
      <c r="H65" s="2038"/>
    </row>
    <row r="66" spans="1:8" s="2042" customFormat="1">
      <c r="A66" s="3389"/>
      <c r="B66" s="3389"/>
      <c r="C66" s="3393"/>
      <c r="D66" s="3393"/>
      <c r="E66" s="2043" t="s">
        <v>1761</v>
      </c>
      <c r="F66" s="2043" t="s">
        <v>1762</v>
      </c>
      <c r="G66" s="2038"/>
      <c r="H66" s="2038"/>
    </row>
    <row r="67" spans="1:8">
      <c r="A67" s="2044">
        <v>1</v>
      </c>
      <c r="B67" s="2047" t="s">
        <v>1630</v>
      </c>
      <c r="C67" s="2046">
        <f>'LPP-UEP'!F110</f>
        <v>0</v>
      </c>
      <c r="D67" s="2046">
        <f>'Kas B PPK'!K46+'Kas B PNPM-TP GEMPA'!K46+'Kas B PASCA KRISIS'!K46+'Kas UEP'!J42</f>
        <v>0</v>
      </c>
      <c r="E67" s="2046">
        <f t="shared" ref="E67:E73" si="6">C67-D67</f>
        <v>0</v>
      </c>
      <c r="F67" s="2046" t="str">
        <f t="shared" ref="F67:F73" si="7">IF(E67=0,"OK, Pinteerrrr","SALAH, Parios deui nya…!")</f>
        <v>OK, Pinteerrrr</v>
      </c>
    </row>
    <row r="68" spans="1:8">
      <c r="A68" s="2044">
        <v>2</v>
      </c>
      <c r="B68" s="2047" t="s">
        <v>1790</v>
      </c>
      <c r="C68" s="2046">
        <f>'LPP-UEP'!K110</f>
        <v>0</v>
      </c>
      <c r="D68" s="2046">
        <f>SUM('Kas UEP'!D10:D11)</f>
        <v>0</v>
      </c>
      <c r="E68" s="2046">
        <f t="shared" si="6"/>
        <v>0</v>
      </c>
      <c r="F68" s="2046" t="str">
        <f t="shared" si="7"/>
        <v>OK, Pinteerrrr</v>
      </c>
    </row>
    <row r="69" spans="1:8">
      <c r="A69" s="2044">
        <v>3</v>
      </c>
      <c r="B69" s="2047" t="s">
        <v>1789</v>
      </c>
      <c r="C69" s="2046">
        <f>'LPP-UEP'!L110</f>
        <v>0</v>
      </c>
      <c r="D69" s="2046">
        <f>SUM('Kas UEP'!E10:E11)</f>
        <v>0</v>
      </c>
      <c r="E69" s="2046">
        <f t="shared" si="6"/>
        <v>0</v>
      </c>
      <c r="F69" s="2046" t="str">
        <f t="shared" si="7"/>
        <v>OK, Pinteerrrr</v>
      </c>
    </row>
    <row r="70" spans="1:8">
      <c r="A70" s="2044">
        <v>4</v>
      </c>
      <c r="B70" s="2047" t="s">
        <v>1771</v>
      </c>
      <c r="C70" s="2046">
        <f>'LPP-UEP'!N110</f>
        <v>0</v>
      </c>
      <c r="D70" s="2046">
        <f>'Kas UEP'!D40</f>
        <v>0</v>
      </c>
      <c r="E70" s="2046">
        <f t="shared" si="6"/>
        <v>0</v>
      </c>
      <c r="F70" s="2046" t="str">
        <f t="shared" si="7"/>
        <v>OK, Pinteerrrr</v>
      </c>
    </row>
    <row r="71" spans="1:8">
      <c r="A71" s="2044">
        <v>5</v>
      </c>
      <c r="B71" s="2047" t="s">
        <v>1772</v>
      </c>
      <c r="C71" s="2046">
        <f>'LPP-UEP'!O110</f>
        <v>0</v>
      </c>
      <c r="D71" s="2046">
        <f>'Kas UEP'!E40</f>
        <v>0</v>
      </c>
      <c r="E71" s="2046">
        <f t="shared" si="6"/>
        <v>0</v>
      </c>
      <c r="F71" s="2046" t="str">
        <f t="shared" si="7"/>
        <v>OK, Pinteerrrr</v>
      </c>
    </row>
    <row r="72" spans="1:8">
      <c r="A72" s="2044">
        <v>6</v>
      </c>
      <c r="B72" s="2047" t="s">
        <v>1773</v>
      </c>
      <c r="C72" s="2046">
        <f>'LPP-UEP'!Q110</f>
        <v>0</v>
      </c>
      <c r="D72" s="2046">
        <f>'Kas UEP'!D42</f>
        <v>0</v>
      </c>
      <c r="E72" s="2046">
        <f t="shared" si="6"/>
        <v>0</v>
      </c>
      <c r="F72" s="2046" t="str">
        <f t="shared" si="7"/>
        <v>OK, Pinteerrrr</v>
      </c>
    </row>
    <row r="73" spans="1:8">
      <c r="A73" s="2044">
        <f>1+A72</f>
        <v>7</v>
      </c>
      <c r="B73" s="2047" t="s">
        <v>1774</v>
      </c>
      <c r="C73" s="2046">
        <f>'LPP-UEP'!R110</f>
        <v>0</v>
      </c>
      <c r="D73" s="2046">
        <f>'Kas UEP'!E42</f>
        <v>0</v>
      </c>
      <c r="E73" s="2046">
        <f t="shared" si="6"/>
        <v>0</v>
      </c>
      <c r="F73" s="2046" t="str">
        <f t="shared" si="7"/>
        <v>OK, Pinteerrrr</v>
      </c>
    </row>
    <row r="75" spans="1:8">
      <c r="A75" s="2040" t="s">
        <v>1795</v>
      </c>
    </row>
    <row r="76" spans="1:8" s="2042" customFormat="1">
      <c r="A76" s="3388" t="s">
        <v>978</v>
      </c>
      <c r="B76" s="3388" t="s">
        <v>706</v>
      </c>
      <c r="C76" s="3392" t="s">
        <v>1792</v>
      </c>
      <c r="D76" s="3392" t="s">
        <v>1759</v>
      </c>
      <c r="E76" s="3390" t="s">
        <v>369</v>
      </c>
      <c r="F76" s="3391"/>
      <c r="G76" s="2038"/>
      <c r="H76" s="2038"/>
    </row>
    <row r="77" spans="1:8" s="2042" customFormat="1">
      <c r="A77" s="3389"/>
      <c r="B77" s="3389"/>
      <c r="C77" s="3393"/>
      <c r="D77" s="3393"/>
      <c r="E77" s="2043" t="s">
        <v>1761</v>
      </c>
      <c r="F77" s="2043" t="s">
        <v>1762</v>
      </c>
      <c r="G77" s="2038"/>
      <c r="H77" s="2038"/>
    </row>
    <row r="78" spans="1:8">
      <c r="A78" s="2044">
        <v>1</v>
      </c>
      <c r="B78" s="2047" t="s">
        <v>1630</v>
      </c>
      <c r="C78" s="2046">
        <f>'LPP-SPP'!F110</f>
        <v>29340350000</v>
      </c>
      <c r="D78" s="2046">
        <f>'Kas B PPK'!J46+'Kas B PNPM-MPd'!J27+'Kas B PNPM-TP GEMPA'!J46+'Kas B PASCA KRISIS'!J46+'Kas SPP'!J367</f>
        <v>29340350000</v>
      </c>
      <c r="E78" s="2046">
        <f t="shared" ref="E78:E84" si="8">C78-D78</f>
        <v>0</v>
      </c>
      <c r="F78" s="2046" t="str">
        <f>IF(E78=0,"OK, Pinteerrrr","SALAH, Parios deui nya…!")</f>
        <v>OK, Pinteerrrr</v>
      </c>
    </row>
    <row r="79" spans="1:8">
      <c r="A79" s="2044">
        <v>2</v>
      </c>
      <c r="B79" s="2047" t="s">
        <v>1790</v>
      </c>
      <c r="C79" s="2046">
        <f>'LPP-SPP'!K110</f>
        <v>24313689100</v>
      </c>
      <c r="D79" s="2046">
        <f>SUM('Kas SPP'!D12:D13)</f>
        <v>24313689100</v>
      </c>
      <c r="E79" s="2046">
        <f t="shared" si="8"/>
        <v>0</v>
      </c>
      <c r="F79" s="2046" t="str">
        <f t="shared" ref="F79:F84" si="9">IF(E79=0,"OK, Pinteerrrr","SALAH, Parios deui nya…!")</f>
        <v>OK, Pinteerrrr</v>
      </c>
    </row>
    <row r="80" spans="1:8">
      <c r="A80" s="2044">
        <v>3</v>
      </c>
      <c r="B80" s="2047" t="s">
        <v>1789</v>
      </c>
      <c r="C80" s="2046">
        <f>'LPP-SPP'!L110</f>
        <v>4208341600</v>
      </c>
      <c r="D80" s="2046">
        <f>SUM('Kas SPP'!E12:E13)</f>
        <v>4208341600</v>
      </c>
      <c r="E80" s="2046">
        <f t="shared" si="8"/>
        <v>0</v>
      </c>
      <c r="F80" s="2046" t="str">
        <f t="shared" si="9"/>
        <v>OK, Pinteerrrr</v>
      </c>
    </row>
    <row r="81" spans="1:8">
      <c r="A81" s="2044">
        <v>4</v>
      </c>
      <c r="B81" s="2047" t="s">
        <v>1771</v>
      </c>
      <c r="C81" s="2046">
        <f>'LPP-SPP'!N110</f>
        <v>545570300</v>
      </c>
      <c r="D81" s="2046">
        <f>'Kas SPP'!D365</f>
        <v>545570300</v>
      </c>
      <c r="E81" s="2046">
        <f t="shared" si="8"/>
        <v>0</v>
      </c>
      <c r="F81" s="2046" t="str">
        <f t="shared" si="9"/>
        <v>OK, Pinteerrrr</v>
      </c>
    </row>
    <row r="82" spans="1:8">
      <c r="A82" s="2044">
        <v>5</v>
      </c>
      <c r="B82" s="2047" t="s">
        <v>1772</v>
      </c>
      <c r="C82" s="2046">
        <f>'LPP-SPP'!O110</f>
        <v>97423000</v>
      </c>
      <c r="D82" s="2046">
        <f>'Kas SPP'!E365</f>
        <v>97423000</v>
      </c>
      <c r="E82" s="2046">
        <f t="shared" si="8"/>
        <v>0</v>
      </c>
      <c r="F82" s="2046" t="str">
        <f t="shared" si="9"/>
        <v>OK, Pinteerrrr</v>
      </c>
    </row>
    <row r="83" spans="1:8">
      <c r="A83" s="2044">
        <v>6</v>
      </c>
      <c r="B83" s="2047" t="s">
        <v>1773</v>
      </c>
      <c r="C83" s="2046">
        <f>'LPP-SPP'!Q110</f>
        <v>24859259400</v>
      </c>
      <c r="D83" s="2046">
        <f>'Kas SPP'!D367</f>
        <v>24859259400</v>
      </c>
      <c r="E83" s="2046">
        <f t="shared" si="8"/>
        <v>0</v>
      </c>
      <c r="F83" s="2046" t="str">
        <f t="shared" si="9"/>
        <v>OK, Pinteerrrr</v>
      </c>
    </row>
    <row r="84" spans="1:8">
      <c r="A84" s="2044">
        <f>1+A83</f>
        <v>7</v>
      </c>
      <c r="B84" s="2047" t="s">
        <v>1774</v>
      </c>
      <c r="C84" s="2046">
        <f>'LPP-SPP'!R110</f>
        <v>4305764600</v>
      </c>
      <c r="D84" s="2046">
        <f>'Kas SPP'!E367</f>
        <v>4305764600</v>
      </c>
      <c r="E84" s="2046">
        <f t="shared" si="8"/>
        <v>0</v>
      </c>
      <c r="F84" s="2046" t="str">
        <f t="shared" si="9"/>
        <v>OK, Pinteerrrr</v>
      </c>
    </row>
    <row r="86" spans="1:8">
      <c r="A86" s="2040" t="s">
        <v>1796</v>
      </c>
    </row>
    <row r="87" spans="1:8" s="2042" customFormat="1">
      <c r="A87" s="3388" t="s">
        <v>978</v>
      </c>
      <c r="B87" s="3388" t="s">
        <v>706</v>
      </c>
      <c r="C87" s="3392" t="s">
        <v>1793</v>
      </c>
      <c r="D87" s="3392" t="s">
        <v>1759</v>
      </c>
      <c r="E87" s="3390" t="s">
        <v>369</v>
      </c>
      <c r="F87" s="3391"/>
      <c r="G87" s="2038"/>
      <c r="H87" s="2038"/>
    </row>
    <row r="88" spans="1:8" s="2042" customFormat="1">
      <c r="A88" s="3389"/>
      <c r="B88" s="3389"/>
      <c r="C88" s="3393"/>
      <c r="D88" s="3393"/>
      <c r="E88" s="2043" t="s">
        <v>1761</v>
      </c>
      <c r="F88" s="2043" t="s">
        <v>1762</v>
      </c>
      <c r="G88" s="2038"/>
      <c r="H88" s="2038"/>
    </row>
    <row r="89" spans="1:8">
      <c r="A89" s="2044">
        <v>1</v>
      </c>
      <c r="B89" s="2047" t="s">
        <v>1630</v>
      </c>
      <c r="C89" s="2046">
        <f>'LPP-SPP PIHAK KE-3'!F110</f>
        <v>0</v>
      </c>
      <c r="D89" s="2046">
        <f>'Kas SPP Pihak ke-3'!J42+'BUKU HUTANG &amp; HIBAH'!K158</f>
        <v>0</v>
      </c>
      <c r="E89" s="2046">
        <f t="shared" ref="E89:E95" si="10">C89-D89</f>
        <v>0</v>
      </c>
      <c r="F89" s="2046" t="str">
        <f>IF(E89=0,"OK, Pinteerrrr","SALAH, Parios deui nya…!")</f>
        <v>OK, Pinteerrrr</v>
      </c>
    </row>
    <row r="90" spans="1:8">
      <c r="A90" s="2044">
        <v>2</v>
      </c>
      <c r="B90" s="2047" t="s">
        <v>1790</v>
      </c>
      <c r="C90" s="2046">
        <f>'LPP-SPP PIHAK KE-3'!K110</f>
        <v>0</v>
      </c>
      <c r="D90" s="2046">
        <f>SUM('Kas SPP Pihak ke-3'!D12:D13)</f>
        <v>0</v>
      </c>
      <c r="E90" s="2046">
        <f t="shared" si="10"/>
        <v>0</v>
      </c>
      <c r="F90" s="2046" t="str">
        <f t="shared" ref="F90:F95" si="11">IF(E90=0,"OK, Pinteerrrr","SALAH, Parios deui nya…!")</f>
        <v>OK, Pinteerrrr</v>
      </c>
    </row>
    <row r="91" spans="1:8">
      <c r="A91" s="2044">
        <v>3</v>
      </c>
      <c r="B91" s="2047" t="s">
        <v>1789</v>
      </c>
      <c r="C91" s="2046">
        <f>'LPP-SPP PIHAK KE-3'!L110</f>
        <v>0</v>
      </c>
      <c r="D91" s="2046">
        <f>SUM('Kas SPP Pihak ke-3'!E12:E13)</f>
        <v>0</v>
      </c>
      <c r="E91" s="2046">
        <f t="shared" si="10"/>
        <v>0</v>
      </c>
      <c r="F91" s="2046" t="str">
        <f t="shared" si="11"/>
        <v>OK, Pinteerrrr</v>
      </c>
    </row>
    <row r="92" spans="1:8">
      <c r="A92" s="2044">
        <v>4</v>
      </c>
      <c r="B92" s="2047" t="s">
        <v>1771</v>
      </c>
      <c r="C92" s="2046">
        <f>'LPP-SPP PIHAK KE-3'!N110</f>
        <v>0</v>
      </c>
      <c r="D92" s="2046">
        <f>'Kas SPP Pihak ke-3'!D40</f>
        <v>0</v>
      </c>
      <c r="E92" s="2046">
        <f t="shared" si="10"/>
        <v>0</v>
      </c>
      <c r="F92" s="2046" t="str">
        <f t="shared" si="11"/>
        <v>OK, Pinteerrrr</v>
      </c>
    </row>
    <row r="93" spans="1:8">
      <c r="A93" s="2044">
        <v>5</v>
      </c>
      <c r="B93" s="2047" t="s">
        <v>1772</v>
      </c>
      <c r="C93" s="2046">
        <f>'LPP-SPP PIHAK KE-3'!O110</f>
        <v>0</v>
      </c>
      <c r="D93" s="2046">
        <f>'Kas SPP Pihak ke-3'!E40</f>
        <v>0</v>
      </c>
      <c r="E93" s="2046">
        <f t="shared" si="10"/>
        <v>0</v>
      </c>
      <c r="F93" s="2046" t="str">
        <f t="shared" si="11"/>
        <v>OK, Pinteerrrr</v>
      </c>
    </row>
    <row r="94" spans="1:8">
      <c r="A94" s="2044">
        <v>6</v>
      </c>
      <c r="B94" s="2047" t="s">
        <v>1773</v>
      </c>
      <c r="C94" s="2046">
        <f>'LPP-SPP PIHAK KE-3'!Q110</f>
        <v>0</v>
      </c>
      <c r="D94" s="2046">
        <f>'Kas SPP Pihak ke-3'!D42</f>
        <v>0</v>
      </c>
      <c r="E94" s="2046">
        <f t="shared" si="10"/>
        <v>0</v>
      </c>
      <c r="F94" s="2046" t="str">
        <f t="shared" si="11"/>
        <v>OK, Pinteerrrr</v>
      </c>
    </row>
    <row r="95" spans="1:8">
      <c r="A95" s="2044">
        <f>1+A94</f>
        <v>7</v>
      </c>
      <c r="B95" s="2047" t="s">
        <v>1774</v>
      </c>
      <c r="C95" s="2046">
        <f>'LPP-SPP PIHAK KE-3'!R110</f>
        <v>0</v>
      </c>
      <c r="D95" s="2046">
        <f>'Kas SPP Pihak ke-3'!E42</f>
        <v>0</v>
      </c>
      <c r="E95" s="2046">
        <f t="shared" si="10"/>
        <v>0</v>
      </c>
      <c r="F95" s="2046" t="str">
        <f t="shared" si="11"/>
        <v>OK, Pinteerrrr</v>
      </c>
    </row>
  </sheetData>
  <sheetProtection password="C13C" sheet="1" objects="1" scenarios="1" formatColumns="0" formatRows="0"/>
  <mergeCells count="38">
    <mergeCell ref="A1:F1"/>
    <mergeCell ref="A2:F2"/>
    <mergeCell ref="A59:A60"/>
    <mergeCell ref="B59:B60"/>
    <mergeCell ref="C59:C60"/>
    <mergeCell ref="D59:D60"/>
    <mergeCell ref="E59:F59"/>
    <mergeCell ref="A53:A54"/>
    <mergeCell ref="B53:B54"/>
    <mergeCell ref="C53:C54"/>
    <mergeCell ref="D53:D54"/>
    <mergeCell ref="E53:F53"/>
    <mergeCell ref="A5:A6"/>
    <mergeCell ref="B5:B6"/>
    <mergeCell ref="E5:F5"/>
    <mergeCell ref="A25:A26"/>
    <mergeCell ref="A65:A66"/>
    <mergeCell ref="B65:B66"/>
    <mergeCell ref="C65:C66"/>
    <mergeCell ref="D65:D66"/>
    <mergeCell ref="E65:F65"/>
    <mergeCell ref="A87:A88"/>
    <mergeCell ref="B87:B88"/>
    <mergeCell ref="C87:C88"/>
    <mergeCell ref="D87:D88"/>
    <mergeCell ref="E87:F87"/>
    <mergeCell ref="A76:A77"/>
    <mergeCell ref="B76:B77"/>
    <mergeCell ref="C76:C77"/>
    <mergeCell ref="D76:D77"/>
    <mergeCell ref="E76:F76"/>
    <mergeCell ref="B25:B26"/>
    <mergeCell ref="E25:F25"/>
    <mergeCell ref="A45:A46"/>
    <mergeCell ref="B45:B46"/>
    <mergeCell ref="C45:C46"/>
    <mergeCell ref="D45:D46"/>
    <mergeCell ref="E45:F45"/>
  </mergeCells>
  <conditionalFormatting sqref="E55:E56 E7:E22 E27:E42 E47:E50 E61:E63 E67:E73 E78:E84">
    <cfRule type="cellIs" dxfId="1" priority="3" stopIfTrue="1" operator="notEqual">
      <formula>0</formula>
    </cfRule>
  </conditionalFormatting>
  <conditionalFormatting sqref="E89:E95">
    <cfRule type="cellIs" dxfId="0" priority="1" stopIfTrue="1" operator="notEqual">
      <formula>0</formula>
    </cfRule>
  </conditionalFormatting>
  <pageMargins left="0.70866141732283472" right="0.70866141732283472" top="0.74803149606299213" bottom="0.74803149606299213" header="0.31496062992125984" footer="0.31496062992125984"/>
  <pageSetup scale="95"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9" tint="-0.249977111117893"/>
  </sheetPr>
  <dimension ref="A1:T51"/>
  <sheetViews>
    <sheetView zoomScale="50" zoomScaleNormal="50" zoomScaleSheetLayoutView="70" workbookViewId="0">
      <selection activeCell="Q4" sqref="Q4"/>
    </sheetView>
  </sheetViews>
  <sheetFormatPr defaultColWidth="9.140625" defaultRowHeight="12.75"/>
  <cols>
    <col min="1" max="1" width="17.5703125" style="19" customWidth="1"/>
    <col min="2" max="2" width="59.28515625" style="15" customWidth="1"/>
    <col min="3" max="3" width="18.5703125" style="15" customWidth="1"/>
    <col min="4" max="4" width="21.42578125" style="20" customWidth="1"/>
    <col min="5" max="5" width="13.42578125" style="20" customWidth="1"/>
    <col min="6" max="6" width="15.28515625" style="20" bestFit="1" customWidth="1"/>
    <col min="7" max="7" width="21.5703125" style="20" customWidth="1"/>
    <col min="8" max="9" width="17.7109375" style="20" customWidth="1"/>
    <col min="10" max="10" width="19" style="20" customWidth="1"/>
    <col min="11" max="11" width="18.85546875" style="20" customWidth="1"/>
    <col min="12" max="12" width="10.5703125" style="20" customWidth="1"/>
    <col min="13" max="14" width="18.85546875" style="20" customWidth="1"/>
    <col min="15" max="15" width="13.85546875" style="20" customWidth="1"/>
    <col min="16" max="16" width="8.140625" style="20" customWidth="1"/>
    <col min="17" max="17" width="13.5703125" style="20" customWidth="1"/>
    <col min="18" max="18" width="24" style="20" bestFit="1" customWidth="1"/>
    <col min="19" max="16384" width="9.140625" style="15"/>
  </cols>
  <sheetData>
    <row r="1" spans="1:18" ht="20.25">
      <c r="A1" s="3396" t="s">
        <v>0</v>
      </c>
      <c r="B1" s="3396"/>
      <c r="C1" s="3396"/>
      <c r="D1" s="3396"/>
      <c r="E1" s="3396"/>
      <c r="F1" s="3396"/>
      <c r="G1" s="3396"/>
      <c r="H1" s="3396"/>
      <c r="I1" s="3396"/>
      <c r="J1" s="3396"/>
      <c r="K1" s="3396"/>
      <c r="L1" s="3396"/>
      <c r="M1" s="3396"/>
      <c r="N1" s="3396"/>
      <c r="O1" s="3396"/>
      <c r="P1" s="3396"/>
      <c r="Q1" s="3396"/>
      <c r="R1" s="3396"/>
    </row>
    <row r="2" spans="1:18" ht="20.25">
      <c r="A2" s="3396" t="s">
        <v>560</v>
      </c>
      <c r="B2" s="3396"/>
      <c r="C2" s="3396"/>
      <c r="D2" s="3396"/>
      <c r="E2" s="3396"/>
      <c r="F2" s="3396"/>
      <c r="G2" s="3396"/>
      <c r="H2" s="3396"/>
      <c r="I2" s="3396"/>
      <c r="J2" s="3396"/>
      <c r="K2" s="3396"/>
      <c r="L2" s="3396"/>
      <c r="M2" s="3396"/>
      <c r="N2" s="3396"/>
      <c r="O2" s="3396"/>
      <c r="P2" s="3396"/>
      <c r="Q2" s="3396"/>
      <c r="R2" s="3396"/>
    </row>
    <row r="3" spans="1:18" s="1" customFormat="1" ht="15.75">
      <c r="A3" s="10"/>
      <c r="D3" s="7"/>
      <c r="E3" s="7"/>
      <c r="F3" s="7"/>
      <c r="G3" s="7"/>
      <c r="H3" s="7"/>
      <c r="I3" s="7"/>
      <c r="J3" s="7"/>
      <c r="K3" s="7"/>
      <c r="L3" s="7"/>
      <c r="M3" s="7"/>
      <c r="N3" s="7"/>
      <c r="O3" s="7"/>
      <c r="P3" s="7"/>
      <c r="Q3" s="7"/>
      <c r="R3" s="7"/>
    </row>
    <row r="4" spans="1:18" s="1" customFormat="1" ht="15.75">
      <c r="A4" s="8" t="s">
        <v>2</v>
      </c>
      <c r="B4" s="21"/>
      <c r="C4" s="4" t="str">
        <f>": "&amp;DT!D3</f>
        <v>: Nagrak</v>
      </c>
      <c r="D4" s="5"/>
      <c r="E4" s="5"/>
      <c r="F4" s="5"/>
      <c r="G4" s="7"/>
      <c r="H4" s="7"/>
      <c r="L4" s="7"/>
      <c r="M4" s="5" t="s">
        <v>3</v>
      </c>
      <c r="N4" s="18"/>
      <c r="O4" s="18"/>
      <c r="P4" s="18"/>
      <c r="Q4" s="6" t="str">
        <f>": "&amp;DT!D25</f>
        <v>: Februari 2016</v>
      </c>
      <c r="R4" s="7"/>
    </row>
    <row r="5" spans="1:18" s="1" customFormat="1" ht="15.75">
      <c r="A5" s="8" t="s">
        <v>4</v>
      </c>
      <c r="B5" s="21"/>
      <c r="C5" s="4" t="str">
        <f>": "&amp;DT!D4</f>
        <v>: Sukabumi</v>
      </c>
      <c r="D5" s="5"/>
      <c r="E5" s="5"/>
      <c r="F5" s="5"/>
      <c r="G5" s="7"/>
      <c r="H5" s="7"/>
      <c r="L5" s="7"/>
      <c r="M5" s="5" t="s">
        <v>5</v>
      </c>
      <c r="N5" s="18"/>
      <c r="O5" s="18"/>
      <c r="P5" s="18"/>
      <c r="Q5" s="6" t="s">
        <v>357</v>
      </c>
      <c r="R5" s="7"/>
    </row>
    <row r="6" spans="1:18" s="1" customFormat="1" ht="15.75">
      <c r="A6" s="8" t="s">
        <v>6</v>
      </c>
      <c r="B6" s="21"/>
      <c r="C6" s="4" t="str">
        <f>": "&amp;DT!D5</f>
        <v>: Jawa Barat</v>
      </c>
      <c r="D6" s="5"/>
      <c r="E6" s="5"/>
      <c r="F6" s="5"/>
      <c r="G6" s="7"/>
      <c r="H6" s="7"/>
      <c r="I6" s="7"/>
      <c r="J6" s="7"/>
      <c r="K6" s="7"/>
      <c r="L6" s="7"/>
      <c r="M6" s="7"/>
      <c r="N6" s="7"/>
      <c r="O6" s="7"/>
      <c r="P6" s="7"/>
      <c r="Q6" s="7"/>
      <c r="R6" s="7"/>
    </row>
    <row r="7" spans="1:18" s="1" customFormat="1" ht="6.75" customHeight="1" thickBot="1">
      <c r="A7" s="8"/>
      <c r="B7" s="21"/>
      <c r="C7" s="5"/>
      <c r="D7" s="5"/>
      <c r="E7" s="5"/>
      <c r="F7" s="5"/>
      <c r="G7" s="7"/>
      <c r="H7" s="7"/>
      <c r="I7" s="7"/>
      <c r="J7" s="7"/>
      <c r="K7" s="7"/>
      <c r="L7" s="7"/>
      <c r="M7" s="7"/>
      <c r="N7" s="7"/>
      <c r="O7" s="7"/>
      <c r="P7" s="7"/>
      <c r="Q7" s="7"/>
      <c r="R7" s="7"/>
    </row>
    <row r="8" spans="1:18" s="1" customFormat="1" ht="26.25" thickBot="1">
      <c r="A8" s="88"/>
      <c r="B8" s="89"/>
      <c r="C8" s="89"/>
      <c r="D8" s="3397" t="s">
        <v>10</v>
      </c>
      <c r="E8" s="3398"/>
      <c r="F8" s="3399"/>
      <c r="G8" s="3400" t="s">
        <v>11</v>
      </c>
      <c r="H8" s="3400"/>
      <c r="I8" s="3400"/>
      <c r="J8" s="3400"/>
      <c r="K8" s="3400"/>
      <c r="L8" s="3400"/>
      <c r="M8" s="3400"/>
      <c r="N8" s="3400"/>
      <c r="O8" s="3400"/>
      <c r="P8" s="3400"/>
      <c r="Q8" s="3401"/>
      <c r="R8" s="3402" t="s">
        <v>12</v>
      </c>
    </row>
    <row r="9" spans="1:18" s="1" customFormat="1" ht="15.75">
      <c r="A9" s="90" t="s">
        <v>7</v>
      </c>
      <c r="B9" s="91" t="s">
        <v>8</v>
      </c>
      <c r="C9" s="91" t="s">
        <v>9</v>
      </c>
      <c r="D9" s="3405" t="s">
        <v>253</v>
      </c>
      <c r="E9" s="3405" t="s">
        <v>63</v>
      </c>
      <c r="F9" s="3408" t="s">
        <v>28</v>
      </c>
      <c r="G9" s="3410" t="s">
        <v>45</v>
      </c>
      <c r="H9" s="3410"/>
      <c r="I9" s="3410"/>
      <c r="J9" s="3410"/>
      <c r="K9" s="3410"/>
      <c r="L9" s="3410"/>
      <c r="M9" s="3410"/>
      <c r="N9" s="3410"/>
      <c r="O9" s="93" t="s">
        <v>64</v>
      </c>
      <c r="P9" s="3405" t="s">
        <v>28</v>
      </c>
      <c r="Q9" s="3410" t="s">
        <v>29</v>
      </c>
      <c r="R9" s="3403"/>
    </row>
    <row r="10" spans="1:18" s="1" customFormat="1" ht="15.75">
      <c r="A10" s="90" t="s">
        <v>13</v>
      </c>
      <c r="B10" s="91" t="s">
        <v>13</v>
      </c>
      <c r="C10" s="91" t="s">
        <v>13</v>
      </c>
      <c r="D10" s="3406"/>
      <c r="E10" s="3406"/>
      <c r="F10" s="3409"/>
      <c r="G10" s="3410" t="s">
        <v>46</v>
      </c>
      <c r="H10" s="3410" t="s">
        <v>47</v>
      </c>
      <c r="I10" s="3410" t="s">
        <v>48</v>
      </c>
      <c r="J10" s="94" t="s">
        <v>49</v>
      </c>
      <c r="K10" s="94" t="s">
        <v>49</v>
      </c>
      <c r="L10" s="92" t="s">
        <v>37</v>
      </c>
      <c r="M10" s="3410" t="s">
        <v>50</v>
      </c>
      <c r="N10" s="3410" t="s">
        <v>51</v>
      </c>
      <c r="O10" s="92" t="s">
        <v>254</v>
      </c>
      <c r="P10" s="3406"/>
      <c r="Q10" s="3410"/>
      <c r="R10" s="3403"/>
    </row>
    <row r="11" spans="1:18" s="1" customFormat="1" ht="16.5" thickBot="1">
      <c r="A11" s="84"/>
      <c r="B11" s="95"/>
      <c r="C11" s="95"/>
      <c r="D11" s="3407"/>
      <c r="E11" s="3407"/>
      <c r="F11" s="3410"/>
      <c r="G11" s="3410"/>
      <c r="H11" s="3410"/>
      <c r="I11" s="3410"/>
      <c r="J11" s="94" t="s">
        <v>53</v>
      </c>
      <c r="K11" s="94" t="s">
        <v>52</v>
      </c>
      <c r="L11" s="92" t="s">
        <v>54</v>
      </c>
      <c r="M11" s="3410"/>
      <c r="N11" s="3410"/>
      <c r="O11" s="96" t="s">
        <v>67</v>
      </c>
      <c r="P11" s="3407"/>
      <c r="Q11" s="3410"/>
      <c r="R11" s="3404"/>
    </row>
    <row r="12" spans="1:18" s="1" customFormat="1" ht="23.25" customHeight="1" thickTop="1">
      <c r="A12" s="506"/>
      <c r="B12" s="507" t="s">
        <v>258</v>
      </c>
      <c r="C12" s="507"/>
      <c r="D12" s="508"/>
      <c r="E12" s="508"/>
      <c r="F12" s="509"/>
      <c r="G12" s="510"/>
      <c r="H12" s="508"/>
      <c r="I12" s="508"/>
      <c r="J12" s="511"/>
      <c r="K12" s="511"/>
      <c r="L12" s="508"/>
      <c r="M12" s="508"/>
      <c r="N12" s="508"/>
      <c r="O12" s="508"/>
      <c r="P12" s="508"/>
      <c r="Q12" s="508"/>
      <c r="R12" s="512">
        <f>(SUM((D12:F12))-(SUM((G12:Q12))))</f>
        <v>0</v>
      </c>
    </row>
    <row r="13" spans="1:18" s="23" customFormat="1" ht="23.25" customHeight="1" thickBot="1">
      <c r="A13" s="936"/>
      <c r="B13" s="937" t="s">
        <v>539</v>
      </c>
      <c r="C13" s="938"/>
      <c r="D13" s="939"/>
      <c r="E13" s="939"/>
      <c r="F13" s="940"/>
      <c r="G13" s="941"/>
      <c r="H13" s="939"/>
      <c r="I13" s="939"/>
      <c r="J13" s="939"/>
      <c r="K13" s="939"/>
      <c r="L13" s="939"/>
      <c r="M13" s="939"/>
      <c r="N13" s="939"/>
      <c r="O13" s="939"/>
      <c r="P13" s="939"/>
      <c r="Q13" s="939"/>
      <c r="R13" s="942">
        <f t="shared" ref="R13:R43" si="0">R12+(SUM((D13:F13))-(SUM((G13:Q13))))</f>
        <v>0</v>
      </c>
    </row>
    <row r="14" spans="1:18" s="1" customFormat="1" ht="19.5" customHeight="1">
      <c r="A14" s="463"/>
      <c r="B14" s="464"/>
      <c r="C14" s="464"/>
      <c r="D14" s="465"/>
      <c r="E14" s="466"/>
      <c r="F14" s="467"/>
      <c r="G14" s="468"/>
      <c r="H14" s="469"/>
      <c r="I14" s="469"/>
      <c r="J14" s="470"/>
      <c r="K14" s="470"/>
      <c r="L14" s="470"/>
      <c r="M14" s="470"/>
      <c r="N14" s="470"/>
      <c r="O14" s="470"/>
      <c r="P14" s="470"/>
      <c r="Q14" s="466"/>
      <c r="R14" s="943">
        <f t="shared" si="0"/>
        <v>0</v>
      </c>
    </row>
    <row r="15" spans="1:18" s="1" customFormat="1" ht="19.5" customHeight="1">
      <c r="A15" s="478"/>
      <c r="B15" s="229"/>
      <c r="C15" s="229"/>
      <c r="D15" s="479"/>
      <c r="E15" s="480"/>
      <c r="F15" s="481"/>
      <c r="G15" s="482"/>
      <c r="H15" s="483"/>
      <c r="I15" s="483"/>
      <c r="J15" s="484"/>
      <c r="K15" s="484"/>
      <c r="L15" s="484"/>
      <c r="M15" s="484"/>
      <c r="N15" s="484"/>
      <c r="O15" s="484"/>
      <c r="P15" s="484"/>
      <c r="Q15" s="480"/>
      <c r="R15" s="944">
        <f t="shared" si="0"/>
        <v>0</v>
      </c>
    </row>
    <row r="16" spans="1:18" s="1" customFormat="1" ht="19.5" customHeight="1">
      <c r="A16" s="478"/>
      <c r="B16" s="229"/>
      <c r="C16" s="229"/>
      <c r="D16" s="479"/>
      <c r="E16" s="480"/>
      <c r="F16" s="481"/>
      <c r="G16" s="482"/>
      <c r="H16" s="483"/>
      <c r="I16" s="483"/>
      <c r="J16" s="484"/>
      <c r="K16" s="484"/>
      <c r="L16" s="484"/>
      <c r="M16" s="484"/>
      <c r="N16" s="484"/>
      <c r="O16" s="484"/>
      <c r="P16" s="484"/>
      <c r="Q16" s="480"/>
      <c r="R16" s="944">
        <f t="shared" si="0"/>
        <v>0</v>
      </c>
    </row>
    <row r="17" spans="1:18" s="1" customFormat="1" ht="19.5" customHeight="1">
      <c r="A17" s="478"/>
      <c r="B17" s="229"/>
      <c r="C17" s="229"/>
      <c r="D17" s="479"/>
      <c r="E17" s="480"/>
      <c r="F17" s="481"/>
      <c r="G17" s="482"/>
      <c r="H17" s="483"/>
      <c r="I17" s="483"/>
      <c r="J17" s="484"/>
      <c r="K17" s="484"/>
      <c r="L17" s="484"/>
      <c r="M17" s="484"/>
      <c r="N17" s="484"/>
      <c r="O17" s="484"/>
      <c r="P17" s="484"/>
      <c r="Q17" s="480"/>
      <c r="R17" s="944">
        <f t="shared" si="0"/>
        <v>0</v>
      </c>
    </row>
    <row r="18" spans="1:18" s="1" customFormat="1" ht="19.5" customHeight="1">
      <c r="A18" s="478"/>
      <c r="B18" s="229"/>
      <c r="C18" s="229"/>
      <c r="D18" s="479"/>
      <c r="E18" s="480"/>
      <c r="F18" s="481"/>
      <c r="G18" s="482"/>
      <c r="H18" s="483"/>
      <c r="I18" s="483"/>
      <c r="J18" s="484"/>
      <c r="K18" s="484"/>
      <c r="L18" s="484"/>
      <c r="M18" s="484"/>
      <c r="N18" s="484"/>
      <c r="O18" s="484"/>
      <c r="P18" s="484"/>
      <c r="Q18" s="480"/>
      <c r="R18" s="944">
        <f t="shared" si="0"/>
        <v>0</v>
      </c>
    </row>
    <row r="19" spans="1:18" s="1" customFormat="1" ht="19.5" customHeight="1">
      <c r="A19" s="478"/>
      <c r="B19" s="229"/>
      <c r="C19" s="229"/>
      <c r="D19" s="479"/>
      <c r="E19" s="480"/>
      <c r="F19" s="481"/>
      <c r="G19" s="482"/>
      <c r="H19" s="483"/>
      <c r="I19" s="483"/>
      <c r="J19" s="484"/>
      <c r="K19" s="484"/>
      <c r="L19" s="484"/>
      <c r="M19" s="484"/>
      <c r="N19" s="484"/>
      <c r="O19" s="484"/>
      <c r="P19" s="484"/>
      <c r="Q19" s="480"/>
      <c r="R19" s="944">
        <f t="shared" si="0"/>
        <v>0</v>
      </c>
    </row>
    <row r="20" spans="1:18" s="1" customFormat="1" ht="19.5" customHeight="1">
      <c r="A20" s="478"/>
      <c r="B20" s="229"/>
      <c r="C20" s="229"/>
      <c r="D20" s="479"/>
      <c r="E20" s="480"/>
      <c r="F20" s="481"/>
      <c r="G20" s="482"/>
      <c r="H20" s="483"/>
      <c r="I20" s="483"/>
      <c r="J20" s="484"/>
      <c r="K20" s="484"/>
      <c r="L20" s="484"/>
      <c r="M20" s="484"/>
      <c r="N20" s="484"/>
      <c r="O20" s="484"/>
      <c r="P20" s="484"/>
      <c r="Q20" s="480"/>
      <c r="R20" s="944">
        <f t="shared" si="0"/>
        <v>0</v>
      </c>
    </row>
    <row r="21" spans="1:18" s="1" customFormat="1" ht="19.5" customHeight="1">
      <c r="A21" s="478"/>
      <c r="B21" s="229"/>
      <c r="C21" s="229"/>
      <c r="D21" s="479"/>
      <c r="E21" s="480"/>
      <c r="F21" s="481"/>
      <c r="G21" s="482"/>
      <c r="H21" s="483"/>
      <c r="I21" s="483"/>
      <c r="J21" s="484"/>
      <c r="K21" s="484"/>
      <c r="L21" s="484"/>
      <c r="M21" s="484"/>
      <c r="N21" s="484"/>
      <c r="O21" s="484"/>
      <c r="P21" s="484"/>
      <c r="Q21" s="480"/>
      <c r="R21" s="944">
        <f t="shared" si="0"/>
        <v>0</v>
      </c>
    </row>
    <row r="22" spans="1:18" s="1" customFormat="1" ht="19.5" customHeight="1">
      <c r="A22" s="478"/>
      <c r="B22" s="229"/>
      <c r="C22" s="229"/>
      <c r="D22" s="479"/>
      <c r="E22" s="480"/>
      <c r="F22" s="481"/>
      <c r="G22" s="482"/>
      <c r="H22" s="483"/>
      <c r="I22" s="483"/>
      <c r="J22" s="484"/>
      <c r="K22" s="484"/>
      <c r="L22" s="484"/>
      <c r="M22" s="484"/>
      <c r="N22" s="484"/>
      <c r="O22" s="484"/>
      <c r="P22" s="484"/>
      <c r="Q22" s="480"/>
      <c r="R22" s="944">
        <f t="shared" si="0"/>
        <v>0</v>
      </c>
    </row>
    <row r="23" spans="1:18" s="1" customFormat="1" ht="19.5" customHeight="1">
      <c r="A23" s="478"/>
      <c r="B23" s="229"/>
      <c r="C23" s="229"/>
      <c r="D23" s="479"/>
      <c r="E23" s="480"/>
      <c r="F23" s="481"/>
      <c r="G23" s="482"/>
      <c r="H23" s="483"/>
      <c r="I23" s="483"/>
      <c r="J23" s="484"/>
      <c r="K23" s="484"/>
      <c r="L23" s="484"/>
      <c r="M23" s="484"/>
      <c r="N23" s="484"/>
      <c r="O23" s="484"/>
      <c r="P23" s="484"/>
      <c r="Q23" s="480"/>
      <c r="R23" s="944">
        <f t="shared" si="0"/>
        <v>0</v>
      </c>
    </row>
    <row r="24" spans="1:18" s="1" customFormat="1" ht="19.5" customHeight="1">
      <c r="A24" s="478"/>
      <c r="B24" s="229"/>
      <c r="C24" s="229"/>
      <c r="D24" s="479"/>
      <c r="E24" s="480"/>
      <c r="F24" s="481"/>
      <c r="G24" s="482"/>
      <c r="H24" s="483"/>
      <c r="I24" s="483"/>
      <c r="J24" s="484"/>
      <c r="K24" s="484"/>
      <c r="L24" s="484"/>
      <c r="M24" s="484"/>
      <c r="N24" s="484"/>
      <c r="O24" s="484"/>
      <c r="P24" s="484"/>
      <c r="Q24" s="480"/>
      <c r="R24" s="944">
        <f t="shared" si="0"/>
        <v>0</v>
      </c>
    </row>
    <row r="25" spans="1:18" s="1" customFormat="1" ht="19.5" customHeight="1">
      <c r="A25" s="478"/>
      <c r="B25" s="229"/>
      <c r="C25" s="229"/>
      <c r="D25" s="479"/>
      <c r="E25" s="480"/>
      <c r="F25" s="481"/>
      <c r="G25" s="482"/>
      <c r="H25" s="483"/>
      <c r="I25" s="483"/>
      <c r="J25" s="484"/>
      <c r="K25" s="484"/>
      <c r="L25" s="484"/>
      <c r="M25" s="484"/>
      <c r="N25" s="484"/>
      <c r="O25" s="484"/>
      <c r="P25" s="484"/>
      <c r="Q25" s="480"/>
      <c r="R25" s="944">
        <f t="shared" si="0"/>
        <v>0</v>
      </c>
    </row>
    <row r="26" spans="1:18" s="1" customFormat="1" ht="19.5" customHeight="1">
      <c r="A26" s="478"/>
      <c r="B26" s="229"/>
      <c r="C26" s="229"/>
      <c r="D26" s="479"/>
      <c r="E26" s="480"/>
      <c r="F26" s="481"/>
      <c r="G26" s="482"/>
      <c r="H26" s="483"/>
      <c r="I26" s="483"/>
      <c r="J26" s="484"/>
      <c r="K26" s="484"/>
      <c r="L26" s="484"/>
      <c r="M26" s="484"/>
      <c r="N26" s="484"/>
      <c r="O26" s="484"/>
      <c r="P26" s="484"/>
      <c r="Q26" s="480"/>
      <c r="R26" s="944">
        <f t="shared" si="0"/>
        <v>0</v>
      </c>
    </row>
    <row r="27" spans="1:18" s="1" customFormat="1" ht="19.5" customHeight="1">
      <c r="A27" s="478"/>
      <c r="B27" s="229"/>
      <c r="C27" s="229"/>
      <c r="D27" s="479"/>
      <c r="E27" s="480"/>
      <c r="F27" s="481"/>
      <c r="G27" s="482"/>
      <c r="H27" s="483"/>
      <c r="I27" s="483"/>
      <c r="J27" s="484"/>
      <c r="K27" s="484"/>
      <c r="L27" s="484"/>
      <c r="M27" s="484"/>
      <c r="N27" s="484"/>
      <c r="O27" s="484"/>
      <c r="P27" s="484"/>
      <c r="Q27" s="480"/>
      <c r="R27" s="944">
        <f t="shared" si="0"/>
        <v>0</v>
      </c>
    </row>
    <row r="28" spans="1:18" s="1" customFormat="1" ht="19.5" customHeight="1">
      <c r="A28" s="478"/>
      <c r="B28" s="229"/>
      <c r="C28" s="229"/>
      <c r="D28" s="479"/>
      <c r="E28" s="480"/>
      <c r="F28" s="481"/>
      <c r="G28" s="482"/>
      <c r="H28" s="483"/>
      <c r="I28" s="483"/>
      <c r="J28" s="484"/>
      <c r="K28" s="484"/>
      <c r="L28" s="484"/>
      <c r="M28" s="484"/>
      <c r="N28" s="484"/>
      <c r="O28" s="484"/>
      <c r="P28" s="484"/>
      <c r="Q28" s="480"/>
      <c r="R28" s="944">
        <f t="shared" si="0"/>
        <v>0</v>
      </c>
    </row>
    <row r="29" spans="1:18" s="1" customFormat="1" ht="19.5" customHeight="1">
      <c r="A29" s="478"/>
      <c r="B29" s="229"/>
      <c r="C29" s="229"/>
      <c r="D29" s="479"/>
      <c r="E29" s="480"/>
      <c r="F29" s="481"/>
      <c r="G29" s="482"/>
      <c r="H29" s="483"/>
      <c r="I29" s="483"/>
      <c r="J29" s="484"/>
      <c r="K29" s="484"/>
      <c r="L29" s="484"/>
      <c r="M29" s="484"/>
      <c r="N29" s="484"/>
      <c r="O29" s="484"/>
      <c r="P29" s="484"/>
      <c r="Q29" s="480"/>
      <c r="R29" s="944">
        <f t="shared" si="0"/>
        <v>0</v>
      </c>
    </row>
    <row r="30" spans="1:18" s="1" customFormat="1" ht="19.5" customHeight="1">
      <c r="A30" s="478"/>
      <c r="B30" s="229"/>
      <c r="C30" s="229"/>
      <c r="D30" s="479"/>
      <c r="E30" s="480"/>
      <c r="F30" s="481"/>
      <c r="G30" s="482"/>
      <c r="H30" s="483"/>
      <c r="I30" s="483"/>
      <c r="J30" s="484"/>
      <c r="K30" s="484"/>
      <c r="L30" s="484"/>
      <c r="M30" s="484"/>
      <c r="N30" s="484"/>
      <c r="O30" s="484"/>
      <c r="P30" s="484"/>
      <c r="Q30" s="480"/>
      <c r="R30" s="944">
        <f t="shared" si="0"/>
        <v>0</v>
      </c>
    </row>
    <row r="31" spans="1:18" s="1" customFormat="1" ht="19.5" customHeight="1">
      <c r="A31" s="471"/>
      <c r="B31" s="71"/>
      <c r="C31" s="71"/>
      <c r="D31" s="472"/>
      <c r="E31" s="473"/>
      <c r="F31" s="474"/>
      <c r="G31" s="475"/>
      <c r="H31" s="476"/>
      <c r="I31" s="476"/>
      <c r="J31" s="477"/>
      <c r="K31" s="477"/>
      <c r="L31" s="477"/>
      <c r="M31" s="477"/>
      <c r="N31" s="477"/>
      <c r="O31" s="477"/>
      <c r="P31" s="477"/>
      <c r="Q31" s="473"/>
      <c r="R31" s="945">
        <f t="shared" si="0"/>
        <v>0</v>
      </c>
    </row>
    <row r="32" spans="1:18" s="1" customFormat="1" ht="19.5" customHeight="1">
      <c r="A32" s="471"/>
      <c r="B32" s="71"/>
      <c r="C32" s="71"/>
      <c r="D32" s="472"/>
      <c r="E32" s="473"/>
      <c r="F32" s="474"/>
      <c r="G32" s="475"/>
      <c r="H32" s="476"/>
      <c r="I32" s="476"/>
      <c r="J32" s="477"/>
      <c r="K32" s="477"/>
      <c r="L32" s="477"/>
      <c r="M32" s="477"/>
      <c r="N32" s="477"/>
      <c r="O32" s="477"/>
      <c r="P32" s="477"/>
      <c r="Q32" s="473"/>
      <c r="R32" s="945">
        <f t="shared" si="0"/>
        <v>0</v>
      </c>
    </row>
    <row r="33" spans="1:20" s="1" customFormat="1" ht="19.5" customHeight="1">
      <c r="A33" s="471"/>
      <c r="B33" s="71"/>
      <c r="C33" s="71"/>
      <c r="D33" s="472"/>
      <c r="E33" s="473"/>
      <c r="F33" s="474"/>
      <c r="G33" s="475"/>
      <c r="H33" s="476"/>
      <c r="I33" s="476"/>
      <c r="J33" s="477"/>
      <c r="K33" s="477"/>
      <c r="L33" s="477"/>
      <c r="M33" s="477"/>
      <c r="N33" s="477"/>
      <c r="O33" s="477"/>
      <c r="P33" s="477"/>
      <c r="Q33" s="473"/>
      <c r="R33" s="945">
        <f t="shared" si="0"/>
        <v>0</v>
      </c>
    </row>
    <row r="34" spans="1:20" s="1" customFormat="1" ht="19.5" customHeight="1">
      <c r="A34" s="471"/>
      <c r="B34" s="71"/>
      <c r="C34" s="71"/>
      <c r="D34" s="472"/>
      <c r="E34" s="473"/>
      <c r="F34" s="474"/>
      <c r="G34" s="475"/>
      <c r="H34" s="476"/>
      <c r="I34" s="476"/>
      <c r="J34" s="477"/>
      <c r="K34" s="477"/>
      <c r="L34" s="477"/>
      <c r="M34" s="477"/>
      <c r="N34" s="477"/>
      <c r="O34" s="477"/>
      <c r="P34" s="477"/>
      <c r="Q34" s="473"/>
      <c r="R34" s="945">
        <f t="shared" si="0"/>
        <v>0</v>
      </c>
    </row>
    <row r="35" spans="1:20" s="1" customFormat="1" ht="19.5" customHeight="1">
      <c r="A35" s="471"/>
      <c r="B35" s="71"/>
      <c r="C35" s="71"/>
      <c r="D35" s="472"/>
      <c r="E35" s="473"/>
      <c r="F35" s="474"/>
      <c r="G35" s="475"/>
      <c r="H35" s="476"/>
      <c r="I35" s="476"/>
      <c r="J35" s="477"/>
      <c r="K35" s="477"/>
      <c r="L35" s="477"/>
      <c r="M35" s="477"/>
      <c r="N35" s="477"/>
      <c r="O35" s="477"/>
      <c r="P35" s="477"/>
      <c r="Q35" s="473"/>
      <c r="R35" s="945">
        <f t="shared" si="0"/>
        <v>0</v>
      </c>
    </row>
    <row r="36" spans="1:20" s="1" customFormat="1" ht="19.5" customHeight="1">
      <c r="A36" s="471"/>
      <c r="B36" s="71"/>
      <c r="C36" s="71"/>
      <c r="D36" s="472"/>
      <c r="E36" s="473"/>
      <c r="F36" s="474"/>
      <c r="G36" s="475"/>
      <c r="H36" s="476"/>
      <c r="I36" s="476"/>
      <c r="J36" s="477"/>
      <c r="K36" s="477"/>
      <c r="L36" s="477"/>
      <c r="M36" s="477"/>
      <c r="N36" s="477"/>
      <c r="O36" s="477"/>
      <c r="P36" s="477"/>
      <c r="Q36" s="473"/>
      <c r="R36" s="945">
        <f t="shared" si="0"/>
        <v>0</v>
      </c>
    </row>
    <row r="37" spans="1:20" s="1" customFormat="1" ht="19.5" customHeight="1">
      <c r="A37" s="471"/>
      <c r="B37" s="71"/>
      <c r="C37" s="71"/>
      <c r="D37" s="472"/>
      <c r="E37" s="473"/>
      <c r="F37" s="474"/>
      <c r="G37" s="475"/>
      <c r="H37" s="476"/>
      <c r="I37" s="476"/>
      <c r="J37" s="477"/>
      <c r="K37" s="477"/>
      <c r="L37" s="477"/>
      <c r="M37" s="477"/>
      <c r="N37" s="477"/>
      <c r="O37" s="477"/>
      <c r="P37" s="477"/>
      <c r="Q37" s="473"/>
      <c r="R37" s="945">
        <f t="shared" si="0"/>
        <v>0</v>
      </c>
    </row>
    <row r="38" spans="1:20" s="1" customFormat="1" ht="19.5" customHeight="1">
      <c r="A38" s="471"/>
      <c r="B38" s="71"/>
      <c r="C38" s="71"/>
      <c r="D38" s="472"/>
      <c r="E38" s="473"/>
      <c r="F38" s="474"/>
      <c r="G38" s="475"/>
      <c r="H38" s="476"/>
      <c r="I38" s="476"/>
      <c r="J38" s="477"/>
      <c r="K38" s="477"/>
      <c r="L38" s="477"/>
      <c r="M38" s="477"/>
      <c r="N38" s="477"/>
      <c r="O38" s="477"/>
      <c r="P38" s="477"/>
      <c r="Q38" s="473"/>
      <c r="R38" s="945">
        <f t="shared" si="0"/>
        <v>0</v>
      </c>
    </row>
    <row r="39" spans="1:20" s="1" customFormat="1" ht="19.5" customHeight="1">
      <c r="A39" s="471"/>
      <c r="B39" s="71"/>
      <c r="C39" s="71"/>
      <c r="D39" s="472"/>
      <c r="E39" s="473"/>
      <c r="F39" s="474"/>
      <c r="G39" s="475"/>
      <c r="H39" s="476"/>
      <c r="I39" s="476"/>
      <c r="J39" s="477"/>
      <c r="K39" s="477"/>
      <c r="L39" s="477"/>
      <c r="M39" s="477"/>
      <c r="N39" s="477"/>
      <c r="O39" s="477"/>
      <c r="P39" s="477"/>
      <c r="Q39" s="473"/>
      <c r="R39" s="945">
        <f t="shared" si="0"/>
        <v>0</v>
      </c>
    </row>
    <row r="40" spans="1:20" s="1" customFormat="1" ht="19.5" customHeight="1">
      <c r="A40" s="212"/>
      <c r="B40" s="97"/>
      <c r="C40" s="97"/>
      <c r="D40" s="98"/>
      <c r="E40" s="99"/>
      <c r="F40" s="100"/>
      <c r="G40" s="424"/>
      <c r="H40" s="425"/>
      <c r="I40" s="425"/>
      <c r="J40" s="423"/>
      <c r="K40" s="423"/>
      <c r="L40" s="423"/>
      <c r="M40" s="423"/>
      <c r="N40" s="423"/>
      <c r="O40" s="423"/>
      <c r="P40" s="423"/>
      <c r="Q40" s="99"/>
      <c r="R40" s="944">
        <f t="shared" si="0"/>
        <v>0</v>
      </c>
    </row>
    <row r="41" spans="1:20" s="1" customFormat="1" ht="19.5" customHeight="1">
      <c r="A41" s="212"/>
      <c r="B41" s="97"/>
      <c r="C41" s="97"/>
      <c r="D41" s="98"/>
      <c r="E41" s="99"/>
      <c r="F41" s="100"/>
      <c r="G41" s="424"/>
      <c r="H41" s="425"/>
      <c r="I41" s="425"/>
      <c r="J41" s="423"/>
      <c r="K41" s="423"/>
      <c r="L41" s="423"/>
      <c r="M41" s="423"/>
      <c r="N41" s="423"/>
      <c r="O41" s="423"/>
      <c r="P41" s="423"/>
      <c r="Q41" s="99"/>
      <c r="R41" s="944">
        <f t="shared" si="0"/>
        <v>0</v>
      </c>
      <c r="T41" s="7"/>
    </row>
    <row r="42" spans="1:20" s="1" customFormat="1" ht="19.5" customHeight="1">
      <c r="A42" s="212"/>
      <c r="B42" s="97"/>
      <c r="C42" s="97"/>
      <c r="D42" s="98"/>
      <c r="E42" s="99"/>
      <c r="F42" s="100"/>
      <c r="G42" s="424"/>
      <c r="H42" s="425"/>
      <c r="I42" s="425"/>
      <c r="J42" s="424"/>
      <c r="K42" s="498"/>
      <c r="L42" s="423"/>
      <c r="M42" s="423"/>
      <c r="N42" s="423"/>
      <c r="O42" s="423"/>
      <c r="P42" s="423"/>
      <c r="Q42" s="99"/>
      <c r="R42" s="944">
        <f t="shared" si="0"/>
        <v>0</v>
      </c>
    </row>
    <row r="43" spans="1:20" s="1" customFormat="1" ht="19.5" customHeight="1" thickBot="1">
      <c r="A43" s="212"/>
      <c r="B43" s="97"/>
      <c r="C43" s="97"/>
      <c r="D43" s="98"/>
      <c r="E43" s="99"/>
      <c r="F43" s="100"/>
      <c r="G43" s="101"/>
      <c r="H43" s="101"/>
      <c r="I43" s="98"/>
      <c r="J43" s="99"/>
      <c r="K43" s="99"/>
      <c r="L43" s="99"/>
      <c r="M43" s="99"/>
      <c r="N43" s="99"/>
      <c r="O43" s="99"/>
      <c r="P43" s="99"/>
      <c r="Q43" s="99"/>
      <c r="R43" s="944">
        <f t="shared" si="0"/>
        <v>0</v>
      </c>
    </row>
    <row r="44" spans="1:20" s="1" customFormat="1" ht="26.25" customHeight="1" thickTop="1" thickBot="1">
      <c r="A44" s="214"/>
      <c r="B44" s="82" t="s">
        <v>19</v>
      </c>
      <c r="C44" s="83"/>
      <c r="D44" s="948">
        <f>SUM(D14:D43)</f>
        <v>0</v>
      </c>
      <c r="E44" s="948">
        <f t="shared" ref="E44:Q44" si="1">SUM(E14:E43)</f>
        <v>0</v>
      </c>
      <c r="F44" s="949">
        <f t="shared" si="1"/>
        <v>0</v>
      </c>
      <c r="G44" s="950">
        <f t="shared" si="1"/>
        <v>0</v>
      </c>
      <c r="H44" s="948">
        <f t="shared" si="1"/>
        <v>0</v>
      </c>
      <c r="I44" s="948">
        <f t="shared" si="1"/>
        <v>0</v>
      </c>
      <c r="J44" s="951">
        <f t="shared" si="1"/>
        <v>0</v>
      </c>
      <c r="K44" s="951">
        <f>SUM(K14:K43)</f>
        <v>0</v>
      </c>
      <c r="L44" s="948">
        <f t="shared" si="1"/>
        <v>0</v>
      </c>
      <c r="M44" s="948">
        <f t="shared" si="1"/>
        <v>0</v>
      </c>
      <c r="N44" s="948">
        <f t="shared" si="1"/>
        <v>0</v>
      </c>
      <c r="O44" s="948">
        <f t="shared" si="1"/>
        <v>0</v>
      </c>
      <c r="P44" s="948">
        <f t="shared" si="1"/>
        <v>0</v>
      </c>
      <c r="Q44" s="948">
        <f t="shared" si="1"/>
        <v>0</v>
      </c>
      <c r="R44" s="946">
        <f>(SUM((D44:F44))-(SUM((G44:Q44))))</f>
        <v>0</v>
      </c>
    </row>
    <row r="45" spans="1:20" s="1" customFormat="1" ht="26.25" customHeight="1" thickTop="1" thickBot="1">
      <c r="A45" s="214"/>
      <c r="B45" s="82" t="s">
        <v>257</v>
      </c>
      <c r="C45" s="83"/>
      <c r="D45" s="948">
        <f>D13+D44</f>
        <v>0</v>
      </c>
      <c r="E45" s="948">
        <f t="shared" ref="E45:Q45" si="2">E13+E44</f>
        <v>0</v>
      </c>
      <c r="F45" s="949">
        <f t="shared" si="2"/>
        <v>0</v>
      </c>
      <c r="G45" s="950">
        <f t="shared" si="2"/>
        <v>0</v>
      </c>
      <c r="H45" s="948">
        <f t="shared" si="2"/>
        <v>0</v>
      </c>
      <c r="I45" s="948">
        <f t="shared" si="2"/>
        <v>0</v>
      </c>
      <c r="J45" s="951">
        <f t="shared" si="2"/>
        <v>0</v>
      </c>
      <c r="K45" s="951">
        <f>K13+K44</f>
        <v>0</v>
      </c>
      <c r="L45" s="948">
        <f t="shared" si="2"/>
        <v>0</v>
      </c>
      <c r="M45" s="948">
        <f t="shared" si="2"/>
        <v>0</v>
      </c>
      <c r="N45" s="948">
        <f t="shared" si="2"/>
        <v>0</v>
      </c>
      <c r="O45" s="948">
        <f t="shared" si="2"/>
        <v>0</v>
      </c>
      <c r="P45" s="948">
        <f t="shared" si="2"/>
        <v>0</v>
      </c>
      <c r="Q45" s="948">
        <f t="shared" si="2"/>
        <v>0</v>
      </c>
      <c r="R45" s="946">
        <f>(SUM((D45:F45))-(SUM((G45:Q45))))</f>
        <v>0</v>
      </c>
    </row>
    <row r="46" spans="1:20" s="1" customFormat="1" ht="26.25" customHeight="1" thickTop="1" thickBot="1">
      <c r="A46" s="215"/>
      <c r="B46" s="216" t="s">
        <v>20</v>
      </c>
      <c r="C46" s="217"/>
      <c r="D46" s="952">
        <f>D12+D45</f>
        <v>0</v>
      </c>
      <c r="E46" s="952">
        <f t="shared" ref="E46:Q46" si="3">E12+E45</f>
        <v>0</v>
      </c>
      <c r="F46" s="953">
        <f t="shared" si="3"/>
        <v>0</v>
      </c>
      <c r="G46" s="954">
        <f t="shared" si="3"/>
        <v>0</v>
      </c>
      <c r="H46" s="952">
        <f t="shared" si="3"/>
        <v>0</v>
      </c>
      <c r="I46" s="952">
        <f t="shared" si="3"/>
        <v>0</v>
      </c>
      <c r="J46" s="955">
        <f t="shared" si="3"/>
        <v>0</v>
      </c>
      <c r="K46" s="955">
        <f>K12+K45</f>
        <v>0</v>
      </c>
      <c r="L46" s="952">
        <f t="shared" si="3"/>
        <v>0</v>
      </c>
      <c r="M46" s="952">
        <f t="shared" si="3"/>
        <v>0</v>
      </c>
      <c r="N46" s="952">
        <f t="shared" si="3"/>
        <v>0</v>
      </c>
      <c r="O46" s="952">
        <f t="shared" si="3"/>
        <v>0</v>
      </c>
      <c r="P46" s="952">
        <f t="shared" si="3"/>
        <v>0</v>
      </c>
      <c r="Q46" s="952">
        <f t="shared" si="3"/>
        <v>0</v>
      </c>
      <c r="R46" s="947">
        <f>(SUM((D46:F46))-(SUM((G46:Q46))))</f>
        <v>0</v>
      </c>
    </row>
    <row r="47" spans="1:20" s="1" customFormat="1" ht="15.75">
      <c r="A47" s="10"/>
      <c r="D47" s="7"/>
      <c r="E47" s="7"/>
      <c r="F47" s="7"/>
      <c r="G47" s="7"/>
      <c r="H47" s="7"/>
      <c r="I47" s="7"/>
      <c r="J47" s="426"/>
      <c r="K47" s="426"/>
      <c r="L47" s="7"/>
      <c r="M47" s="7"/>
      <c r="N47" s="7"/>
      <c r="O47" s="7"/>
      <c r="P47" s="7"/>
      <c r="Q47" s="7"/>
      <c r="R47" s="7"/>
    </row>
    <row r="48" spans="1:20" s="1" customFormat="1" ht="15.75">
      <c r="A48" s="10"/>
      <c r="B48" s="117" t="s">
        <v>21</v>
      </c>
      <c r="D48" s="7"/>
      <c r="E48" s="7"/>
      <c r="F48" s="7"/>
      <c r="G48" s="7"/>
      <c r="H48" s="7"/>
      <c r="I48" s="7"/>
      <c r="J48" s="7"/>
      <c r="K48" s="7"/>
      <c r="L48" s="7"/>
      <c r="M48" s="7"/>
      <c r="N48" s="7"/>
      <c r="O48" s="11" t="str">
        <f>DT!D28</f>
        <v>Nagrak, 29 Februari 2016 2016</v>
      </c>
      <c r="P48" s="7"/>
      <c r="R48" s="7"/>
    </row>
    <row r="49" spans="2:17" ht="31.5">
      <c r="B49" s="117" t="s">
        <v>23</v>
      </c>
      <c r="O49" s="118" t="s">
        <v>24</v>
      </c>
      <c r="Q49" s="15"/>
    </row>
    <row r="50" spans="2:17" ht="15.75">
      <c r="B50" s="104"/>
      <c r="O50" s="119"/>
      <c r="Q50" s="15"/>
    </row>
    <row r="51" spans="2:17" ht="15.75">
      <c r="B51" s="213" t="str">
        <f>DT!D14</f>
        <v>Endang Taryana</v>
      </c>
      <c r="O51" s="233" t="str">
        <f>DT!D15</f>
        <v>Arin Yustini, SE</v>
      </c>
      <c r="Q51" s="15"/>
    </row>
  </sheetData>
  <mergeCells count="16">
    <mergeCell ref="A1:R1"/>
    <mergeCell ref="A2:R2"/>
    <mergeCell ref="D8:F8"/>
    <mergeCell ref="G8:Q8"/>
    <mergeCell ref="R8:R11"/>
    <mergeCell ref="D9:D11"/>
    <mergeCell ref="E9:E11"/>
    <mergeCell ref="F9:F11"/>
    <mergeCell ref="G9:N9"/>
    <mergeCell ref="P9:P11"/>
    <mergeCell ref="Q9:Q11"/>
    <mergeCell ref="G10:G11"/>
    <mergeCell ref="H10:H11"/>
    <mergeCell ref="I10:I11"/>
    <mergeCell ref="M10:M11"/>
    <mergeCell ref="N10:N11"/>
  </mergeCells>
  <printOptions horizontalCentered="1" verticalCentered="1"/>
  <pageMargins left="0.1" right="0.1" top="0.59055118110236204" bottom="0.23622047244094499" header="0.511811023622047" footer="0.511811023622047"/>
  <pageSetup paperSize="9" scale="40"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9" tint="-0.249977111117893"/>
  </sheetPr>
  <dimension ref="A1:S41"/>
  <sheetViews>
    <sheetView zoomScale="85" zoomScaleNormal="85" zoomScaleSheetLayoutView="70" workbookViewId="0">
      <selection activeCell="H17" sqref="H17"/>
    </sheetView>
  </sheetViews>
  <sheetFormatPr defaultColWidth="9.140625" defaultRowHeight="12.75"/>
  <cols>
    <col min="1" max="1" width="17.85546875" style="19" customWidth="1"/>
    <col min="2" max="2" width="56.28515625" style="15" customWidth="1"/>
    <col min="3" max="3" width="15.140625" style="15" customWidth="1"/>
    <col min="4" max="4" width="19.85546875" style="20" customWidth="1"/>
    <col min="5" max="5" width="13.7109375" style="20" customWidth="1"/>
    <col min="6" max="6" width="12.7109375" style="20" customWidth="1"/>
    <col min="7" max="7" width="18.42578125" style="20" customWidth="1"/>
    <col min="8" max="8" width="19.85546875" style="20" bestFit="1" customWidth="1"/>
    <col min="9" max="9" width="17.5703125" style="20" customWidth="1"/>
    <col min="10" max="10" width="21.85546875" style="20" customWidth="1"/>
    <col min="11" max="12" width="17.7109375" style="20" customWidth="1"/>
    <col min="13" max="13" width="16.7109375" style="20" customWidth="1"/>
    <col min="14" max="15" width="13.85546875" style="20" customWidth="1"/>
    <col min="16" max="16" width="14" style="20" customWidth="1"/>
    <col min="17" max="17" width="16.28515625" style="20" customWidth="1"/>
    <col min="18" max="18" width="9.140625" style="15"/>
    <col min="19" max="19" width="17.28515625" style="15" bestFit="1" customWidth="1"/>
    <col min="20" max="16384" width="9.140625" style="15"/>
  </cols>
  <sheetData>
    <row r="1" spans="1:19" ht="20.25">
      <c r="A1" s="3396" t="s">
        <v>0</v>
      </c>
      <c r="B1" s="3396"/>
      <c r="C1" s="3396"/>
      <c r="D1" s="3396"/>
      <c r="E1" s="3396"/>
      <c r="F1" s="3396"/>
      <c r="G1" s="3396"/>
      <c r="H1" s="3396"/>
      <c r="I1" s="3396"/>
      <c r="J1" s="3396"/>
      <c r="K1" s="3396"/>
      <c r="L1" s="3396"/>
      <c r="M1" s="3396"/>
      <c r="N1" s="3396"/>
      <c r="O1" s="3396"/>
      <c r="P1" s="3396"/>
      <c r="Q1" s="3396"/>
    </row>
    <row r="2" spans="1:19" ht="20.25">
      <c r="A2" s="3396" t="s">
        <v>561</v>
      </c>
      <c r="B2" s="3396"/>
      <c r="C2" s="3396"/>
      <c r="D2" s="3396"/>
      <c r="E2" s="3396"/>
      <c r="F2" s="3396"/>
      <c r="G2" s="3396"/>
      <c r="H2" s="3396"/>
      <c r="I2" s="3396"/>
      <c r="J2" s="3396"/>
      <c r="K2" s="3396"/>
      <c r="L2" s="3396"/>
      <c r="M2" s="3396"/>
      <c r="N2" s="3396"/>
      <c r="O2" s="3396"/>
      <c r="P2" s="3396"/>
      <c r="Q2" s="3396"/>
    </row>
    <row r="3" spans="1:19" s="1" customFormat="1" ht="15.75">
      <c r="A3" s="10"/>
      <c r="D3" s="7"/>
      <c r="E3" s="7"/>
      <c r="F3" s="7"/>
      <c r="G3" s="7"/>
      <c r="H3" s="7"/>
      <c r="I3" s="7"/>
      <c r="J3" s="7"/>
      <c r="K3" s="7"/>
      <c r="L3" s="7"/>
      <c r="M3" s="7"/>
      <c r="N3" s="7"/>
      <c r="O3" s="7"/>
      <c r="P3" s="7"/>
      <c r="Q3" s="7"/>
    </row>
    <row r="4" spans="1:19" s="1" customFormat="1" ht="15.75">
      <c r="A4" s="8" t="s">
        <v>2</v>
      </c>
      <c r="B4" s="21"/>
      <c r="C4" s="4" t="str">
        <f>": "&amp;[1]DT!D3</f>
        <v>: Nagrak</v>
      </c>
      <c r="D4" s="5"/>
      <c r="E4" s="5"/>
      <c r="F4" s="5"/>
      <c r="G4" s="7"/>
      <c r="H4" s="7"/>
      <c r="K4" s="7"/>
      <c r="L4" s="5" t="s">
        <v>3</v>
      </c>
      <c r="M4" s="18"/>
      <c r="N4" s="18"/>
      <c r="O4" s="18"/>
      <c r="P4" s="6" t="str">
        <f>DT!D27</f>
        <v>29 Februari 2016 2016</v>
      </c>
      <c r="Q4" s="7"/>
    </row>
    <row r="5" spans="1:19" s="1" customFormat="1" ht="15.75">
      <c r="A5" s="8" t="s">
        <v>4</v>
      </c>
      <c r="B5" s="21"/>
      <c r="C5" s="4" t="str">
        <f>": "&amp;[1]DT!D4</f>
        <v>: Sukabumi</v>
      </c>
      <c r="D5" s="5"/>
      <c r="E5" s="5"/>
      <c r="F5" s="5"/>
      <c r="G5" s="7"/>
      <c r="H5" s="7"/>
      <c r="K5" s="7"/>
      <c r="L5" s="5" t="s">
        <v>5</v>
      </c>
      <c r="M5" s="18"/>
      <c r="N5" s="18"/>
      <c r="O5" s="18"/>
      <c r="P5" s="6" t="s">
        <v>357</v>
      </c>
      <c r="Q5" s="7"/>
    </row>
    <row r="6" spans="1:19" s="1" customFormat="1" ht="15.75">
      <c r="A6" s="8" t="s">
        <v>6</v>
      </c>
      <c r="B6" s="21"/>
      <c r="C6" s="4" t="str">
        <f>": "&amp;[1]DT!D5</f>
        <v>: Jawa Barat</v>
      </c>
      <c r="D6" s="5"/>
      <c r="E6" s="5"/>
      <c r="F6" s="5"/>
      <c r="G6" s="7"/>
      <c r="H6" s="7"/>
      <c r="I6" s="7"/>
      <c r="J6" s="7"/>
      <c r="K6" s="7"/>
      <c r="L6" s="7"/>
      <c r="M6" s="7"/>
      <c r="N6" s="7"/>
      <c r="O6" s="7"/>
      <c r="P6" s="7"/>
      <c r="Q6" s="7"/>
    </row>
    <row r="7" spans="1:19" s="1" customFormat="1" ht="6.75" customHeight="1">
      <c r="A7" s="8"/>
      <c r="B7" s="21"/>
      <c r="C7" s="5"/>
      <c r="D7" s="5"/>
      <c r="E7" s="5"/>
      <c r="F7" s="5"/>
      <c r="G7" s="7"/>
      <c r="H7" s="7"/>
      <c r="I7" s="7"/>
      <c r="J7" s="7"/>
      <c r="K7" s="7"/>
      <c r="L7" s="7"/>
      <c r="M7" s="7"/>
      <c r="N7" s="7"/>
      <c r="O7" s="7"/>
      <c r="P7" s="7"/>
      <c r="Q7" s="7"/>
    </row>
    <row r="8" spans="1:19" s="1" customFormat="1" ht="25.5">
      <c r="A8" s="2184"/>
      <c r="B8" s="2185"/>
      <c r="C8" s="2185"/>
      <c r="D8" s="3411" t="s">
        <v>10</v>
      </c>
      <c r="E8" s="3411"/>
      <c r="F8" s="3411"/>
      <c r="G8" s="3411" t="s">
        <v>11</v>
      </c>
      <c r="H8" s="3411"/>
      <c r="I8" s="3411"/>
      <c r="J8" s="3411"/>
      <c r="K8" s="3411"/>
      <c r="L8" s="3411"/>
      <c r="M8" s="3411"/>
      <c r="N8" s="3411"/>
      <c r="O8" s="3411"/>
      <c r="P8" s="3411"/>
      <c r="Q8" s="3414" t="s">
        <v>12</v>
      </c>
    </row>
    <row r="9" spans="1:19" s="1" customFormat="1" ht="15.75">
      <c r="A9" s="2184" t="s">
        <v>7</v>
      </c>
      <c r="B9" s="2185" t="s">
        <v>8</v>
      </c>
      <c r="C9" s="2185" t="s">
        <v>9</v>
      </c>
      <c r="D9" s="3412" t="s">
        <v>253</v>
      </c>
      <c r="E9" s="3412" t="s">
        <v>63</v>
      </c>
      <c r="F9" s="3412" t="s">
        <v>28</v>
      </c>
      <c r="G9" s="3415" t="s">
        <v>45</v>
      </c>
      <c r="H9" s="3415"/>
      <c r="I9" s="3415"/>
      <c r="J9" s="3415"/>
      <c r="K9" s="3415"/>
      <c r="L9" s="3415"/>
      <c r="M9" s="3415"/>
      <c r="N9" s="2986" t="s">
        <v>64</v>
      </c>
      <c r="O9" s="3412" t="s">
        <v>28</v>
      </c>
      <c r="P9" s="3415" t="s">
        <v>29</v>
      </c>
      <c r="Q9" s="3414"/>
    </row>
    <row r="10" spans="1:19" s="1" customFormat="1" ht="15.75">
      <c r="A10" s="2184" t="s">
        <v>13</v>
      </c>
      <c r="B10" s="2185" t="s">
        <v>13</v>
      </c>
      <c r="C10" s="2185" t="s">
        <v>13</v>
      </c>
      <c r="D10" s="3412"/>
      <c r="E10" s="3412"/>
      <c r="F10" s="3412"/>
      <c r="G10" s="3415" t="s">
        <v>46</v>
      </c>
      <c r="H10" s="3415" t="s">
        <v>47</v>
      </c>
      <c r="I10" s="3415" t="s">
        <v>48</v>
      </c>
      <c r="J10" s="2986" t="s">
        <v>49</v>
      </c>
      <c r="K10" s="2986" t="s">
        <v>37</v>
      </c>
      <c r="L10" s="3415" t="s">
        <v>50</v>
      </c>
      <c r="M10" s="3415" t="s">
        <v>51</v>
      </c>
      <c r="N10" s="2986" t="s">
        <v>254</v>
      </c>
      <c r="O10" s="3412"/>
      <c r="P10" s="3415"/>
      <c r="Q10" s="3414"/>
    </row>
    <row r="11" spans="1:19" s="1" customFormat="1" ht="15.75">
      <c r="A11" s="2184"/>
      <c r="B11" s="2185"/>
      <c r="C11" s="2185"/>
      <c r="D11" s="3412"/>
      <c r="E11" s="3412"/>
      <c r="F11" s="3413"/>
      <c r="G11" s="3415"/>
      <c r="H11" s="3415"/>
      <c r="I11" s="3415"/>
      <c r="J11" s="2986" t="s">
        <v>53</v>
      </c>
      <c r="K11" s="2986" t="s">
        <v>54</v>
      </c>
      <c r="L11" s="3415"/>
      <c r="M11" s="3415"/>
      <c r="N11" s="2986" t="s">
        <v>67</v>
      </c>
      <c r="O11" s="3412"/>
      <c r="P11" s="3415"/>
      <c r="Q11" s="3414"/>
    </row>
    <row r="12" spans="1:19" s="1" customFormat="1" ht="23.25" customHeight="1">
      <c r="A12" s="2940">
        <v>41274</v>
      </c>
      <c r="B12" s="2151" t="s">
        <v>258</v>
      </c>
      <c r="C12" s="2151"/>
      <c r="D12" s="2152">
        <v>10660655242</v>
      </c>
      <c r="E12" s="2152">
        <v>200000</v>
      </c>
      <c r="F12" s="2153">
        <v>1400000</v>
      </c>
      <c r="G12" s="2180">
        <v>5207955700</v>
      </c>
      <c r="H12" s="2152">
        <v>1857930500</v>
      </c>
      <c r="I12" s="2152">
        <v>1000449500</v>
      </c>
      <c r="J12" s="2181">
        <v>1747300000</v>
      </c>
      <c r="K12" s="2152">
        <v>305775417</v>
      </c>
      <c r="L12" s="2152">
        <v>319454200</v>
      </c>
      <c r="M12" s="2152">
        <v>212970600</v>
      </c>
      <c r="N12" s="2152">
        <v>100000</v>
      </c>
      <c r="O12" s="2152">
        <v>10019325</v>
      </c>
      <c r="P12" s="2152">
        <v>300000</v>
      </c>
      <c r="Q12" s="2182">
        <f>(SUM((D12:F12))-(SUM((G12:P12))))</f>
        <v>0</v>
      </c>
    </row>
    <row r="13" spans="1:19" s="23" customFormat="1" ht="23.25" customHeight="1" thickBot="1">
      <c r="A13" s="3102"/>
      <c r="B13" s="3103" t="s">
        <v>539</v>
      </c>
      <c r="C13" s="3104"/>
      <c r="D13" s="3105"/>
      <c r="E13" s="939"/>
      <c r="F13" s="940"/>
      <c r="G13" s="941"/>
      <c r="H13" s="939"/>
      <c r="I13" s="939"/>
      <c r="J13" s="939"/>
      <c r="K13" s="939"/>
      <c r="L13" s="939"/>
      <c r="M13" s="939"/>
      <c r="N13" s="939"/>
      <c r="O13" s="939"/>
      <c r="P13" s="939"/>
      <c r="Q13" s="942">
        <f t="shared" ref="Q13" si="0">Q12+(SUM((D13:F13))-(SUM((G13:P13))))</f>
        <v>0</v>
      </c>
    </row>
    <row r="14" spans="1:19" s="1" customFormat="1" ht="19.5" customHeight="1">
      <c r="A14" s="212"/>
      <c r="B14" s="97"/>
      <c r="C14" s="97"/>
      <c r="D14" s="98"/>
      <c r="E14" s="99"/>
      <c r="F14" s="100"/>
      <c r="G14" s="424"/>
      <c r="H14" s="425"/>
      <c r="I14" s="425"/>
      <c r="J14" s="498"/>
      <c r="K14" s="423"/>
      <c r="L14" s="423"/>
      <c r="M14" s="423"/>
      <c r="N14" s="423"/>
      <c r="O14" s="423"/>
      <c r="P14" s="99"/>
      <c r="Q14" s="945">
        <f>Q13+(SUM((D14:F14))-(SUM((G14:P14))))</f>
        <v>0</v>
      </c>
    </row>
    <row r="15" spans="1:19" s="1" customFormat="1" ht="19.5" customHeight="1">
      <c r="A15" s="212"/>
      <c r="B15" s="97"/>
      <c r="C15" s="97"/>
      <c r="D15" s="98"/>
      <c r="E15" s="99"/>
      <c r="F15" s="100"/>
      <c r="G15" s="424"/>
      <c r="H15" s="425"/>
      <c r="I15" s="425"/>
      <c r="J15" s="498"/>
      <c r="K15" s="423"/>
      <c r="L15" s="423"/>
      <c r="M15" s="423"/>
      <c r="N15" s="423"/>
      <c r="O15" s="423"/>
      <c r="P15" s="99"/>
      <c r="Q15" s="945">
        <f t="shared" ref="Q15:Q17" si="1">Q14+(SUM((D15:F15))-(SUM((G15:P15))))</f>
        <v>0</v>
      </c>
      <c r="S15" s="7"/>
    </row>
    <row r="16" spans="1:19" s="1" customFormat="1" ht="19.5" customHeight="1">
      <c r="A16" s="212"/>
      <c r="B16" s="97"/>
      <c r="C16" s="97"/>
      <c r="D16" s="98"/>
      <c r="E16" s="99"/>
      <c r="F16" s="100"/>
      <c r="G16" s="424"/>
      <c r="H16" s="425"/>
      <c r="I16" s="425"/>
      <c r="J16" s="498"/>
      <c r="K16" s="423"/>
      <c r="L16" s="423"/>
      <c r="M16" s="423"/>
      <c r="N16" s="423"/>
      <c r="O16" s="423"/>
      <c r="P16" s="99"/>
      <c r="Q16" s="945">
        <f t="shared" si="1"/>
        <v>0</v>
      </c>
      <c r="S16" s="7"/>
    </row>
    <row r="17" spans="1:19" s="1" customFormat="1" ht="19.5" customHeight="1">
      <c r="A17" s="212"/>
      <c r="B17" s="97"/>
      <c r="C17" s="97"/>
      <c r="D17" s="98"/>
      <c r="E17" s="99"/>
      <c r="F17" s="100"/>
      <c r="G17" s="424"/>
      <c r="H17" s="425"/>
      <c r="I17" s="425"/>
      <c r="J17" s="498"/>
      <c r="K17" s="423"/>
      <c r="L17" s="423"/>
      <c r="M17" s="423"/>
      <c r="N17" s="423"/>
      <c r="O17" s="423"/>
      <c r="P17" s="99"/>
      <c r="Q17" s="945">
        <f t="shared" si="1"/>
        <v>0</v>
      </c>
      <c r="S17" s="7"/>
    </row>
    <row r="18" spans="1:19" s="1" customFormat="1" ht="19.5" customHeight="1">
      <c r="A18" s="212"/>
      <c r="B18" s="97"/>
      <c r="C18" s="97"/>
      <c r="D18" s="98"/>
      <c r="E18" s="99"/>
      <c r="F18" s="100"/>
      <c r="G18" s="424"/>
      <c r="H18" s="425"/>
      <c r="I18" s="425"/>
      <c r="J18" s="498"/>
      <c r="K18" s="423"/>
      <c r="L18" s="423"/>
      <c r="M18" s="423"/>
      <c r="N18" s="423"/>
      <c r="O18" s="423"/>
      <c r="P18" s="99"/>
      <c r="Q18" s="945">
        <f t="shared" ref="Q18:Q24" si="2">Q17+(SUM((D18:F18))-(SUM((G18:P18))))</f>
        <v>0</v>
      </c>
      <c r="S18" s="7"/>
    </row>
    <row r="19" spans="1:19" s="1" customFormat="1" ht="19.5" customHeight="1">
      <c r="A19" s="212"/>
      <c r="B19" s="97" t="s">
        <v>1461</v>
      </c>
      <c r="C19" s="97"/>
      <c r="D19" s="98"/>
      <c r="E19" s="99"/>
      <c r="F19" s="100"/>
      <c r="G19" s="424"/>
      <c r="H19" s="425"/>
      <c r="I19" s="425"/>
      <c r="J19" s="498"/>
      <c r="K19" s="423"/>
      <c r="L19" s="423"/>
      <c r="M19" s="423"/>
      <c r="N19" s="423"/>
      <c r="O19" s="423"/>
      <c r="P19" s="99"/>
      <c r="Q19" s="945">
        <f t="shared" si="2"/>
        <v>0</v>
      </c>
      <c r="S19" s="7"/>
    </row>
    <row r="20" spans="1:19" s="1" customFormat="1" ht="19.5" customHeight="1">
      <c r="A20" s="212"/>
      <c r="B20" s="97"/>
      <c r="C20" s="97"/>
      <c r="D20" s="98"/>
      <c r="E20" s="99"/>
      <c r="F20" s="100"/>
      <c r="G20" s="424"/>
      <c r="H20" s="425"/>
      <c r="I20" s="425"/>
      <c r="J20" s="498"/>
      <c r="K20" s="423"/>
      <c r="L20" s="423"/>
      <c r="M20" s="423"/>
      <c r="N20" s="423"/>
      <c r="O20" s="423"/>
      <c r="P20" s="99"/>
      <c r="Q20" s="945">
        <f t="shared" si="2"/>
        <v>0</v>
      </c>
      <c r="S20" s="7"/>
    </row>
    <row r="21" spans="1:19" s="1" customFormat="1" ht="19.5" customHeight="1">
      <c r="A21" s="212"/>
      <c r="B21" s="97"/>
      <c r="C21" s="97"/>
      <c r="D21" s="98"/>
      <c r="E21" s="99"/>
      <c r="F21" s="100"/>
      <c r="G21" s="424"/>
      <c r="H21" s="425"/>
      <c r="I21" s="425"/>
      <c r="J21" s="498"/>
      <c r="K21" s="423"/>
      <c r="L21" s="423"/>
      <c r="M21" s="423"/>
      <c r="N21" s="423"/>
      <c r="O21" s="423"/>
      <c r="P21" s="99"/>
      <c r="Q21" s="945">
        <f t="shared" si="2"/>
        <v>0</v>
      </c>
      <c r="S21" s="7"/>
    </row>
    <row r="22" spans="1:19" s="1" customFormat="1" ht="19.5" customHeight="1">
      <c r="A22" s="212"/>
      <c r="B22" s="97"/>
      <c r="C22" s="97"/>
      <c r="D22" s="98"/>
      <c r="E22" s="99"/>
      <c r="F22" s="100"/>
      <c r="G22" s="424"/>
      <c r="H22" s="425"/>
      <c r="I22" s="425"/>
      <c r="J22" s="498"/>
      <c r="K22" s="423"/>
      <c r="L22" s="423"/>
      <c r="M22" s="423"/>
      <c r="N22" s="423"/>
      <c r="O22" s="423"/>
      <c r="P22" s="99"/>
      <c r="Q22" s="945">
        <f t="shared" si="2"/>
        <v>0</v>
      </c>
      <c r="S22" s="7"/>
    </row>
    <row r="23" spans="1:19" s="1" customFormat="1" ht="19.5" customHeight="1">
      <c r="A23" s="212"/>
      <c r="B23" s="97"/>
      <c r="C23" s="97"/>
      <c r="D23" s="98"/>
      <c r="E23" s="99"/>
      <c r="F23" s="100"/>
      <c r="G23" s="424"/>
      <c r="H23" s="425"/>
      <c r="I23" s="425"/>
      <c r="J23" s="424"/>
      <c r="K23" s="423"/>
      <c r="L23" s="423"/>
      <c r="M23" s="423"/>
      <c r="N23" s="423"/>
      <c r="O23" s="423"/>
      <c r="P23" s="99"/>
      <c r="Q23" s="945">
        <f t="shared" si="2"/>
        <v>0</v>
      </c>
    </row>
    <row r="24" spans="1:19" s="1" customFormat="1" ht="19.5" customHeight="1" thickBot="1">
      <c r="A24" s="212"/>
      <c r="B24" s="97"/>
      <c r="C24" s="97"/>
      <c r="D24" s="98"/>
      <c r="E24" s="99"/>
      <c r="F24" s="100"/>
      <c r="G24" s="101"/>
      <c r="H24" s="101"/>
      <c r="I24" s="98"/>
      <c r="J24" s="99"/>
      <c r="K24" s="99"/>
      <c r="L24" s="99"/>
      <c r="M24" s="99"/>
      <c r="N24" s="99"/>
      <c r="O24" s="99"/>
      <c r="P24" s="99"/>
      <c r="Q24" s="945">
        <f t="shared" si="2"/>
        <v>0</v>
      </c>
    </row>
    <row r="25" spans="1:19" s="1" customFormat="1" ht="26.25" customHeight="1" thickTop="1" thickBot="1">
      <c r="A25" s="214"/>
      <c r="B25" s="82" t="s">
        <v>19</v>
      </c>
      <c r="C25" s="83"/>
      <c r="D25" s="948">
        <f>SUM(D14:D24)</f>
        <v>0</v>
      </c>
      <c r="E25" s="948">
        <f t="shared" ref="E25:P25" si="3">SUM(E14:E24)</f>
        <v>0</v>
      </c>
      <c r="F25" s="949">
        <f t="shared" si="3"/>
        <v>0</v>
      </c>
      <c r="G25" s="950">
        <f t="shared" si="3"/>
        <v>0</v>
      </c>
      <c r="H25" s="948">
        <f t="shared" si="3"/>
        <v>0</v>
      </c>
      <c r="I25" s="948">
        <f t="shared" si="3"/>
        <v>0</v>
      </c>
      <c r="J25" s="951">
        <f t="shared" si="3"/>
        <v>0</v>
      </c>
      <c r="K25" s="948">
        <f t="shared" si="3"/>
        <v>0</v>
      </c>
      <c r="L25" s="948">
        <f t="shared" si="3"/>
        <v>0</v>
      </c>
      <c r="M25" s="948">
        <f t="shared" si="3"/>
        <v>0</v>
      </c>
      <c r="N25" s="948">
        <f t="shared" si="3"/>
        <v>0</v>
      </c>
      <c r="O25" s="948">
        <f t="shared" si="3"/>
        <v>0</v>
      </c>
      <c r="P25" s="948">
        <f t="shared" si="3"/>
        <v>0</v>
      </c>
      <c r="Q25" s="946">
        <f>(SUM((D25:F25))-(SUM((G25:P25))))</f>
        <v>0</v>
      </c>
    </row>
    <row r="26" spans="1:19" s="1" customFormat="1" ht="26.25" customHeight="1" thickTop="1" thickBot="1">
      <c r="A26" s="214"/>
      <c r="B26" s="82" t="s">
        <v>257</v>
      </c>
      <c r="C26" s="83"/>
      <c r="D26" s="948">
        <f t="shared" ref="D26:P26" si="4">D13+D25</f>
        <v>0</v>
      </c>
      <c r="E26" s="948">
        <f t="shared" si="4"/>
        <v>0</v>
      </c>
      <c r="F26" s="949">
        <f t="shared" si="4"/>
        <v>0</v>
      </c>
      <c r="G26" s="950">
        <f t="shared" si="4"/>
        <v>0</v>
      </c>
      <c r="H26" s="948">
        <f t="shared" si="4"/>
        <v>0</v>
      </c>
      <c r="I26" s="948">
        <f t="shared" si="4"/>
        <v>0</v>
      </c>
      <c r="J26" s="951">
        <f t="shared" si="4"/>
        <v>0</v>
      </c>
      <c r="K26" s="948">
        <f t="shared" si="4"/>
        <v>0</v>
      </c>
      <c r="L26" s="948">
        <f t="shared" si="4"/>
        <v>0</v>
      </c>
      <c r="M26" s="948">
        <f t="shared" si="4"/>
        <v>0</v>
      </c>
      <c r="N26" s="948">
        <f t="shared" si="4"/>
        <v>0</v>
      </c>
      <c r="O26" s="948">
        <f t="shared" si="4"/>
        <v>0</v>
      </c>
      <c r="P26" s="948">
        <f t="shared" si="4"/>
        <v>0</v>
      </c>
      <c r="Q26" s="946">
        <f>(SUM((D26:F26))-(SUM((G26:P26))))</f>
        <v>0</v>
      </c>
      <c r="S26" s="7">
        <f>SUM(G26:J26)+SUM(L26:M26)-K26</f>
        <v>0</v>
      </c>
    </row>
    <row r="27" spans="1:19" s="1" customFormat="1" ht="26.25" customHeight="1" thickTop="1" thickBot="1">
      <c r="A27" s="215"/>
      <c r="B27" s="216" t="s">
        <v>20</v>
      </c>
      <c r="C27" s="217"/>
      <c r="D27" s="952">
        <f t="shared" ref="D27:P27" si="5">D12+D26</f>
        <v>10660655242</v>
      </c>
      <c r="E27" s="952">
        <f t="shared" si="5"/>
        <v>200000</v>
      </c>
      <c r="F27" s="953">
        <f t="shared" si="5"/>
        <v>1400000</v>
      </c>
      <c r="G27" s="954">
        <f t="shared" si="5"/>
        <v>5207955700</v>
      </c>
      <c r="H27" s="952">
        <f t="shared" si="5"/>
        <v>1857930500</v>
      </c>
      <c r="I27" s="952">
        <f t="shared" si="5"/>
        <v>1000449500</v>
      </c>
      <c r="J27" s="955">
        <f t="shared" si="5"/>
        <v>1747300000</v>
      </c>
      <c r="K27" s="952">
        <f t="shared" si="5"/>
        <v>305775417</v>
      </c>
      <c r="L27" s="952">
        <f t="shared" si="5"/>
        <v>319454200</v>
      </c>
      <c r="M27" s="952">
        <f t="shared" si="5"/>
        <v>212970600</v>
      </c>
      <c r="N27" s="952">
        <f t="shared" si="5"/>
        <v>100000</v>
      </c>
      <c r="O27" s="952">
        <f t="shared" si="5"/>
        <v>10019325</v>
      </c>
      <c r="P27" s="952">
        <f t="shared" si="5"/>
        <v>300000</v>
      </c>
      <c r="Q27" s="947">
        <f>(SUM((D27:F27))-(SUM((G27:P27))))</f>
        <v>0</v>
      </c>
    </row>
    <row r="28" spans="1:19" s="1" customFormat="1" ht="15.75">
      <c r="A28" s="10"/>
      <c r="D28" s="7"/>
      <c r="E28" s="7"/>
      <c r="F28" s="7"/>
      <c r="G28" s="7"/>
      <c r="H28" s="7"/>
      <c r="I28" s="7"/>
      <c r="J28" s="426"/>
      <c r="K28" s="7"/>
      <c r="L28" s="7"/>
      <c r="M28" s="7"/>
      <c r="N28" s="7"/>
      <c r="O28" s="7"/>
      <c r="P28" s="7"/>
      <c r="Q28" s="7"/>
    </row>
    <row r="29" spans="1:19" s="1" customFormat="1" ht="15.75">
      <c r="A29" s="10"/>
      <c r="B29" s="117" t="s">
        <v>21</v>
      </c>
      <c r="D29" s="7"/>
      <c r="E29" s="7"/>
      <c r="F29" s="7"/>
      <c r="G29" s="7"/>
      <c r="H29" s="7"/>
      <c r="I29" s="7"/>
      <c r="J29" s="7"/>
      <c r="K29" s="7"/>
      <c r="L29" s="7"/>
      <c r="M29" s="7"/>
      <c r="N29" s="11" t="str">
        <f>DT!D28</f>
        <v>Nagrak, 29 Februari 2016 2016</v>
      </c>
      <c r="O29" s="7"/>
      <c r="Q29" s="7"/>
    </row>
    <row r="30" spans="1:19" ht="31.5">
      <c r="B30" s="117" t="s">
        <v>23</v>
      </c>
      <c r="N30" s="118" t="s">
        <v>24</v>
      </c>
      <c r="P30" s="15"/>
    </row>
    <row r="31" spans="1:19" ht="15.75">
      <c r="B31" s="117"/>
      <c r="N31" s="118"/>
      <c r="P31" s="15"/>
    </row>
    <row r="32" spans="1:19" ht="15.75">
      <c r="B32" s="117"/>
      <c r="N32" s="118"/>
      <c r="P32" s="15"/>
    </row>
    <row r="33" spans="2:16" ht="15.75">
      <c r="B33" s="117"/>
      <c r="N33" s="118"/>
      <c r="P33" s="15"/>
    </row>
    <row r="34" spans="2:16" ht="15.75">
      <c r="B34" s="117"/>
      <c r="N34" s="118"/>
      <c r="P34" s="15"/>
    </row>
    <row r="35" spans="2:16" ht="15.75">
      <c r="B35" s="104"/>
      <c r="N35" s="119"/>
      <c r="P35" s="15"/>
    </row>
    <row r="36" spans="2:16" ht="15.75">
      <c r="B36" s="213" t="str">
        <f>[1]DT!D14</f>
        <v>Endang Taryana</v>
      </c>
      <c r="N36" s="233" t="s">
        <v>2641</v>
      </c>
      <c r="P36" s="15"/>
    </row>
    <row r="40" spans="2:16">
      <c r="D40" s="2838">
        <v>1250000000</v>
      </c>
    </row>
    <row r="41" spans="2:16">
      <c r="D41" s="2838">
        <f>D40-D25</f>
        <v>1250000000</v>
      </c>
    </row>
  </sheetData>
  <customSheetViews>
    <customSheetView guid="{4567A2CF-35AA-4E08-B7D1-F029A2641346}" scale="70" showPageBreaks="1" view="pageBreakPreview" topLeftCell="C2">
      <selection activeCell="A2" sqref="A2:R2"/>
      <pageMargins left="0.15748031496062992" right="0.31496062992125984" top="0.35433070866141736" bottom="0.23622047244094491" header="0.51181102362204722" footer="0.51181102362204722"/>
      <printOptions horizontalCentered="1" verticalCentered="1"/>
      <pageSetup paperSize="9" scale="55" orientation="landscape" r:id="rId1"/>
      <headerFooter alignWithMargins="0"/>
    </customSheetView>
  </customSheetViews>
  <mergeCells count="16">
    <mergeCell ref="A1:Q1"/>
    <mergeCell ref="A2:Q2"/>
    <mergeCell ref="D8:F8"/>
    <mergeCell ref="G8:P8"/>
    <mergeCell ref="E9:E11"/>
    <mergeCell ref="D9:D11"/>
    <mergeCell ref="F9:F11"/>
    <mergeCell ref="O9:O11"/>
    <mergeCell ref="Q8:Q11"/>
    <mergeCell ref="P9:P11"/>
    <mergeCell ref="G10:G11"/>
    <mergeCell ref="H10:H11"/>
    <mergeCell ref="I10:I11"/>
    <mergeCell ref="L10:L11"/>
    <mergeCell ref="M10:M11"/>
    <mergeCell ref="G9:M9"/>
  </mergeCells>
  <phoneticPr fontId="0" type="noConversion"/>
  <pageMargins left="0.31496062992125984" right="0.11811023622047245" top="0.59055118110236227" bottom="0.23622047244094491" header="0.51181102362204722" footer="0.51181102362204722"/>
  <pageSetup paperSize="9" scale="45" orientation="landscape" horizontalDpi="4294967293" verticalDpi="4294967293" r:id="rId2"/>
  <headerFooter alignWithMargins="0"/>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9" tint="-0.249977111117893"/>
  </sheetPr>
  <dimension ref="A1:Q51"/>
  <sheetViews>
    <sheetView zoomScale="50" zoomScaleNormal="50" zoomScaleSheetLayoutView="70" workbookViewId="0">
      <selection activeCell="L51" sqref="L51"/>
    </sheetView>
  </sheetViews>
  <sheetFormatPr defaultColWidth="9.140625" defaultRowHeight="12.75"/>
  <cols>
    <col min="1" max="1" width="17.5703125" style="19" customWidth="1"/>
    <col min="2" max="2" width="59.28515625" style="15" customWidth="1"/>
    <col min="3" max="3" width="18.5703125" style="15" customWidth="1"/>
    <col min="4" max="4" width="24.5703125" style="20" bestFit="1" customWidth="1"/>
    <col min="5" max="5" width="13.7109375" style="20" customWidth="1"/>
    <col min="6" max="6" width="15.28515625" style="20" bestFit="1" customWidth="1"/>
    <col min="7" max="11" width="21.140625" style="20" customWidth="1"/>
    <col min="12" max="12" width="15.42578125" style="20" customWidth="1"/>
    <col min="13" max="14" width="14" style="20" customWidth="1"/>
    <col min="15" max="15" width="24" style="20" bestFit="1" customWidth="1"/>
    <col min="16" max="16384" width="9.140625" style="15"/>
  </cols>
  <sheetData>
    <row r="1" spans="1:15" ht="20.25">
      <c r="A1" s="3396" t="s">
        <v>0</v>
      </c>
      <c r="B1" s="3396"/>
      <c r="C1" s="3396"/>
      <c r="D1" s="3396"/>
      <c r="E1" s="3396"/>
      <c r="F1" s="3396"/>
      <c r="G1" s="3396"/>
      <c r="H1" s="3396"/>
      <c r="I1" s="3396"/>
      <c r="J1" s="3396"/>
      <c r="K1" s="3396"/>
      <c r="L1" s="3396"/>
      <c r="M1" s="3396"/>
      <c r="N1" s="3396"/>
      <c r="O1" s="3396"/>
    </row>
    <row r="2" spans="1:15" ht="20.25">
      <c r="A2" s="3396" t="s">
        <v>563</v>
      </c>
      <c r="B2" s="3396"/>
      <c r="C2" s="3396"/>
      <c r="D2" s="3396"/>
      <c r="E2" s="3396"/>
      <c r="F2" s="3396"/>
      <c r="G2" s="3396"/>
      <c r="H2" s="3396"/>
      <c r="I2" s="3396"/>
      <c r="J2" s="3396"/>
      <c r="K2" s="3396"/>
      <c r="L2" s="3396"/>
      <c r="M2" s="3396"/>
      <c r="N2" s="3396"/>
      <c r="O2" s="3396"/>
    </row>
    <row r="3" spans="1:15" s="1" customFormat="1" ht="15.75">
      <c r="A3" s="10"/>
      <c r="D3" s="7"/>
      <c r="E3" s="7"/>
      <c r="F3" s="7"/>
      <c r="G3" s="7"/>
      <c r="H3" s="7"/>
      <c r="I3" s="7"/>
      <c r="J3" s="7"/>
      <c r="K3" s="7"/>
      <c r="L3" s="7"/>
      <c r="M3" s="7"/>
      <c r="N3" s="7"/>
      <c r="O3" s="7"/>
    </row>
    <row r="4" spans="1:15" s="1" customFormat="1" ht="15.75">
      <c r="A4" s="8" t="s">
        <v>2</v>
      </c>
      <c r="B4" s="21"/>
      <c r="C4" s="4" t="str">
        <f>": "&amp;DT!D3</f>
        <v>: Nagrak</v>
      </c>
      <c r="D4" s="5"/>
      <c r="E4" s="5"/>
      <c r="F4" s="5"/>
      <c r="G4" s="7"/>
      <c r="H4" s="7"/>
      <c r="J4" s="5" t="s">
        <v>3</v>
      </c>
      <c r="K4" s="18"/>
      <c r="L4" s="18"/>
      <c r="M4" s="18"/>
      <c r="N4" s="956" t="str">
        <f>": "&amp;DT!D25</f>
        <v>: Februari 2016</v>
      </c>
      <c r="O4" s="7"/>
    </row>
    <row r="5" spans="1:15" s="1" customFormat="1" ht="15.75">
      <c r="A5" s="8" t="s">
        <v>4</v>
      </c>
      <c r="B5" s="21"/>
      <c r="C5" s="4" t="str">
        <f>": "&amp;DT!D4</f>
        <v>: Sukabumi</v>
      </c>
      <c r="D5" s="5"/>
      <c r="E5" s="5"/>
      <c r="F5" s="5"/>
      <c r="G5" s="7"/>
      <c r="H5" s="7"/>
      <c r="J5" s="5" t="s">
        <v>5</v>
      </c>
      <c r="K5" s="18"/>
      <c r="L5" s="18"/>
      <c r="M5" s="18"/>
      <c r="N5" s="6" t="s">
        <v>357</v>
      </c>
      <c r="O5" s="7"/>
    </row>
    <row r="6" spans="1:15" s="1" customFormat="1" ht="15.75">
      <c r="A6" s="8" t="s">
        <v>6</v>
      </c>
      <c r="B6" s="21"/>
      <c r="C6" s="4" t="str">
        <f>": "&amp;DT!D5</f>
        <v>: Jawa Barat</v>
      </c>
      <c r="D6" s="5"/>
      <c r="E6" s="5"/>
      <c r="F6" s="5"/>
      <c r="G6" s="7"/>
      <c r="H6" s="7"/>
      <c r="I6" s="7"/>
      <c r="J6" s="7"/>
      <c r="K6" s="7"/>
      <c r="L6" s="7"/>
      <c r="M6" s="7"/>
      <c r="N6" s="7"/>
      <c r="O6" s="7"/>
    </row>
    <row r="7" spans="1:15" s="1" customFormat="1" ht="6.75" customHeight="1" thickBot="1">
      <c r="A7" s="8"/>
      <c r="B7" s="21"/>
      <c r="C7" s="5"/>
      <c r="D7" s="5"/>
      <c r="E7" s="5"/>
      <c r="F7" s="5"/>
      <c r="G7" s="7"/>
      <c r="H7" s="7"/>
      <c r="I7" s="7"/>
      <c r="J7" s="7"/>
      <c r="K7" s="7"/>
      <c r="L7" s="7"/>
      <c r="M7" s="7"/>
      <c r="N7" s="7"/>
      <c r="O7" s="7"/>
    </row>
    <row r="8" spans="1:15" s="1" customFormat="1" ht="15.75">
      <c r="A8" s="2186"/>
      <c r="B8" s="2187"/>
      <c r="C8" s="2187"/>
      <c r="D8" s="3416" t="s">
        <v>10</v>
      </c>
      <c r="E8" s="3416"/>
      <c r="F8" s="3417"/>
      <c r="G8" s="3418" t="s">
        <v>11</v>
      </c>
      <c r="H8" s="3416"/>
      <c r="I8" s="3416"/>
      <c r="J8" s="3416"/>
      <c r="K8" s="3416"/>
      <c r="L8" s="3416"/>
      <c r="M8" s="3416"/>
      <c r="N8" s="3416"/>
      <c r="O8" s="3417" t="s">
        <v>12</v>
      </c>
    </row>
    <row r="9" spans="1:15" s="1" customFormat="1" ht="15.75">
      <c r="A9" s="2188" t="s">
        <v>7</v>
      </c>
      <c r="B9" s="2185" t="s">
        <v>8</v>
      </c>
      <c r="C9" s="2185" t="s">
        <v>9</v>
      </c>
      <c r="D9" s="3412" t="s">
        <v>253</v>
      </c>
      <c r="E9" s="3412" t="s">
        <v>63</v>
      </c>
      <c r="F9" s="3419" t="s">
        <v>28</v>
      </c>
      <c r="G9" s="3423" t="s">
        <v>45</v>
      </c>
      <c r="H9" s="3424"/>
      <c r="I9" s="3424"/>
      <c r="J9" s="3424"/>
      <c r="K9" s="3424"/>
      <c r="L9" s="2147" t="s">
        <v>64</v>
      </c>
      <c r="M9" s="3412" t="s">
        <v>28</v>
      </c>
      <c r="N9" s="3424" t="s">
        <v>29</v>
      </c>
      <c r="O9" s="3419"/>
    </row>
    <row r="10" spans="1:15" s="1" customFormat="1" ht="15.75">
      <c r="A10" s="2188" t="s">
        <v>13</v>
      </c>
      <c r="B10" s="2185" t="s">
        <v>13</v>
      </c>
      <c r="C10" s="2185" t="s">
        <v>13</v>
      </c>
      <c r="D10" s="3412"/>
      <c r="E10" s="3412"/>
      <c r="F10" s="3419"/>
      <c r="G10" s="3423" t="s">
        <v>46</v>
      </c>
      <c r="H10" s="3424" t="s">
        <v>47</v>
      </c>
      <c r="I10" s="3424" t="s">
        <v>48</v>
      </c>
      <c r="J10" s="3424" t="s">
        <v>898</v>
      </c>
      <c r="K10" s="3424" t="s">
        <v>51</v>
      </c>
      <c r="L10" s="2147" t="s">
        <v>254</v>
      </c>
      <c r="M10" s="3412"/>
      <c r="N10" s="3424"/>
      <c r="O10" s="3419"/>
    </row>
    <row r="11" spans="1:15" s="1" customFormat="1" ht="16.5" thickBot="1">
      <c r="A11" s="2189"/>
      <c r="B11" s="2190"/>
      <c r="C11" s="2190"/>
      <c r="D11" s="3421"/>
      <c r="E11" s="3421"/>
      <c r="F11" s="3422"/>
      <c r="G11" s="3426"/>
      <c r="H11" s="3425"/>
      <c r="I11" s="3425"/>
      <c r="J11" s="3425"/>
      <c r="K11" s="3425"/>
      <c r="L11" s="2191" t="s">
        <v>67</v>
      </c>
      <c r="M11" s="3421"/>
      <c r="N11" s="3425"/>
      <c r="O11" s="3420"/>
    </row>
    <row r="12" spans="1:15" s="1" customFormat="1" ht="23.25" customHeight="1">
      <c r="A12" s="2150"/>
      <c r="B12" s="2151" t="s">
        <v>258</v>
      </c>
      <c r="C12" s="2151"/>
      <c r="D12" s="2152"/>
      <c r="E12" s="2152"/>
      <c r="F12" s="2153"/>
      <c r="G12" s="2180"/>
      <c r="H12" s="2152"/>
      <c r="I12" s="2152"/>
      <c r="J12" s="2152"/>
      <c r="K12" s="2152"/>
      <c r="L12" s="2152"/>
      <c r="M12" s="2152"/>
      <c r="N12" s="2152"/>
      <c r="O12" s="2182">
        <f>(SUM((D12:F12))-(SUM((G12:N12))))</f>
        <v>0</v>
      </c>
    </row>
    <row r="13" spans="1:15" s="23" customFormat="1" ht="23.25" customHeight="1" thickBot="1">
      <c r="A13" s="936"/>
      <c r="B13" s="937" t="s">
        <v>539</v>
      </c>
      <c r="C13" s="938"/>
      <c r="D13" s="939"/>
      <c r="E13" s="939"/>
      <c r="F13" s="940"/>
      <c r="G13" s="941"/>
      <c r="H13" s="939"/>
      <c r="I13" s="939"/>
      <c r="J13" s="939"/>
      <c r="K13" s="939"/>
      <c r="L13" s="939"/>
      <c r="M13" s="939"/>
      <c r="N13" s="939"/>
      <c r="O13" s="942">
        <f t="shared" ref="O13:O43" si="0">O12+(SUM((D13:F13))-(SUM((G13:N13))))</f>
        <v>0</v>
      </c>
    </row>
    <row r="14" spans="1:15" s="1" customFormat="1" ht="19.5" customHeight="1">
      <c r="A14" s="463"/>
      <c r="B14" s="464"/>
      <c r="C14" s="464"/>
      <c r="D14" s="465"/>
      <c r="E14" s="466"/>
      <c r="F14" s="467"/>
      <c r="G14" s="468"/>
      <c r="H14" s="469"/>
      <c r="I14" s="469"/>
      <c r="J14" s="470"/>
      <c r="K14" s="470"/>
      <c r="L14" s="470"/>
      <c r="M14" s="470"/>
      <c r="N14" s="466"/>
      <c r="O14" s="943">
        <f t="shared" si="0"/>
        <v>0</v>
      </c>
    </row>
    <row r="15" spans="1:15" s="1" customFormat="1" ht="19.5" customHeight="1">
      <c r="A15" s="478"/>
      <c r="B15" s="229"/>
      <c r="C15" s="229"/>
      <c r="D15" s="479"/>
      <c r="E15" s="480"/>
      <c r="F15" s="481"/>
      <c r="G15" s="482"/>
      <c r="H15" s="483"/>
      <c r="I15" s="483"/>
      <c r="J15" s="484"/>
      <c r="K15" s="484"/>
      <c r="L15" s="484"/>
      <c r="M15" s="484"/>
      <c r="N15" s="480"/>
      <c r="O15" s="944">
        <f t="shared" si="0"/>
        <v>0</v>
      </c>
    </row>
    <row r="16" spans="1:15" s="1" customFormat="1" ht="19.5" customHeight="1">
      <c r="A16" s="478"/>
      <c r="B16" s="229"/>
      <c r="C16" s="229"/>
      <c r="D16" s="479"/>
      <c r="E16" s="480"/>
      <c r="F16" s="481"/>
      <c r="G16" s="482"/>
      <c r="H16" s="483"/>
      <c r="I16" s="483"/>
      <c r="J16" s="484"/>
      <c r="K16" s="484"/>
      <c r="L16" s="484"/>
      <c r="M16" s="484"/>
      <c r="N16" s="480"/>
      <c r="O16" s="944">
        <f t="shared" si="0"/>
        <v>0</v>
      </c>
    </row>
    <row r="17" spans="1:15" s="1" customFormat="1" ht="19.5" customHeight="1">
      <c r="A17" s="478"/>
      <c r="B17" s="229"/>
      <c r="C17" s="229"/>
      <c r="D17" s="479"/>
      <c r="E17" s="480"/>
      <c r="F17" s="481"/>
      <c r="G17" s="482"/>
      <c r="H17" s="483"/>
      <c r="I17" s="483"/>
      <c r="J17" s="484"/>
      <c r="K17" s="484"/>
      <c r="L17" s="484"/>
      <c r="M17" s="484"/>
      <c r="N17" s="480"/>
      <c r="O17" s="944">
        <f t="shared" si="0"/>
        <v>0</v>
      </c>
    </row>
    <row r="18" spans="1:15" s="1" customFormat="1" ht="19.5" customHeight="1">
      <c r="A18" s="478"/>
      <c r="B18" s="229"/>
      <c r="C18" s="229"/>
      <c r="D18" s="479"/>
      <c r="E18" s="480"/>
      <c r="F18" s="481"/>
      <c r="G18" s="482"/>
      <c r="H18" s="483"/>
      <c r="I18" s="483"/>
      <c r="J18" s="484"/>
      <c r="K18" s="484"/>
      <c r="L18" s="484"/>
      <c r="M18" s="484"/>
      <c r="N18" s="480"/>
      <c r="O18" s="944">
        <f t="shared" si="0"/>
        <v>0</v>
      </c>
    </row>
    <row r="19" spans="1:15" s="1" customFormat="1" ht="19.5" customHeight="1">
      <c r="A19" s="478"/>
      <c r="B19" s="229"/>
      <c r="C19" s="229"/>
      <c r="D19" s="479"/>
      <c r="E19" s="480"/>
      <c r="F19" s="481"/>
      <c r="G19" s="482"/>
      <c r="H19" s="483"/>
      <c r="I19" s="483"/>
      <c r="J19" s="484"/>
      <c r="K19" s="484"/>
      <c r="L19" s="484"/>
      <c r="M19" s="484"/>
      <c r="N19" s="480"/>
      <c r="O19" s="944">
        <f t="shared" si="0"/>
        <v>0</v>
      </c>
    </row>
    <row r="20" spans="1:15" s="1" customFormat="1" ht="19.5" customHeight="1">
      <c r="A20" s="478"/>
      <c r="B20" s="229"/>
      <c r="C20" s="229"/>
      <c r="D20" s="479"/>
      <c r="E20" s="480"/>
      <c r="F20" s="481"/>
      <c r="G20" s="482"/>
      <c r="H20" s="483"/>
      <c r="I20" s="483"/>
      <c r="J20" s="484"/>
      <c r="K20" s="484"/>
      <c r="L20" s="484"/>
      <c r="M20" s="484"/>
      <c r="N20" s="480"/>
      <c r="O20" s="944">
        <f t="shared" si="0"/>
        <v>0</v>
      </c>
    </row>
    <row r="21" spans="1:15" s="1" customFormat="1" ht="19.5" customHeight="1">
      <c r="A21" s="478"/>
      <c r="B21" s="229"/>
      <c r="C21" s="229"/>
      <c r="D21" s="479"/>
      <c r="E21" s="480"/>
      <c r="F21" s="481"/>
      <c r="G21" s="482"/>
      <c r="H21" s="483"/>
      <c r="I21" s="483"/>
      <c r="J21" s="484"/>
      <c r="K21" s="484"/>
      <c r="L21" s="484"/>
      <c r="M21" s="484"/>
      <c r="N21" s="480"/>
      <c r="O21" s="944">
        <f t="shared" si="0"/>
        <v>0</v>
      </c>
    </row>
    <row r="22" spans="1:15" s="1" customFormat="1" ht="19.5" customHeight="1">
      <c r="A22" s="478"/>
      <c r="B22" s="229"/>
      <c r="C22" s="229"/>
      <c r="D22" s="479"/>
      <c r="E22" s="480"/>
      <c r="F22" s="481"/>
      <c r="G22" s="482"/>
      <c r="H22" s="483"/>
      <c r="I22" s="483"/>
      <c r="J22" s="484"/>
      <c r="K22" s="484"/>
      <c r="L22" s="484"/>
      <c r="M22" s="484"/>
      <c r="N22" s="480"/>
      <c r="O22" s="944">
        <f t="shared" si="0"/>
        <v>0</v>
      </c>
    </row>
    <row r="23" spans="1:15" s="1" customFormat="1" ht="19.5" customHeight="1">
      <c r="A23" s="478"/>
      <c r="B23" s="229"/>
      <c r="C23" s="229"/>
      <c r="D23" s="479"/>
      <c r="E23" s="480"/>
      <c r="F23" s="481"/>
      <c r="G23" s="482"/>
      <c r="H23" s="483"/>
      <c r="I23" s="483"/>
      <c r="J23" s="484"/>
      <c r="K23" s="484"/>
      <c r="L23" s="484"/>
      <c r="M23" s="484"/>
      <c r="N23" s="480"/>
      <c r="O23" s="944">
        <f t="shared" si="0"/>
        <v>0</v>
      </c>
    </row>
    <row r="24" spans="1:15" s="1" customFormat="1" ht="19.5" customHeight="1">
      <c r="A24" s="478"/>
      <c r="B24" s="229"/>
      <c r="C24" s="229"/>
      <c r="D24" s="479"/>
      <c r="E24" s="480"/>
      <c r="F24" s="481"/>
      <c r="G24" s="482"/>
      <c r="H24" s="483"/>
      <c r="I24" s="483"/>
      <c r="J24" s="484"/>
      <c r="K24" s="484"/>
      <c r="L24" s="484"/>
      <c r="M24" s="484"/>
      <c r="N24" s="480"/>
      <c r="O24" s="944">
        <f t="shared" si="0"/>
        <v>0</v>
      </c>
    </row>
    <row r="25" spans="1:15" s="1" customFormat="1" ht="19.5" customHeight="1">
      <c r="A25" s="478"/>
      <c r="B25" s="229"/>
      <c r="C25" s="229"/>
      <c r="D25" s="479"/>
      <c r="E25" s="480"/>
      <c r="F25" s="481"/>
      <c r="G25" s="482"/>
      <c r="H25" s="483"/>
      <c r="I25" s="483"/>
      <c r="J25" s="484"/>
      <c r="K25" s="484"/>
      <c r="L25" s="484"/>
      <c r="M25" s="484"/>
      <c r="N25" s="480"/>
      <c r="O25" s="944">
        <f t="shared" si="0"/>
        <v>0</v>
      </c>
    </row>
    <row r="26" spans="1:15" s="1" customFormat="1" ht="19.5" customHeight="1">
      <c r="A26" s="478"/>
      <c r="B26" s="229"/>
      <c r="C26" s="229"/>
      <c r="D26" s="479"/>
      <c r="E26" s="480"/>
      <c r="F26" s="481"/>
      <c r="G26" s="482"/>
      <c r="H26" s="483"/>
      <c r="I26" s="483"/>
      <c r="J26" s="484"/>
      <c r="K26" s="484"/>
      <c r="L26" s="484"/>
      <c r="M26" s="484"/>
      <c r="N26" s="480"/>
      <c r="O26" s="944">
        <f t="shared" si="0"/>
        <v>0</v>
      </c>
    </row>
    <row r="27" spans="1:15" s="1" customFormat="1" ht="19.5" customHeight="1">
      <c r="A27" s="478"/>
      <c r="B27" s="229"/>
      <c r="C27" s="229"/>
      <c r="D27" s="479"/>
      <c r="E27" s="480"/>
      <c r="F27" s="481"/>
      <c r="G27" s="482"/>
      <c r="H27" s="483"/>
      <c r="I27" s="483"/>
      <c r="J27" s="484"/>
      <c r="K27" s="484"/>
      <c r="L27" s="484"/>
      <c r="M27" s="484"/>
      <c r="N27" s="480"/>
      <c r="O27" s="944">
        <f t="shared" si="0"/>
        <v>0</v>
      </c>
    </row>
    <row r="28" spans="1:15" s="1" customFormat="1" ht="19.5" customHeight="1">
      <c r="A28" s="478"/>
      <c r="B28" s="229"/>
      <c r="C28" s="229"/>
      <c r="D28" s="479"/>
      <c r="E28" s="480"/>
      <c r="F28" s="481"/>
      <c r="G28" s="482"/>
      <c r="H28" s="483"/>
      <c r="I28" s="483"/>
      <c r="J28" s="484"/>
      <c r="K28" s="484"/>
      <c r="L28" s="484"/>
      <c r="M28" s="484"/>
      <c r="N28" s="480"/>
      <c r="O28" s="944">
        <f t="shared" si="0"/>
        <v>0</v>
      </c>
    </row>
    <row r="29" spans="1:15" s="1" customFormat="1" ht="19.5" customHeight="1">
      <c r="A29" s="478"/>
      <c r="B29" s="229"/>
      <c r="C29" s="229"/>
      <c r="D29" s="479"/>
      <c r="E29" s="480"/>
      <c r="F29" s="481"/>
      <c r="G29" s="482"/>
      <c r="H29" s="483"/>
      <c r="I29" s="483"/>
      <c r="J29" s="484"/>
      <c r="K29" s="484"/>
      <c r="L29" s="484"/>
      <c r="M29" s="484"/>
      <c r="N29" s="480"/>
      <c r="O29" s="944">
        <f t="shared" si="0"/>
        <v>0</v>
      </c>
    </row>
    <row r="30" spans="1:15" s="1" customFormat="1" ht="19.5" customHeight="1">
      <c r="A30" s="478"/>
      <c r="B30" s="229"/>
      <c r="C30" s="229"/>
      <c r="D30" s="479"/>
      <c r="E30" s="480"/>
      <c r="F30" s="481"/>
      <c r="G30" s="482"/>
      <c r="H30" s="483"/>
      <c r="I30" s="483"/>
      <c r="J30" s="484"/>
      <c r="K30" s="484"/>
      <c r="L30" s="484"/>
      <c r="M30" s="484"/>
      <c r="N30" s="480"/>
      <c r="O30" s="944">
        <f t="shared" si="0"/>
        <v>0</v>
      </c>
    </row>
    <row r="31" spans="1:15" s="1" customFormat="1" ht="19.5" customHeight="1">
      <c r="A31" s="471"/>
      <c r="B31" s="71"/>
      <c r="C31" s="71"/>
      <c r="D31" s="472"/>
      <c r="E31" s="473"/>
      <c r="F31" s="474"/>
      <c r="G31" s="475"/>
      <c r="H31" s="476"/>
      <c r="I31" s="476"/>
      <c r="J31" s="477"/>
      <c r="K31" s="477"/>
      <c r="L31" s="477"/>
      <c r="M31" s="477"/>
      <c r="N31" s="473"/>
      <c r="O31" s="945">
        <f t="shared" si="0"/>
        <v>0</v>
      </c>
    </row>
    <row r="32" spans="1:15" s="1" customFormat="1" ht="19.5" customHeight="1">
      <c r="A32" s="471"/>
      <c r="B32" s="71"/>
      <c r="C32" s="71"/>
      <c r="D32" s="472"/>
      <c r="E32" s="473"/>
      <c r="F32" s="474"/>
      <c r="G32" s="475"/>
      <c r="H32" s="476"/>
      <c r="I32" s="476"/>
      <c r="J32" s="477"/>
      <c r="K32" s="477"/>
      <c r="L32" s="477"/>
      <c r="M32" s="477"/>
      <c r="N32" s="473"/>
      <c r="O32" s="945">
        <f t="shared" si="0"/>
        <v>0</v>
      </c>
    </row>
    <row r="33" spans="1:17" s="1" customFormat="1" ht="19.5" customHeight="1">
      <c r="A33" s="471"/>
      <c r="B33" s="71"/>
      <c r="C33" s="71"/>
      <c r="D33" s="472"/>
      <c r="E33" s="473"/>
      <c r="F33" s="474"/>
      <c r="G33" s="475"/>
      <c r="H33" s="476"/>
      <c r="I33" s="476"/>
      <c r="J33" s="477"/>
      <c r="K33" s="477"/>
      <c r="L33" s="477"/>
      <c r="M33" s="477"/>
      <c r="N33" s="473"/>
      <c r="O33" s="945">
        <f t="shared" si="0"/>
        <v>0</v>
      </c>
    </row>
    <row r="34" spans="1:17" s="1" customFormat="1" ht="19.5" customHeight="1">
      <c r="A34" s="471"/>
      <c r="B34" s="71"/>
      <c r="C34" s="71"/>
      <c r="D34" s="472"/>
      <c r="E34" s="473"/>
      <c r="F34" s="474"/>
      <c r="G34" s="475"/>
      <c r="H34" s="476"/>
      <c r="I34" s="476"/>
      <c r="J34" s="477"/>
      <c r="K34" s="477"/>
      <c r="L34" s="477"/>
      <c r="M34" s="477"/>
      <c r="N34" s="473"/>
      <c r="O34" s="945">
        <f t="shared" si="0"/>
        <v>0</v>
      </c>
    </row>
    <row r="35" spans="1:17" s="1" customFormat="1" ht="19.5" customHeight="1">
      <c r="A35" s="471"/>
      <c r="B35" s="71"/>
      <c r="C35" s="71"/>
      <c r="D35" s="472"/>
      <c r="E35" s="473"/>
      <c r="F35" s="474"/>
      <c r="G35" s="475"/>
      <c r="H35" s="476"/>
      <c r="I35" s="476"/>
      <c r="J35" s="477"/>
      <c r="K35" s="477"/>
      <c r="L35" s="477"/>
      <c r="M35" s="477"/>
      <c r="N35" s="473"/>
      <c r="O35" s="945">
        <f t="shared" si="0"/>
        <v>0</v>
      </c>
    </row>
    <row r="36" spans="1:17" s="1" customFormat="1" ht="19.5" customHeight="1">
      <c r="A36" s="471"/>
      <c r="B36" s="71"/>
      <c r="C36" s="71"/>
      <c r="D36" s="472"/>
      <c r="E36" s="473"/>
      <c r="F36" s="474"/>
      <c r="G36" s="475"/>
      <c r="H36" s="476"/>
      <c r="I36" s="476"/>
      <c r="J36" s="477"/>
      <c r="K36" s="477"/>
      <c r="L36" s="477"/>
      <c r="M36" s="477"/>
      <c r="N36" s="473"/>
      <c r="O36" s="945">
        <f t="shared" si="0"/>
        <v>0</v>
      </c>
    </row>
    <row r="37" spans="1:17" s="1" customFormat="1" ht="19.5" customHeight="1">
      <c r="A37" s="471"/>
      <c r="B37" s="71"/>
      <c r="C37" s="71"/>
      <c r="D37" s="472"/>
      <c r="E37" s="473"/>
      <c r="F37" s="474"/>
      <c r="G37" s="475"/>
      <c r="H37" s="476"/>
      <c r="I37" s="476"/>
      <c r="J37" s="477"/>
      <c r="K37" s="477"/>
      <c r="L37" s="477"/>
      <c r="M37" s="477"/>
      <c r="N37" s="473"/>
      <c r="O37" s="945">
        <f t="shared" si="0"/>
        <v>0</v>
      </c>
    </row>
    <row r="38" spans="1:17" s="1" customFormat="1" ht="19.5" customHeight="1">
      <c r="A38" s="471"/>
      <c r="B38" s="71"/>
      <c r="C38" s="71"/>
      <c r="D38" s="472"/>
      <c r="E38" s="473"/>
      <c r="F38" s="474"/>
      <c r="G38" s="475"/>
      <c r="H38" s="476"/>
      <c r="I38" s="476"/>
      <c r="J38" s="477"/>
      <c r="K38" s="477"/>
      <c r="L38" s="477"/>
      <c r="M38" s="477"/>
      <c r="N38" s="473"/>
      <c r="O38" s="945">
        <f t="shared" si="0"/>
        <v>0</v>
      </c>
    </row>
    <row r="39" spans="1:17" s="1" customFormat="1" ht="19.5" customHeight="1">
      <c r="A39" s="471"/>
      <c r="B39" s="71"/>
      <c r="C39" s="71"/>
      <c r="D39" s="472"/>
      <c r="E39" s="473"/>
      <c r="F39" s="474"/>
      <c r="G39" s="475"/>
      <c r="H39" s="476"/>
      <c r="I39" s="476"/>
      <c r="J39" s="477"/>
      <c r="K39" s="477"/>
      <c r="L39" s="477"/>
      <c r="M39" s="477"/>
      <c r="N39" s="473"/>
      <c r="O39" s="945">
        <f t="shared" si="0"/>
        <v>0</v>
      </c>
    </row>
    <row r="40" spans="1:17" s="1" customFormat="1" ht="19.5" customHeight="1">
      <c r="A40" s="212"/>
      <c r="B40" s="97"/>
      <c r="C40" s="97"/>
      <c r="D40" s="98"/>
      <c r="E40" s="99"/>
      <c r="F40" s="100"/>
      <c r="G40" s="424"/>
      <c r="H40" s="425"/>
      <c r="I40" s="425"/>
      <c r="J40" s="423"/>
      <c r="K40" s="423"/>
      <c r="L40" s="423"/>
      <c r="M40" s="423"/>
      <c r="N40" s="99"/>
      <c r="O40" s="944">
        <f t="shared" si="0"/>
        <v>0</v>
      </c>
    </row>
    <row r="41" spans="1:17" s="1" customFormat="1" ht="19.5" customHeight="1">
      <c r="A41" s="212"/>
      <c r="B41" s="97"/>
      <c r="C41" s="97"/>
      <c r="D41" s="98"/>
      <c r="E41" s="99"/>
      <c r="F41" s="100"/>
      <c r="G41" s="424"/>
      <c r="H41" s="425"/>
      <c r="I41" s="425"/>
      <c r="J41" s="423"/>
      <c r="K41" s="423"/>
      <c r="L41" s="423"/>
      <c r="M41" s="423"/>
      <c r="N41" s="99"/>
      <c r="O41" s="944">
        <f t="shared" si="0"/>
        <v>0</v>
      </c>
      <c r="Q41" s="7"/>
    </row>
    <row r="42" spans="1:17" s="1" customFormat="1" ht="19.5" customHeight="1">
      <c r="A42" s="212"/>
      <c r="B42" s="97"/>
      <c r="C42" s="97"/>
      <c r="D42" s="98"/>
      <c r="E42" s="99"/>
      <c r="F42" s="100"/>
      <c r="G42" s="424"/>
      <c r="H42" s="425"/>
      <c r="I42" s="425"/>
      <c r="J42" s="423"/>
      <c r="K42" s="423"/>
      <c r="L42" s="423"/>
      <c r="M42" s="423"/>
      <c r="N42" s="99"/>
      <c r="O42" s="944">
        <f t="shared" si="0"/>
        <v>0</v>
      </c>
    </row>
    <row r="43" spans="1:17" s="1" customFormat="1" ht="19.5" customHeight="1" thickBot="1">
      <c r="A43" s="212"/>
      <c r="B43" s="97"/>
      <c r="C43" s="97"/>
      <c r="D43" s="98"/>
      <c r="E43" s="99"/>
      <c r="F43" s="100"/>
      <c r="G43" s="101"/>
      <c r="H43" s="101"/>
      <c r="I43" s="98"/>
      <c r="J43" s="99"/>
      <c r="K43" s="99"/>
      <c r="L43" s="99"/>
      <c r="M43" s="99"/>
      <c r="N43" s="99"/>
      <c r="O43" s="944">
        <f t="shared" si="0"/>
        <v>0</v>
      </c>
    </row>
    <row r="44" spans="1:17" s="1" customFormat="1" ht="26.25" customHeight="1" thickTop="1" thickBot="1">
      <c r="A44" s="214"/>
      <c r="B44" s="82" t="s">
        <v>19</v>
      </c>
      <c r="C44" s="83"/>
      <c r="D44" s="948">
        <f>SUM(D14:D43)</f>
        <v>0</v>
      </c>
      <c r="E44" s="948">
        <f t="shared" ref="E44:N44" si="1">SUM(E14:E43)</f>
        <v>0</v>
      </c>
      <c r="F44" s="949">
        <f t="shared" si="1"/>
        <v>0</v>
      </c>
      <c r="G44" s="950">
        <f t="shared" si="1"/>
        <v>0</v>
      </c>
      <c r="H44" s="948">
        <f t="shared" si="1"/>
        <v>0</v>
      </c>
      <c r="I44" s="948">
        <f t="shared" si="1"/>
        <v>0</v>
      </c>
      <c r="J44" s="948">
        <f t="shared" si="1"/>
        <v>0</v>
      </c>
      <c r="K44" s="948">
        <f t="shared" si="1"/>
        <v>0</v>
      </c>
      <c r="L44" s="948">
        <f t="shared" si="1"/>
        <v>0</v>
      </c>
      <c r="M44" s="948">
        <f t="shared" si="1"/>
        <v>0</v>
      </c>
      <c r="N44" s="948">
        <f t="shared" si="1"/>
        <v>0</v>
      </c>
      <c r="O44" s="946">
        <f>(SUM((D44:F44))-(SUM((G44:N44))))</f>
        <v>0</v>
      </c>
    </row>
    <row r="45" spans="1:17" s="1" customFormat="1" ht="26.25" customHeight="1" thickTop="1" thickBot="1">
      <c r="A45" s="214"/>
      <c r="B45" s="82" t="s">
        <v>257</v>
      </c>
      <c r="C45" s="83"/>
      <c r="D45" s="948">
        <f>D13+D44</f>
        <v>0</v>
      </c>
      <c r="E45" s="948">
        <f t="shared" ref="E45:N45" si="2">E13+E44</f>
        <v>0</v>
      </c>
      <c r="F45" s="949">
        <f t="shared" si="2"/>
        <v>0</v>
      </c>
      <c r="G45" s="950">
        <f t="shared" si="2"/>
        <v>0</v>
      </c>
      <c r="H45" s="948">
        <f t="shared" si="2"/>
        <v>0</v>
      </c>
      <c r="I45" s="948">
        <f t="shared" si="2"/>
        <v>0</v>
      </c>
      <c r="J45" s="948">
        <f t="shared" si="2"/>
        <v>0</v>
      </c>
      <c r="K45" s="948">
        <f t="shared" si="2"/>
        <v>0</v>
      </c>
      <c r="L45" s="948">
        <f t="shared" si="2"/>
        <v>0</v>
      </c>
      <c r="M45" s="948">
        <f t="shared" si="2"/>
        <v>0</v>
      </c>
      <c r="N45" s="948">
        <f t="shared" si="2"/>
        <v>0</v>
      </c>
      <c r="O45" s="946">
        <f>(SUM((D45:F45))-(SUM((G45:N45))))</f>
        <v>0</v>
      </c>
    </row>
    <row r="46" spans="1:17" s="1" customFormat="1" ht="26.25" customHeight="1" thickTop="1" thickBot="1">
      <c r="A46" s="215"/>
      <c r="B46" s="216" t="s">
        <v>20</v>
      </c>
      <c r="C46" s="217"/>
      <c r="D46" s="952">
        <f>D12+D45</f>
        <v>0</v>
      </c>
      <c r="E46" s="952">
        <f t="shared" ref="E46:N46" si="3">E12+E45</f>
        <v>0</v>
      </c>
      <c r="F46" s="953">
        <f t="shared" si="3"/>
        <v>0</v>
      </c>
      <c r="G46" s="954">
        <f t="shared" si="3"/>
        <v>0</v>
      </c>
      <c r="H46" s="952">
        <f t="shared" si="3"/>
        <v>0</v>
      </c>
      <c r="I46" s="952">
        <f t="shared" si="3"/>
        <v>0</v>
      </c>
      <c r="J46" s="952">
        <f t="shared" si="3"/>
        <v>0</v>
      </c>
      <c r="K46" s="952">
        <f t="shared" si="3"/>
        <v>0</v>
      </c>
      <c r="L46" s="952">
        <f t="shared" si="3"/>
        <v>0</v>
      </c>
      <c r="M46" s="952">
        <f t="shared" si="3"/>
        <v>0</v>
      </c>
      <c r="N46" s="952">
        <f t="shared" si="3"/>
        <v>0</v>
      </c>
      <c r="O46" s="947">
        <f>(SUM((D46:F46))-(SUM((G46:N46))))</f>
        <v>0</v>
      </c>
    </row>
    <row r="47" spans="1:17" s="1" customFormat="1" ht="15.75">
      <c r="A47" s="10"/>
      <c r="D47" s="7"/>
      <c r="E47" s="7"/>
      <c r="F47" s="7"/>
      <c r="G47" s="7"/>
      <c r="H47" s="7"/>
      <c r="I47" s="7"/>
      <c r="J47" s="7"/>
      <c r="K47" s="7"/>
      <c r="L47" s="7"/>
      <c r="M47" s="7"/>
      <c r="N47" s="7"/>
      <c r="O47" s="7"/>
    </row>
    <row r="48" spans="1:17" s="1" customFormat="1" ht="15.75">
      <c r="A48" s="10"/>
      <c r="B48" s="117" t="s">
        <v>21</v>
      </c>
      <c r="D48" s="7"/>
      <c r="E48" s="7"/>
      <c r="F48" s="7"/>
      <c r="G48" s="7"/>
      <c r="H48" s="7"/>
      <c r="I48" s="7"/>
      <c r="J48" s="7"/>
      <c r="K48" s="7"/>
      <c r="L48" s="11" t="str">
        <f>DT!D28</f>
        <v>Nagrak, 29 Februari 2016 2016</v>
      </c>
      <c r="M48" s="7"/>
      <c r="O48" s="7"/>
    </row>
    <row r="49" spans="2:14" ht="31.5">
      <c r="B49" s="117" t="s">
        <v>23</v>
      </c>
      <c r="L49" s="118" t="s">
        <v>24</v>
      </c>
      <c r="N49" s="15"/>
    </row>
    <row r="50" spans="2:14" ht="15.75">
      <c r="B50" s="104"/>
      <c r="L50" s="119"/>
      <c r="N50" s="15"/>
    </row>
    <row r="51" spans="2:14" ht="15.75">
      <c r="B51" s="213" t="str">
        <f>DT!D14</f>
        <v>Endang Taryana</v>
      </c>
      <c r="L51" s="233" t="str">
        <f>DT!D15</f>
        <v>Arin Yustini, SE</v>
      </c>
      <c r="N51" s="15"/>
    </row>
  </sheetData>
  <mergeCells count="16">
    <mergeCell ref="A1:O1"/>
    <mergeCell ref="A2:O2"/>
    <mergeCell ref="D8:F8"/>
    <mergeCell ref="G8:N8"/>
    <mergeCell ref="O8:O11"/>
    <mergeCell ref="D9:D11"/>
    <mergeCell ref="E9:E11"/>
    <mergeCell ref="F9:F11"/>
    <mergeCell ref="G9:K9"/>
    <mergeCell ref="M9:M11"/>
    <mergeCell ref="N9:N11"/>
    <mergeCell ref="G10:G11"/>
    <mergeCell ref="H10:H11"/>
    <mergeCell ref="I10:I11"/>
    <mergeCell ref="J10:J11"/>
    <mergeCell ref="K10:K11"/>
  </mergeCells>
  <printOptions horizontalCentered="1" verticalCentered="1"/>
  <pageMargins left="0.15748031496063" right="0.5" top="0.59055118110236204" bottom="0.23622047244094499" header="0.511811023622047" footer="0.511811023622047"/>
  <pageSetup paperSize="9" scale="50" orientation="landscape"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9" tint="-0.249977111117893"/>
  </sheetPr>
  <dimension ref="A1:T56"/>
  <sheetViews>
    <sheetView topLeftCell="B13" zoomScale="55" zoomScaleNormal="55" zoomScaleSheetLayoutView="70" workbookViewId="0">
      <selection activeCell="K54" sqref="K54"/>
    </sheetView>
  </sheetViews>
  <sheetFormatPr defaultColWidth="9.140625" defaultRowHeight="12.75"/>
  <cols>
    <col min="1" max="1" width="16" style="19" customWidth="1"/>
    <col min="2" max="2" width="59.28515625" style="15" customWidth="1"/>
    <col min="3" max="3" width="16.7109375" style="15" customWidth="1"/>
    <col min="4" max="4" width="20.140625" style="20" customWidth="1"/>
    <col min="5" max="5" width="14" style="20" customWidth="1"/>
    <col min="6" max="6" width="12.7109375" style="20" customWidth="1"/>
    <col min="7" max="7" width="19.7109375" style="20" customWidth="1"/>
    <col min="8" max="8" width="19.28515625" style="20" customWidth="1"/>
    <col min="9" max="9" width="14.5703125" style="20" customWidth="1"/>
    <col min="10" max="10" width="19.5703125" style="20" customWidth="1"/>
    <col min="11" max="11" width="13.140625" style="20" customWidth="1"/>
    <col min="12" max="12" width="15.5703125" style="20" customWidth="1"/>
    <col min="13" max="13" width="18.85546875" style="20" customWidth="1"/>
    <col min="14" max="14" width="17.28515625" style="20" customWidth="1"/>
    <col min="15" max="15" width="13.85546875" style="20" customWidth="1"/>
    <col min="16" max="16" width="8.140625" style="20" customWidth="1"/>
    <col min="17" max="17" width="17.140625" style="20" customWidth="1"/>
    <col min="18" max="18" width="14.85546875" style="20" customWidth="1"/>
    <col min="19" max="16384" width="9.140625" style="15"/>
  </cols>
  <sheetData>
    <row r="1" spans="1:18" ht="20.25">
      <c r="A1" s="3396" t="s">
        <v>0</v>
      </c>
      <c r="B1" s="3396"/>
      <c r="C1" s="3396"/>
      <c r="D1" s="3396"/>
      <c r="E1" s="3396"/>
      <c r="F1" s="3396"/>
      <c r="G1" s="3396"/>
      <c r="H1" s="3396"/>
      <c r="I1" s="3396"/>
      <c r="J1" s="3396"/>
      <c r="K1" s="3396"/>
      <c r="L1" s="3396"/>
      <c r="M1" s="3396"/>
      <c r="N1" s="3396"/>
      <c r="O1" s="3396"/>
      <c r="P1" s="3396"/>
      <c r="Q1" s="3396"/>
      <c r="R1" s="3396"/>
    </row>
    <row r="2" spans="1:18" ht="20.25">
      <c r="A2" s="3396" t="s">
        <v>562</v>
      </c>
      <c r="B2" s="3396"/>
      <c r="C2" s="3396"/>
      <c r="D2" s="3396"/>
      <c r="E2" s="3396"/>
      <c r="F2" s="3396"/>
      <c r="G2" s="3396"/>
      <c r="H2" s="3396"/>
      <c r="I2" s="3396"/>
      <c r="J2" s="3396"/>
      <c r="K2" s="3396"/>
      <c r="L2" s="3396"/>
      <c r="M2" s="3396"/>
      <c r="N2" s="3396"/>
      <c r="O2" s="3396"/>
      <c r="P2" s="3396"/>
      <c r="Q2" s="3396"/>
      <c r="R2" s="3396"/>
    </row>
    <row r="3" spans="1:18" s="1" customFormat="1" ht="15.75">
      <c r="A3" s="10"/>
      <c r="D3" s="7"/>
      <c r="E3" s="7"/>
      <c r="F3" s="7"/>
      <c r="G3" s="7"/>
      <c r="H3" s="7"/>
      <c r="I3" s="7"/>
      <c r="J3" s="7"/>
      <c r="K3" s="7"/>
      <c r="L3" s="7"/>
      <c r="M3" s="7"/>
      <c r="N3" s="7"/>
      <c r="O3" s="7"/>
      <c r="P3" s="7"/>
      <c r="Q3" s="7"/>
      <c r="R3" s="7"/>
    </row>
    <row r="4" spans="1:18" s="1" customFormat="1" ht="15.75">
      <c r="A4" s="8" t="s">
        <v>2</v>
      </c>
      <c r="B4" s="21"/>
      <c r="C4" s="4" t="str">
        <f>": "&amp;DT!D3</f>
        <v>: Nagrak</v>
      </c>
      <c r="D4" s="5"/>
      <c r="E4" s="5"/>
      <c r="F4" s="5"/>
      <c r="G4" s="7"/>
      <c r="H4" s="7"/>
      <c r="L4" s="7"/>
      <c r="M4" s="5" t="s">
        <v>3</v>
      </c>
      <c r="N4" s="18"/>
      <c r="O4" s="18"/>
      <c r="P4" s="18"/>
      <c r="Q4" s="6" t="str">
        <f>": "&amp;DT!D25</f>
        <v>: Februari 2016</v>
      </c>
      <c r="R4" s="7"/>
    </row>
    <row r="5" spans="1:18" s="1" customFormat="1" ht="15.75">
      <c r="A5" s="8" t="s">
        <v>4</v>
      </c>
      <c r="B5" s="21"/>
      <c r="C5" s="4" t="str">
        <f>": "&amp;DT!D4</f>
        <v>: Sukabumi</v>
      </c>
      <c r="D5" s="5"/>
      <c r="E5" s="5"/>
      <c r="F5" s="5"/>
      <c r="G5" s="7"/>
      <c r="H5" s="7"/>
      <c r="L5" s="7"/>
      <c r="M5" s="5" t="s">
        <v>5</v>
      </c>
      <c r="N5" s="18"/>
      <c r="O5" s="18"/>
      <c r="P5" s="18"/>
      <c r="Q5" s="6" t="s">
        <v>357</v>
      </c>
      <c r="R5" s="7"/>
    </row>
    <row r="6" spans="1:18" s="1" customFormat="1" ht="15.75">
      <c r="A6" s="8" t="s">
        <v>6</v>
      </c>
      <c r="B6" s="21"/>
      <c r="C6" s="4" t="str">
        <f>": "&amp;DT!D5</f>
        <v>: Jawa Barat</v>
      </c>
      <c r="D6" s="5"/>
      <c r="E6" s="5"/>
      <c r="F6" s="5"/>
      <c r="G6" s="7"/>
      <c r="H6" s="7"/>
      <c r="I6" s="7"/>
      <c r="J6" s="7"/>
      <c r="K6" s="7"/>
      <c r="L6" s="7"/>
      <c r="M6" s="7"/>
      <c r="N6" s="7"/>
      <c r="O6" s="7"/>
      <c r="P6" s="7"/>
      <c r="Q6" s="7"/>
      <c r="R6" s="7"/>
    </row>
    <row r="7" spans="1:18" s="1" customFormat="1" ht="6.75" customHeight="1" thickBot="1">
      <c r="A7" s="8"/>
      <c r="B7" s="21"/>
      <c r="C7" s="5"/>
      <c r="D7" s="5"/>
      <c r="E7" s="5"/>
      <c r="F7" s="5"/>
      <c r="G7" s="7"/>
      <c r="H7" s="7"/>
      <c r="I7" s="7"/>
      <c r="J7" s="7"/>
      <c r="K7" s="7"/>
      <c r="L7" s="7"/>
      <c r="M7" s="7"/>
      <c r="N7" s="7"/>
      <c r="O7" s="7"/>
      <c r="P7" s="7"/>
      <c r="Q7" s="7"/>
      <c r="R7" s="7"/>
    </row>
    <row r="8" spans="1:18" s="1" customFormat="1" ht="25.5">
      <c r="A8" s="2186"/>
      <c r="B8" s="2187"/>
      <c r="C8" s="2187"/>
      <c r="D8" s="3427" t="s">
        <v>10</v>
      </c>
      <c r="E8" s="3427"/>
      <c r="F8" s="3428"/>
      <c r="G8" s="3429" t="s">
        <v>11</v>
      </c>
      <c r="H8" s="3427"/>
      <c r="I8" s="3427"/>
      <c r="J8" s="3427"/>
      <c r="K8" s="3427"/>
      <c r="L8" s="3427"/>
      <c r="M8" s="3427"/>
      <c r="N8" s="3427"/>
      <c r="O8" s="3427"/>
      <c r="P8" s="3427"/>
      <c r="Q8" s="3427"/>
      <c r="R8" s="3430" t="s">
        <v>12</v>
      </c>
    </row>
    <row r="9" spans="1:18" s="1" customFormat="1" ht="15.75">
      <c r="A9" s="2188" t="s">
        <v>7</v>
      </c>
      <c r="B9" s="2185" t="s">
        <v>8</v>
      </c>
      <c r="C9" s="2185" t="s">
        <v>9</v>
      </c>
      <c r="D9" s="3412" t="s">
        <v>253</v>
      </c>
      <c r="E9" s="3412" t="s">
        <v>63</v>
      </c>
      <c r="F9" s="3419" t="s">
        <v>28</v>
      </c>
      <c r="G9" s="3435" t="s">
        <v>45</v>
      </c>
      <c r="H9" s="3413"/>
      <c r="I9" s="3413"/>
      <c r="J9" s="3413"/>
      <c r="K9" s="3413"/>
      <c r="L9" s="3413"/>
      <c r="M9" s="3413"/>
      <c r="N9" s="3413"/>
      <c r="O9" s="2147" t="s">
        <v>64</v>
      </c>
      <c r="P9" s="3412" t="s">
        <v>28</v>
      </c>
      <c r="Q9" s="3413" t="s">
        <v>29</v>
      </c>
      <c r="R9" s="3431"/>
    </row>
    <row r="10" spans="1:18" s="1" customFormat="1" ht="15.75">
      <c r="A10" s="2188" t="s">
        <v>13</v>
      </c>
      <c r="B10" s="2185" t="s">
        <v>13</v>
      </c>
      <c r="C10" s="2185" t="s">
        <v>13</v>
      </c>
      <c r="D10" s="3412"/>
      <c r="E10" s="3412"/>
      <c r="F10" s="3419"/>
      <c r="G10" s="3435" t="s">
        <v>46</v>
      </c>
      <c r="H10" s="3413" t="s">
        <v>47</v>
      </c>
      <c r="I10" s="3413" t="s">
        <v>48</v>
      </c>
      <c r="J10" s="2147" t="s">
        <v>49</v>
      </c>
      <c r="K10" s="2147" t="s">
        <v>49</v>
      </c>
      <c r="L10" s="2147" t="s">
        <v>37</v>
      </c>
      <c r="M10" s="3413" t="s">
        <v>50</v>
      </c>
      <c r="N10" s="3413" t="s">
        <v>51</v>
      </c>
      <c r="O10" s="2147" t="s">
        <v>254</v>
      </c>
      <c r="P10" s="3412"/>
      <c r="Q10" s="3413"/>
      <c r="R10" s="3431"/>
    </row>
    <row r="11" spans="1:18" s="1" customFormat="1" ht="16.5" thickBot="1">
      <c r="A11" s="2192"/>
      <c r="B11" s="2193"/>
      <c r="C11" s="2193"/>
      <c r="D11" s="3433"/>
      <c r="E11" s="3433"/>
      <c r="F11" s="3434"/>
      <c r="G11" s="3437"/>
      <c r="H11" s="3436"/>
      <c r="I11" s="3436"/>
      <c r="J11" s="2194" t="s">
        <v>53</v>
      </c>
      <c r="K11" s="2194" t="s">
        <v>52</v>
      </c>
      <c r="L11" s="2194" t="s">
        <v>54</v>
      </c>
      <c r="M11" s="3436"/>
      <c r="N11" s="3436"/>
      <c r="O11" s="2194" t="s">
        <v>67</v>
      </c>
      <c r="P11" s="3433"/>
      <c r="Q11" s="3436"/>
      <c r="R11" s="3432"/>
    </row>
    <row r="12" spans="1:18" s="1" customFormat="1" ht="23.25" customHeight="1" thickTop="1">
      <c r="A12" s="506"/>
      <c r="B12" s="507" t="s">
        <v>258</v>
      </c>
      <c r="C12" s="507"/>
      <c r="D12" s="508">
        <v>550100000</v>
      </c>
      <c r="E12" s="508">
        <v>100000</v>
      </c>
      <c r="F12" s="509">
        <v>0</v>
      </c>
      <c r="G12" s="510">
        <v>207480400</v>
      </c>
      <c r="H12" s="508">
        <v>158469600</v>
      </c>
      <c r="I12" s="508">
        <v>0</v>
      </c>
      <c r="J12" s="511">
        <v>109050000</v>
      </c>
      <c r="K12" s="511">
        <v>0</v>
      </c>
      <c r="L12" s="508">
        <v>0</v>
      </c>
      <c r="M12" s="508">
        <v>15000000</v>
      </c>
      <c r="N12" s="508">
        <v>10000000</v>
      </c>
      <c r="O12" s="508">
        <v>100000</v>
      </c>
      <c r="P12" s="508">
        <v>0</v>
      </c>
      <c r="Q12" s="508">
        <v>50100000</v>
      </c>
      <c r="R12" s="512">
        <f>(SUM((D12:F12))-(SUM((G12:Q12))))</f>
        <v>0</v>
      </c>
    </row>
    <row r="13" spans="1:18" s="23" customFormat="1" ht="23.25" customHeight="1" thickBot="1">
      <c r="A13" s="936"/>
      <c r="B13" s="937" t="s">
        <v>539</v>
      </c>
      <c r="C13" s="938"/>
      <c r="D13" s="939"/>
      <c r="E13" s="939"/>
      <c r="F13" s="940"/>
      <c r="G13" s="941"/>
      <c r="H13" s="939"/>
      <c r="I13" s="939"/>
      <c r="J13" s="939"/>
      <c r="K13" s="939"/>
      <c r="L13" s="939"/>
      <c r="M13" s="939"/>
      <c r="N13" s="939"/>
      <c r="O13" s="939"/>
      <c r="P13" s="939"/>
      <c r="Q13" s="939"/>
      <c r="R13" s="942">
        <f t="shared" ref="R13:R43" si="0">R12+(SUM((D13:F13))-(SUM((G13:Q13))))</f>
        <v>0</v>
      </c>
    </row>
    <row r="14" spans="1:18" s="1" customFormat="1" ht="19.5" customHeight="1">
      <c r="A14" s="463"/>
      <c r="B14" s="464"/>
      <c r="C14" s="464"/>
      <c r="D14" s="465"/>
      <c r="E14" s="466"/>
      <c r="F14" s="467"/>
      <c r="G14" s="468"/>
      <c r="H14" s="469"/>
      <c r="I14" s="469"/>
      <c r="J14" s="470"/>
      <c r="K14" s="470"/>
      <c r="L14" s="470"/>
      <c r="M14" s="470"/>
      <c r="N14" s="470"/>
      <c r="O14" s="470"/>
      <c r="P14" s="470"/>
      <c r="Q14" s="466"/>
      <c r="R14" s="943">
        <f t="shared" si="0"/>
        <v>0</v>
      </c>
    </row>
    <row r="15" spans="1:18" s="1" customFormat="1" ht="19.5" customHeight="1">
      <c r="A15" s="478"/>
      <c r="B15" s="229"/>
      <c r="C15" s="229"/>
      <c r="D15" s="479"/>
      <c r="E15" s="480"/>
      <c r="F15" s="481"/>
      <c r="G15" s="482"/>
      <c r="H15" s="483"/>
      <c r="I15" s="483"/>
      <c r="J15" s="484"/>
      <c r="K15" s="484"/>
      <c r="L15" s="484"/>
      <c r="M15" s="484"/>
      <c r="N15" s="484"/>
      <c r="O15" s="484"/>
      <c r="P15" s="484"/>
      <c r="Q15" s="480"/>
      <c r="R15" s="944">
        <f t="shared" si="0"/>
        <v>0</v>
      </c>
    </row>
    <row r="16" spans="1:18" s="1" customFormat="1" ht="19.5" customHeight="1">
      <c r="A16" s="478"/>
      <c r="B16" s="229"/>
      <c r="C16" s="229"/>
      <c r="D16" s="479"/>
      <c r="E16" s="480"/>
      <c r="F16" s="481"/>
      <c r="G16" s="482"/>
      <c r="H16" s="483"/>
      <c r="I16" s="483"/>
      <c r="J16" s="484"/>
      <c r="K16" s="484"/>
      <c r="L16" s="484"/>
      <c r="M16" s="484"/>
      <c r="N16" s="484"/>
      <c r="O16" s="484"/>
      <c r="P16" s="484"/>
      <c r="Q16" s="480"/>
      <c r="R16" s="944">
        <f t="shared" si="0"/>
        <v>0</v>
      </c>
    </row>
    <row r="17" spans="1:18" s="1" customFormat="1" ht="19.5" customHeight="1">
      <c r="A17" s="478"/>
      <c r="B17" s="229"/>
      <c r="C17" s="229"/>
      <c r="D17" s="479"/>
      <c r="E17" s="480"/>
      <c r="F17" s="481"/>
      <c r="G17" s="482"/>
      <c r="H17" s="483"/>
      <c r="I17" s="483"/>
      <c r="J17" s="484"/>
      <c r="K17" s="484"/>
      <c r="L17" s="484"/>
      <c r="M17" s="484"/>
      <c r="N17" s="484"/>
      <c r="O17" s="484"/>
      <c r="P17" s="484"/>
      <c r="Q17" s="480"/>
      <c r="R17" s="944">
        <f t="shared" si="0"/>
        <v>0</v>
      </c>
    </row>
    <row r="18" spans="1:18" s="1" customFormat="1" ht="19.5" customHeight="1">
      <c r="A18" s="478"/>
      <c r="B18" s="229"/>
      <c r="C18" s="229"/>
      <c r="D18" s="479"/>
      <c r="E18" s="480"/>
      <c r="F18" s="481"/>
      <c r="G18" s="482"/>
      <c r="H18" s="483"/>
      <c r="I18" s="483"/>
      <c r="J18" s="484"/>
      <c r="K18" s="484"/>
      <c r="L18" s="484"/>
      <c r="M18" s="484"/>
      <c r="N18" s="484"/>
      <c r="O18" s="484"/>
      <c r="P18" s="484"/>
      <c r="Q18" s="480"/>
      <c r="R18" s="944">
        <f t="shared" si="0"/>
        <v>0</v>
      </c>
    </row>
    <row r="19" spans="1:18" s="1" customFormat="1" ht="19.5" customHeight="1">
      <c r="A19" s="478"/>
      <c r="B19" s="229"/>
      <c r="C19" s="229"/>
      <c r="D19" s="479"/>
      <c r="E19" s="480"/>
      <c r="F19" s="481"/>
      <c r="G19" s="482"/>
      <c r="H19" s="483"/>
      <c r="I19" s="483"/>
      <c r="J19" s="484"/>
      <c r="K19" s="484"/>
      <c r="L19" s="484"/>
      <c r="M19" s="484"/>
      <c r="N19" s="484"/>
      <c r="O19" s="484"/>
      <c r="P19" s="484"/>
      <c r="Q19" s="480"/>
      <c r="R19" s="944">
        <f t="shared" si="0"/>
        <v>0</v>
      </c>
    </row>
    <row r="20" spans="1:18" s="1" customFormat="1" ht="19.5" customHeight="1">
      <c r="A20" s="478"/>
      <c r="B20" s="229"/>
      <c r="C20" s="229"/>
      <c r="D20" s="479"/>
      <c r="E20" s="480"/>
      <c r="F20" s="481"/>
      <c r="G20" s="482"/>
      <c r="H20" s="483"/>
      <c r="I20" s="483"/>
      <c r="J20" s="484"/>
      <c r="K20" s="484"/>
      <c r="L20" s="484"/>
      <c r="M20" s="484"/>
      <c r="N20" s="484"/>
      <c r="O20" s="484"/>
      <c r="P20" s="484"/>
      <c r="Q20" s="480"/>
      <c r="R20" s="944">
        <f t="shared" si="0"/>
        <v>0</v>
      </c>
    </row>
    <row r="21" spans="1:18" s="1" customFormat="1" ht="19.5" customHeight="1">
      <c r="A21" s="478"/>
      <c r="B21" s="229"/>
      <c r="C21" s="229"/>
      <c r="D21" s="479"/>
      <c r="E21" s="480"/>
      <c r="F21" s="481"/>
      <c r="G21" s="482"/>
      <c r="H21" s="483"/>
      <c r="I21" s="483"/>
      <c r="J21" s="484"/>
      <c r="K21" s="484"/>
      <c r="L21" s="484"/>
      <c r="M21" s="484"/>
      <c r="N21" s="484"/>
      <c r="O21" s="484"/>
      <c r="P21" s="484"/>
      <c r="Q21" s="480"/>
      <c r="R21" s="944">
        <f t="shared" si="0"/>
        <v>0</v>
      </c>
    </row>
    <row r="22" spans="1:18" s="1" customFormat="1" ht="19.5" customHeight="1">
      <c r="A22" s="478"/>
      <c r="B22" s="229"/>
      <c r="C22" s="229"/>
      <c r="D22" s="479"/>
      <c r="E22" s="480"/>
      <c r="F22" s="481"/>
      <c r="G22" s="482"/>
      <c r="H22" s="483"/>
      <c r="I22" s="483"/>
      <c r="J22" s="484"/>
      <c r="K22" s="484"/>
      <c r="L22" s="484"/>
      <c r="M22" s="484"/>
      <c r="N22" s="484"/>
      <c r="O22" s="484"/>
      <c r="P22" s="484"/>
      <c r="Q22" s="480"/>
      <c r="R22" s="944">
        <f t="shared" si="0"/>
        <v>0</v>
      </c>
    </row>
    <row r="23" spans="1:18" s="1" customFormat="1" ht="19.5" customHeight="1">
      <c r="A23" s="478"/>
      <c r="B23" s="229"/>
      <c r="C23" s="229"/>
      <c r="D23" s="479"/>
      <c r="E23" s="480"/>
      <c r="F23" s="481"/>
      <c r="G23" s="482"/>
      <c r="H23" s="483"/>
      <c r="I23" s="483"/>
      <c r="J23" s="484"/>
      <c r="K23" s="484"/>
      <c r="L23" s="484"/>
      <c r="M23" s="484"/>
      <c r="N23" s="484"/>
      <c r="O23" s="484"/>
      <c r="P23" s="484"/>
      <c r="Q23" s="480"/>
      <c r="R23" s="944">
        <f t="shared" si="0"/>
        <v>0</v>
      </c>
    </row>
    <row r="24" spans="1:18" s="1" customFormat="1" ht="19.5" customHeight="1">
      <c r="A24" s="478"/>
      <c r="B24" s="229"/>
      <c r="C24" s="229"/>
      <c r="D24" s="479"/>
      <c r="E24" s="480"/>
      <c r="F24" s="481"/>
      <c r="G24" s="482"/>
      <c r="H24" s="483"/>
      <c r="I24" s="483"/>
      <c r="J24" s="484"/>
      <c r="K24" s="484"/>
      <c r="L24" s="484"/>
      <c r="M24" s="484"/>
      <c r="N24" s="484"/>
      <c r="O24" s="484"/>
      <c r="P24" s="484"/>
      <c r="Q24" s="480"/>
      <c r="R24" s="944">
        <f t="shared" si="0"/>
        <v>0</v>
      </c>
    </row>
    <row r="25" spans="1:18" s="1" customFormat="1" ht="19.5" customHeight="1">
      <c r="A25" s="478"/>
      <c r="B25" s="229"/>
      <c r="C25" s="229"/>
      <c r="D25" s="479"/>
      <c r="E25" s="480"/>
      <c r="F25" s="481"/>
      <c r="G25" s="482"/>
      <c r="H25" s="483"/>
      <c r="I25" s="483"/>
      <c r="J25" s="484"/>
      <c r="K25" s="484"/>
      <c r="L25" s="484"/>
      <c r="M25" s="484"/>
      <c r="N25" s="484"/>
      <c r="O25" s="484"/>
      <c r="P25" s="484"/>
      <c r="Q25" s="480"/>
      <c r="R25" s="944">
        <f t="shared" si="0"/>
        <v>0</v>
      </c>
    </row>
    <row r="26" spans="1:18" s="1" customFormat="1" ht="19.5" customHeight="1">
      <c r="A26" s="478"/>
      <c r="B26" s="229"/>
      <c r="C26" s="229"/>
      <c r="D26" s="479"/>
      <c r="E26" s="480"/>
      <c r="F26" s="481"/>
      <c r="G26" s="482"/>
      <c r="H26" s="483"/>
      <c r="I26" s="483"/>
      <c r="J26" s="484"/>
      <c r="K26" s="484"/>
      <c r="L26" s="484"/>
      <c r="M26" s="484"/>
      <c r="N26" s="484"/>
      <c r="O26" s="484"/>
      <c r="P26" s="484"/>
      <c r="Q26" s="480"/>
      <c r="R26" s="944">
        <f t="shared" si="0"/>
        <v>0</v>
      </c>
    </row>
    <row r="27" spans="1:18" s="1" customFormat="1" ht="19.5" customHeight="1">
      <c r="A27" s="478"/>
      <c r="B27" s="229"/>
      <c r="C27" s="229"/>
      <c r="D27" s="479"/>
      <c r="E27" s="480"/>
      <c r="F27" s="481"/>
      <c r="G27" s="482"/>
      <c r="H27" s="483"/>
      <c r="I27" s="483"/>
      <c r="J27" s="484"/>
      <c r="K27" s="484"/>
      <c r="L27" s="484"/>
      <c r="M27" s="484"/>
      <c r="N27" s="484"/>
      <c r="O27" s="484"/>
      <c r="P27" s="484"/>
      <c r="Q27" s="480"/>
      <c r="R27" s="944">
        <f t="shared" si="0"/>
        <v>0</v>
      </c>
    </row>
    <row r="28" spans="1:18" s="1" customFormat="1" ht="19.5" customHeight="1">
      <c r="A28" s="478"/>
      <c r="B28" s="229"/>
      <c r="C28" s="229"/>
      <c r="D28" s="479"/>
      <c r="E28" s="480"/>
      <c r="F28" s="481"/>
      <c r="G28" s="482"/>
      <c r="H28" s="483"/>
      <c r="I28" s="483"/>
      <c r="J28" s="484"/>
      <c r="K28" s="484"/>
      <c r="L28" s="484"/>
      <c r="M28" s="484"/>
      <c r="N28" s="484"/>
      <c r="O28" s="484"/>
      <c r="P28" s="484"/>
      <c r="Q28" s="480"/>
      <c r="R28" s="944">
        <f t="shared" si="0"/>
        <v>0</v>
      </c>
    </row>
    <row r="29" spans="1:18" s="1" customFormat="1" ht="19.5" customHeight="1">
      <c r="A29" s="478"/>
      <c r="B29" s="229"/>
      <c r="C29" s="229"/>
      <c r="D29" s="479"/>
      <c r="E29" s="480"/>
      <c r="F29" s="481"/>
      <c r="G29" s="482"/>
      <c r="H29" s="483"/>
      <c r="I29" s="483"/>
      <c r="J29" s="484"/>
      <c r="K29" s="484"/>
      <c r="L29" s="484"/>
      <c r="M29" s="484"/>
      <c r="N29" s="484"/>
      <c r="O29" s="484"/>
      <c r="P29" s="484"/>
      <c r="Q29" s="480"/>
      <c r="R29" s="944">
        <f t="shared" si="0"/>
        <v>0</v>
      </c>
    </row>
    <row r="30" spans="1:18" s="1" customFormat="1" ht="19.5" customHeight="1">
      <c r="A30" s="478"/>
      <c r="B30" s="229"/>
      <c r="C30" s="229"/>
      <c r="D30" s="479"/>
      <c r="E30" s="480"/>
      <c r="F30" s="481"/>
      <c r="G30" s="482"/>
      <c r="H30" s="483"/>
      <c r="I30" s="483"/>
      <c r="J30" s="484"/>
      <c r="K30" s="484"/>
      <c r="L30" s="484"/>
      <c r="M30" s="484"/>
      <c r="N30" s="484"/>
      <c r="O30" s="484"/>
      <c r="P30" s="484"/>
      <c r="Q30" s="480"/>
      <c r="R30" s="944">
        <f t="shared" si="0"/>
        <v>0</v>
      </c>
    </row>
    <row r="31" spans="1:18" s="1" customFormat="1" ht="19.5" customHeight="1">
      <c r="A31" s="471"/>
      <c r="B31" s="71"/>
      <c r="C31" s="71"/>
      <c r="D31" s="472"/>
      <c r="E31" s="473"/>
      <c r="F31" s="474"/>
      <c r="G31" s="475"/>
      <c r="H31" s="476"/>
      <c r="I31" s="476"/>
      <c r="J31" s="477"/>
      <c r="K31" s="477"/>
      <c r="L31" s="477"/>
      <c r="M31" s="477"/>
      <c r="N31" s="477"/>
      <c r="O31" s="477"/>
      <c r="P31" s="477"/>
      <c r="Q31" s="473"/>
      <c r="R31" s="945">
        <f t="shared" si="0"/>
        <v>0</v>
      </c>
    </row>
    <row r="32" spans="1:18" s="1" customFormat="1" ht="19.5" customHeight="1">
      <c r="A32" s="471"/>
      <c r="B32" s="71"/>
      <c r="C32" s="71"/>
      <c r="D32" s="472"/>
      <c r="E32" s="473"/>
      <c r="F32" s="474"/>
      <c r="G32" s="475"/>
      <c r="H32" s="476"/>
      <c r="I32" s="476"/>
      <c r="J32" s="477"/>
      <c r="K32" s="477"/>
      <c r="L32" s="477"/>
      <c r="M32" s="477"/>
      <c r="N32" s="477"/>
      <c r="O32" s="477"/>
      <c r="P32" s="477"/>
      <c r="Q32" s="473"/>
      <c r="R32" s="945">
        <f t="shared" si="0"/>
        <v>0</v>
      </c>
    </row>
    <row r="33" spans="1:20" s="1" customFormat="1" ht="19.5" customHeight="1">
      <c r="A33" s="471"/>
      <c r="B33" s="71"/>
      <c r="C33" s="71"/>
      <c r="D33" s="472"/>
      <c r="E33" s="473"/>
      <c r="F33" s="474"/>
      <c r="G33" s="475"/>
      <c r="H33" s="476"/>
      <c r="I33" s="476"/>
      <c r="J33" s="477"/>
      <c r="K33" s="477"/>
      <c r="L33" s="477"/>
      <c r="M33" s="477"/>
      <c r="N33" s="477"/>
      <c r="O33" s="477"/>
      <c r="P33" s="477"/>
      <c r="Q33" s="473"/>
      <c r="R33" s="945">
        <f t="shared" si="0"/>
        <v>0</v>
      </c>
    </row>
    <row r="34" spans="1:20" s="1" customFormat="1" ht="19.5" customHeight="1">
      <c r="A34" s="471"/>
      <c r="B34" s="71"/>
      <c r="C34" s="71"/>
      <c r="D34" s="472"/>
      <c r="E34" s="473"/>
      <c r="F34" s="474"/>
      <c r="G34" s="475"/>
      <c r="H34" s="476"/>
      <c r="I34" s="476"/>
      <c r="J34" s="477"/>
      <c r="K34" s="477"/>
      <c r="L34" s="477"/>
      <c r="M34" s="477"/>
      <c r="N34" s="477"/>
      <c r="O34" s="477"/>
      <c r="P34" s="477"/>
      <c r="Q34" s="473"/>
      <c r="R34" s="945">
        <f t="shared" si="0"/>
        <v>0</v>
      </c>
    </row>
    <row r="35" spans="1:20" s="1" customFormat="1" ht="19.5" customHeight="1">
      <c r="A35" s="471"/>
      <c r="B35" s="71"/>
      <c r="C35" s="71"/>
      <c r="D35" s="472"/>
      <c r="E35" s="473"/>
      <c r="F35" s="474"/>
      <c r="G35" s="475"/>
      <c r="H35" s="476"/>
      <c r="I35" s="476"/>
      <c r="J35" s="477"/>
      <c r="K35" s="477"/>
      <c r="L35" s="477"/>
      <c r="M35" s="477"/>
      <c r="N35" s="477"/>
      <c r="O35" s="477"/>
      <c r="P35" s="477"/>
      <c r="Q35" s="473"/>
      <c r="R35" s="945">
        <f t="shared" si="0"/>
        <v>0</v>
      </c>
    </row>
    <row r="36" spans="1:20" s="1" customFormat="1" ht="19.5" customHeight="1">
      <c r="A36" s="471"/>
      <c r="B36" s="71"/>
      <c r="C36" s="71"/>
      <c r="D36" s="472"/>
      <c r="E36" s="473"/>
      <c r="F36" s="474"/>
      <c r="G36" s="475"/>
      <c r="H36" s="476"/>
      <c r="I36" s="476"/>
      <c r="J36" s="477"/>
      <c r="K36" s="477"/>
      <c r="L36" s="477"/>
      <c r="M36" s="477"/>
      <c r="N36" s="477"/>
      <c r="O36" s="477"/>
      <c r="P36" s="477"/>
      <c r="Q36" s="473"/>
      <c r="R36" s="945">
        <f t="shared" si="0"/>
        <v>0</v>
      </c>
    </row>
    <row r="37" spans="1:20" s="1" customFormat="1" ht="19.5" customHeight="1">
      <c r="A37" s="471"/>
      <c r="B37" s="71"/>
      <c r="C37" s="71"/>
      <c r="D37" s="472"/>
      <c r="E37" s="473"/>
      <c r="F37" s="474"/>
      <c r="G37" s="475"/>
      <c r="H37" s="476"/>
      <c r="I37" s="476"/>
      <c r="J37" s="477"/>
      <c r="K37" s="477"/>
      <c r="L37" s="477"/>
      <c r="M37" s="477"/>
      <c r="N37" s="477"/>
      <c r="O37" s="477"/>
      <c r="P37" s="477"/>
      <c r="Q37" s="473"/>
      <c r="R37" s="945">
        <f t="shared" si="0"/>
        <v>0</v>
      </c>
    </row>
    <row r="38" spans="1:20" s="1" customFormat="1" ht="19.5" customHeight="1">
      <c r="A38" s="471"/>
      <c r="B38" s="71"/>
      <c r="C38" s="71"/>
      <c r="D38" s="472"/>
      <c r="E38" s="473"/>
      <c r="F38" s="474"/>
      <c r="G38" s="475"/>
      <c r="H38" s="476"/>
      <c r="I38" s="476"/>
      <c r="J38" s="477"/>
      <c r="K38" s="477"/>
      <c r="L38" s="477"/>
      <c r="M38" s="477"/>
      <c r="N38" s="477"/>
      <c r="O38" s="477"/>
      <c r="P38" s="477"/>
      <c r="Q38" s="473"/>
      <c r="R38" s="945">
        <f t="shared" si="0"/>
        <v>0</v>
      </c>
    </row>
    <row r="39" spans="1:20" s="1" customFormat="1" ht="19.5" customHeight="1">
      <c r="A39" s="471"/>
      <c r="B39" s="71"/>
      <c r="C39" s="71"/>
      <c r="D39" s="472"/>
      <c r="E39" s="473"/>
      <c r="F39" s="474"/>
      <c r="G39" s="475"/>
      <c r="H39" s="476"/>
      <c r="I39" s="476"/>
      <c r="J39" s="477"/>
      <c r="K39" s="477"/>
      <c r="L39" s="477"/>
      <c r="M39" s="477"/>
      <c r="N39" s="477"/>
      <c r="O39" s="477"/>
      <c r="P39" s="477"/>
      <c r="Q39" s="473"/>
      <c r="R39" s="945">
        <f t="shared" si="0"/>
        <v>0</v>
      </c>
    </row>
    <row r="40" spans="1:20" s="1" customFormat="1" ht="19.5" customHeight="1">
      <c r="A40" s="212"/>
      <c r="B40" s="97"/>
      <c r="C40" s="97"/>
      <c r="D40" s="98"/>
      <c r="E40" s="99"/>
      <c r="F40" s="100"/>
      <c r="G40" s="424"/>
      <c r="H40" s="425"/>
      <c r="I40" s="425"/>
      <c r="J40" s="423"/>
      <c r="K40" s="423"/>
      <c r="L40" s="423"/>
      <c r="M40" s="423"/>
      <c r="N40" s="423"/>
      <c r="O40" s="423"/>
      <c r="P40" s="423"/>
      <c r="Q40" s="99"/>
      <c r="R40" s="944">
        <f t="shared" si="0"/>
        <v>0</v>
      </c>
    </row>
    <row r="41" spans="1:20" s="1" customFormat="1" ht="19.5" customHeight="1">
      <c r="A41" s="212"/>
      <c r="B41" s="97"/>
      <c r="C41" s="97"/>
      <c r="D41" s="98"/>
      <c r="E41" s="99"/>
      <c r="F41" s="100"/>
      <c r="G41" s="424"/>
      <c r="H41" s="425"/>
      <c r="I41" s="425"/>
      <c r="J41" s="423"/>
      <c r="K41" s="423"/>
      <c r="L41" s="423"/>
      <c r="M41" s="423"/>
      <c r="N41" s="423"/>
      <c r="O41" s="423"/>
      <c r="P41" s="423"/>
      <c r="Q41" s="99"/>
      <c r="R41" s="944">
        <f t="shared" si="0"/>
        <v>0</v>
      </c>
      <c r="T41" s="7"/>
    </row>
    <row r="42" spans="1:20" s="1" customFormat="1" ht="19.5" customHeight="1">
      <c r="A42" s="212"/>
      <c r="B42" s="97"/>
      <c r="C42" s="97"/>
      <c r="D42" s="98"/>
      <c r="E42" s="99"/>
      <c r="F42" s="100"/>
      <c r="G42" s="424"/>
      <c r="H42" s="425"/>
      <c r="I42" s="425"/>
      <c r="J42" s="424"/>
      <c r="K42" s="498"/>
      <c r="L42" s="423"/>
      <c r="M42" s="423"/>
      <c r="N42" s="423"/>
      <c r="O42" s="423"/>
      <c r="P42" s="423"/>
      <c r="Q42" s="99"/>
      <c r="R42" s="944">
        <f t="shared" si="0"/>
        <v>0</v>
      </c>
    </row>
    <row r="43" spans="1:20" s="1" customFormat="1" ht="19.5" customHeight="1" thickBot="1">
      <c r="A43" s="212"/>
      <c r="B43" s="97"/>
      <c r="C43" s="97"/>
      <c r="D43" s="98"/>
      <c r="E43" s="99"/>
      <c r="F43" s="100"/>
      <c r="G43" s="101"/>
      <c r="H43" s="101"/>
      <c r="I43" s="98"/>
      <c r="J43" s="99"/>
      <c r="K43" s="99"/>
      <c r="L43" s="99"/>
      <c r="M43" s="99"/>
      <c r="N43" s="99"/>
      <c r="O43" s="99"/>
      <c r="P43" s="99"/>
      <c r="Q43" s="99"/>
      <c r="R43" s="944">
        <f t="shared" si="0"/>
        <v>0</v>
      </c>
    </row>
    <row r="44" spans="1:20" s="1" customFormat="1" ht="26.25" customHeight="1" thickTop="1" thickBot="1">
      <c r="A44" s="214"/>
      <c r="B44" s="82" t="s">
        <v>19</v>
      </c>
      <c r="C44" s="83"/>
      <c r="D44" s="948">
        <f>SUM(D14:D43)</f>
        <v>0</v>
      </c>
      <c r="E44" s="948">
        <f t="shared" ref="E44:Q44" si="1">SUM(E14:E43)</f>
        <v>0</v>
      </c>
      <c r="F44" s="949">
        <f t="shared" si="1"/>
        <v>0</v>
      </c>
      <c r="G44" s="950">
        <f t="shared" si="1"/>
        <v>0</v>
      </c>
      <c r="H44" s="948">
        <f t="shared" si="1"/>
        <v>0</v>
      </c>
      <c r="I44" s="948">
        <f t="shared" si="1"/>
        <v>0</v>
      </c>
      <c r="J44" s="951">
        <f t="shared" si="1"/>
        <v>0</v>
      </c>
      <c r="K44" s="951">
        <f>SUM(K14:K43)</f>
        <v>0</v>
      </c>
      <c r="L44" s="951">
        <f>SUM(L14:L43)</f>
        <v>0</v>
      </c>
      <c r="M44" s="948">
        <f t="shared" si="1"/>
        <v>0</v>
      </c>
      <c r="N44" s="948">
        <f t="shared" si="1"/>
        <v>0</v>
      </c>
      <c r="O44" s="948">
        <f t="shared" si="1"/>
        <v>0</v>
      </c>
      <c r="P44" s="948">
        <f t="shared" si="1"/>
        <v>0</v>
      </c>
      <c r="Q44" s="948">
        <f t="shared" si="1"/>
        <v>0</v>
      </c>
      <c r="R44" s="946">
        <f>(SUM((D44:F44))-(SUM((G44:Q44))))</f>
        <v>0</v>
      </c>
    </row>
    <row r="45" spans="1:20" s="1" customFormat="1" ht="26.25" customHeight="1" thickTop="1" thickBot="1">
      <c r="A45" s="214"/>
      <c r="B45" s="82" t="s">
        <v>257</v>
      </c>
      <c r="C45" s="83"/>
      <c r="D45" s="948">
        <f>D13+D44</f>
        <v>0</v>
      </c>
      <c r="E45" s="948">
        <f t="shared" ref="E45:Q45" si="2">E13+E44</f>
        <v>0</v>
      </c>
      <c r="F45" s="949">
        <f t="shared" si="2"/>
        <v>0</v>
      </c>
      <c r="G45" s="950">
        <f t="shared" si="2"/>
        <v>0</v>
      </c>
      <c r="H45" s="948">
        <f t="shared" si="2"/>
        <v>0</v>
      </c>
      <c r="I45" s="948">
        <f t="shared" si="2"/>
        <v>0</v>
      </c>
      <c r="J45" s="951">
        <f t="shared" si="2"/>
        <v>0</v>
      </c>
      <c r="K45" s="951">
        <f>K13+K44</f>
        <v>0</v>
      </c>
      <c r="L45" s="951">
        <f>L13+L44</f>
        <v>0</v>
      </c>
      <c r="M45" s="948">
        <f t="shared" si="2"/>
        <v>0</v>
      </c>
      <c r="N45" s="948">
        <f t="shared" si="2"/>
        <v>0</v>
      </c>
      <c r="O45" s="948">
        <f t="shared" si="2"/>
        <v>0</v>
      </c>
      <c r="P45" s="948">
        <f t="shared" si="2"/>
        <v>0</v>
      </c>
      <c r="Q45" s="948">
        <f t="shared" si="2"/>
        <v>0</v>
      </c>
      <c r="R45" s="946">
        <f>(SUM((D45:F45))-(SUM((G45:Q45))))</f>
        <v>0</v>
      </c>
    </row>
    <row r="46" spans="1:20" s="1" customFormat="1" ht="26.25" customHeight="1" thickTop="1" thickBot="1">
      <c r="A46" s="215"/>
      <c r="B46" s="216" t="s">
        <v>20</v>
      </c>
      <c r="C46" s="217"/>
      <c r="D46" s="952">
        <f>D12+D45</f>
        <v>550100000</v>
      </c>
      <c r="E46" s="952">
        <f t="shared" ref="E46:Q46" si="3">E12+E45</f>
        <v>100000</v>
      </c>
      <c r="F46" s="953">
        <f t="shared" si="3"/>
        <v>0</v>
      </c>
      <c r="G46" s="954">
        <f t="shared" si="3"/>
        <v>207480400</v>
      </c>
      <c r="H46" s="952">
        <f t="shared" si="3"/>
        <v>158469600</v>
      </c>
      <c r="I46" s="952">
        <f t="shared" si="3"/>
        <v>0</v>
      </c>
      <c r="J46" s="955">
        <f t="shared" si="3"/>
        <v>109050000</v>
      </c>
      <c r="K46" s="955">
        <f>K12+K45</f>
        <v>0</v>
      </c>
      <c r="L46" s="955">
        <f>L12+L45</f>
        <v>0</v>
      </c>
      <c r="M46" s="952">
        <f t="shared" si="3"/>
        <v>15000000</v>
      </c>
      <c r="N46" s="952">
        <f t="shared" si="3"/>
        <v>10000000</v>
      </c>
      <c r="O46" s="952">
        <f t="shared" si="3"/>
        <v>100000</v>
      </c>
      <c r="P46" s="952">
        <f t="shared" si="3"/>
        <v>0</v>
      </c>
      <c r="Q46" s="952">
        <f t="shared" si="3"/>
        <v>50100000</v>
      </c>
      <c r="R46" s="947">
        <f>(SUM((D46:F46))-(SUM((G46:Q46))))</f>
        <v>0</v>
      </c>
    </row>
    <row r="47" spans="1:20" s="1" customFormat="1" ht="15.75">
      <c r="A47" s="10"/>
      <c r="D47" s="7"/>
      <c r="E47" s="7"/>
      <c r="F47" s="7"/>
      <c r="G47" s="7"/>
      <c r="H47" s="7"/>
      <c r="I47" s="7"/>
      <c r="J47" s="426"/>
      <c r="K47" s="426"/>
      <c r="L47" s="7"/>
      <c r="M47" s="7"/>
      <c r="N47" s="7"/>
      <c r="O47" s="7"/>
      <c r="P47" s="7"/>
      <c r="Q47" s="7"/>
      <c r="R47" s="7"/>
    </row>
    <row r="48" spans="1:20" s="1" customFormat="1" ht="15.75">
      <c r="A48" s="10"/>
      <c r="B48" s="117" t="s">
        <v>21</v>
      </c>
      <c r="D48" s="7"/>
      <c r="E48" s="7"/>
      <c r="F48" s="7"/>
      <c r="G48" s="7"/>
      <c r="H48" s="7"/>
      <c r="I48" s="7"/>
      <c r="J48" s="7"/>
      <c r="K48" s="7"/>
      <c r="L48" s="7"/>
      <c r="M48" s="7"/>
      <c r="N48" s="7"/>
      <c r="O48" s="11" t="str">
        <f>DT!D28</f>
        <v>Nagrak, 29 Februari 2016 2016</v>
      </c>
      <c r="P48" s="7"/>
      <c r="R48" s="7"/>
    </row>
    <row r="49" spans="2:17" ht="31.5">
      <c r="B49" s="117" t="s">
        <v>23</v>
      </c>
      <c r="O49" s="118" t="s">
        <v>24</v>
      </c>
      <c r="Q49" s="15"/>
    </row>
    <row r="50" spans="2:17" ht="15.75">
      <c r="B50" s="117"/>
      <c r="O50" s="118"/>
      <c r="Q50" s="15"/>
    </row>
    <row r="51" spans="2:17" ht="15.75">
      <c r="B51" s="117"/>
      <c r="O51" s="118"/>
      <c r="Q51" s="15"/>
    </row>
    <row r="52" spans="2:17" ht="15.75">
      <c r="B52" s="117"/>
      <c r="O52" s="118"/>
      <c r="Q52" s="15"/>
    </row>
    <row r="53" spans="2:17" ht="15.75">
      <c r="B53" s="117"/>
      <c r="O53" s="118"/>
      <c r="Q53" s="15"/>
    </row>
    <row r="54" spans="2:17" ht="15.75">
      <c r="B54" s="117"/>
      <c r="O54" s="118"/>
      <c r="Q54" s="15"/>
    </row>
    <row r="55" spans="2:17" ht="15.75">
      <c r="B55" s="104"/>
      <c r="O55" s="119"/>
      <c r="Q55" s="15"/>
    </row>
    <row r="56" spans="2:17" ht="15.75">
      <c r="B56" s="213" t="str">
        <f>DT!D14</f>
        <v>Endang Taryana</v>
      </c>
      <c r="O56" s="233" t="str">
        <f>DT!D15</f>
        <v>Arin Yustini, SE</v>
      </c>
      <c r="Q56" s="15"/>
    </row>
  </sheetData>
  <mergeCells count="16">
    <mergeCell ref="A1:R1"/>
    <mergeCell ref="A2:R2"/>
    <mergeCell ref="D8:F8"/>
    <mergeCell ref="G8:Q8"/>
    <mergeCell ref="R8:R11"/>
    <mergeCell ref="D9:D11"/>
    <mergeCell ref="E9:E11"/>
    <mergeCell ref="F9:F11"/>
    <mergeCell ref="G9:N9"/>
    <mergeCell ref="P9:P11"/>
    <mergeCell ref="Q9:Q11"/>
    <mergeCell ref="G10:G11"/>
    <mergeCell ref="H10:H11"/>
    <mergeCell ref="I10:I11"/>
    <mergeCell ref="M10:M11"/>
    <mergeCell ref="N10:N11"/>
  </mergeCells>
  <printOptions horizontalCentered="1" verticalCentered="1"/>
  <pageMargins left="0.18" right="0.21" top="0.59055118110236227" bottom="0.23622047244094491" header="0.51181102362204722" footer="0.51181102362204722"/>
  <pageSetup paperSize="9" scale="45" orientation="landscape" horizontalDpi="4294967293" verticalDpi="4294967293"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9" tint="-0.249977111117893"/>
  </sheetPr>
  <dimension ref="A1:T51"/>
  <sheetViews>
    <sheetView topLeftCell="A22" zoomScale="55" zoomScaleNormal="55" zoomScaleSheetLayoutView="70" workbookViewId="0">
      <selection activeCell="D49" sqref="D49"/>
    </sheetView>
  </sheetViews>
  <sheetFormatPr defaultColWidth="9.140625" defaultRowHeight="12.75"/>
  <cols>
    <col min="1" max="1" width="17.5703125" style="19" customWidth="1"/>
    <col min="2" max="2" width="59.28515625" style="15" customWidth="1"/>
    <col min="3" max="3" width="18.5703125" style="15" customWidth="1"/>
    <col min="4" max="4" width="16.5703125" style="20" customWidth="1"/>
    <col min="5" max="5" width="10.42578125" style="20" customWidth="1"/>
    <col min="6" max="6" width="15.28515625" style="20" bestFit="1" customWidth="1"/>
    <col min="7" max="7" width="16.85546875" style="20" customWidth="1"/>
    <col min="8" max="8" width="14.85546875" style="20" customWidth="1"/>
    <col min="9" max="9" width="14.5703125" style="20" customWidth="1"/>
    <col min="10" max="11" width="13.140625" style="20" customWidth="1"/>
    <col min="12" max="12" width="10.5703125" style="20" customWidth="1"/>
    <col min="13" max="13" width="14" style="20" customWidth="1"/>
    <col min="14" max="14" width="13.42578125" style="20" customWidth="1"/>
    <col min="15" max="15" width="13.85546875" style="20" customWidth="1"/>
    <col min="16" max="16" width="8.140625" style="20" customWidth="1"/>
    <col min="17" max="17" width="12" style="20" customWidth="1"/>
    <col min="18" max="18" width="14.85546875" style="20" customWidth="1"/>
    <col min="19" max="16384" width="9.140625" style="15"/>
  </cols>
  <sheetData>
    <row r="1" spans="1:18" ht="20.25">
      <c r="A1" s="3396" t="s">
        <v>0</v>
      </c>
      <c r="B1" s="3396"/>
      <c r="C1" s="3396"/>
      <c r="D1" s="3396"/>
      <c r="E1" s="3396"/>
      <c r="F1" s="3396"/>
      <c r="G1" s="3396"/>
      <c r="H1" s="3396"/>
      <c r="I1" s="3396"/>
      <c r="J1" s="3396"/>
      <c r="K1" s="3396"/>
      <c r="L1" s="3396"/>
      <c r="M1" s="3396"/>
      <c r="N1" s="3396"/>
      <c r="O1" s="3396"/>
      <c r="P1" s="3396"/>
      <c r="Q1" s="3396"/>
      <c r="R1" s="3396"/>
    </row>
    <row r="2" spans="1:18" ht="20.25">
      <c r="A2" s="3396" t="s">
        <v>564</v>
      </c>
      <c r="B2" s="3396"/>
      <c r="C2" s="3396"/>
      <c r="D2" s="3396"/>
      <c r="E2" s="3396"/>
      <c r="F2" s="3396"/>
      <c r="G2" s="3396"/>
      <c r="H2" s="3396"/>
      <c r="I2" s="3396"/>
      <c r="J2" s="3396"/>
      <c r="K2" s="3396"/>
      <c r="L2" s="3396"/>
      <c r="M2" s="3396"/>
      <c r="N2" s="3396"/>
      <c r="O2" s="3396"/>
      <c r="P2" s="3396"/>
      <c r="Q2" s="3396"/>
      <c r="R2" s="3396"/>
    </row>
    <row r="3" spans="1:18" s="1" customFormat="1" ht="15.75">
      <c r="A3" s="10"/>
      <c r="D3" s="7"/>
      <c r="E3" s="7"/>
      <c r="F3" s="7"/>
      <c r="G3" s="7"/>
      <c r="H3" s="7"/>
      <c r="I3" s="7"/>
      <c r="J3" s="7"/>
      <c r="K3" s="7"/>
      <c r="L3" s="7"/>
      <c r="M3" s="7"/>
      <c r="N3" s="7"/>
      <c r="O3" s="7"/>
      <c r="P3" s="7"/>
      <c r="Q3" s="7"/>
      <c r="R3" s="7"/>
    </row>
    <row r="4" spans="1:18" s="1" customFormat="1" ht="15.75">
      <c r="A4" s="8" t="s">
        <v>2</v>
      </c>
      <c r="B4" s="21"/>
      <c r="C4" s="4" t="str">
        <f>": "&amp;DT!D3</f>
        <v>: Nagrak</v>
      </c>
      <c r="D4" s="5"/>
      <c r="E4" s="5"/>
      <c r="F4" s="5"/>
      <c r="G4" s="7"/>
      <c r="H4" s="7"/>
      <c r="L4" s="7"/>
      <c r="M4" s="5" t="s">
        <v>3</v>
      </c>
      <c r="N4" s="18"/>
      <c r="O4" s="18"/>
      <c r="P4" s="18"/>
      <c r="Q4" s="6" t="str">
        <f>": "&amp;DT!D25</f>
        <v>: Februari 2016</v>
      </c>
      <c r="R4" s="7"/>
    </row>
    <row r="5" spans="1:18" s="1" customFormat="1" ht="15.75">
      <c r="A5" s="8" t="s">
        <v>4</v>
      </c>
      <c r="B5" s="21"/>
      <c r="C5" s="4" t="str">
        <f>": "&amp;DT!D4</f>
        <v>: Sukabumi</v>
      </c>
      <c r="D5" s="5"/>
      <c r="E5" s="5"/>
      <c r="F5" s="5"/>
      <c r="G5" s="7"/>
      <c r="H5" s="7"/>
      <c r="L5" s="7"/>
      <c r="M5" s="5" t="s">
        <v>5</v>
      </c>
      <c r="N5" s="18"/>
      <c r="O5" s="18"/>
      <c r="P5" s="18"/>
      <c r="Q5" s="6" t="s">
        <v>357</v>
      </c>
      <c r="R5" s="7"/>
    </row>
    <row r="6" spans="1:18" s="1" customFormat="1" ht="15.75">
      <c r="A6" s="8" t="s">
        <v>6</v>
      </c>
      <c r="B6" s="21"/>
      <c r="C6" s="4" t="str">
        <f>": "&amp;DT!D5</f>
        <v>: Jawa Barat</v>
      </c>
      <c r="D6" s="5"/>
      <c r="E6" s="5"/>
      <c r="F6" s="5"/>
      <c r="G6" s="7"/>
      <c r="H6" s="7"/>
      <c r="I6" s="7"/>
      <c r="J6" s="7"/>
      <c r="K6" s="7"/>
      <c r="L6" s="7"/>
      <c r="M6" s="7"/>
      <c r="N6" s="7"/>
      <c r="O6" s="7"/>
      <c r="P6" s="7"/>
      <c r="Q6" s="7"/>
      <c r="R6" s="7"/>
    </row>
    <row r="7" spans="1:18" s="1" customFormat="1" ht="6.75" customHeight="1" thickBot="1">
      <c r="A7" s="8"/>
      <c r="B7" s="21"/>
      <c r="C7" s="5"/>
      <c r="D7" s="5"/>
      <c r="E7" s="5"/>
      <c r="F7" s="5"/>
      <c r="G7" s="7"/>
      <c r="H7" s="7"/>
      <c r="I7" s="7"/>
      <c r="J7" s="7"/>
      <c r="K7" s="7"/>
      <c r="L7" s="7"/>
      <c r="M7" s="7"/>
      <c r="N7" s="7"/>
      <c r="O7" s="7"/>
      <c r="P7" s="7"/>
      <c r="Q7" s="7"/>
      <c r="R7" s="7"/>
    </row>
    <row r="8" spans="1:18" s="1" customFormat="1" ht="25.5">
      <c r="A8" s="2186"/>
      <c r="B8" s="2187"/>
      <c r="C8" s="2187"/>
      <c r="D8" s="3427" t="s">
        <v>10</v>
      </c>
      <c r="E8" s="3427"/>
      <c r="F8" s="3438"/>
      <c r="G8" s="3439" t="s">
        <v>11</v>
      </c>
      <c r="H8" s="3427"/>
      <c r="I8" s="3427"/>
      <c r="J8" s="3427"/>
      <c r="K8" s="3427"/>
      <c r="L8" s="3427"/>
      <c r="M8" s="3427"/>
      <c r="N8" s="3427"/>
      <c r="O8" s="3427"/>
      <c r="P8" s="3427"/>
      <c r="Q8" s="3427"/>
      <c r="R8" s="3430" t="s">
        <v>12</v>
      </c>
    </row>
    <row r="9" spans="1:18" s="1" customFormat="1" ht="15.75">
      <c r="A9" s="2188" t="s">
        <v>7</v>
      </c>
      <c r="B9" s="2185" t="s">
        <v>8</v>
      </c>
      <c r="C9" s="2185" t="s">
        <v>9</v>
      </c>
      <c r="D9" s="3412" t="s">
        <v>253</v>
      </c>
      <c r="E9" s="3412" t="s">
        <v>63</v>
      </c>
      <c r="F9" s="3440" t="s">
        <v>28</v>
      </c>
      <c r="G9" s="3442" t="s">
        <v>45</v>
      </c>
      <c r="H9" s="3413"/>
      <c r="I9" s="3413"/>
      <c r="J9" s="3413"/>
      <c r="K9" s="3413"/>
      <c r="L9" s="3413"/>
      <c r="M9" s="3413"/>
      <c r="N9" s="3413"/>
      <c r="O9" s="2147" t="s">
        <v>64</v>
      </c>
      <c r="P9" s="3412" t="s">
        <v>28</v>
      </c>
      <c r="Q9" s="3413" t="s">
        <v>29</v>
      </c>
      <c r="R9" s="3431"/>
    </row>
    <row r="10" spans="1:18" s="1" customFormat="1" ht="15.75">
      <c r="A10" s="2188" t="s">
        <v>13</v>
      </c>
      <c r="B10" s="2185" t="s">
        <v>13</v>
      </c>
      <c r="C10" s="2185" t="s">
        <v>13</v>
      </c>
      <c r="D10" s="3412"/>
      <c r="E10" s="3412"/>
      <c r="F10" s="3440"/>
      <c r="G10" s="3442" t="s">
        <v>46</v>
      </c>
      <c r="H10" s="3413" t="s">
        <v>47</v>
      </c>
      <c r="I10" s="3413" t="s">
        <v>48</v>
      </c>
      <c r="J10" s="2147" t="s">
        <v>49</v>
      </c>
      <c r="K10" s="2147" t="s">
        <v>49</v>
      </c>
      <c r="L10" s="2147" t="s">
        <v>37</v>
      </c>
      <c r="M10" s="3415" t="s">
        <v>50</v>
      </c>
      <c r="N10" s="3415" t="s">
        <v>51</v>
      </c>
      <c r="O10" s="2147" t="s">
        <v>254</v>
      </c>
      <c r="P10" s="3412"/>
      <c r="Q10" s="3413"/>
      <c r="R10" s="3431"/>
    </row>
    <row r="11" spans="1:18" s="1" customFormat="1" ht="16.5" thickBot="1">
      <c r="A11" s="2192"/>
      <c r="B11" s="2193"/>
      <c r="C11" s="2193"/>
      <c r="D11" s="3433"/>
      <c r="E11" s="3433"/>
      <c r="F11" s="3441"/>
      <c r="G11" s="3443"/>
      <c r="H11" s="3436"/>
      <c r="I11" s="3436"/>
      <c r="J11" s="2194" t="s">
        <v>53</v>
      </c>
      <c r="K11" s="2194" t="s">
        <v>52</v>
      </c>
      <c r="L11" s="2194" t="s">
        <v>54</v>
      </c>
      <c r="M11" s="3444"/>
      <c r="N11" s="3444"/>
      <c r="O11" s="2194" t="s">
        <v>67</v>
      </c>
      <c r="P11" s="3433"/>
      <c r="Q11" s="3436"/>
      <c r="R11" s="3432"/>
    </row>
    <row r="12" spans="1:18" s="1" customFormat="1" ht="23.25" customHeight="1" thickTop="1">
      <c r="A12" s="506"/>
      <c r="B12" s="507" t="s">
        <v>258</v>
      </c>
      <c r="C12" s="507"/>
      <c r="D12" s="508"/>
      <c r="E12" s="508"/>
      <c r="F12" s="509"/>
      <c r="G12" s="510"/>
      <c r="H12" s="508"/>
      <c r="I12" s="508"/>
      <c r="J12" s="511"/>
      <c r="K12" s="511"/>
      <c r="L12" s="508"/>
      <c r="M12" s="508"/>
      <c r="N12" s="508"/>
      <c r="O12" s="508"/>
      <c r="P12" s="508"/>
      <c r="Q12" s="508"/>
      <c r="R12" s="512">
        <f>(SUM((D12:F12))-(SUM((G12:Q12))))</f>
        <v>0</v>
      </c>
    </row>
    <row r="13" spans="1:18" s="23" customFormat="1" ht="23.25" customHeight="1" thickBot="1">
      <c r="A13" s="936"/>
      <c r="B13" s="937" t="s">
        <v>539</v>
      </c>
      <c r="C13" s="938"/>
      <c r="D13" s="939"/>
      <c r="E13" s="939"/>
      <c r="F13" s="940"/>
      <c r="G13" s="941"/>
      <c r="H13" s="939"/>
      <c r="I13" s="939"/>
      <c r="J13" s="939"/>
      <c r="K13" s="939"/>
      <c r="L13" s="939"/>
      <c r="M13" s="939"/>
      <c r="N13" s="939"/>
      <c r="O13" s="939"/>
      <c r="P13" s="939"/>
      <c r="Q13" s="939"/>
      <c r="R13" s="942">
        <f t="shared" ref="R13:R43" si="0">R12+(SUM((D13:F13))-(SUM((G13:Q13))))</f>
        <v>0</v>
      </c>
    </row>
    <row r="14" spans="1:18" s="1" customFormat="1" ht="19.5" customHeight="1">
      <c r="A14" s="463"/>
      <c r="B14" s="464"/>
      <c r="C14" s="464"/>
      <c r="D14" s="465"/>
      <c r="E14" s="466"/>
      <c r="F14" s="467"/>
      <c r="G14" s="468"/>
      <c r="H14" s="469"/>
      <c r="I14" s="469"/>
      <c r="J14" s="470"/>
      <c r="K14" s="470"/>
      <c r="L14" s="470"/>
      <c r="M14" s="470"/>
      <c r="N14" s="470"/>
      <c r="O14" s="470"/>
      <c r="P14" s="470"/>
      <c r="Q14" s="466"/>
      <c r="R14" s="943">
        <f t="shared" si="0"/>
        <v>0</v>
      </c>
    </row>
    <row r="15" spans="1:18" s="1" customFormat="1" ht="19.5" customHeight="1">
      <c r="A15" s="478"/>
      <c r="B15" s="229"/>
      <c r="C15" s="229"/>
      <c r="D15" s="479"/>
      <c r="E15" s="480"/>
      <c r="F15" s="481"/>
      <c r="G15" s="482"/>
      <c r="H15" s="483"/>
      <c r="I15" s="483"/>
      <c r="J15" s="484"/>
      <c r="K15" s="484"/>
      <c r="L15" s="484"/>
      <c r="M15" s="484"/>
      <c r="N15" s="484"/>
      <c r="O15" s="484"/>
      <c r="P15" s="484"/>
      <c r="Q15" s="480"/>
      <c r="R15" s="944">
        <f t="shared" si="0"/>
        <v>0</v>
      </c>
    </row>
    <row r="16" spans="1:18" s="1" customFormat="1" ht="19.5" customHeight="1">
      <c r="A16" s="478"/>
      <c r="B16" s="229"/>
      <c r="C16" s="229"/>
      <c r="D16" s="479"/>
      <c r="E16" s="480"/>
      <c r="F16" s="481"/>
      <c r="G16" s="482"/>
      <c r="H16" s="483"/>
      <c r="I16" s="483"/>
      <c r="J16" s="484"/>
      <c r="K16" s="484"/>
      <c r="L16" s="484"/>
      <c r="M16" s="484"/>
      <c r="N16" s="484"/>
      <c r="O16" s="484"/>
      <c r="P16" s="484"/>
      <c r="Q16" s="480"/>
      <c r="R16" s="944">
        <f t="shared" si="0"/>
        <v>0</v>
      </c>
    </row>
    <row r="17" spans="1:18" s="1" customFormat="1" ht="19.5" customHeight="1">
      <c r="A17" s="478"/>
      <c r="B17" s="229"/>
      <c r="C17" s="229"/>
      <c r="D17" s="479"/>
      <c r="E17" s="480"/>
      <c r="F17" s="481"/>
      <c r="G17" s="482"/>
      <c r="H17" s="483"/>
      <c r="I17" s="483"/>
      <c r="J17" s="484"/>
      <c r="K17" s="484"/>
      <c r="L17" s="484"/>
      <c r="M17" s="484"/>
      <c r="N17" s="484"/>
      <c r="O17" s="484"/>
      <c r="P17" s="484"/>
      <c r="Q17" s="480"/>
      <c r="R17" s="944">
        <f t="shared" si="0"/>
        <v>0</v>
      </c>
    </row>
    <row r="18" spans="1:18" s="1" customFormat="1" ht="19.5" customHeight="1">
      <c r="A18" s="478"/>
      <c r="B18" s="229"/>
      <c r="C18" s="229"/>
      <c r="D18" s="479"/>
      <c r="E18" s="480"/>
      <c r="F18" s="481"/>
      <c r="G18" s="482"/>
      <c r="H18" s="483"/>
      <c r="I18" s="483"/>
      <c r="J18" s="484"/>
      <c r="K18" s="484"/>
      <c r="L18" s="484"/>
      <c r="M18" s="484"/>
      <c r="N18" s="484"/>
      <c r="O18" s="484"/>
      <c r="P18" s="484"/>
      <c r="Q18" s="480"/>
      <c r="R18" s="944">
        <f t="shared" si="0"/>
        <v>0</v>
      </c>
    </row>
    <row r="19" spans="1:18" s="1" customFormat="1" ht="19.5" customHeight="1">
      <c r="A19" s="478"/>
      <c r="B19" s="229"/>
      <c r="C19" s="229"/>
      <c r="D19" s="479"/>
      <c r="E19" s="480"/>
      <c r="F19" s="481"/>
      <c r="G19" s="482"/>
      <c r="H19" s="483"/>
      <c r="I19" s="483"/>
      <c r="J19" s="484"/>
      <c r="K19" s="484"/>
      <c r="L19" s="484"/>
      <c r="M19" s="484"/>
      <c r="N19" s="484"/>
      <c r="O19" s="484"/>
      <c r="P19" s="484"/>
      <c r="Q19" s="480"/>
      <c r="R19" s="944">
        <f t="shared" si="0"/>
        <v>0</v>
      </c>
    </row>
    <row r="20" spans="1:18" s="1" customFormat="1" ht="19.5" customHeight="1">
      <c r="A20" s="478"/>
      <c r="B20" s="229"/>
      <c r="C20" s="229"/>
      <c r="D20" s="479"/>
      <c r="E20" s="480"/>
      <c r="F20" s="481"/>
      <c r="G20" s="482"/>
      <c r="H20" s="483"/>
      <c r="I20" s="483"/>
      <c r="J20" s="484"/>
      <c r="K20" s="484"/>
      <c r="L20" s="484"/>
      <c r="M20" s="484"/>
      <c r="N20" s="484"/>
      <c r="O20" s="484"/>
      <c r="P20" s="484"/>
      <c r="Q20" s="480"/>
      <c r="R20" s="944">
        <f t="shared" si="0"/>
        <v>0</v>
      </c>
    </row>
    <row r="21" spans="1:18" s="1" customFormat="1" ht="19.5" customHeight="1">
      <c r="A21" s="478"/>
      <c r="B21" s="229"/>
      <c r="C21" s="229"/>
      <c r="D21" s="479"/>
      <c r="E21" s="480"/>
      <c r="F21" s="481"/>
      <c r="G21" s="482"/>
      <c r="H21" s="483"/>
      <c r="I21" s="483"/>
      <c r="J21" s="484"/>
      <c r="K21" s="484"/>
      <c r="L21" s="484"/>
      <c r="M21" s="484"/>
      <c r="N21" s="484"/>
      <c r="O21" s="484"/>
      <c r="P21" s="484"/>
      <c r="Q21" s="480"/>
      <c r="R21" s="944">
        <f t="shared" si="0"/>
        <v>0</v>
      </c>
    </row>
    <row r="22" spans="1:18" s="1" customFormat="1" ht="19.5" customHeight="1">
      <c r="A22" s="478"/>
      <c r="B22" s="229"/>
      <c r="C22" s="229"/>
      <c r="D22" s="479"/>
      <c r="E22" s="480"/>
      <c r="F22" s="481"/>
      <c r="G22" s="482"/>
      <c r="H22" s="483"/>
      <c r="I22" s="483"/>
      <c r="J22" s="484"/>
      <c r="K22" s="484"/>
      <c r="L22" s="484"/>
      <c r="M22" s="484"/>
      <c r="N22" s="484"/>
      <c r="O22" s="484"/>
      <c r="P22" s="484"/>
      <c r="Q22" s="480"/>
      <c r="R22" s="944">
        <f t="shared" si="0"/>
        <v>0</v>
      </c>
    </row>
    <row r="23" spans="1:18" s="1" customFormat="1" ht="19.5" customHeight="1">
      <c r="A23" s="478"/>
      <c r="B23" s="229"/>
      <c r="C23" s="229"/>
      <c r="D23" s="479"/>
      <c r="E23" s="480"/>
      <c r="F23" s="481"/>
      <c r="G23" s="482"/>
      <c r="H23" s="483"/>
      <c r="I23" s="483"/>
      <c r="J23" s="484"/>
      <c r="K23" s="484"/>
      <c r="L23" s="484"/>
      <c r="M23" s="484"/>
      <c r="N23" s="484"/>
      <c r="O23" s="484"/>
      <c r="P23" s="484"/>
      <c r="Q23" s="480"/>
      <c r="R23" s="944">
        <f t="shared" si="0"/>
        <v>0</v>
      </c>
    </row>
    <row r="24" spans="1:18" s="1" customFormat="1" ht="19.5" customHeight="1">
      <c r="A24" s="478"/>
      <c r="B24" s="229"/>
      <c r="C24" s="229"/>
      <c r="D24" s="479"/>
      <c r="E24" s="480"/>
      <c r="F24" s="481"/>
      <c r="G24" s="482"/>
      <c r="H24" s="483"/>
      <c r="I24" s="483"/>
      <c r="J24" s="484"/>
      <c r="K24" s="484"/>
      <c r="L24" s="484"/>
      <c r="M24" s="484"/>
      <c r="N24" s="484"/>
      <c r="O24" s="484"/>
      <c r="P24" s="484"/>
      <c r="Q24" s="480"/>
      <c r="R24" s="944">
        <f t="shared" si="0"/>
        <v>0</v>
      </c>
    </row>
    <row r="25" spans="1:18" s="1" customFormat="1" ht="19.5" customHeight="1">
      <c r="A25" s="478"/>
      <c r="B25" s="229"/>
      <c r="C25" s="229"/>
      <c r="D25" s="479"/>
      <c r="E25" s="480"/>
      <c r="F25" s="481"/>
      <c r="G25" s="482"/>
      <c r="H25" s="483"/>
      <c r="I25" s="483"/>
      <c r="J25" s="484"/>
      <c r="K25" s="484"/>
      <c r="L25" s="484"/>
      <c r="M25" s="484"/>
      <c r="N25" s="484"/>
      <c r="O25" s="484"/>
      <c r="P25" s="484"/>
      <c r="Q25" s="480"/>
      <c r="R25" s="944">
        <f t="shared" si="0"/>
        <v>0</v>
      </c>
    </row>
    <row r="26" spans="1:18" s="1" customFormat="1" ht="19.5" customHeight="1">
      <c r="A26" s="478"/>
      <c r="B26" s="229"/>
      <c r="C26" s="229"/>
      <c r="D26" s="479"/>
      <c r="E26" s="480"/>
      <c r="F26" s="481"/>
      <c r="G26" s="482"/>
      <c r="H26" s="483"/>
      <c r="I26" s="483"/>
      <c r="J26" s="484"/>
      <c r="K26" s="484"/>
      <c r="L26" s="484"/>
      <c r="M26" s="484"/>
      <c r="N26" s="484"/>
      <c r="O26" s="484"/>
      <c r="P26" s="484"/>
      <c r="Q26" s="480"/>
      <c r="R26" s="944">
        <f t="shared" si="0"/>
        <v>0</v>
      </c>
    </row>
    <row r="27" spans="1:18" s="1" customFormat="1" ht="19.5" customHeight="1">
      <c r="A27" s="478"/>
      <c r="B27" s="229"/>
      <c r="C27" s="229"/>
      <c r="D27" s="479"/>
      <c r="E27" s="480"/>
      <c r="F27" s="481"/>
      <c r="G27" s="482"/>
      <c r="H27" s="483"/>
      <c r="I27" s="483"/>
      <c r="J27" s="484"/>
      <c r="K27" s="484"/>
      <c r="L27" s="484"/>
      <c r="M27" s="484"/>
      <c r="N27" s="484"/>
      <c r="O27" s="484"/>
      <c r="P27" s="484"/>
      <c r="Q27" s="480"/>
      <c r="R27" s="944">
        <f t="shared" si="0"/>
        <v>0</v>
      </c>
    </row>
    <row r="28" spans="1:18" s="1" customFormat="1" ht="19.5" customHeight="1">
      <c r="A28" s="478"/>
      <c r="B28" s="229"/>
      <c r="C28" s="229"/>
      <c r="D28" s="479"/>
      <c r="E28" s="480"/>
      <c r="F28" s="481"/>
      <c r="G28" s="482"/>
      <c r="H28" s="483"/>
      <c r="I28" s="483"/>
      <c r="J28" s="484"/>
      <c r="K28" s="484"/>
      <c r="L28" s="484"/>
      <c r="M28" s="484"/>
      <c r="N28" s="484"/>
      <c r="O28" s="484"/>
      <c r="P28" s="484"/>
      <c r="Q28" s="480"/>
      <c r="R28" s="944">
        <f t="shared" si="0"/>
        <v>0</v>
      </c>
    </row>
    <row r="29" spans="1:18" s="1" customFormat="1" ht="19.5" customHeight="1">
      <c r="A29" s="478"/>
      <c r="B29" s="229"/>
      <c r="C29" s="229"/>
      <c r="D29" s="479"/>
      <c r="E29" s="480"/>
      <c r="F29" s="481"/>
      <c r="G29" s="482"/>
      <c r="H29" s="483"/>
      <c r="I29" s="483"/>
      <c r="J29" s="484"/>
      <c r="K29" s="484"/>
      <c r="L29" s="484"/>
      <c r="M29" s="484"/>
      <c r="N29" s="484"/>
      <c r="O29" s="484"/>
      <c r="P29" s="484"/>
      <c r="Q29" s="480"/>
      <c r="R29" s="944">
        <f t="shared" si="0"/>
        <v>0</v>
      </c>
    </row>
    <row r="30" spans="1:18" s="1" customFormat="1" ht="19.5" customHeight="1">
      <c r="A30" s="478"/>
      <c r="B30" s="229"/>
      <c r="C30" s="229"/>
      <c r="D30" s="479"/>
      <c r="E30" s="480"/>
      <c r="F30" s="481"/>
      <c r="G30" s="482"/>
      <c r="H30" s="483"/>
      <c r="I30" s="483"/>
      <c r="J30" s="484"/>
      <c r="K30" s="484"/>
      <c r="L30" s="484"/>
      <c r="M30" s="484"/>
      <c r="N30" s="484"/>
      <c r="O30" s="484"/>
      <c r="P30" s="484"/>
      <c r="Q30" s="480"/>
      <c r="R30" s="944">
        <f t="shared" si="0"/>
        <v>0</v>
      </c>
    </row>
    <row r="31" spans="1:18" s="1" customFormat="1" ht="19.5" customHeight="1">
      <c r="A31" s="471"/>
      <c r="B31" s="71"/>
      <c r="C31" s="71"/>
      <c r="D31" s="472"/>
      <c r="E31" s="473"/>
      <c r="F31" s="474"/>
      <c r="G31" s="475"/>
      <c r="H31" s="476"/>
      <c r="I31" s="476"/>
      <c r="J31" s="477"/>
      <c r="K31" s="477"/>
      <c r="L31" s="477"/>
      <c r="M31" s="477"/>
      <c r="N31" s="477"/>
      <c r="O31" s="477"/>
      <c r="P31" s="477"/>
      <c r="Q31" s="473"/>
      <c r="R31" s="945">
        <f t="shared" si="0"/>
        <v>0</v>
      </c>
    </row>
    <row r="32" spans="1:18" s="1" customFormat="1" ht="19.5" customHeight="1">
      <c r="A32" s="471"/>
      <c r="B32" s="71"/>
      <c r="C32" s="71"/>
      <c r="D32" s="472"/>
      <c r="E32" s="473"/>
      <c r="F32" s="474"/>
      <c r="G32" s="475"/>
      <c r="H32" s="476"/>
      <c r="I32" s="476"/>
      <c r="J32" s="477"/>
      <c r="K32" s="477"/>
      <c r="L32" s="477"/>
      <c r="M32" s="477"/>
      <c r="N32" s="477"/>
      <c r="O32" s="477"/>
      <c r="P32" s="477"/>
      <c r="Q32" s="473"/>
      <c r="R32" s="945">
        <f t="shared" si="0"/>
        <v>0</v>
      </c>
    </row>
    <row r="33" spans="1:20" s="1" customFormat="1" ht="19.5" customHeight="1">
      <c r="A33" s="471"/>
      <c r="B33" s="71"/>
      <c r="C33" s="71"/>
      <c r="D33" s="472"/>
      <c r="E33" s="473"/>
      <c r="F33" s="474"/>
      <c r="G33" s="475"/>
      <c r="H33" s="476"/>
      <c r="I33" s="476"/>
      <c r="J33" s="477"/>
      <c r="K33" s="477"/>
      <c r="L33" s="477"/>
      <c r="M33" s="477"/>
      <c r="N33" s="477"/>
      <c r="O33" s="477"/>
      <c r="P33" s="477"/>
      <c r="Q33" s="473"/>
      <c r="R33" s="945">
        <f t="shared" si="0"/>
        <v>0</v>
      </c>
    </row>
    <row r="34" spans="1:20" s="1" customFormat="1" ht="19.5" customHeight="1">
      <c r="A34" s="471"/>
      <c r="B34" s="71"/>
      <c r="C34" s="71"/>
      <c r="D34" s="472"/>
      <c r="E34" s="473"/>
      <c r="F34" s="474"/>
      <c r="G34" s="475"/>
      <c r="H34" s="476"/>
      <c r="I34" s="476"/>
      <c r="J34" s="477"/>
      <c r="K34" s="477"/>
      <c r="L34" s="477"/>
      <c r="M34" s="477"/>
      <c r="N34" s="477"/>
      <c r="O34" s="477"/>
      <c r="P34" s="477"/>
      <c r="Q34" s="473"/>
      <c r="R34" s="945">
        <f t="shared" si="0"/>
        <v>0</v>
      </c>
    </row>
    <row r="35" spans="1:20" s="1" customFormat="1" ht="19.5" customHeight="1">
      <c r="A35" s="471"/>
      <c r="B35" s="71"/>
      <c r="C35" s="71"/>
      <c r="D35" s="472"/>
      <c r="E35" s="473"/>
      <c r="F35" s="474"/>
      <c r="G35" s="475"/>
      <c r="H35" s="476"/>
      <c r="I35" s="476"/>
      <c r="J35" s="477"/>
      <c r="K35" s="477"/>
      <c r="L35" s="477"/>
      <c r="M35" s="477"/>
      <c r="N35" s="477"/>
      <c r="O35" s="477"/>
      <c r="P35" s="477"/>
      <c r="Q35" s="473"/>
      <c r="R35" s="945">
        <f t="shared" si="0"/>
        <v>0</v>
      </c>
    </row>
    <row r="36" spans="1:20" s="1" customFormat="1" ht="19.5" customHeight="1">
      <c r="A36" s="471"/>
      <c r="B36" s="71"/>
      <c r="C36" s="71"/>
      <c r="D36" s="472"/>
      <c r="E36" s="473"/>
      <c r="F36" s="474"/>
      <c r="G36" s="475"/>
      <c r="H36" s="476"/>
      <c r="I36" s="476"/>
      <c r="J36" s="477"/>
      <c r="K36" s="477"/>
      <c r="L36" s="477"/>
      <c r="M36" s="477"/>
      <c r="N36" s="477"/>
      <c r="O36" s="477"/>
      <c r="P36" s="477"/>
      <c r="Q36" s="473"/>
      <c r="R36" s="945">
        <f t="shared" si="0"/>
        <v>0</v>
      </c>
    </row>
    <row r="37" spans="1:20" s="1" customFormat="1" ht="19.5" customHeight="1">
      <c r="A37" s="471"/>
      <c r="B37" s="71"/>
      <c r="C37" s="71"/>
      <c r="D37" s="472"/>
      <c r="E37" s="473"/>
      <c r="F37" s="474"/>
      <c r="G37" s="475"/>
      <c r="H37" s="476"/>
      <c r="I37" s="476"/>
      <c r="J37" s="477"/>
      <c r="K37" s="477"/>
      <c r="L37" s="477"/>
      <c r="M37" s="477"/>
      <c r="N37" s="477"/>
      <c r="O37" s="477"/>
      <c r="P37" s="477"/>
      <c r="Q37" s="473"/>
      <c r="R37" s="945">
        <f t="shared" si="0"/>
        <v>0</v>
      </c>
    </row>
    <row r="38" spans="1:20" s="1" customFormat="1" ht="19.5" customHeight="1">
      <c r="A38" s="471"/>
      <c r="B38" s="71"/>
      <c r="C38" s="71"/>
      <c r="D38" s="472"/>
      <c r="E38" s="473"/>
      <c r="F38" s="474"/>
      <c r="G38" s="475"/>
      <c r="H38" s="476"/>
      <c r="I38" s="476"/>
      <c r="J38" s="477"/>
      <c r="K38" s="477"/>
      <c r="L38" s="477"/>
      <c r="M38" s="477"/>
      <c r="N38" s="477"/>
      <c r="O38" s="477"/>
      <c r="P38" s="477"/>
      <c r="Q38" s="473"/>
      <c r="R38" s="945">
        <f t="shared" si="0"/>
        <v>0</v>
      </c>
    </row>
    <row r="39" spans="1:20" s="1" customFormat="1" ht="19.5" customHeight="1">
      <c r="A39" s="471"/>
      <c r="B39" s="71"/>
      <c r="C39" s="71"/>
      <c r="D39" s="472"/>
      <c r="E39" s="473"/>
      <c r="F39" s="474"/>
      <c r="G39" s="475"/>
      <c r="H39" s="476"/>
      <c r="I39" s="476"/>
      <c r="J39" s="477"/>
      <c r="K39" s="477"/>
      <c r="L39" s="477"/>
      <c r="M39" s="477"/>
      <c r="N39" s="477"/>
      <c r="O39" s="477"/>
      <c r="P39" s="477"/>
      <c r="Q39" s="473"/>
      <c r="R39" s="945">
        <f t="shared" si="0"/>
        <v>0</v>
      </c>
    </row>
    <row r="40" spans="1:20" s="1" customFormat="1" ht="19.5" customHeight="1">
      <c r="A40" s="212"/>
      <c r="B40" s="97"/>
      <c r="C40" s="97"/>
      <c r="D40" s="98"/>
      <c r="E40" s="99"/>
      <c r="F40" s="100"/>
      <c r="G40" s="424"/>
      <c r="H40" s="425"/>
      <c r="I40" s="425"/>
      <c r="J40" s="423"/>
      <c r="K40" s="423"/>
      <c r="L40" s="423"/>
      <c r="M40" s="423"/>
      <c r="N40" s="423"/>
      <c r="O40" s="423"/>
      <c r="P40" s="423"/>
      <c r="Q40" s="99"/>
      <c r="R40" s="944">
        <f t="shared" si="0"/>
        <v>0</v>
      </c>
    </row>
    <row r="41" spans="1:20" s="1" customFormat="1" ht="19.5" customHeight="1">
      <c r="A41" s="212"/>
      <c r="B41" s="97"/>
      <c r="C41" s="97"/>
      <c r="D41" s="98"/>
      <c r="E41" s="99"/>
      <c r="F41" s="100"/>
      <c r="G41" s="424"/>
      <c r="H41" s="425"/>
      <c r="I41" s="425"/>
      <c r="J41" s="423"/>
      <c r="K41" s="423"/>
      <c r="L41" s="423"/>
      <c r="M41" s="423"/>
      <c r="N41" s="423"/>
      <c r="O41" s="423"/>
      <c r="P41" s="423"/>
      <c r="Q41" s="99"/>
      <c r="R41" s="944">
        <f t="shared" si="0"/>
        <v>0</v>
      </c>
      <c r="T41" s="7"/>
    </row>
    <row r="42" spans="1:20" s="1" customFormat="1" ht="19.5" customHeight="1">
      <c r="A42" s="212"/>
      <c r="B42" s="97"/>
      <c r="C42" s="97"/>
      <c r="D42" s="98"/>
      <c r="E42" s="99"/>
      <c r="F42" s="100"/>
      <c r="G42" s="424"/>
      <c r="H42" s="425"/>
      <c r="I42" s="425"/>
      <c r="J42" s="424"/>
      <c r="K42" s="498"/>
      <c r="L42" s="423"/>
      <c r="M42" s="423"/>
      <c r="N42" s="423"/>
      <c r="O42" s="423"/>
      <c r="P42" s="423"/>
      <c r="Q42" s="99"/>
      <c r="R42" s="944">
        <f t="shared" si="0"/>
        <v>0</v>
      </c>
    </row>
    <row r="43" spans="1:20" s="1" customFormat="1" ht="19.5" customHeight="1" thickBot="1">
      <c r="A43" s="212"/>
      <c r="B43" s="97"/>
      <c r="C43" s="97"/>
      <c r="D43" s="98"/>
      <c r="E43" s="99"/>
      <c r="F43" s="100"/>
      <c r="G43" s="101"/>
      <c r="H43" s="101"/>
      <c r="I43" s="98"/>
      <c r="J43" s="99"/>
      <c r="K43" s="99"/>
      <c r="L43" s="99"/>
      <c r="M43" s="99"/>
      <c r="N43" s="99"/>
      <c r="O43" s="99"/>
      <c r="P43" s="99"/>
      <c r="Q43" s="99"/>
      <c r="R43" s="944">
        <f t="shared" si="0"/>
        <v>0</v>
      </c>
    </row>
    <row r="44" spans="1:20" s="1" customFormat="1" ht="26.25" customHeight="1" thickTop="1" thickBot="1">
      <c r="A44" s="214"/>
      <c r="B44" s="82" t="s">
        <v>19</v>
      </c>
      <c r="C44" s="83"/>
      <c r="D44" s="948">
        <f>SUM(D14:D43)</f>
        <v>0</v>
      </c>
      <c r="E44" s="948">
        <f t="shared" ref="E44:Q44" si="1">SUM(E14:E43)</f>
        <v>0</v>
      </c>
      <c r="F44" s="949">
        <f t="shared" si="1"/>
        <v>0</v>
      </c>
      <c r="G44" s="950">
        <f t="shared" si="1"/>
        <v>0</v>
      </c>
      <c r="H44" s="948">
        <f t="shared" si="1"/>
        <v>0</v>
      </c>
      <c r="I44" s="948">
        <f t="shared" si="1"/>
        <v>0</v>
      </c>
      <c r="J44" s="951">
        <f t="shared" si="1"/>
        <v>0</v>
      </c>
      <c r="K44" s="951">
        <f t="shared" si="1"/>
        <v>0</v>
      </c>
      <c r="L44" s="951">
        <f t="shared" si="1"/>
        <v>0</v>
      </c>
      <c r="M44" s="948">
        <f t="shared" si="1"/>
        <v>0</v>
      </c>
      <c r="N44" s="948">
        <f t="shared" si="1"/>
        <v>0</v>
      </c>
      <c r="O44" s="948">
        <f t="shared" si="1"/>
        <v>0</v>
      </c>
      <c r="P44" s="948">
        <f t="shared" si="1"/>
        <v>0</v>
      </c>
      <c r="Q44" s="948">
        <f t="shared" si="1"/>
        <v>0</v>
      </c>
      <c r="R44" s="946">
        <f>(SUM((D44:F44))-(SUM((G44:Q44))))</f>
        <v>0</v>
      </c>
    </row>
    <row r="45" spans="1:20" s="1" customFormat="1" ht="26.25" customHeight="1" thickTop="1" thickBot="1">
      <c r="A45" s="214"/>
      <c r="B45" s="82" t="s">
        <v>257</v>
      </c>
      <c r="C45" s="83"/>
      <c r="D45" s="948">
        <f>D13+D44</f>
        <v>0</v>
      </c>
      <c r="E45" s="948">
        <f t="shared" ref="E45:Q45" si="2">E13+E44</f>
        <v>0</v>
      </c>
      <c r="F45" s="949">
        <f t="shared" si="2"/>
        <v>0</v>
      </c>
      <c r="G45" s="950">
        <f t="shared" si="2"/>
        <v>0</v>
      </c>
      <c r="H45" s="948">
        <f t="shared" si="2"/>
        <v>0</v>
      </c>
      <c r="I45" s="948">
        <f t="shared" si="2"/>
        <v>0</v>
      </c>
      <c r="J45" s="951">
        <f t="shared" si="2"/>
        <v>0</v>
      </c>
      <c r="K45" s="951">
        <f t="shared" si="2"/>
        <v>0</v>
      </c>
      <c r="L45" s="951">
        <f t="shared" si="2"/>
        <v>0</v>
      </c>
      <c r="M45" s="948">
        <f t="shared" si="2"/>
        <v>0</v>
      </c>
      <c r="N45" s="948">
        <f t="shared" si="2"/>
        <v>0</v>
      </c>
      <c r="O45" s="948">
        <f t="shared" si="2"/>
        <v>0</v>
      </c>
      <c r="P45" s="948">
        <f t="shared" si="2"/>
        <v>0</v>
      </c>
      <c r="Q45" s="948">
        <f t="shared" si="2"/>
        <v>0</v>
      </c>
      <c r="R45" s="946">
        <f>(SUM((D45:F45))-(SUM((G45:Q45))))</f>
        <v>0</v>
      </c>
    </row>
    <row r="46" spans="1:20" s="1" customFormat="1" ht="26.25" customHeight="1" thickTop="1" thickBot="1">
      <c r="A46" s="215"/>
      <c r="B46" s="216" t="s">
        <v>20</v>
      </c>
      <c r="C46" s="217"/>
      <c r="D46" s="952">
        <f>D12+D45</f>
        <v>0</v>
      </c>
      <c r="E46" s="952">
        <f t="shared" ref="E46:Q46" si="3">E12+E45</f>
        <v>0</v>
      </c>
      <c r="F46" s="953">
        <f t="shared" si="3"/>
        <v>0</v>
      </c>
      <c r="G46" s="954">
        <f t="shared" si="3"/>
        <v>0</v>
      </c>
      <c r="H46" s="952">
        <f t="shared" si="3"/>
        <v>0</v>
      </c>
      <c r="I46" s="952">
        <f t="shared" si="3"/>
        <v>0</v>
      </c>
      <c r="J46" s="955">
        <f t="shared" si="3"/>
        <v>0</v>
      </c>
      <c r="K46" s="955">
        <f t="shared" si="3"/>
        <v>0</v>
      </c>
      <c r="L46" s="955">
        <f t="shared" si="3"/>
        <v>0</v>
      </c>
      <c r="M46" s="952">
        <f t="shared" si="3"/>
        <v>0</v>
      </c>
      <c r="N46" s="952">
        <f t="shared" si="3"/>
        <v>0</v>
      </c>
      <c r="O46" s="952">
        <f t="shared" si="3"/>
        <v>0</v>
      </c>
      <c r="P46" s="952">
        <f t="shared" si="3"/>
        <v>0</v>
      </c>
      <c r="Q46" s="952">
        <f t="shared" si="3"/>
        <v>0</v>
      </c>
      <c r="R46" s="947">
        <f>(SUM((D46:F46))-(SUM((G46:Q46))))</f>
        <v>0</v>
      </c>
    </row>
    <row r="47" spans="1:20" s="1" customFormat="1" ht="15.75">
      <c r="A47" s="10"/>
      <c r="D47" s="7"/>
      <c r="E47" s="7"/>
      <c r="F47" s="7"/>
      <c r="G47" s="7"/>
      <c r="H47" s="7"/>
      <c r="I47" s="7"/>
      <c r="J47" s="426"/>
      <c r="K47" s="426"/>
      <c r="L47" s="7"/>
      <c r="M47" s="7"/>
      <c r="N47" s="7"/>
      <c r="O47" s="7"/>
      <c r="P47" s="7"/>
      <c r="Q47" s="7"/>
      <c r="R47" s="7"/>
    </row>
    <row r="48" spans="1:20" s="1" customFormat="1" ht="15.75">
      <c r="A48" s="10"/>
      <c r="B48" s="117" t="s">
        <v>21</v>
      </c>
      <c r="D48" s="7"/>
      <c r="E48" s="7"/>
      <c r="F48" s="7"/>
      <c r="G48" s="7"/>
      <c r="H48" s="7"/>
      <c r="I48" s="7"/>
      <c r="J48" s="7"/>
      <c r="K48" s="7"/>
      <c r="L48" s="7"/>
      <c r="M48" s="7"/>
      <c r="N48" s="7"/>
      <c r="O48" s="11" t="str">
        <f>DT!D28</f>
        <v>Nagrak, 29 Februari 2016 2016</v>
      </c>
      <c r="P48" s="7"/>
      <c r="R48" s="7"/>
    </row>
    <row r="49" spans="2:17" ht="31.5">
      <c r="B49" s="117" t="s">
        <v>23</v>
      </c>
      <c r="O49" s="118" t="s">
        <v>24</v>
      </c>
      <c r="Q49" s="15"/>
    </row>
    <row r="50" spans="2:17" ht="15.75">
      <c r="B50" s="104"/>
      <c r="O50" s="119"/>
      <c r="Q50" s="15"/>
    </row>
    <row r="51" spans="2:17" ht="15.75">
      <c r="B51" s="213" t="str">
        <f>DT!D14</f>
        <v>Endang Taryana</v>
      </c>
      <c r="O51" s="233" t="str">
        <f>DT!D15</f>
        <v>Arin Yustini, SE</v>
      </c>
      <c r="Q51" s="15"/>
    </row>
  </sheetData>
  <mergeCells count="16">
    <mergeCell ref="A1:R1"/>
    <mergeCell ref="A2:R2"/>
    <mergeCell ref="D8:F8"/>
    <mergeCell ref="G8:Q8"/>
    <mergeCell ref="R8:R11"/>
    <mergeCell ref="D9:D11"/>
    <mergeCell ref="E9:E11"/>
    <mergeCell ref="F9:F11"/>
    <mergeCell ref="G9:N9"/>
    <mergeCell ref="P9:P11"/>
    <mergeCell ref="Q9:Q11"/>
    <mergeCell ref="G10:G11"/>
    <mergeCell ref="H10:H11"/>
    <mergeCell ref="I10:I11"/>
    <mergeCell ref="M10:M11"/>
    <mergeCell ref="N10:N11"/>
  </mergeCells>
  <printOptions horizontalCentered="1" verticalCentered="1"/>
  <pageMargins left="0.15748031496063" right="0.5" top="0.59055118110236204" bottom="0.23622047244094499" header="0.511811023622047" footer="0.511811023622047"/>
  <pageSetup paperSize="9" scale="50" orientation="landscape" r:id="rId1"/>
  <headerFooter alignWithMargins="0"/>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rgb="FFFFC000"/>
  </sheetPr>
  <dimension ref="A1:AC98"/>
  <sheetViews>
    <sheetView topLeftCell="A55" zoomScale="57" zoomScaleNormal="57" zoomScaleSheetLayoutView="55" workbookViewId="0">
      <selection activeCell="B14" sqref="B14"/>
    </sheetView>
  </sheetViews>
  <sheetFormatPr defaultColWidth="9.140625" defaultRowHeight="15"/>
  <cols>
    <col min="1" max="1" width="13.7109375" style="3117" customWidth="1"/>
    <col min="2" max="2" width="44.42578125" style="72" customWidth="1"/>
    <col min="3" max="3" width="9.42578125" style="73" customWidth="1"/>
    <col min="4" max="6" width="16.28515625" style="73" customWidth="1"/>
    <col min="7" max="8" width="17.5703125" style="73" customWidth="1"/>
    <col min="9" max="9" width="16.28515625" style="209" customWidth="1"/>
    <col min="10" max="10" width="15.7109375" style="73" customWidth="1"/>
    <col min="11" max="11" width="17" style="73" customWidth="1"/>
    <col min="12" max="16" width="16.28515625" style="73" customWidth="1"/>
    <col min="17" max="17" width="16.5703125" style="73" customWidth="1"/>
    <col min="18" max="18" width="17" style="73" customWidth="1"/>
    <col min="19" max="24" width="15.140625" style="73" customWidth="1"/>
    <col min="25" max="25" width="16.42578125" style="73" customWidth="1"/>
    <col min="26" max="26" width="15.140625" style="73" customWidth="1"/>
    <col min="27" max="27" width="15.85546875" style="73" customWidth="1"/>
    <col min="28" max="28" width="17.5703125" style="73" customWidth="1"/>
    <col min="29" max="29" width="17.140625" style="73" customWidth="1"/>
    <col min="30" max="30" width="9.28515625" style="72" customWidth="1"/>
    <col min="31" max="31" width="9.85546875" style="72" bestFit="1" customWidth="1"/>
    <col min="32" max="16384" width="9.140625" style="72"/>
  </cols>
  <sheetData>
    <row r="1" spans="1:29" ht="27.75">
      <c r="A1" s="3451" t="s">
        <v>2712</v>
      </c>
      <c r="B1" s="3451"/>
      <c r="C1" s="3451"/>
      <c r="D1" s="3451"/>
      <c r="E1" s="3451"/>
      <c r="F1" s="3451"/>
      <c r="G1" s="3451"/>
      <c r="H1" s="3451"/>
      <c r="I1" s="3451"/>
      <c r="J1" s="3451"/>
      <c r="K1" s="3451"/>
      <c r="L1" s="3451"/>
      <c r="M1" s="3451"/>
      <c r="N1" s="3451"/>
      <c r="O1" s="3451"/>
      <c r="P1" s="3451"/>
      <c r="Q1" s="3451"/>
      <c r="R1" s="3451"/>
      <c r="S1" s="3451"/>
      <c r="T1" s="3451"/>
      <c r="U1" s="3451"/>
      <c r="V1" s="3451"/>
      <c r="W1" s="3451"/>
      <c r="X1" s="3451"/>
      <c r="Y1" s="3451"/>
      <c r="Z1" s="3451"/>
      <c r="AA1" s="3451"/>
      <c r="AB1" s="3451"/>
      <c r="AC1" s="3451"/>
    </row>
    <row r="2" spans="1:29" ht="27.75">
      <c r="A2" s="3451" t="s">
        <v>26</v>
      </c>
      <c r="B2" s="3451"/>
      <c r="C2" s="3451"/>
      <c r="D2" s="3451"/>
      <c r="E2" s="3451"/>
      <c r="F2" s="3451"/>
      <c r="G2" s="3451"/>
      <c r="H2" s="3451"/>
      <c r="I2" s="3451"/>
      <c r="J2" s="3451"/>
      <c r="K2" s="3451"/>
      <c r="L2" s="3451"/>
      <c r="M2" s="3451"/>
      <c r="N2" s="3451"/>
      <c r="O2" s="3451"/>
      <c r="P2" s="3451"/>
      <c r="Q2" s="3451"/>
      <c r="R2" s="3451"/>
      <c r="S2" s="3451"/>
      <c r="T2" s="3451"/>
      <c r="U2" s="3451"/>
      <c r="V2" s="3451"/>
      <c r="W2" s="3451"/>
      <c r="X2" s="3451"/>
      <c r="Y2" s="3451"/>
      <c r="Z2" s="3451"/>
      <c r="AA2" s="3451"/>
      <c r="AB2" s="3451"/>
      <c r="AC2" s="3451"/>
    </row>
    <row r="3" spans="1:29" s="104" customFormat="1" ht="11.25" customHeight="1">
      <c r="A3" s="3110"/>
      <c r="C3" s="105"/>
      <c r="D3" s="105"/>
      <c r="E3" s="105"/>
      <c r="F3" s="105"/>
      <c r="G3" s="105"/>
      <c r="H3" s="105"/>
      <c r="I3" s="209"/>
      <c r="J3" s="105"/>
      <c r="K3" s="105"/>
      <c r="L3" s="105"/>
      <c r="M3" s="105"/>
      <c r="N3" s="105"/>
      <c r="O3" s="105"/>
      <c r="P3" s="105"/>
      <c r="Q3" s="105"/>
      <c r="R3" s="105"/>
      <c r="S3" s="105"/>
      <c r="T3" s="105"/>
      <c r="U3" s="105"/>
      <c r="V3" s="105"/>
      <c r="W3" s="105"/>
      <c r="X3" s="105"/>
      <c r="Y3" s="105"/>
      <c r="Z3" s="105"/>
      <c r="AA3" s="105"/>
      <c r="AB3" s="105"/>
      <c r="AC3" s="105"/>
    </row>
    <row r="4" spans="1:29" s="104" customFormat="1" ht="20.25" customHeight="1">
      <c r="A4" s="3111" t="s">
        <v>2</v>
      </c>
      <c r="B4" s="109" t="str">
        <f>": "&amp;[2]DT!D3</f>
        <v>: Nagrak</v>
      </c>
      <c r="D4" s="105"/>
      <c r="E4" s="105"/>
      <c r="F4" s="105"/>
      <c r="G4" s="105"/>
      <c r="H4" s="105"/>
      <c r="I4" s="209"/>
      <c r="J4" s="105"/>
      <c r="K4" s="103"/>
      <c r="L4" s="105"/>
      <c r="M4" s="105"/>
      <c r="N4" s="106" t="s">
        <v>3</v>
      </c>
      <c r="O4" s="107"/>
      <c r="P4" s="3020" t="str">
        <f>DT!D25</f>
        <v>Februari 2016</v>
      </c>
      <c r="Q4" s="6"/>
      <c r="R4" s="6"/>
      <c r="S4" s="6"/>
      <c r="T4" s="6"/>
      <c r="U4" s="6"/>
      <c r="V4" s="6"/>
      <c r="W4" s="6"/>
      <c r="X4" s="108"/>
      <c r="Y4" s="108"/>
      <c r="Z4" s="105"/>
      <c r="AA4" s="105"/>
      <c r="AB4" s="105"/>
      <c r="AC4" s="105"/>
    </row>
    <row r="5" spans="1:29" s="104" customFormat="1" ht="20.25" customHeight="1">
      <c r="A5" s="3111" t="s">
        <v>4</v>
      </c>
      <c r="B5" s="109" t="str">
        <f>": "&amp;[2]DT!D4</f>
        <v>: Sukabumi</v>
      </c>
      <c r="D5" s="105"/>
      <c r="E5" s="105"/>
      <c r="F5" s="105"/>
      <c r="G5" s="105"/>
      <c r="H5" s="105"/>
      <c r="I5" s="209"/>
      <c r="J5" s="105"/>
      <c r="K5" s="105"/>
      <c r="L5" s="105"/>
      <c r="M5" s="105"/>
      <c r="N5" s="6" t="s">
        <v>5</v>
      </c>
      <c r="O5" s="107"/>
      <c r="P5" s="6" t="s">
        <v>357</v>
      </c>
      <c r="Q5" s="6"/>
      <c r="R5" s="6"/>
      <c r="S5" s="6"/>
      <c r="T5" s="6"/>
      <c r="U5" s="6"/>
      <c r="V5" s="6"/>
      <c r="W5" s="6"/>
      <c r="X5" s="108"/>
      <c r="Y5" s="108"/>
      <c r="Z5" s="105"/>
      <c r="AA5" s="105"/>
      <c r="AB5" s="105"/>
      <c r="AC5" s="105"/>
    </row>
    <row r="6" spans="1:29" s="104" customFormat="1" ht="20.25" customHeight="1">
      <c r="A6" s="3111" t="s">
        <v>6</v>
      </c>
      <c r="B6" s="109" t="str">
        <f>": "&amp;[2]DT!D5</f>
        <v>: Jawa Barat</v>
      </c>
      <c r="D6" s="105"/>
      <c r="E6" s="105"/>
      <c r="F6" s="105"/>
      <c r="G6" s="105"/>
      <c r="H6" s="105"/>
      <c r="I6" s="209"/>
      <c r="J6" s="105"/>
      <c r="K6" s="105"/>
      <c r="L6" s="105"/>
      <c r="M6" s="105"/>
      <c r="N6" s="105"/>
      <c r="O6" s="105"/>
      <c r="P6" s="105"/>
      <c r="Q6" s="105"/>
      <c r="R6" s="105"/>
      <c r="S6" s="105"/>
      <c r="T6" s="105"/>
      <c r="U6" s="105"/>
      <c r="V6" s="105"/>
      <c r="W6" s="105"/>
      <c r="X6" s="105"/>
      <c r="Y6" s="105"/>
      <c r="Z6" s="105"/>
      <c r="AA6" s="105"/>
      <c r="AB6" s="105"/>
      <c r="AC6" s="105"/>
    </row>
    <row r="7" spans="1:29" s="104" customFormat="1" ht="7.5" customHeight="1" thickBot="1">
      <c r="A7" s="3111"/>
      <c r="C7" s="106"/>
      <c r="D7" s="105"/>
      <c r="E7" s="105"/>
      <c r="F7" s="105"/>
      <c r="G7" s="105"/>
      <c r="H7" s="105"/>
      <c r="I7" s="209"/>
      <c r="J7" s="105"/>
      <c r="K7" s="105"/>
      <c r="L7" s="105"/>
      <c r="M7" s="105"/>
      <c r="N7" s="105"/>
      <c r="O7" s="105"/>
      <c r="P7" s="105"/>
      <c r="Q7" s="105"/>
      <c r="R7" s="105"/>
      <c r="S7" s="105"/>
      <c r="T7" s="105"/>
      <c r="U7" s="105"/>
      <c r="V7" s="105"/>
      <c r="W7" s="105"/>
      <c r="X7" s="105"/>
      <c r="Y7" s="105"/>
      <c r="Z7" s="105"/>
      <c r="AA7" s="105"/>
      <c r="AB7" s="105"/>
      <c r="AC7" s="105"/>
    </row>
    <row r="8" spans="1:29" s="104" customFormat="1" ht="20.25" customHeight="1">
      <c r="A8" s="3457" t="s">
        <v>536</v>
      </c>
      <c r="B8" s="3445" t="s">
        <v>535</v>
      </c>
      <c r="C8" s="3445" t="s">
        <v>537</v>
      </c>
      <c r="D8" s="3445" t="s">
        <v>10</v>
      </c>
      <c r="E8" s="3445"/>
      <c r="F8" s="3445"/>
      <c r="G8" s="3445"/>
      <c r="H8" s="3445"/>
      <c r="I8" s="3445"/>
      <c r="J8" s="3456"/>
      <c r="K8" s="3450" t="s">
        <v>11</v>
      </c>
      <c r="L8" s="3445"/>
      <c r="M8" s="3445"/>
      <c r="N8" s="3445"/>
      <c r="O8" s="3445"/>
      <c r="P8" s="3445"/>
      <c r="Q8" s="3445"/>
      <c r="R8" s="3445"/>
      <c r="S8" s="3445"/>
      <c r="T8" s="3445"/>
      <c r="U8" s="3445"/>
      <c r="V8" s="3445"/>
      <c r="W8" s="3445"/>
      <c r="X8" s="3445"/>
      <c r="Y8" s="3445"/>
      <c r="Z8" s="3445"/>
      <c r="AA8" s="3445"/>
      <c r="AB8" s="3445"/>
      <c r="AC8" s="3456" t="s">
        <v>12</v>
      </c>
    </row>
    <row r="9" spans="1:29" s="104" customFormat="1" ht="20.25" customHeight="1">
      <c r="A9" s="3458"/>
      <c r="B9" s="3446"/>
      <c r="C9" s="3446"/>
      <c r="D9" s="3446" t="s">
        <v>2193</v>
      </c>
      <c r="E9" s="3446"/>
      <c r="F9" s="3446" t="s">
        <v>527</v>
      </c>
      <c r="G9" s="3446" t="s">
        <v>528</v>
      </c>
      <c r="H9" s="3446" t="s">
        <v>27</v>
      </c>
      <c r="I9" s="3446" t="s">
        <v>63</v>
      </c>
      <c r="J9" s="3452" t="s">
        <v>28</v>
      </c>
      <c r="K9" s="3448" t="s">
        <v>29</v>
      </c>
      <c r="L9" s="3446" t="s">
        <v>30</v>
      </c>
      <c r="M9" s="3446" t="s">
        <v>31</v>
      </c>
      <c r="N9" s="3454" t="s">
        <v>32</v>
      </c>
      <c r="O9" s="3446" t="s">
        <v>33</v>
      </c>
      <c r="P9" s="3446" t="s">
        <v>34</v>
      </c>
      <c r="Q9" s="3446" t="s">
        <v>883</v>
      </c>
      <c r="R9" s="3446" t="s">
        <v>529</v>
      </c>
      <c r="S9" s="3446"/>
      <c r="T9" s="3446"/>
      <c r="U9" s="3446"/>
      <c r="V9" s="3446"/>
      <c r="W9" s="3446"/>
      <c r="X9" s="3446" t="s">
        <v>65</v>
      </c>
      <c r="Y9" s="3446" t="s">
        <v>530</v>
      </c>
      <c r="Z9" s="3446"/>
      <c r="AA9" s="3446"/>
      <c r="AB9" s="3446" t="s">
        <v>28</v>
      </c>
      <c r="AC9" s="3460"/>
    </row>
    <row r="10" spans="1:29" s="104" customFormat="1" ht="37.5" customHeight="1" thickBot="1">
      <c r="A10" s="3459"/>
      <c r="B10" s="3447"/>
      <c r="C10" s="3447"/>
      <c r="D10" s="3009" t="s">
        <v>53</v>
      </c>
      <c r="E10" s="2204" t="s">
        <v>531</v>
      </c>
      <c r="F10" s="3447"/>
      <c r="G10" s="3447"/>
      <c r="H10" s="3447"/>
      <c r="I10" s="3447"/>
      <c r="J10" s="3453"/>
      <c r="K10" s="3449"/>
      <c r="L10" s="3447"/>
      <c r="M10" s="3447"/>
      <c r="N10" s="3455"/>
      <c r="O10" s="3447"/>
      <c r="P10" s="3447"/>
      <c r="Q10" s="3447"/>
      <c r="R10" s="3123" t="s">
        <v>356</v>
      </c>
      <c r="S10" s="2204" t="s">
        <v>532</v>
      </c>
      <c r="T10" s="2204" t="s">
        <v>247</v>
      </c>
      <c r="U10" s="2204" t="s">
        <v>533</v>
      </c>
      <c r="V10" s="2204" t="s">
        <v>40</v>
      </c>
      <c r="W10" s="2204" t="s">
        <v>355</v>
      </c>
      <c r="X10" s="3447"/>
      <c r="Y10" s="2205" t="s">
        <v>534</v>
      </c>
      <c r="Z10" s="2204" t="s">
        <v>366</v>
      </c>
      <c r="AA10" s="3009" t="s">
        <v>367</v>
      </c>
      <c r="AB10" s="3447"/>
      <c r="AC10" s="3461"/>
    </row>
    <row r="11" spans="1:29" s="1" customFormat="1" ht="20.25" customHeight="1" thickBot="1">
      <c r="A11" s="3112"/>
      <c r="B11" s="2195" t="s">
        <v>258</v>
      </c>
      <c r="C11" s="2195"/>
      <c r="D11" s="2196">
        <v>34271800</v>
      </c>
      <c r="E11" s="2196">
        <v>188698800</v>
      </c>
      <c r="F11" s="2196">
        <v>0</v>
      </c>
      <c r="G11" s="2196">
        <v>1472864254</v>
      </c>
      <c r="H11" s="2196">
        <v>899490555</v>
      </c>
      <c r="I11" s="2196">
        <v>17850000</v>
      </c>
      <c r="J11" s="2197">
        <v>29358000</v>
      </c>
      <c r="K11" s="2198">
        <v>851163205</v>
      </c>
      <c r="L11" s="2196">
        <v>464886000</v>
      </c>
      <c r="M11" s="2196">
        <v>136093179</v>
      </c>
      <c r="N11" s="3188">
        <v>20549000</v>
      </c>
      <c r="O11" s="2196">
        <v>3600000</v>
      </c>
      <c r="P11" s="2196">
        <v>119068400</v>
      </c>
      <c r="Q11" s="2196">
        <v>200000000</v>
      </c>
      <c r="R11" s="3122">
        <v>233893300</v>
      </c>
      <c r="S11" s="2196">
        <v>70361800</v>
      </c>
      <c r="T11" s="2196">
        <v>10924000</v>
      </c>
      <c r="U11" s="2196">
        <v>40000</v>
      </c>
      <c r="V11" s="2196">
        <v>32188025</v>
      </c>
      <c r="W11" s="3122">
        <v>78977550</v>
      </c>
      <c r="X11" s="2196">
        <v>17850000</v>
      </c>
      <c r="Y11" s="2196">
        <v>163748300</v>
      </c>
      <c r="Z11" s="3188">
        <v>41600000</v>
      </c>
      <c r="AA11" s="2196">
        <v>194395200</v>
      </c>
      <c r="AB11" s="2196">
        <v>2500000</v>
      </c>
      <c r="AC11" s="2197">
        <f>(SUM((D11:J11))-(SUM((K11:AB11))))</f>
        <v>695450</v>
      </c>
    </row>
    <row r="12" spans="1:29" s="109" customFormat="1" ht="31.5" customHeight="1">
      <c r="A12" s="3113"/>
      <c r="B12" s="2443" t="s">
        <v>539</v>
      </c>
      <c r="C12" s="2444"/>
      <c r="D12" s="2444">
        <v>0</v>
      </c>
      <c r="E12" s="2444">
        <v>0</v>
      </c>
      <c r="F12" s="2444">
        <v>0</v>
      </c>
      <c r="G12" s="2444">
        <v>125718400</v>
      </c>
      <c r="H12" s="2444">
        <v>117300000</v>
      </c>
      <c r="I12" s="2445">
        <v>0</v>
      </c>
      <c r="J12" s="2446">
        <v>0</v>
      </c>
      <c r="K12" s="2447">
        <v>118000000</v>
      </c>
      <c r="L12" s="2444">
        <v>9200000</v>
      </c>
      <c r="M12" s="2444">
        <v>1767700</v>
      </c>
      <c r="N12" s="3121">
        <v>50000</v>
      </c>
      <c r="O12" s="2444">
        <v>0</v>
      </c>
      <c r="P12" s="2444">
        <v>0</v>
      </c>
      <c r="Q12" s="2444">
        <v>50000000</v>
      </c>
      <c r="R12" s="3121">
        <v>7718400</v>
      </c>
      <c r="S12" s="2444">
        <v>1050000</v>
      </c>
      <c r="T12" s="2444">
        <v>0</v>
      </c>
      <c r="U12" s="2444">
        <v>0</v>
      </c>
      <c r="V12" s="2444">
        <v>5629000</v>
      </c>
      <c r="W12" s="3121">
        <v>0</v>
      </c>
      <c r="X12" s="2444">
        <v>0</v>
      </c>
      <c r="Y12" s="2444">
        <v>25000000</v>
      </c>
      <c r="Z12" s="2444">
        <v>0</v>
      </c>
      <c r="AA12" s="3190">
        <v>25000000</v>
      </c>
      <c r="AB12" s="3190">
        <v>0</v>
      </c>
      <c r="AC12" s="3186">
        <f>AC11+(SUM((D12:J12))-(SUM((K12:AB12))))</f>
        <v>298750</v>
      </c>
    </row>
    <row r="13" spans="1:29" s="104" customFormat="1" ht="20.25" customHeight="1">
      <c r="A13" s="3114">
        <v>42402</v>
      </c>
      <c r="B13" s="110" t="s">
        <v>3002</v>
      </c>
      <c r="C13" s="111"/>
      <c r="D13" s="112"/>
      <c r="E13" s="112"/>
      <c r="F13" s="112"/>
      <c r="G13" s="112"/>
      <c r="H13" s="112"/>
      <c r="I13" s="210"/>
      <c r="J13" s="114"/>
      <c r="K13" s="115"/>
      <c r="L13" s="112"/>
      <c r="M13" s="113">
        <v>110000</v>
      </c>
      <c r="N13" s="113"/>
      <c r="O13" s="113"/>
      <c r="P13" s="113"/>
      <c r="Q13" s="113"/>
      <c r="R13" s="113"/>
      <c r="S13" s="113"/>
      <c r="T13" s="113"/>
      <c r="U13" s="113"/>
      <c r="V13" s="113"/>
      <c r="W13" s="232"/>
      <c r="X13" s="232"/>
      <c r="Y13" s="232"/>
      <c r="Z13" s="232"/>
      <c r="AA13" s="3189"/>
      <c r="AB13" s="3189"/>
      <c r="AC13" s="3187">
        <f t="shared" ref="AC13:AC87" si="0">AC12+(SUM((D13:J13))-(SUM((K13:AB13))))</f>
        <v>188750</v>
      </c>
    </row>
    <row r="14" spans="1:29" s="104" customFormat="1" ht="20.25" customHeight="1">
      <c r="A14" s="3114">
        <v>42402</v>
      </c>
      <c r="B14" s="110" t="s">
        <v>3003</v>
      </c>
      <c r="C14" s="111"/>
      <c r="D14" s="112"/>
      <c r="E14" s="112"/>
      <c r="F14" s="112"/>
      <c r="G14" s="112">
        <v>100800</v>
      </c>
      <c r="H14" s="112"/>
      <c r="I14" s="210"/>
      <c r="J14" s="114"/>
      <c r="K14" s="115"/>
      <c r="L14" s="112"/>
      <c r="M14" s="113"/>
      <c r="N14" s="113"/>
      <c r="O14" s="113"/>
      <c r="P14" s="113"/>
      <c r="Q14" s="113"/>
      <c r="R14" s="113"/>
      <c r="S14" s="113"/>
      <c r="T14" s="113"/>
      <c r="U14" s="113"/>
      <c r="V14" s="113"/>
      <c r="W14" s="232"/>
      <c r="X14" s="232"/>
      <c r="Y14" s="232"/>
      <c r="Z14" s="232"/>
      <c r="AA14" s="232"/>
      <c r="AB14" s="232"/>
      <c r="AC14" s="3187">
        <f t="shared" si="0"/>
        <v>289550</v>
      </c>
    </row>
    <row r="15" spans="1:29" s="104" customFormat="1" ht="20.25" customHeight="1">
      <c r="A15" s="3114">
        <v>42402</v>
      </c>
      <c r="B15" s="110" t="s">
        <v>3004</v>
      </c>
      <c r="C15" s="111"/>
      <c r="D15" s="112"/>
      <c r="E15" s="112"/>
      <c r="F15" s="112"/>
      <c r="G15" s="112"/>
      <c r="H15" s="112"/>
      <c r="I15" s="210"/>
      <c r="J15" s="114"/>
      <c r="K15" s="115"/>
      <c r="L15" s="112"/>
      <c r="M15" s="113"/>
      <c r="N15" s="113"/>
      <c r="O15" s="113"/>
      <c r="P15" s="113"/>
      <c r="Q15" s="113"/>
      <c r="R15" s="113">
        <v>100800</v>
      </c>
      <c r="S15" s="113"/>
      <c r="T15" s="113"/>
      <c r="U15" s="113"/>
      <c r="V15" s="113"/>
      <c r="W15" s="232"/>
      <c r="X15" s="232"/>
      <c r="Y15" s="232"/>
      <c r="Z15" s="232"/>
      <c r="AA15" s="232"/>
      <c r="AB15" s="232"/>
      <c r="AC15" s="3187">
        <f t="shared" si="0"/>
        <v>188750</v>
      </c>
    </row>
    <row r="16" spans="1:29" s="104" customFormat="1" ht="20.25" customHeight="1">
      <c r="A16" s="3114">
        <v>42402</v>
      </c>
      <c r="B16" s="110" t="s">
        <v>3003</v>
      </c>
      <c r="C16" s="111"/>
      <c r="D16" s="112"/>
      <c r="E16" s="112"/>
      <c r="F16" s="112"/>
      <c r="G16" s="112">
        <v>50000000</v>
      </c>
      <c r="H16" s="112"/>
      <c r="I16" s="210"/>
      <c r="J16" s="114"/>
      <c r="K16" s="115"/>
      <c r="L16" s="112"/>
      <c r="M16" s="113"/>
      <c r="N16" s="113"/>
      <c r="O16" s="113"/>
      <c r="P16" s="113"/>
      <c r="Q16" s="113"/>
      <c r="R16" s="113"/>
      <c r="S16" s="113"/>
      <c r="T16" s="113"/>
      <c r="U16" s="113"/>
      <c r="V16" s="113"/>
      <c r="W16" s="232"/>
      <c r="X16" s="232"/>
      <c r="Y16" s="232"/>
      <c r="Z16" s="232"/>
      <c r="AA16" s="232"/>
      <c r="AB16" s="232"/>
      <c r="AC16" s="3187">
        <f t="shared" si="0"/>
        <v>50188750</v>
      </c>
    </row>
    <row r="17" spans="1:29" s="104" customFormat="1" ht="20.25" customHeight="1">
      <c r="A17" s="3114">
        <v>42402</v>
      </c>
      <c r="B17" s="110" t="s">
        <v>3025</v>
      </c>
      <c r="C17" s="111"/>
      <c r="D17" s="112"/>
      <c r="E17" s="112"/>
      <c r="F17" s="112"/>
      <c r="G17" s="112"/>
      <c r="H17" s="112"/>
      <c r="I17" s="210"/>
      <c r="J17" s="114"/>
      <c r="K17" s="115">
        <v>50000000</v>
      </c>
      <c r="L17" s="112"/>
      <c r="M17" s="113"/>
      <c r="N17" s="113"/>
      <c r="O17" s="113"/>
      <c r="P17" s="113"/>
      <c r="Q17" s="113"/>
      <c r="R17" s="113"/>
      <c r="S17" s="113"/>
      <c r="T17" s="113"/>
      <c r="U17" s="113"/>
      <c r="V17" s="113"/>
      <c r="W17" s="232"/>
      <c r="X17" s="232"/>
      <c r="Y17" s="232"/>
      <c r="Z17" s="232"/>
      <c r="AA17" s="232"/>
      <c r="AB17" s="232"/>
      <c r="AC17" s="3187">
        <f t="shared" si="0"/>
        <v>188750</v>
      </c>
    </row>
    <row r="18" spans="1:29" s="104" customFormat="1" ht="20.25" customHeight="1">
      <c r="A18" s="3114">
        <v>42403</v>
      </c>
      <c r="B18" s="110" t="s">
        <v>3006</v>
      </c>
      <c r="C18" s="111"/>
      <c r="D18" s="112"/>
      <c r="E18" s="112"/>
      <c r="F18" s="112"/>
      <c r="G18" s="112"/>
      <c r="H18" s="112">
        <v>50000000</v>
      </c>
      <c r="I18" s="210"/>
      <c r="J18" s="114"/>
      <c r="K18" s="115"/>
      <c r="L18" s="112"/>
      <c r="M18" s="113"/>
      <c r="N18" s="113"/>
      <c r="O18" s="113"/>
      <c r="P18" s="113"/>
      <c r="Q18" s="113"/>
      <c r="R18" s="113"/>
      <c r="S18" s="113"/>
      <c r="T18" s="113"/>
      <c r="U18" s="113"/>
      <c r="V18" s="113"/>
      <c r="W18" s="232"/>
      <c r="X18" s="232"/>
      <c r="Y18" s="232"/>
      <c r="Z18" s="232"/>
      <c r="AA18" s="232"/>
      <c r="AB18" s="232"/>
      <c r="AC18" s="3187">
        <f t="shared" si="0"/>
        <v>50188750</v>
      </c>
    </row>
    <row r="19" spans="1:29" s="104" customFormat="1" ht="20.25" customHeight="1">
      <c r="A19" s="3114">
        <v>42403</v>
      </c>
      <c r="B19" s="110" t="s">
        <v>3007</v>
      </c>
      <c r="C19" s="111"/>
      <c r="D19" s="112"/>
      <c r="E19" s="112"/>
      <c r="F19" s="112"/>
      <c r="G19" s="112"/>
      <c r="H19" s="112"/>
      <c r="I19" s="210"/>
      <c r="J19" s="114"/>
      <c r="K19" s="115"/>
      <c r="L19" s="112"/>
      <c r="M19" s="113"/>
      <c r="N19" s="113"/>
      <c r="O19" s="113"/>
      <c r="P19" s="113"/>
      <c r="Q19" s="113">
        <v>25000000</v>
      </c>
      <c r="R19" s="113"/>
      <c r="S19" s="113"/>
      <c r="T19" s="113"/>
      <c r="U19" s="113"/>
      <c r="V19" s="113"/>
      <c r="W19" s="232"/>
      <c r="X19" s="232"/>
      <c r="Y19" s="232"/>
      <c r="Z19" s="232"/>
      <c r="AA19" s="232"/>
      <c r="AB19" s="232"/>
      <c r="AC19" s="3187">
        <f t="shared" si="0"/>
        <v>25188750</v>
      </c>
    </row>
    <row r="20" spans="1:29" s="104" customFormat="1" ht="20.25" customHeight="1">
      <c r="A20" s="3114">
        <v>42403</v>
      </c>
      <c r="B20" s="110" t="s">
        <v>3008</v>
      </c>
      <c r="C20" s="111"/>
      <c r="D20" s="112"/>
      <c r="E20" s="112"/>
      <c r="F20" s="112"/>
      <c r="G20" s="112"/>
      <c r="H20" s="112"/>
      <c r="I20" s="210"/>
      <c r="J20" s="114"/>
      <c r="K20" s="115"/>
      <c r="L20" s="112"/>
      <c r="M20" s="113"/>
      <c r="N20" s="113"/>
      <c r="O20" s="113"/>
      <c r="P20" s="113"/>
      <c r="Q20" s="113"/>
      <c r="R20" s="113"/>
      <c r="S20" s="113"/>
      <c r="T20" s="113"/>
      <c r="U20" s="113"/>
      <c r="V20" s="113"/>
      <c r="W20" s="232"/>
      <c r="X20" s="232">
        <v>25000000</v>
      </c>
      <c r="Y20" s="232"/>
      <c r="Z20" s="232"/>
      <c r="AA20" s="232"/>
      <c r="AB20" s="232"/>
      <c r="AC20" s="3187">
        <f t="shared" si="0"/>
        <v>188750</v>
      </c>
    </row>
    <row r="21" spans="1:29" s="104" customFormat="1" ht="20.25" customHeight="1">
      <c r="A21" s="3114">
        <v>42403</v>
      </c>
      <c r="B21" s="110" t="s">
        <v>3003</v>
      </c>
      <c r="C21" s="111"/>
      <c r="D21" s="112"/>
      <c r="E21" s="112"/>
      <c r="F21" s="112"/>
      <c r="G21" s="112">
        <v>604800</v>
      </c>
      <c r="H21" s="112"/>
      <c r="I21" s="210"/>
      <c r="J21" s="114"/>
      <c r="K21" s="115"/>
      <c r="L21" s="112"/>
      <c r="M21" s="113"/>
      <c r="N21" s="113"/>
      <c r="O21" s="113"/>
      <c r="P21" s="113"/>
      <c r="Q21" s="113"/>
      <c r="R21" s="113"/>
      <c r="S21" s="113"/>
      <c r="T21" s="113"/>
      <c r="U21" s="113"/>
      <c r="V21" s="113"/>
      <c r="W21" s="232"/>
      <c r="X21" s="232"/>
      <c r="Y21" s="232"/>
      <c r="Z21" s="232"/>
      <c r="AA21" s="232"/>
      <c r="AB21" s="232"/>
      <c r="AC21" s="3187">
        <f t="shared" si="0"/>
        <v>793550</v>
      </c>
    </row>
    <row r="22" spans="1:29" s="104" customFormat="1" ht="20.25" customHeight="1">
      <c r="A22" s="3114">
        <v>42403</v>
      </c>
      <c r="B22" s="110" t="s">
        <v>3004</v>
      </c>
      <c r="C22" s="111"/>
      <c r="D22" s="112"/>
      <c r="E22" s="112"/>
      <c r="F22" s="112"/>
      <c r="G22" s="112"/>
      <c r="H22" s="112"/>
      <c r="I22" s="210"/>
      <c r="J22" s="114"/>
      <c r="K22" s="115"/>
      <c r="L22" s="112"/>
      <c r="M22" s="113"/>
      <c r="N22" s="113"/>
      <c r="O22" s="113"/>
      <c r="P22" s="113"/>
      <c r="Q22" s="113"/>
      <c r="R22" s="113">
        <v>604800</v>
      </c>
      <c r="S22" s="113"/>
      <c r="T22" s="113"/>
      <c r="U22" s="113"/>
      <c r="V22" s="113"/>
      <c r="W22" s="232"/>
      <c r="X22" s="232"/>
      <c r="Y22" s="232"/>
      <c r="Z22" s="232"/>
      <c r="AA22" s="232"/>
      <c r="AB22" s="232"/>
      <c r="AC22" s="3187">
        <f t="shared" si="0"/>
        <v>188750</v>
      </c>
    </row>
    <row r="23" spans="1:29" s="104" customFormat="1" ht="20.25" customHeight="1">
      <c r="A23" s="3114">
        <v>42403</v>
      </c>
      <c r="B23" s="110" t="s">
        <v>3003</v>
      </c>
      <c r="C23" s="111"/>
      <c r="D23" s="112"/>
      <c r="E23" s="112"/>
      <c r="F23" s="112"/>
      <c r="G23" s="112">
        <v>403200</v>
      </c>
      <c r="H23" s="112"/>
      <c r="I23" s="210"/>
      <c r="J23" s="114"/>
      <c r="K23" s="115"/>
      <c r="L23" s="112"/>
      <c r="M23" s="113"/>
      <c r="N23" s="113"/>
      <c r="O23" s="113"/>
      <c r="P23" s="113"/>
      <c r="Q23" s="113"/>
      <c r="R23" s="113"/>
      <c r="S23" s="113"/>
      <c r="T23" s="113"/>
      <c r="U23" s="113"/>
      <c r="V23" s="113"/>
      <c r="W23" s="232"/>
      <c r="X23" s="232"/>
      <c r="Y23" s="232"/>
      <c r="Z23" s="232"/>
      <c r="AA23" s="232"/>
      <c r="AB23" s="232"/>
      <c r="AC23" s="3187">
        <f t="shared" si="0"/>
        <v>591950</v>
      </c>
    </row>
    <row r="24" spans="1:29" s="104" customFormat="1" ht="20.25" customHeight="1">
      <c r="A24" s="3114">
        <v>42403</v>
      </c>
      <c r="B24" s="110" t="s">
        <v>3004</v>
      </c>
      <c r="C24" s="111"/>
      <c r="D24" s="112"/>
      <c r="E24" s="112"/>
      <c r="F24" s="112"/>
      <c r="G24" s="112"/>
      <c r="H24" s="112"/>
      <c r="I24" s="210"/>
      <c r="J24" s="114"/>
      <c r="K24" s="115"/>
      <c r="L24" s="112"/>
      <c r="M24" s="113"/>
      <c r="N24" s="113"/>
      <c r="O24" s="113"/>
      <c r="P24" s="113"/>
      <c r="Q24" s="113"/>
      <c r="R24" s="113">
        <v>403200</v>
      </c>
      <c r="S24" s="113"/>
      <c r="T24" s="113"/>
      <c r="U24" s="113"/>
      <c r="V24" s="113"/>
      <c r="W24" s="232"/>
      <c r="X24" s="232"/>
      <c r="Y24" s="232"/>
      <c r="Z24" s="232"/>
      <c r="AA24" s="232"/>
      <c r="AB24" s="232"/>
      <c r="AC24" s="3187">
        <f t="shared" si="0"/>
        <v>188750</v>
      </c>
    </row>
    <row r="25" spans="1:29" s="104" customFormat="1" ht="20.25" customHeight="1">
      <c r="A25" s="3114">
        <v>42403</v>
      </c>
      <c r="B25" s="110" t="s">
        <v>3005</v>
      </c>
      <c r="C25" s="111"/>
      <c r="D25" s="112"/>
      <c r="E25" s="112"/>
      <c r="F25" s="112"/>
      <c r="G25" s="112"/>
      <c r="H25" s="112"/>
      <c r="I25" s="210"/>
      <c r="J25" s="114"/>
      <c r="K25" s="115"/>
      <c r="L25" s="112"/>
      <c r="M25" s="3771">
        <v>60000</v>
      </c>
      <c r="N25" s="113"/>
      <c r="O25" s="113"/>
      <c r="P25" s="113"/>
      <c r="Q25" s="113"/>
      <c r="R25" s="113"/>
      <c r="S25" s="113"/>
      <c r="T25" s="113"/>
      <c r="U25" s="113"/>
      <c r="V25" s="113"/>
      <c r="W25" s="232"/>
      <c r="X25" s="232"/>
      <c r="Y25" s="232"/>
      <c r="Z25" s="232"/>
      <c r="AA25" s="232"/>
      <c r="AB25" s="232"/>
      <c r="AC25" s="3187">
        <f t="shared" si="0"/>
        <v>128750</v>
      </c>
    </row>
    <row r="26" spans="1:29" s="104" customFormat="1" ht="20.25" customHeight="1">
      <c r="A26" s="3114">
        <v>42404</v>
      </c>
      <c r="B26" s="110" t="s">
        <v>3003</v>
      </c>
      <c r="C26" s="111"/>
      <c r="D26" s="112"/>
      <c r="E26" s="112"/>
      <c r="F26" s="112"/>
      <c r="G26" s="112">
        <v>2000000</v>
      </c>
      <c r="H26" s="112"/>
      <c r="I26" s="210"/>
      <c r="J26" s="114"/>
      <c r="K26" s="115"/>
      <c r="L26" s="112"/>
      <c r="M26" s="3771"/>
      <c r="N26" s="113"/>
      <c r="O26" s="113"/>
      <c r="P26" s="113"/>
      <c r="Q26" s="113"/>
      <c r="R26" s="113"/>
      <c r="S26" s="113"/>
      <c r="T26" s="113"/>
      <c r="U26" s="113"/>
      <c r="V26" s="113"/>
      <c r="W26" s="232"/>
      <c r="X26" s="232"/>
      <c r="Y26" s="232"/>
      <c r="Z26" s="232"/>
      <c r="AA26" s="232"/>
      <c r="AB26" s="232"/>
      <c r="AC26" s="3187">
        <f t="shared" si="0"/>
        <v>2128750</v>
      </c>
    </row>
    <row r="27" spans="1:29" s="104" customFormat="1" ht="20.25" customHeight="1">
      <c r="A27" s="3114">
        <v>42404</v>
      </c>
      <c r="B27" s="110" t="s">
        <v>3025</v>
      </c>
      <c r="C27" s="111"/>
      <c r="D27" s="112"/>
      <c r="E27" s="112"/>
      <c r="F27" s="112"/>
      <c r="G27" s="112"/>
      <c r="H27" s="112"/>
      <c r="I27" s="210"/>
      <c r="J27" s="114"/>
      <c r="K27" s="115">
        <v>2000000</v>
      </c>
      <c r="L27" s="112"/>
      <c r="M27" s="3771"/>
      <c r="N27" s="113"/>
      <c r="O27" s="113"/>
      <c r="P27" s="113"/>
      <c r="Q27" s="113"/>
      <c r="R27" s="113"/>
      <c r="S27" s="113"/>
      <c r="T27" s="113"/>
      <c r="U27" s="113"/>
      <c r="V27" s="113"/>
      <c r="W27" s="232"/>
      <c r="X27" s="232"/>
      <c r="Y27" s="232"/>
      <c r="Z27" s="232"/>
      <c r="AA27" s="232"/>
      <c r="AB27" s="232"/>
      <c r="AC27" s="3187">
        <f t="shared" si="0"/>
        <v>128750</v>
      </c>
    </row>
    <row r="28" spans="1:29" s="104" customFormat="1" ht="20.45" customHeight="1">
      <c r="A28" s="3114">
        <v>42404</v>
      </c>
      <c r="B28" s="110" t="s">
        <v>3009</v>
      </c>
      <c r="C28" s="111"/>
      <c r="D28" s="112"/>
      <c r="E28" s="112"/>
      <c r="F28" s="112"/>
      <c r="G28" s="112"/>
      <c r="H28" s="112"/>
      <c r="I28" s="210"/>
      <c r="J28" s="114"/>
      <c r="K28" s="115"/>
      <c r="L28" s="112"/>
      <c r="M28" s="3771">
        <v>35000</v>
      </c>
      <c r="N28" s="113"/>
      <c r="O28" s="113"/>
      <c r="P28" s="113"/>
      <c r="Q28" s="113"/>
      <c r="R28" s="113"/>
      <c r="S28" s="113"/>
      <c r="T28" s="113"/>
      <c r="U28" s="113"/>
      <c r="V28" s="113"/>
      <c r="W28" s="232"/>
      <c r="X28" s="232"/>
      <c r="Y28" s="232"/>
      <c r="Z28" s="232"/>
      <c r="AA28" s="232"/>
      <c r="AB28" s="232"/>
      <c r="AC28" s="3187">
        <f t="shared" si="0"/>
        <v>93750</v>
      </c>
    </row>
    <row r="29" spans="1:29" s="104" customFormat="1" ht="20.25" customHeight="1">
      <c r="A29" s="3114">
        <v>42405</v>
      </c>
      <c r="B29" s="110" t="s">
        <v>3006</v>
      </c>
      <c r="C29" s="111"/>
      <c r="D29" s="112"/>
      <c r="E29" s="112"/>
      <c r="F29" s="112"/>
      <c r="G29" s="112"/>
      <c r="H29" s="112">
        <v>2000000</v>
      </c>
      <c r="I29" s="210"/>
      <c r="J29" s="114"/>
      <c r="K29" s="115"/>
      <c r="L29" s="112"/>
      <c r="M29" s="3771"/>
      <c r="N29" s="113"/>
      <c r="O29" s="113"/>
      <c r="P29" s="113"/>
      <c r="Q29" s="113"/>
      <c r="R29" s="113"/>
      <c r="S29" s="113"/>
      <c r="T29" s="113"/>
      <c r="U29" s="113"/>
      <c r="V29" s="113"/>
      <c r="W29" s="232"/>
      <c r="X29" s="232"/>
      <c r="Y29" s="232"/>
      <c r="Z29" s="232"/>
      <c r="AA29" s="232"/>
      <c r="AB29" s="232"/>
      <c r="AC29" s="3187">
        <f t="shared" si="0"/>
        <v>2093750</v>
      </c>
    </row>
    <row r="30" spans="1:29" s="104" customFormat="1" ht="20.25" customHeight="1">
      <c r="A30" s="3114">
        <v>42405</v>
      </c>
      <c r="B30" s="110" t="s">
        <v>3003</v>
      </c>
      <c r="C30" s="111"/>
      <c r="D30" s="112"/>
      <c r="E30" s="112"/>
      <c r="F30" s="112"/>
      <c r="G30" s="112">
        <v>216000</v>
      </c>
      <c r="H30" s="112"/>
      <c r="I30" s="210"/>
      <c r="J30" s="114"/>
      <c r="K30" s="115"/>
      <c r="L30" s="112"/>
      <c r="M30" s="3771"/>
      <c r="N30" s="113"/>
      <c r="O30" s="113"/>
      <c r="P30" s="113"/>
      <c r="Q30" s="113"/>
      <c r="R30" s="113"/>
      <c r="S30" s="113"/>
      <c r="T30" s="113"/>
      <c r="U30" s="113"/>
      <c r="V30" s="113"/>
      <c r="W30" s="113"/>
      <c r="X30" s="232"/>
      <c r="Y30" s="232"/>
      <c r="Z30" s="232"/>
      <c r="AA30" s="232"/>
      <c r="AB30" s="232"/>
      <c r="AC30" s="3187">
        <f t="shared" si="0"/>
        <v>2309750</v>
      </c>
    </row>
    <row r="31" spans="1:29" s="104" customFormat="1" ht="20.25" customHeight="1">
      <c r="A31" s="3114">
        <v>42405</v>
      </c>
      <c r="B31" s="110" t="s">
        <v>3004</v>
      </c>
      <c r="C31" s="111"/>
      <c r="D31" s="112"/>
      <c r="E31" s="112"/>
      <c r="F31" s="112"/>
      <c r="G31" s="112"/>
      <c r="H31" s="112"/>
      <c r="I31" s="210"/>
      <c r="J31" s="114"/>
      <c r="K31" s="115"/>
      <c r="L31" s="112"/>
      <c r="M31" s="3771"/>
      <c r="N31" s="113"/>
      <c r="O31" s="113"/>
      <c r="P31" s="113"/>
      <c r="Q31" s="113"/>
      <c r="R31" s="113">
        <v>216000</v>
      </c>
      <c r="S31" s="113"/>
      <c r="T31" s="113"/>
      <c r="U31" s="113"/>
      <c r="V31" s="113"/>
      <c r="W31" s="113"/>
      <c r="X31" s="232"/>
      <c r="Y31" s="232"/>
      <c r="Z31" s="232"/>
      <c r="AA31" s="232"/>
      <c r="AB31" s="232"/>
      <c r="AC31" s="3187">
        <f t="shared" si="0"/>
        <v>2093750</v>
      </c>
    </row>
    <row r="32" spans="1:29" s="104" customFormat="1" ht="20.25" customHeight="1">
      <c r="A32" s="3114">
        <v>42408</v>
      </c>
      <c r="B32" s="110" t="s">
        <v>3010</v>
      </c>
      <c r="C32" s="111"/>
      <c r="D32" s="112"/>
      <c r="E32" s="112"/>
      <c r="F32" s="112"/>
      <c r="G32" s="112"/>
      <c r="H32" s="112"/>
      <c r="I32" s="210"/>
      <c r="J32" s="114"/>
      <c r="K32" s="115"/>
      <c r="L32" s="232"/>
      <c r="M32" s="3770">
        <v>49000</v>
      </c>
      <c r="N32" s="232"/>
      <c r="O32" s="113"/>
      <c r="P32" s="113"/>
      <c r="Q32" s="113"/>
      <c r="R32" s="113"/>
      <c r="S32" s="113"/>
      <c r="T32" s="113"/>
      <c r="U32" s="113"/>
      <c r="V32" s="113"/>
      <c r="W32" s="113"/>
      <c r="X32" s="232"/>
      <c r="Y32" s="232"/>
      <c r="Z32" s="232"/>
      <c r="AA32" s="232"/>
      <c r="AB32" s="232"/>
      <c r="AC32" s="3187">
        <f t="shared" si="0"/>
        <v>2044750</v>
      </c>
    </row>
    <row r="33" spans="1:29" s="104" customFormat="1" ht="20.25" customHeight="1">
      <c r="A33" s="3200">
        <v>42408</v>
      </c>
      <c r="B33" s="110" t="s">
        <v>3011</v>
      </c>
      <c r="C33" s="111"/>
      <c r="D33" s="112"/>
      <c r="E33" s="112"/>
      <c r="F33" s="112"/>
      <c r="G33" s="112"/>
      <c r="H33" s="112"/>
      <c r="I33" s="210"/>
      <c r="J33" s="114"/>
      <c r="K33" s="115"/>
      <c r="L33" s="232"/>
      <c r="M33" s="3770">
        <v>60000</v>
      </c>
      <c r="N33" s="232"/>
      <c r="O33" s="113"/>
      <c r="P33" s="113"/>
      <c r="Q33" s="113"/>
      <c r="R33" s="113"/>
      <c r="S33" s="113"/>
      <c r="T33" s="113"/>
      <c r="U33" s="113"/>
      <c r="V33" s="113"/>
      <c r="W33" s="232"/>
      <c r="X33" s="232"/>
      <c r="Y33" s="232"/>
      <c r="Z33" s="232"/>
      <c r="AA33" s="232"/>
      <c r="AB33" s="232"/>
      <c r="AC33" s="3187">
        <f t="shared" si="0"/>
        <v>1984750</v>
      </c>
    </row>
    <row r="34" spans="1:29" s="104" customFormat="1" ht="20.25" customHeight="1">
      <c r="A34" s="3201">
        <v>42409</v>
      </c>
      <c r="B34" s="110" t="s">
        <v>3012</v>
      </c>
      <c r="C34" s="111"/>
      <c r="D34" s="112"/>
      <c r="E34" s="112"/>
      <c r="F34" s="112"/>
      <c r="G34" s="112"/>
      <c r="H34" s="112"/>
      <c r="I34" s="210"/>
      <c r="J34" s="114"/>
      <c r="K34" s="115"/>
      <c r="L34" s="232"/>
      <c r="M34" s="3770"/>
      <c r="N34" s="232"/>
      <c r="O34" s="113">
        <v>1800000</v>
      </c>
      <c r="P34" s="113"/>
      <c r="Q34" s="113"/>
      <c r="R34" s="113"/>
      <c r="S34" s="113"/>
      <c r="T34" s="113"/>
      <c r="U34" s="113"/>
      <c r="V34" s="113"/>
      <c r="W34" s="232"/>
      <c r="X34" s="232"/>
      <c r="Y34" s="232"/>
      <c r="Z34" s="232"/>
      <c r="AA34" s="232"/>
      <c r="AB34" s="232"/>
      <c r="AC34" s="3187">
        <f t="shared" si="0"/>
        <v>184750</v>
      </c>
    </row>
    <row r="35" spans="1:29" s="104" customFormat="1" ht="20.25" customHeight="1">
      <c r="A35" s="3201">
        <v>42409</v>
      </c>
      <c r="B35" s="110" t="s">
        <v>3002</v>
      </c>
      <c r="C35" s="111"/>
      <c r="D35" s="112"/>
      <c r="E35" s="112"/>
      <c r="F35" s="112"/>
      <c r="G35" s="112"/>
      <c r="H35" s="112"/>
      <c r="I35" s="210"/>
      <c r="J35" s="114"/>
      <c r="K35" s="115"/>
      <c r="L35" s="232"/>
      <c r="M35" s="3770">
        <v>36500</v>
      </c>
      <c r="N35" s="232"/>
      <c r="O35" s="113"/>
      <c r="P35" s="113"/>
      <c r="Q35" s="113"/>
      <c r="R35" s="112"/>
      <c r="S35" s="113"/>
      <c r="T35" s="113"/>
      <c r="U35" s="113"/>
      <c r="V35" s="113"/>
      <c r="W35" s="232"/>
      <c r="X35" s="232"/>
      <c r="Y35" s="232"/>
      <c r="Z35" s="232"/>
      <c r="AA35" s="232"/>
      <c r="AB35" s="232"/>
      <c r="AC35" s="3187">
        <f t="shared" si="0"/>
        <v>148250</v>
      </c>
    </row>
    <row r="36" spans="1:29" s="104" customFormat="1" ht="20.25" customHeight="1">
      <c r="A36" s="3201">
        <v>42409</v>
      </c>
      <c r="B36" s="110" t="s">
        <v>3003</v>
      </c>
      <c r="C36" s="111"/>
      <c r="D36" s="112"/>
      <c r="E36" s="112"/>
      <c r="F36" s="112"/>
      <c r="G36" s="112">
        <v>504000</v>
      </c>
      <c r="H36" s="112"/>
      <c r="I36" s="210"/>
      <c r="J36" s="114"/>
      <c r="K36" s="115"/>
      <c r="L36" s="112"/>
      <c r="M36" s="3771"/>
      <c r="N36" s="113"/>
      <c r="O36" s="113"/>
      <c r="P36" s="113"/>
      <c r="Q36" s="113"/>
      <c r="R36" s="112"/>
      <c r="S36" s="113"/>
      <c r="T36" s="113"/>
      <c r="U36" s="113"/>
      <c r="V36" s="113"/>
      <c r="W36" s="232"/>
      <c r="X36" s="232"/>
      <c r="Y36" s="232"/>
      <c r="Z36" s="232"/>
      <c r="AA36" s="232"/>
      <c r="AB36" s="232"/>
      <c r="AC36" s="3187">
        <f t="shared" si="0"/>
        <v>652250</v>
      </c>
    </row>
    <row r="37" spans="1:29" s="104" customFormat="1" ht="20.25" customHeight="1">
      <c r="A37" s="3201">
        <v>42409</v>
      </c>
      <c r="B37" s="110" t="s">
        <v>3004</v>
      </c>
      <c r="C37" s="111"/>
      <c r="D37" s="112"/>
      <c r="E37" s="112"/>
      <c r="F37" s="112"/>
      <c r="G37" s="112"/>
      <c r="H37" s="112"/>
      <c r="I37" s="210"/>
      <c r="J37" s="114"/>
      <c r="K37" s="115"/>
      <c r="L37" s="112"/>
      <c r="M37" s="3771"/>
      <c r="N37" s="113"/>
      <c r="O37" s="113"/>
      <c r="P37" s="113"/>
      <c r="Q37" s="113"/>
      <c r="R37" s="112">
        <v>504000</v>
      </c>
      <c r="S37" s="113"/>
      <c r="T37" s="113"/>
      <c r="U37" s="113"/>
      <c r="V37" s="113"/>
      <c r="W37" s="232"/>
      <c r="X37" s="232"/>
      <c r="Y37" s="232"/>
      <c r="Z37" s="232"/>
      <c r="AA37" s="232"/>
      <c r="AB37" s="232"/>
      <c r="AC37" s="3187">
        <f t="shared" si="0"/>
        <v>148250</v>
      </c>
    </row>
    <row r="38" spans="1:29" s="104" customFormat="1" ht="20.25" customHeight="1">
      <c r="A38" s="3201">
        <v>42409</v>
      </c>
      <c r="B38" s="110" t="s">
        <v>3003</v>
      </c>
      <c r="C38" s="111"/>
      <c r="D38" s="112"/>
      <c r="E38" s="112"/>
      <c r="F38" s="112"/>
      <c r="G38" s="112">
        <v>504000</v>
      </c>
      <c r="H38" s="112"/>
      <c r="I38" s="210"/>
      <c r="J38" s="114"/>
      <c r="K38" s="115"/>
      <c r="L38" s="112"/>
      <c r="M38" s="3771"/>
      <c r="N38" s="113"/>
      <c r="O38" s="113"/>
      <c r="P38" s="113"/>
      <c r="Q38" s="113"/>
      <c r="R38" s="112"/>
      <c r="S38" s="113"/>
      <c r="T38" s="113"/>
      <c r="U38" s="113"/>
      <c r="V38" s="113"/>
      <c r="W38" s="232"/>
      <c r="X38" s="232"/>
      <c r="Y38" s="232"/>
      <c r="Z38" s="232"/>
      <c r="AA38" s="232"/>
      <c r="AB38" s="232"/>
      <c r="AC38" s="3187">
        <f t="shared" si="0"/>
        <v>652250</v>
      </c>
    </row>
    <row r="39" spans="1:29" s="104" customFormat="1" ht="20.25" customHeight="1">
      <c r="A39" s="3201">
        <v>42409</v>
      </c>
      <c r="B39" s="110" t="s">
        <v>3004</v>
      </c>
      <c r="C39" s="111"/>
      <c r="D39" s="112"/>
      <c r="E39" s="112"/>
      <c r="F39" s="112"/>
      <c r="G39" s="112"/>
      <c r="H39" s="112"/>
      <c r="I39" s="210"/>
      <c r="J39" s="114"/>
      <c r="K39" s="115"/>
      <c r="L39" s="112"/>
      <c r="M39" s="3771"/>
      <c r="N39" s="113"/>
      <c r="O39" s="113"/>
      <c r="P39" s="113"/>
      <c r="Q39" s="113"/>
      <c r="R39" s="112">
        <v>504000</v>
      </c>
      <c r="S39" s="113"/>
      <c r="T39" s="113"/>
      <c r="U39" s="113"/>
      <c r="V39" s="113"/>
      <c r="W39" s="232"/>
      <c r="X39" s="232"/>
      <c r="Y39" s="232"/>
      <c r="Z39" s="232"/>
      <c r="AA39" s="232"/>
      <c r="AB39" s="232"/>
      <c r="AC39" s="3187">
        <f t="shared" si="0"/>
        <v>148250</v>
      </c>
    </row>
    <row r="40" spans="1:29" s="104" customFormat="1" ht="20.25" customHeight="1">
      <c r="A40" s="3201">
        <v>42411</v>
      </c>
      <c r="B40" s="110" t="s">
        <v>3013</v>
      </c>
      <c r="C40" s="111"/>
      <c r="D40" s="112"/>
      <c r="E40" s="112"/>
      <c r="F40" s="112"/>
      <c r="G40" s="112"/>
      <c r="H40" s="112"/>
      <c r="I40" s="210"/>
      <c r="J40" s="114"/>
      <c r="K40" s="115"/>
      <c r="L40" s="112"/>
      <c r="M40" s="3771"/>
      <c r="N40" s="113">
        <v>50000</v>
      </c>
      <c r="O40" s="113"/>
      <c r="P40" s="113"/>
      <c r="Q40" s="113"/>
      <c r="R40" s="112"/>
      <c r="S40" s="113"/>
      <c r="T40" s="113"/>
      <c r="U40" s="113"/>
      <c r="V40" s="113"/>
      <c r="W40" s="232"/>
      <c r="X40" s="232"/>
      <c r="Y40" s="232"/>
      <c r="Z40" s="232"/>
      <c r="AA40" s="232"/>
      <c r="AB40" s="232"/>
      <c r="AC40" s="3187">
        <f t="shared" si="0"/>
        <v>98250</v>
      </c>
    </row>
    <row r="41" spans="1:29" s="104" customFormat="1" ht="20.25" customHeight="1">
      <c r="A41" s="3201">
        <v>42412</v>
      </c>
      <c r="B41" s="110" t="s">
        <v>3003</v>
      </c>
      <c r="C41" s="111"/>
      <c r="D41" s="112"/>
      <c r="E41" s="112"/>
      <c r="F41" s="112"/>
      <c r="G41" s="112">
        <v>576000</v>
      </c>
      <c r="H41" s="112"/>
      <c r="I41" s="210"/>
      <c r="J41" s="114"/>
      <c r="K41" s="115"/>
      <c r="L41" s="112"/>
      <c r="M41" s="3771"/>
      <c r="N41" s="113"/>
      <c r="O41" s="113"/>
      <c r="P41" s="113"/>
      <c r="Q41" s="113"/>
      <c r="R41" s="112"/>
      <c r="S41" s="113"/>
      <c r="T41" s="113"/>
      <c r="U41" s="113"/>
      <c r="V41" s="113"/>
      <c r="W41" s="232"/>
      <c r="X41" s="232"/>
      <c r="Y41" s="232"/>
      <c r="Z41" s="232"/>
      <c r="AA41" s="232"/>
      <c r="AB41" s="232"/>
      <c r="AC41" s="3187">
        <f t="shared" si="0"/>
        <v>674250</v>
      </c>
    </row>
    <row r="42" spans="1:29" s="104" customFormat="1" ht="20.25" customHeight="1">
      <c r="A42" s="3201">
        <v>42412</v>
      </c>
      <c r="B42" s="110" t="s">
        <v>3004</v>
      </c>
      <c r="C42" s="111"/>
      <c r="D42" s="112"/>
      <c r="E42" s="112"/>
      <c r="F42" s="112"/>
      <c r="G42" s="112"/>
      <c r="H42" s="112"/>
      <c r="I42" s="210"/>
      <c r="J42" s="114"/>
      <c r="K42" s="115"/>
      <c r="L42" s="112"/>
      <c r="M42" s="3771"/>
      <c r="N42" s="113"/>
      <c r="O42" s="113"/>
      <c r="P42" s="113"/>
      <c r="Q42" s="113"/>
      <c r="R42" s="112">
        <v>576000</v>
      </c>
      <c r="S42" s="113"/>
      <c r="T42" s="113"/>
      <c r="U42" s="113"/>
      <c r="V42" s="113"/>
      <c r="W42" s="232"/>
      <c r="X42" s="232"/>
      <c r="Y42" s="232"/>
      <c r="Z42" s="232"/>
      <c r="AA42" s="232"/>
      <c r="AB42" s="232"/>
      <c r="AC42" s="3187">
        <f t="shared" si="0"/>
        <v>98250</v>
      </c>
    </row>
    <row r="43" spans="1:29" s="104" customFormat="1" ht="20.25" customHeight="1">
      <c r="A43" s="3201">
        <v>42412</v>
      </c>
      <c r="B43" s="110" t="s">
        <v>3003</v>
      </c>
      <c r="C43" s="111"/>
      <c r="D43" s="112"/>
      <c r="E43" s="112"/>
      <c r="F43" s="112"/>
      <c r="G43" s="112">
        <v>345600</v>
      </c>
      <c r="H43" s="112"/>
      <c r="I43" s="210"/>
      <c r="J43" s="114"/>
      <c r="K43" s="115"/>
      <c r="L43" s="112"/>
      <c r="M43" s="3771"/>
      <c r="N43" s="113"/>
      <c r="O43" s="113"/>
      <c r="P43" s="113"/>
      <c r="Q43" s="113"/>
      <c r="R43" s="112"/>
      <c r="S43" s="113"/>
      <c r="T43" s="113"/>
      <c r="U43" s="113"/>
      <c r="V43" s="113"/>
      <c r="W43" s="232"/>
      <c r="X43" s="232"/>
      <c r="Y43" s="232"/>
      <c r="Z43" s="232"/>
      <c r="AA43" s="232"/>
      <c r="AB43" s="232"/>
      <c r="AC43" s="3187">
        <f t="shared" si="0"/>
        <v>443850</v>
      </c>
    </row>
    <row r="44" spans="1:29" s="104" customFormat="1" ht="20.25" customHeight="1">
      <c r="A44" s="3201">
        <v>42412</v>
      </c>
      <c r="B44" s="110" t="s">
        <v>3004</v>
      </c>
      <c r="C44" s="111"/>
      <c r="D44" s="112"/>
      <c r="E44" s="112"/>
      <c r="F44" s="112"/>
      <c r="G44" s="112"/>
      <c r="H44" s="112"/>
      <c r="I44" s="210"/>
      <c r="J44" s="114"/>
      <c r="K44" s="115"/>
      <c r="L44" s="112"/>
      <c r="M44" s="113"/>
      <c r="N44" s="113"/>
      <c r="O44" s="113"/>
      <c r="P44" s="113"/>
      <c r="Q44" s="113"/>
      <c r="R44" s="112">
        <v>345600</v>
      </c>
      <c r="S44" s="113"/>
      <c r="T44" s="113"/>
      <c r="U44" s="113"/>
      <c r="V44" s="113"/>
      <c r="W44" s="232"/>
      <c r="X44" s="232"/>
      <c r="Y44" s="232"/>
      <c r="Z44" s="232"/>
      <c r="AA44" s="232"/>
      <c r="AB44" s="232"/>
      <c r="AC44" s="3187">
        <f t="shared" si="0"/>
        <v>98250</v>
      </c>
    </row>
    <row r="45" spans="1:29" s="104" customFormat="1" ht="20.25" customHeight="1">
      <c r="A45" s="3201">
        <v>42412</v>
      </c>
      <c r="B45" s="110" t="s">
        <v>3003</v>
      </c>
      <c r="C45" s="111"/>
      <c r="D45" s="112"/>
      <c r="E45" s="112"/>
      <c r="F45" s="112"/>
      <c r="G45" s="112">
        <v>576000</v>
      </c>
      <c r="H45" s="112"/>
      <c r="I45" s="210"/>
      <c r="J45" s="114"/>
      <c r="K45" s="115"/>
      <c r="L45" s="112"/>
      <c r="M45" s="113"/>
      <c r="N45" s="113"/>
      <c r="O45" s="113"/>
      <c r="P45" s="113"/>
      <c r="Q45" s="3160"/>
      <c r="R45" s="112"/>
      <c r="S45" s="113"/>
      <c r="T45" s="113"/>
      <c r="U45" s="113"/>
      <c r="V45" s="113"/>
      <c r="W45" s="232"/>
      <c r="X45" s="232"/>
      <c r="Y45" s="232"/>
      <c r="Z45" s="232"/>
      <c r="AA45" s="232"/>
      <c r="AB45" s="232"/>
      <c r="AC45" s="3187">
        <f t="shared" si="0"/>
        <v>674250</v>
      </c>
    </row>
    <row r="46" spans="1:29" s="104" customFormat="1" ht="20.25" customHeight="1">
      <c r="A46" s="3201">
        <v>42412</v>
      </c>
      <c r="B46" s="110" t="s">
        <v>3004</v>
      </c>
      <c r="C46" s="111"/>
      <c r="D46" s="112"/>
      <c r="E46" s="112"/>
      <c r="F46" s="112"/>
      <c r="G46" s="112"/>
      <c r="H46" s="112"/>
      <c r="I46" s="210"/>
      <c r="J46" s="114"/>
      <c r="K46" s="115"/>
      <c r="L46" s="112"/>
      <c r="M46" s="113"/>
      <c r="N46" s="113"/>
      <c r="O46" s="113"/>
      <c r="P46" s="113"/>
      <c r="Q46" s="113"/>
      <c r="R46" s="112">
        <v>576000</v>
      </c>
      <c r="S46" s="113"/>
      <c r="T46" s="113"/>
      <c r="U46" s="113"/>
      <c r="V46" s="113"/>
      <c r="W46" s="232"/>
      <c r="X46" s="232"/>
      <c r="Y46" s="232"/>
      <c r="Z46" s="232"/>
      <c r="AA46" s="232"/>
      <c r="AB46" s="232"/>
      <c r="AC46" s="3187">
        <f t="shared" si="0"/>
        <v>98250</v>
      </c>
    </row>
    <row r="47" spans="1:29" s="104" customFormat="1" ht="20.25" customHeight="1">
      <c r="A47" s="3201">
        <v>42415</v>
      </c>
      <c r="B47" s="110" t="s">
        <v>3006</v>
      </c>
      <c r="C47" s="111"/>
      <c r="D47" s="112"/>
      <c r="E47" s="112"/>
      <c r="F47" s="112"/>
      <c r="G47" s="112"/>
      <c r="H47" s="112">
        <v>1200000</v>
      </c>
      <c r="I47" s="210"/>
      <c r="J47" s="114"/>
      <c r="K47" s="115"/>
      <c r="L47" s="112"/>
      <c r="M47" s="113"/>
      <c r="N47" s="113"/>
      <c r="O47" s="113"/>
      <c r="P47" s="113"/>
      <c r="Q47" s="113"/>
      <c r="R47" s="112"/>
      <c r="S47" s="113"/>
      <c r="T47" s="113"/>
      <c r="U47" s="113"/>
      <c r="V47" s="113"/>
      <c r="W47" s="232"/>
      <c r="X47" s="232"/>
      <c r="Y47" s="232"/>
      <c r="Z47" s="232"/>
      <c r="AA47" s="232"/>
      <c r="AB47" s="232"/>
      <c r="AC47" s="3187">
        <f t="shared" si="0"/>
        <v>1298250</v>
      </c>
    </row>
    <row r="48" spans="1:29" s="104" customFormat="1" ht="20.25" customHeight="1">
      <c r="A48" s="3201">
        <v>42415</v>
      </c>
      <c r="B48" s="110" t="s">
        <v>3013</v>
      </c>
      <c r="C48" s="111"/>
      <c r="D48" s="112"/>
      <c r="E48" s="112"/>
      <c r="F48" s="112"/>
      <c r="G48" s="112"/>
      <c r="H48" s="112"/>
      <c r="I48" s="210"/>
      <c r="J48" s="114"/>
      <c r="K48" s="115"/>
      <c r="L48" s="112"/>
      <c r="M48" s="113"/>
      <c r="N48" s="113">
        <v>100000</v>
      </c>
      <c r="O48" s="113"/>
      <c r="P48" s="113"/>
      <c r="Q48" s="113"/>
      <c r="R48" s="112"/>
      <c r="S48" s="113"/>
      <c r="T48" s="113"/>
      <c r="U48" s="113"/>
      <c r="V48" s="113"/>
      <c r="W48" s="232"/>
      <c r="X48" s="232"/>
      <c r="Y48" s="232"/>
      <c r="Z48" s="232"/>
      <c r="AA48" s="232"/>
      <c r="AB48" s="232"/>
      <c r="AC48" s="3187">
        <f t="shared" si="0"/>
        <v>1198250</v>
      </c>
    </row>
    <row r="49" spans="1:29" s="104" customFormat="1" ht="20.25" customHeight="1">
      <c r="A49" s="3201">
        <v>42415</v>
      </c>
      <c r="B49" s="110" t="s">
        <v>3014</v>
      </c>
      <c r="C49" s="111"/>
      <c r="D49" s="112"/>
      <c r="E49" s="112"/>
      <c r="F49" s="112"/>
      <c r="G49" s="112"/>
      <c r="H49" s="112"/>
      <c r="I49" s="210"/>
      <c r="J49" s="114"/>
      <c r="K49" s="115"/>
      <c r="L49" s="112"/>
      <c r="M49" s="113">
        <v>32000</v>
      </c>
      <c r="N49" s="113"/>
      <c r="O49" s="113"/>
      <c r="P49" s="113"/>
      <c r="Q49" s="113"/>
      <c r="R49" s="112"/>
      <c r="S49" s="113"/>
      <c r="T49" s="113"/>
      <c r="U49" s="113"/>
      <c r="V49" s="113"/>
      <c r="W49" s="232"/>
      <c r="X49" s="232"/>
      <c r="Y49" s="232"/>
      <c r="Z49" s="232"/>
      <c r="AA49" s="232"/>
      <c r="AB49" s="232"/>
      <c r="AC49" s="3187">
        <f t="shared" si="0"/>
        <v>1166250</v>
      </c>
    </row>
    <row r="50" spans="1:29" s="104" customFormat="1" ht="20.25" customHeight="1">
      <c r="A50" s="3201">
        <v>42415</v>
      </c>
      <c r="B50" s="110" t="s">
        <v>3015</v>
      </c>
      <c r="C50" s="111"/>
      <c r="D50" s="112"/>
      <c r="E50" s="112"/>
      <c r="F50" s="112"/>
      <c r="G50" s="112"/>
      <c r="H50" s="112"/>
      <c r="I50" s="210"/>
      <c r="J50" s="114"/>
      <c r="K50" s="115"/>
      <c r="L50" s="112"/>
      <c r="M50" s="113">
        <v>80000</v>
      </c>
      <c r="N50" s="113"/>
      <c r="O50" s="113"/>
      <c r="P50" s="113"/>
      <c r="Q50" s="113"/>
      <c r="R50" s="112"/>
      <c r="S50" s="113"/>
      <c r="T50" s="113"/>
      <c r="U50" s="113"/>
      <c r="V50" s="113"/>
      <c r="W50" s="232"/>
      <c r="X50" s="232"/>
      <c r="Y50" s="232"/>
      <c r="Z50" s="232"/>
      <c r="AA50" s="232"/>
      <c r="AB50" s="232"/>
      <c r="AC50" s="3187">
        <f t="shared" si="0"/>
        <v>1086250</v>
      </c>
    </row>
    <row r="51" spans="1:29" s="104" customFormat="1" ht="20.25" customHeight="1">
      <c r="A51" s="3201">
        <v>42415</v>
      </c>
      <c r="B51" s="110" t="s">
        <v>3003</v>
      </c>
      <c r="C51" s="111"/>
      <c r="D51" s="112"/>
      <c r="E51" s="112"/>
      <c r="F51" s="112"/>
      <c r="G51" s="112">
        <v>446400</v>
      </c>
      <c r="H51" s="112"/>
      <c r="I51" s="210"/>
      <c r="J51" s="114"/>
      <c r="K51" s="115"/>
      <c r="L51" s="112"/>
      <c r="M51" s="113"/>
      <c r="N51" s="113"/>
      <c r="O51" s="113"/>
      <c r="P51" s="113"/>
      <c r="Q51" s="113"/>
      <c r="R51" s="112"/>
      <c r="S51" s="113"/>
      <c r="T51" s="113"/>
      <c r="U51" s="113"/>
      <c r="V51" s="113"/>
      <c r="W51" s="232"/>
      <c r="X51" s="232"/>
      <c r="Y51" s="232"/>
      <c r="Z51" s="232"/>
      <c r="AA51" s="232"/>
      <c r="AB51" s="232"/>
      <c r="AC51" s="3187">
        <f t="shared" si="0"/>
        <v>1532650</v>
      </c>
    </row>
    <row r="52" spans="1:29" s="104" customFormat="1" ht="20.25" customHeight="1">
      <c r="A52" s="3201">
        <v>42415</v>
      </c>
      <c r="B52" s="110" t="s">
        <v>3004</v>
      </c>
      <c r="C52" s="111"/>
      <c r="D52" s="112"/>
      <c r="E52" s="112"/>
      <c r="F52" s="112"/>
      <c r="G52" s="112"/>
      <c r="H52" s="112"/>
      <c r="I52" s="210"/>
      <c r="J52" s="114"/>
      <c r="K52" s="115"/>
      <c r="L52" s="112"/>
      <c r="M52" s="113"/>
      <c r="N52" s="113"/>
      <c r="O52" s="113"/>
      <c r="P52" s="113"/>
      <c r="Q52" s="113"/>
      <c r="R52" s="112">
        <v>446400</v>
      </c>
      <c r="S52" s="113"/>
      <c r="T52" s="113"/>
      <c r="U52" s="113"/>
      <c r="V52" s="113"/>
      <c r="W52" s="232"/>
      <c r="X52" s="232"/>
      <c r="Y52" s="232"/>
      <c r="Z52" s="232"/>
      <c r="AA52" s="232"/>
      <c r="AB52" s="232"/>
      <c r="AC52" s="3187">
        <f t="shared" si="0"/>
        <v>1086250</v>
      </c>
    </row>
    <row r="53" spans="1:29" s="104" customFormat="1" ht="20.25" customHeight="1">
      <c r="A53" s="3201">
        <v>42416</v>
      </c>
      <c r="B53" s="110" t="s">
        <v>3003</v>
      </c>
      <c r="C53" s="111"/>
      <c r="D53" s="112"/>
      <c r="E53" s="112"/>
      <c r="F53" s="112"/>
      <c r="G53" s="112">
        <v>5000000</v>
      </c>
      <c r="H53" s="112"/>
      <c r="I53" s="210"/>
      <c r="J53" s="114"/>
      <c r="K53" s="115"/>
      <c r="L53" s="112"/>
      <c r="M53" s="113"/>
      <c r="N53" s="113"/>
      <c r="O53" s="113"/>
      <c r="P53" s="113"/>
      <c r="Q53" s="113"/>
      <c r="R53" s="112"/>
      <c r="S53" s="113"/>
      <c r="T53" s="113"/>
      <c r="U53" s="113"/>
      <c r="V53" s="113"/>
      <c r="W53" s="232"/>
      <c r="X53" s="232"/>
      <c r="Y53" s="232"/>
      <c r="Z53" s="232"/>
      <c r="AA53" s="232"/>
      <c r="AB53" s="232"/>
      <c r="AC53" s="3187">
        <f t="shared" si="0"/>
        <v>6086250</v>
      </c>
    </row>
    <row r="54" spans="1:29" s="104" customFormat="1" ht="20.25" customHeight="1">
      <c r="A54" s="3201">
        <v>42416</v>
      </c>
      <c r="B54" s="110" t="s">
        <v>3025</v>
      </c>
      <c r="C54" s="111"/>
      <c r="D54" s="112"/>
      <c r="E54" s="112"/>
      <c r="F54" s="112"/>
      <c r="G54" s="112"/>
      <c r="H54" s="112"/>
      <c r="I54" s="210"/>
      <c r="J54" s="114"/>
      <c r="K54" s="115">
        <v>5000000</v>
      </c>
      <c r="L54" s="112"/>
      <c r="M54" s="113"/>
      <c r="N54" s="113"/>
      <c r="O54" s="113"/>
      <c r="P54" s="113"/>
      <c r="Q54" s="113"/>
      <c r="R54" s="112"/>
      <c r="S54" s="113"/>
      <c r="T54" s="113"/>
      <c r="U54" s="113"/>
      <c r="V54" s="113"/>
      <c r="W54" s="232"/>
      <c r="X54" s="232"/>
      <c r="Y54" s="232"/>
      <c r="Z54" s="232"/>
      <c r="AA54" s="232"/>
      <c r="AB54" s="232"/>
      <c r="AC54" s="3187">
        <f t="shared" si="0"/>
        <v>1086250</v>
      </c>
    </row>
    <row r="55" spans="1:29" s="104" customFormat="1" ht="20.25" customHeight="1">
      <c r="A55" s="3114">
        <v>42416</v>
      </c>
      <c r="B55" s="110" t="s">
        <v>3016</v>
      </c>
      <c r="C55" s="111"/>
      <c r="D55" s="112"/>
      <c r="E55" s="112"/>
      <c r="F55" s="112"/>
      <c r="G55" s="112"/>
      <c r="H55" s="112"/>
      <c r="I55" s="210"/>
      <c r="J55" s="114"/>
      <c r="K55" s="115"/>
      <c r="L55" s="112"/>
      <c r="M55" s="113">
        <v>25000</v>
      </c>
      <c r="N55" s="113"/>
      <c r="O55" s="113"/>
      <c r="P55" s="113"/>
      <c r="Q55" s="113"/>
      <c r="R55" s="112"/>
      <c r="S55" s="113"/>
      <c r="T55" s="113"/>
      <c r="U55" s="113"/>
      <c r="V55" s="113"/>
      <c r="W55" s="232"/>
      <c r="X55" s="232"/>
      <c r="Y55" s="232"/>
      <c r="Z55" s="232"/>
      <c r="AA55" s="232"/>
      <c r="AB55" s="232"/>
      <c r="AC55" s="3187">
        <f t="shared" si="0"/>
        <v>1061250</v>
      </c>
    </row>
    <row r="56" spans="1:29" s="104" customFormat="1" ht="20.25" customHeight="1">
      <c r="A56" s="3114">
        <v>42416</v>
      </c>
      <c r="B56" s="110" t="s">
        <v>3009</v>
      </c>
      <c r="C56" s="111"/>
      <c r="D56" s="112"/>
      <c r="E56" s="112"/>
      <c r="F56" s="112"/>
      <c r="G56" s="112"/>
      <c r="H56" s="112"/>
      <c r="I56" s="210"/>
      <c r="J56" s="114"/>
      <c r="K56" s="115"/>
      <c r="L56" s="112"/>
      <c r="M56" s="113">
        <v>35000</v>
      </c>
      <c r="N56" s="113"/>
      <c r="O56" s="113"/>
      <c r="P56" s="113"/>
      <c r="Q56" s="113"/>
      <c r="R56" s="113"/>
      <c r="S56" s="113"/>
      <c r="T56" s="113"/>
      <c r="U56" s="113"/>
      <c r="V56" s="113"/>
      <c r="W56" s="232"/>
      <c r="X56" s="232"/>
      <c r="Y56" s="232"/>
      <c r="Z56" s="232"/>
      <c r="AA56" s="232"/>
      <c r="AB56" s="232"/>
      <c r="AC56" s="3187">
        <f t="shared" si="0"/>
        <v>1026250</v>
      </c>
    </row>
    <row r="57" spans="1:29" s="104" customFormat="1" ht="20.25" customHeight="1">
      <c r="A57" s="3114">
        <v>42416</v>
      </c>
      <c r="B57" s="110" t="s">
        <v>3017</v>
      </c>
      <c r="C57" s="111"/>
      <c r="D57" s="112"/>
      <c r="E57" s="112"/>
      <c r="F57" s="112"/>
      <c r="G57" s="112"/>
      <c r="H57" s="112"/>
      <c r="I57" s="210"/>
      <c r="J57" s="114"/>
      <c r="K57" s="115"/>
      <c r="L57" s="112"/>
      <c r="M57" s="113">
        <v>25000</v>
      </c>
      <c r="N57" s="113"/>
      <c r="O57" s="113"/>
      <c r="P57" s="113"/>
      <c r="Q57" s="113"/>
      <c r="R57" s="113"/>
      <c r="S57" s="113"/>
      <c r="T57" s="113"/>
      <c r="U57" s="113"/>
      <c r="V57" s="113"/>
      <c r="W57" s="232"/>
      <c r="X57" s="232"/>
      <c r="Y57" s="232"/>
      <c r="Z57" s="232"/>
      <c r="AA57" s="232"/>
      <c r="AB57" s="232"/>
      <c r="AC57" s="3187">
        <f t="shared" si="0"/>
        <v>1001250</v>
      </c>
    </row>
    <row r="58" spans="1:29" s="104" customFormat="1" ht="20.25" customHeight="1">
      <c r="A58" s="3114">
        <v>42416</v>
      </c>
      <c r="B58" s="110" t="s">
        <v>3003</v>
      </c>
      <c r="C58" s="111"/>
      <c r="D58" s="112"/>
      <c r="E58" s="112"/>
      <c r="F58" s="112"/>
      <c r="G58" s="112">
        <v>468000</v>
      </c>
      <c r="H58" s="112"/>
      <c r="I58" s="210"/>
      <c r="J58" s="114"/>
      <c r="K58" s="115"/>
      <c r="L58" s="112"/>
      <c r="M58" s="113"/>
      <c r="N58" s="113"/>
      <c r="O58" s="113"/>
      <c r="P58" s="113"/>
      <c r="Q58" s="113"/>
      <c r="R58" s="113"/>
      <c r="S58" s="113"/>
      <c r="T58" s="113"/>
      <c r="U58" s="113"/>
      <c r="V58" s="113"/>
      <c r="W58" s="232"/>
      <c r="X58" s="232"/>
      <c r="Y58" s="232"/>
      <c r="Z58" s="232"/>
      <c r="AA58" s="232"/>
      <c r="AB58" s="232"/>
      <c r="AC58" s="3187">
        <f t="shared" si="0"/>
        <v>1469250</v>
      </c>
    </row>
    <row r="59" spans="1:29" s="104" customFormat="1" ht="20.25" customHeight="1">
      <c r="A59" s="3114">
        <v>42416</v>
      </c>
      <c r="B59" s="110" t="s">
        <v>3004</v>
      </c>
      <c r="C59" s="111"/>
      <c r="D59" s="112"/>
      <c r="E59" s="112"/>
      <c r="F59" s="112"/>
      <c r="G59" s="112"/>
      <c r="H59" s="112"/>
      <c r="I59" s="210"/>
      <c r="J59" s="114"/>
      <c r="K59" s="115"/>
      <c r="L59" s="112"/>
      <c r="M59" s="113"/>
      <c r="N59" s="113"/>
      <c r="O59" s="113"/>
      <c r="P59" s="113"/>
      <c r="Q59" s="113"/>
      <c r="R59" s="113">
        <v>468000</v>
      </c>
      <c r="S59" s="113"/>
      <c r="T59" s="113"/>
      <c r="U59" s="113"/>
      <c r="V59" s="113"/>
      <c r="W59" s="232"/>
      <c r="X59" s="232"/>
      <c r="Y59" s="232"/>
      <c r="Z59" s="232"/>
      <c r="AA59" s="232"/>
      <c r="AB59" s="232"/>
      <c r="AC59" s="3187">
        <f t="shared" si="0"/>
        <v>1001250</v>
      </c>
    </row>
    <row r="60" spans="1:29" s="104" customFormat="1" ht="20.25" customHeight="1">
      <c r="A60" s="3114">
        <v>42416</v>
      </c>
      <c r="B60" s="110" t="s">
        <v>3002</v>
      </c>
      <c r="C60" s="111"/>
      <c r="D60" s="112"/>
      <c r="E60" s="112"/>
      <c r="F60" s="112"/>
      <c r="G60" s="112"/>
      <c r="H60" s="112"/>
      <c r="I60" s="210"/>
      <c r="J60" s="114"/>
      <c r="K60" s="115"/>
      <c r="L60" s="112"/>
      <c r="M60" s="113">
        <v>94500</v>
      </c>
      <c r="N60" s="113"/>
      <c r="O60" s="113"/>
      <c r="P60" s="113"/>
      <c r="Q60" s="113"/>
      <c r="R60" s="113"/>
      <c r="S60" s="113"/>
      <c r="T60" s="113"/>
      <c r="U60" s="113"/>
      <c r="V60" s="113"/>
      <c r="W60" s="232"/>
      <c r="X60" s="232"/>
      <c r="Y60" s="232"/>
      <c r="Z60" s="232"/>
      <c r="AA60" s="232"/>
      <c r="AB60" s="232"/>
      <c r="AC60" s="3187">
        <f t="shared" si="0"/>
        <v>906750</v>
      </c>
    </row>
    <row r="61" spans="1:29" s="104" customFormat="1" ht="20.25" customHeight="1">
      <c r="A61" s="3114">
        <v>42417</v>
      </c>
      <c r="B61" s="110" t="s">
        <v>3018</v>
      </c>
      <c r="C61" s="111"/>
      <c r="D61" s="112"/>
      <c r="E61" s="112"/>
      <c r="F61" s="112"/>
      <c r="G61" s="112"/>
      <c r="H61" s="112"/>
      <c r="I61" s="210"/>
      <c r="J61" s="114"/>
      <c r="K61" s="115"/>
      <c r="L61" s="112"/>
      <c r="M61" s="111">
        <v>20000</v>
      </c>
      <c r="N61" s="113"/>
      <c r="O61" s="113"/>
      <c r="P61" s="113"/>
      <c r="Q61" s="113"/>
      <c r="R61" s="113"/>
      <c r="S61" s="113"/>
      <c r="T61" s="113"/>
      <c r="U61" s="113"/>
      <c r="V61" s="113"/>
      <c r="W61" s="232"/>
      <c r="X61" s="232"/>
      <c r="Y61" s="232"/>
      <c r="Z61" s="232"/>
      <c r="AA61" s="232"/>
      <c r="AB61" s="232"/>
      <c r="AC61" s="3187">
        <f t="shared" si="0"/>
        <v>886750</v>
      </c>
    </row>
    <row r="62" spans="1:29" s="104" customFormat="1" ht="20.25" customHeight="1">
      <c r="A62" s="3114">
        <v>42418</v>
      </c>
      <c r="B62" s="110" t="s">
        <v>3003</v>
      </c>
      <c r="C62" s="111"/>
      <c r="D62" s="112"/>
      <c r="E62" s="112"/>
      <c r="F62" s="112"/>
      <c r="G62" s="112">
        <v>115200</v>
      </c>
      <c r="H62" s="112"/>
      <c r="I62" s="210"/>
      <c r="J62" s="114"/>
      <c r="K62" s="115"/>
      <c r="L62" s="112"/>
      <c r="M62" s="113"/>
      <c r="N62" s="113"/>
      <c r="O62" s="113"/>
      <c r="P62" s="113"/>
      <c r="Q62" s="113"/>
      <c r="R62" s="113"/>
      <c r="S62" s="113"/>
      <c r="T62" s="113"/>
      <c r="U62" s="113"/>
      <c r="V62" s="113"/>
      <c r="W62" s="232"/>
      <c r="X62" s="232"/>
      <c r="Y62" s="232"/>
      <c r="Z62" s="232"/>
      <c r="AA62" s="232"/>
      <c r="AB62" s="232"/>
      <c r="AC62" s="3187">
        <f t="shared" si="0"/>
        <v>1001950</v>
      </c>
    </row>
    <row r="63" spans="1:29" s="104" customFormat="1" ht="20.25" customHeight="1">
      <c r="A63" s="3114">
        <v>42418</v>
      </c>
      <c r="B63" s="110" t="s">
        <v>3004</v>
      </c>
      <c r="C63" s="111"/>
      <c r="D63" s="112"/>
      <c r="E63" s="112"/>
      <c r="F63" s="112"/>
      <c r="G63" s="112"/>
      <c r="H63" s="112"/>
      <c r="I63" s="210"/>
      <c r="J63" s="114"/>
      <c r="K63" s="115"/>
      <c r="L63" s="112"/>
      <c r="M63" s="113"/>
      <c r="N63" s="113"/>
      <c r="O63" s="113"/>
      <c r="P63" s="113"/>
      <c r="Q63" s="113"/>
      <c r="R63" s="113">
        <v>115200</v>
      </c>
      <c r="S63" s="113"/>
      <c r="T63" s="113"/>
      <c r="U63" s="113"/>
      <c r="V63" s="113"/>
      <c r="W63" s="232"/>
      <c r="X63" s="232"/>
      <c r="Y63" s="232"/>
      <c r="Z63" s="232"/>
      <c r="AA63" s="232"/>
      <c r="AB63" s="232"/>
      <c r="AC63" s="3187">
        <f t="shared" si="0"/>
        <v>886750</v>
      </c>
    </row>
    <row r="64" spans="1:29" s="104" customFormat="1" ht="20.25" customHeight="1">
      <c r="A64" s="3114">
        <v>42418</v>
      </c>
      <c r="B64" s="110" t="s">
        <v>3003</v>
      </c>
      <c r="C64" s="111"/>
      <c r="D64" s="112"/>
      <c r="E64" s="112"/>
      <c r="F64" s="112"/>
      <c r="G64" s="112">
        <v>115200</v>
      </c>
      <c r="H64" s="112"/>
      <c r="I64" s="210"/>
      <c r="J64" s="114"/>
      <c r="K64" s="115"/>
      <c r="L64" s="112"/>
      <c r="M64" s="113"/>
      <c r="N64" s="113"/>
      <c r="O64" s="113"/>
      <c r="P64" s="113"/>
      <c r="Q64" s="113"/>
      <c r="R64" s="113"/>
      <c r="S64" s="113"/>
      <c r="T64" s="113"/>
      <c r="U64" s="113"/>
      <c r="V64" s="113"/>
      <c r="W64" s="232"/>
      <c r="X64" s="232"/>
      <c r="Y64" s="232"/>
      <c r="Z64" s="232"/>
      <c r="AA64" s="232"/>
      <c r="AB64" s="232"/>
      <c r="AC64" s="3187">
        <f t="shared" si="0"/>
        <v>1001950</v>
      </c>
    </row>
    <row r="65" spans="1:29" s="104" customFormat="1" ht="20.25" customHeight="1">
      <c r="A65" s="3114">
        <v>42418</v>
      </c>
      <c r="B65" s="110" t="s">
        <v>3004</v>
      </c>
      <c r="C65" s="111"/>
      <c r="D65" s="112"/>
      <c r="E65" s="112"/>
      <c r="F65" s="112"/>
      <c r="G65" s="112"/>
      <c r="H65" s="112"/>
      <c r="I65" s="210"/>
      <c r="J65" s="114"/>
      <c r="K65" s="115"/>
      <c r="L65" s="112"/>
      <c r="M65" s="113"/>
      <c r="N65" s="113"/>
      <c r="O65" s="113"/>
      <c r="P65" s="113"/>
      <c r="Q65" s="113"/>
      <c r="R65" s="112">
        <v>115200</v>
      </c>
      <c r="S65" s="113"/>
      <c r="T65" s="113"/>
      <c r="U65" s="113"/>
      <c r="V65" s="113"/>
      <c r="W65" s="232"/>
      <c r="X65" s="232"/>
      <c r="Y65" s="232"/>
      <c r="Z65" s="232"/>
      <c r="AA65" s="232"/>
      <c r="AB65" s="232"/>
      <c r="AC65" s="3187">
        <f t="shared" si="0"/>
        <v>886750</v>
      </c>
    </row>
    <row r="66" spans="1:29" s="104" customFormat="1" ht="20.25" customHeight="1">
      <c r="A66" s="3114">
        <v>42419</v>
      </c>
      <c r="B66" s="110" t="s">
        <v>3006</v>
      </c>
      <c r="C66" s="111"/>
      <c r="D66" s="112"/>
      <c r="E66" s="112"/>
      <c r="F66" s="112"/>
      <c r="G66" s="112"/>
      <c r="H66" s="112">
        <v>5000000</v>
      </c>
      <c r="I66" s="210"/>
      <c r="J66" s="114"/>
      <c r="K66" s="115"/>
      <c r="L66" s="112"/>
      <c r="M66" s="113"/>
      <c r="N66" s="113"/>
      <c r="O66" s="113"/>
      <c r="P66" s="113"/>
      <c r="Q66" s="113"/>
      <c r="R66" s="112"/>
      <c r="S66" s="113"/>
      <c r="T66" s="113"/>
      <c r="U66" s="113"/>
      <c r="V66" s="113"/>
      <c r="W66" s="232"/>
      <c r="X66" s="232"/>
      <c r="Y66" s="232"/>
      <c r="Z66" s="232"/>
      <c r="AA66" s="232"/>
      <c r="AB66" s="232"/>
      <c r="AC66" s="3187">
        <f t="shared" si="0"/>
        <v>5886750</v>
      </c>
    </row>
    <row r="67" spans="1:29" s="104" customFormat="1" ht="20.25" customHeight="1">
      <c r="A67" s="3114">
        <v>42419</v>
      </c>
      <c r="B67" s="110" t="s">
        <v>3007</v>
      </c>
      <c r="C67" s="111"/>
      <c r="D67" s="112"/>
      <c r="E67" s="112"/>
      <c r="F67" s="112"/>
      <c r="G67" s="112"/>
      <c r="H67" s="112"/>
      <c r="I67" s="210"/>
      <c r="J67" s="114"/>
      <c r="K67" s="115"/>
      <c r="L67" s="112"/>
      <c r="M67" s="113"/>
      <c r="N67" s="113"/>
      <c r="O67" s="113"/>
      <c r="P67" s="113"/>
      <c r="Q67" s="113">
        <v>5000000</v>
      </c>
      <c r="R67" s="112"/>
      <c r="S67" s="113"/>
      <c r="T67" s="113"/>
      <c r="U67" s="113"/>
      <c r="V67" s="113"/>
      <c r="W67" s="232"/>
      <c r="X67" s="232"/>
      <c r="Y67" s="232"/>
      <c r="Z67" s="232"/>
      <c r="AA67" s="232"/>
      <c r="AB67" s="232"/>
      <c r="AC67" s="3187">
        <f t="shared" si="0"/>
        <v>886750</v>
      </c>
    </row>
    <row r="68" spans="1:29" s="104" customFormat="1" ht="20.25" customHeight="1">
      <c r="A68" s="3114">
        <v>42422</v>
      </c>
      <c r="B68" s="110" t="s">
        <v>3002</v>
      </c>
      <c r="C68" s="111"/>
      <c r="D68" s="112"/>
      <c r="E68" s="112"/>
      <c r="F68" s="112"/>
      <c r="G68" s="112"/>
      <c r="H68" s="112"/>
      <c r="I68" s="210"/>
      <c r="J68" s="114"/>
      <c r="K68" s="115"/>
      <c r="L68" s="112"/>
      <c r="M68" s="113">
        <v>25000</v>
      </c>
      <c r="N68" s="113"/>
      <c r="O68" s="113"/>
      <c r="P68" s="113"/>
      <c r="Q68" s="113"/>
      <c r="R68" s="112"/>
      <c r="S68" s="113"/>
      <c r="T68" s="113"/>
      <c r="U68" s="113"/>
      <c r="V68" s="113"/>
      <c r="W68" s="232"/>
      <c r="X68" s="232"/>
      <c r="Y68" s="232"/>
      <c r="Z68" s="232"/>
      <c r="AA68" s="232"/>
      <c r="AB68" s="232"/>
      <c r="AC68" s="3187">
        <f t="shared" si="0"/>
        <v>861750</v>
      </c>
    </row>
    <row r="69" spans="1:29" s="104" customFormat="1" ht="20.25" customHeight="1">
      <c r="A69" s="3114">
        <v>42422</v>
      </c>
      <c r="B69" s="110" t="s">
        <v>3003</v>
      </c>
      <c r="C69" s="111"/>
      <c r="D69" s="112"/>
      <c r="E69" s="112"/>
      <c r="F69" s="112"/>
      <c r="G69" s="112">
        <v>504000</v>
      </c>
      <c r="H69" s="112"/>
      <c r="I69" s="210"/>
      <c r="J69" s="114"/>
      <c r="K69" s="115"/>
      <c r="L69" s="112"/>
      <c r="M69" s="113"/>
      <c r="N69" s="113"/>
      <c r="O69" s="113"/>
      <c r="P69" s="113"/>
      <c r="Q69" s="113"/>
      <c r="R69" s="112"/>
      <c r="S69" s="113"/>
      <c r="T69" s="113"/>
      <c r="U69" s="113"/>
      <c r="V69" s="113"/>
      <c r="W69" s="232"/>
      <c r="X69" s="232"/>
      <c r="Y69" s="232"/>
      <c r="Z69" s="232"/>
      <c r="AA69" s="232"/>
      <c r="AB69" s="232"/>
      <c r="AC69" s="3187">
        <f t="shared" si="0"/>
        <v>1365750</v>
      </c>
    </row>
    <row r="70" spans="1:29" s="104" customFormat="1" ht="20.25" customHeight="1">
      <c r="A70" s="3114">
        <v>42422</v>
      </c>
      <c r="B70" s="110" t="s">
        <v>3004</v>
      </c>
      <c r="C70" s="111"/>
      <c r="D70" s="112"/>
      <c r="E70" s="112"/>
      <c r="F70" s="112"/>
      <c r="G70" s="112"/>
      <c r="H70" s="112"/>
      <c r="I70" s="210"/>
      <c r="J70" s="114"/>
      <c r="K70" s="115"/>
      <c r="L70" s="112"/>
      <c r="M70" s="113"/>
      <c r="N70" s="113"/>
      <c r="O70" s="113"/>
      <c r="P70" s="113"/>
      <c r="Q70" s="113"/>
      <c r="R70" s="112">
        <v>504000</v>
      </c>
      <c r="S70" s="113"/>
      <c r="T70" s="113"/>
      <c r="U70" s="113"/>
      <c r="V70" s="113"/>
      <c r="W70" s="232"/>
      <c r="X70" s="232"/>
      <c r="Y70" s="232"/>
      <c r="Z70" s="232"/>
      <c r="AA70" s="232"/>
      <c r="AB70" s="232"/>
      <c r="AC70" s="3187">
        <f t="shared" si="0"/>
        <v>861750</v>
      </c>
    </row>
    <row r="71" spans="1:29" s="104" customFormat="1" ht="20.25" customHeight="1">
      <c r="A71" s="3114">
        <v>42423</v>
      </c>
      <c r="B71" s="110" t="s">
        <v>3019</v>
      </c>
      <c r="C71" s="111"/>
      <c r="D71" s="112"/>
      <c r="E71" s="112"/>
      <c r="F71" s="112"/>
      <c r="G71" s="112"/>
      <c r="H71" s="112"/>
      <c r="I71" s="210"/>
      <c r="J71" s="114"/>
      <c r="K71" s="115"/>
      <c r="L71" s="112"/>
      <c r="M71" s="113">
        <v>80600</v>
      </c>
      <c r="N71" s="113"/>
      <c r="O71" s="113"/>
      <c r="P71" s="113"/>
      <c r="Q71" s="113"/>
      <c r="R71" s="112"/>
      <c r="S71" s="113"/>
      <c r="T71" s="113"/>
      <c r="U71" s="113"/>
      <c r="V71" s="113"/>
      <c r="W71" s="232"/>
      <c r="X71" s="232"/>
      <c r="Y71" s="232"/>
      <c r="Z71" s="232"/>
      <c r="AA71" s="232"/>
      <c r="AB71" s="232"/>
      <c r="AC71" s="3187">
        <f t="shared" si="0"/>
        <v>781150</v>
      </c>
    </row>
    <row r="72" spans="1:29" s="104" customFormat="1" ht="20.25" customHeight="1">
      <c r="A72" s="3114">
        <v>42423</v>
      </c>
      <c r="B72" s="110" t="s">
        <v>3022</v>
      </c>
      <c r="C72" s="111"/>
      <c r="D72" s="112"/>
      <c r="E72" s="112"/>
      <c r="F72" s="112"/>
      <c r="G72" s="112"/>
      <c r="H72" s="112"/>
      <c r="I72" s="210"/>
      <c r="J72" s="114"/>
      <c r="K72" s="115"/>
      <c r="L72" s="112"/>
      <c r="M72" s="113">
        <v>473900</v>
      </c>
      <c r="N72" s="113"/>
      <c r="O72" s="113"/>
      <c r="P72" s="113"/>
      <c r="Q72" s="113"/>
      <c r="R72" s="112"/>
      <c r="S72" s="113"/>
      <c r="T72" s="113"/>
      <c r="U72" s="113"/>
      <c r="V72" s="113"/>
      <c r="W72" s="232"/>
      <c r="X72" s="232"/>
      <c r="Y72" s="232"/>
      <c r="Z72" s="232"/>
      <c r="AA72" s="232"/>
      <c r="AB72" s="232"/>
      <c r="AC72" s="3187">
        <f t="shared" si="0"/>
        <v>307250</v>
      </c>
    </row>
    <row r="73" spans="1:29" s="104" customFormat="1" ht="20.25" customHeight="1">
      <c r="A73" s="3114">
        <v>42423</v>
      </c>
      <c r="B73" s="110" t="s">
        <v>3009</v>
      </c>
      <c r="C73" s="111"/>
      <c r="D73" s="112"/>
      <c r="E73" s="112"/>
      <c r="F73" s="112"/>
      <c r="G73" s="112"/>
      <c r="H73" s="112"/>
      <c r="I73" s="210"/>
      <c r="J73" s="114"/>
      <c r="K73" s="115"/>
      <c r="L73" s="112"/>
      <c r="M73" s="113">
        <v>35000</v>
      </c>
      <c r="N73" s="113"/>
      <c r="O73" s="113"/>
      <c r="P73" s="113"/>
      <c r="Q73" s="113"/>
      <c r="R73" s="112"/>
      <c r="S73" s="113"/>
      <c r="T73" s="113"/>
      <c r="U73" s="113"/>
      <c r="V73" s="113"/>
      <c r="W73" s="232"/>
      <c r="X73" s="232"/>
      <c r="Y73" s="232"/>
      <c r="Z73" s="232"/>
      <c r="AA73" s="232"/>
      <c r="AB73" s="232"/>
      <c r="AC73" s="3187">
        <f t="shared" si="0"/>
        <v>272250</v>
      </c>
    </row>
    <row r="74" spans="1:29" s="104" customFormat="1" ht="20.25" customHeight="1">
      <c r="A74" s="3114">
        <v>42423</v>
      </c>
      <c r="B74" s="110" t="s">
        <v>3021</v>
      </c>
      <c r="C74" s="111"/>
      <c r="D74" s="112"/>
      <c r="E74" s="112"/>
      <c r="F74" s="112"/>
      <c r="G74" s="112"/>
      <c r="H74" s="112"/>
      <c r="I74" s="210"/>
      <c r="J74" s="114"/>
      <c r="K74" s="115"/>
      <c r="L74" s="112"/>
      <c r="M74" s="113">
        <v>60000</v>
      </c>
      <c r="N74" s="113"/>
      <c r="O74" s="113"/>
      <c r="P74" s="113"/>
      <c r="Q74" s="113"/>
      <c r="R74" s="113"/>
      <c r="S74" s="113"/>
      <c r="T74" s="113"/>
      <c r="U74" s="113"/>
      <c r="V74" s="113"/>
      <c r="W74" s="232"/>
      <c r="X74" s="232"/>
      <c r="Y74" s="232"/>
      <c r="Z74" s="232"/>
      <c r="AA74" s="232"/>
      <c r="AB74" s="232"/>
      <c r="AC74" s="3187">
        <f t="shared" si="0"/>
        <v>212250</v>
      </c>
    </row>
    <row r="75" spans="1:29" s="104" customFormat="1" ht="20.25" customHeight="1">
      <c r="A75" s="3114">
        <v>42423</v>
      </c>
      <c r="B75" s="110" t="s">
        <v>3020</v>
      </c>
      <c r="C75" s="111"/>
      <c r="D75" s="112"/>
      <c r="E75" s="112"/>
      <c r="F75" s="112"/>
      <c r="G75" s="112"/>
      <c r="H75" s="112"/>
      <c r="I75" s="210"/>
      <c r="J75" s="114"/>
      <c r="K75" s="115"/>
      <c r="L75" s="112"/>
      <c r="M75" s="113">
        <f>78000+5000</f>
        <v>83000</v>
      </c>
      <c r="N75" s="113"/>
      <c r="O75" s="113"/>
      <c r="P75" s="113"/>
      <c r="Q75" s="113"/>
      <c r="R75" s="113"/>
      <c r="S75" s="113"/>
      <c r="T75" s="113"/>
      <c r="U75" s="113"/>
      <c r="V75" s="113"/>
      <c r="W75" s="232"/>
      <c r="X75" s="232"/>
      <c r="Y75" s="232"/>
      <c r="Z75" s="232"/>
      <c r="AA75" s="232"/>
      <c r="AB75" s="232"/>
      <c r="AC75" s="3187">
        <f t="shared" si="0"/>
        <v>129250</v>
      </c>
    </row>
    <row r="76" spans="1:29" s="104" customFormat="1" ht="20.45" customHeight="1">
      <c r="A76" s="3114">
        <v>42423</v>
      </c>
      <c r="B76" s="110" t="s">
        <v>3003</v>
      </c>
      <c r="C76" s="111"/>
      <c r="D76" s="112"/>
      <c r="E76" s="112"/>
      <c r="F76" s="112"/>
      <c r="G76" s="112">
        <v>34980000</v>
      </c>
      <c r="H76" s="112"/>
      <c r="I76" s="210"/>
      <c r="J76" s="114"/>
      <c r="K76" s="115"/>
      <c r="L76" s="112"/>
      <c r="M76" s="113"/>
      <c r="N76" s="113"/>
      <c r="O76" s="113"/>
      <c r="P76" s="113"/>
      <c r="Q76" s="113"/>
      <c r="R76" s="113"/>
      <c r="S76" s="113"/>
      <c r="T76" s="113"/>
      <c r="U76" s="113"/>
      <c r="V76" s="113"/>
      <c r="W76" s="232"/>
      <c r="X76" s="232"/>
      <c r="Y76" s="232"/>
      <c r="Z76" s="232"/>
      <c r="AA76" s="232"/>
      <c r="AB76" s="232"/>
      <c r="AC76" s="3187">
        <f t="shared" si="0"/>
        <v>35109250</v>
      </c>
    </row>
    <row r="77" spans="1:29" s="104" customFormat="1" ht="20.25" customHeight="1">
      <c r="A77" s="3114">
        <v>42423</v>
      </c>
      <c r="B77" s="110" t="s">
        <v>3025</v>
      </c>
      <c r="C77" s="111"/>
      <c r="D77" s="112"/>
      <c r="E77" s="112"/>
      <c r="F77" s="112"/>
      <c r="G77" s="112"/>
      <c r="H77" s="112"/>
      <c r="I77" s="210"/>
      <c r="J77" s="114"/>
      <c r="K77" s="115">
        <v>34980000</v>
      </c>
      <c r="L77" s="112"/>
      <c r="M77" s="113"/>
      <c r="N77" s="113"/>
      <c r="O77" s="113"/>
      <c r="P77" s="113"/>
      <c r="Q77" s="113"/>
      <c r="R77" s="113"/>
      <c r="S77" s="113"/>
      <c r="T77" s="113"/>
      <c r="U77" s="113"/>
      <c r="V77" s="113"/>
      <c r="W77" s="232"/>
      <c r="X77" s="232"/>
      <c r="Y77" s="232"/>
      <c r="Z77" s="232"/>
      <c r="AA77" s="232"/>
      <c r="AB77" s="232"/>
      <c r="AC77" s="3187">
        <f t="shared" si="0"/>
        <v>129250</v>
      </c>
    </row>
    <row r="78" spans="1:29" s="104" customFormat="1" ht="20.25" customHeight="1">
      <c r="A78" s="3114"/>
      <c r="B78" s="110"/>
      <c r="C78" s="111"/>
      <c r="D78" s="112"/>
      <c r="E78" s="112"/>
      <c r="F78" s="112"/>
      <c r="G78" s="112"/>
      <c r="H78" s="112"/>
      <c r="I78" s="210"/>
      <c r="J78" s="114"/>
      <c r="K78" s="115"/>
      <c r="L78" s="112"/>
      <c r="M78" s="113"/>
      <c r="N78" s="113"/>
      <c r="O78" s="113"/>
      <c r="P78" s="113"/>
      <c r="Q78" s="113"/>
      <c r="R78" s="113"/>
      <c r="S78" s="113"/>
      <c r="T78" s="113"/>
      <c r="U78" s="113"/>
      <c r="V78" s="113"/>
      <c r="W78" s="232"/>
      <c r="X78" s="232"/>
      <c r="Y78" s="232"/>
      <c r="Z78" s="232"/>
      <c r="AA78" s="232"/>
      <c r="AB78" s="232"/>
      <c r="AC78" s="3187">
        <f t="shared" si="0"/>
        <v>129250</v>
      </c>
    </row>
    <row r="79" spans="1:29" s="104" customFormat="1" ht="20.25" customHeight="1">
      <c r="A79" s="3114"/>
      <c r="B79" s="110"/>
      <c r="C79" s="111"/>
      <c r="D79" s="112"/>
      <c r="E79" s="112"/>
      <c r="F79" s="112"/>
      <c r="G79" s="112"/>
      <c r="H79" s="112"/>
      <c r="I79" s="210"/>
      <c r="J79" s="114"/>
      <c r="K79" s="115"/>
      <c r="L79" s="112"/>
      <c r="M79" s="113"/>
      <c r="N79" s="113"/>
      <c r="O79" s="113"/>
      <c r="P79" s="113"/>
      <c r="Q79" s="113"/>
      <c r="R79" s="113"/>
      <c r="S79" s="113"/>
      <c r="T79" s="113"/>
      <c r="U79" s="113"/>
      <c r="V79" s="113"/>
      <c r="W79" s="232"/>
      <c r="X79" s="232"/>
      <c r="Y79" s="232"/>
      <c r="Z79" s="232"/>
      <c r="AA79" s="232"/>
      <c r="AB79" s="232"/>
      <c r="AC79" s="3187">
        <f t="shared" si="0"/>
        <v>129250</v>
      </c>
    </row>
    <row r="80" spans="1:29" s="104" customFormat="1" ht="20.25" customHeight="1">
      <c r="A80" s="3114"/>
      <c r="B80" s="110"/>
      <c r="C80" s="111"/>
      <c r="D80" s="112"/>
      <c r="E80" s="112"/>
      <c r="F80" s="112"/>
      <c r="G80" s="112"/>
      <c r="H80" s="112"/>
      <c r="I80" s="210"/>
      <c r="J80" s="114"/>
      <c r="K80" s="115"/>
      <c r="L80" s="112"/>
      <c r="M80" s="113"/>
      <c r="N80" s="113"/>
      <c r="O80" s="113"/>
      <c r="P80" s="113"/>
      <c r="Q80" s="113"/>
      <c r="R80" s="113"/>
      <c r="S80" s="113"/>
      <c r="T80" s="113"/>
      <c r="U80" s="113"/>
      <c r="V80" s="113"/>
      <c r="W80" s="232"/>
      <c r="X80" s="232"/>
      <c r="Y80" s="232"/>
      <c r="Z80" s="232"/>
      <c r="AA80" s="232"/>
      <c r="AB80" s="232"/>
      <c r="AC80" s="3187">
        <f t="shared" si="0"/>
        <v>129250</v>
      </c>
    </row>
    <row r="81" spans="1:29" s="104" customFormat="1" ht="20.25" customHeight="1">
      <c r="A81" s="3114"/>
      <c r="B81" s="110"/>
      <c r="C81" s="111"/>
      <c r="D81" s="112"/>
      <c r="E81" s="112"/>
      <c r="F81" s="112"/>
      <c r="G81" s="112"/>
      <c r="H81" s="112"/>
      <c r="I81" s="210"/>
      <c r="J81" s="114"/>
      <c r="K81" s="115"/>
      <c r="L81" s="112"/>
      <c r="M81" s="113"/>
      <c r="N81" s="113"/>
      <c r="O81" s="113"/>
      <c r="P81" s="113"/>
      <c r="Q81" s="113"/>
      <c r="R81" s="113"/>
      <c r="S81" s="113"/>
      <c r="T81" s="113"/>
      <c r="U81" s="113"/>
      <c r="V81" s="113"/>
      <c r="W81" s="232"/>
      <c r="X81" s="232"/>
      <c r="Y81" s="232"/>
      <c r="Z81" s="232"/>
      <c r="AA81" s="232"/>
      <c r="AB81" s="232"/>
      <c r="AC81" s="3187">
        <f t="shared" si="0"/>
        <v>129250</v>
      </c>
    </row>
    <row r="82" spans="1:29" s="104" customFormat="1" ht="20.25" customHeight="1">
      <c r="A82" s="3114"/>
      <c r="B82" s="110"/>
      <c r="C82" s="111"/>
      <c r="D82" s="112"/>
      <c r="E82" s="112"/>
      <c r="F82" s="112"/>
      <c r="G82" s="112"/>
      <c r="H82" s="112"/>
      <c r="I82" s="210"/>
      <c r="J82" s="114"/>
      <c r="K82" s="115"/>
      <c r="L82" s="112"/>
      <c r="M82" s="113"/>
      <c r="N82" s="113"/>
      <c r="O82" s="113"/>
      <c r="P82" s="113"/>
      <c r="Q82" s="113"/>
      <c r="R82" s="113"/>
      <c r="S82" s="113"/>
      <c r="T82" s="113"/>
      <c r="U82" s="113"/>
      <c r="V82" s="113"/>
      <c r="W82" s="232"/>
      <c r="X82" s="232"/>
      <c r="Y82" s="232"/>
      <c r="Z82" s="232"/>
      <c r="AA82" s="232"/>
      <c r="AB82" s="232"/>
      <c r="AC82" s="3187">
        <f t="shared" si="0"/>
        <v>129250</v>
      </c>
    </row>
    <row r="83" spans="1:29" s="104" customFormat="1" ht="20.25" customHeight="1">
      <c r="A83" s="3114"/>
      <c r="B83" s="110"/>
      <c r="C83" s="111"/>
      <c r="D83" s="112"/>
      <c r="E83" s="112"/>
      <c r="F83" s="112"/>
      <c r="G83" s="112"/>
      <c r="H83" s="112"/>
      <c r="I83" s="210"/>
      <c r="J83" s="114"/>
      <c r="K83" s="115"/>
      <c r="L83" s="112"/>
      <c r="M83" s="113"/>
      <c r="N83" s="113"/>
      <c r="O83" s="113"/>
      <c r="P83" s="113"/>
      <c r="Q83" s="113"/>
      <c r="R83" s="113"/>
      <c r="S83" s="113"/>
      <c r="T83" s="113"/>
      <c r="U83" s="113"/>
      <c r="V83" s="113"/>
      <c r="W83" s="232"/>
      <c r="X83" s="232"/>
      <c r="Y83" s="232"/>
      <c r="Z83" s="232"/>
      <c r="AA83" s="232"/>
      <c r="AB83" s="232"/>
      <c r="AC83" s="3187">
        <f t="shared" si="0"/>
        <v>129250</v>
      </c>
    </row>
    <row r="84" spans="1:29" s="104" customFormat="1" ht="20.25" customHeight="1">
      <c r="A84" s="3114"/>
      <c r="B84" s="110"/>
      <c r="C84" s="111"/>
      <c r="D84" s="112"/>
      <c r="E84" s="112"/>
      <c r="F84" s="112"/>
      <c r="G84" s="112"/>
      <c r="H84" s="112"/>
      <c r="I84" s="210"/>
      <c r="J84" s="114"/>
      <c r="K84" s="115"/>
      <c r="L84" s="112"/>
      <c r="M84" s="113"/>
      <c r="N84" s="113"/>
      <c r="O84" s="113"/>
      <c r="P84" s="113"/>
      <c r="Q84" s="113"/>
      <c r="R84" s="113"/>
      <c r="S84" s="113"/>
      <c r="T84" s="113"/>
      <c r="U84" s="113"/>
      <c r="V84" s="113"/>
      <c r="W84" s="232"/>
      <c r="X84" s="232"/>
      <c r="Y84" s="232"/>
      <c r="Z84" s="232"/>
      <c r="AA84" s="232"/>
      <c r="AB84" s="232"/>
      <c r="AC84" s="3187">
        <f t="shared" si="0"/>
        <v>129250</v>
      </c>
    </row>
    <row r="85" spans="1:29" s="104" customFormat="1" ht="20.25" customHeight="1">
      <c r="A85" s="3114"/>
      <c r="B85" s="110"/>
      <c r="C85" s="111"/>
      <c r="D85" s="112"/>
      <c r="E85" s="112"/>
      <c r="F85" s="112"/>
      <c r="G85" s="112"/>
      <c r="H85" s="112"/>
      <c r="I85" s="210"/>
      <c r="J85" s="114"/>
      <c r="K85" s="115"/>
      <c r="L85" s="112"/>
      <c r="M85" s="113"/>
      <c r="N85" s="113"/>
      <c r="O85" s="113"/>
      <c r="P85" s="113"/>
      <c r="Q85" s="113"/>
      <c r="R85" s="113"/>
      <c r="S85" s="113"/>
      <c r="T85" s="113"/>
      <c r="U85" s="113"/>
      <c r="V85" s="113"/>
      <c r="W85" s="232"/>
      <c r="X85" s="232"/>
      <c r="Y85" s="232"/>
      <c r="Z85" s="232"/>
      <c r="AA85" s="232"/>
      <c r="AB85" s="232"/>
      <c r="AC85" s="3187">
        <f t="shared" si="0"/>
        <v>129250</v>
      </c>
    </row>
    <row r="86" spans="1:29" s="104" customFormat="1" ht="20.25" customHeight="1">
      <c r="A86" s="3114"/>
      <c r="B86" s="110"/>
      <c r="C86" s="111"/>
      <c r="D86" s="112"/>
      <c r="E86" s="112"/>
      <c r="F86" s="112"/>
      <c r="G86" s="112"/>
      <c r="H86" s="112"/>
      <c r="I86" s="210"/>
      <c r="J86" s="114"/>
      <c r="K86" s="115"/>
      <c r="L86" s="112"/>
      <c r="M86" s="113"/>
      <c r="N86" s="113"/>
      <c r="O86" s="113"/>
      <c r="P86" s="113"/>
      <c r="Q86" s="113"/>
      <c r="R86" s="113"/>
      <c r="S86" s="113"/>
      <c r="T86" s="113"/>
      <c r="U86" s="113"/>
      <c r="V86" s="113"/>
      <c r="W86" s="232"/>
      <c r="X86" s="232"/>
      <c r="Y86" s="232"/>
      <c r="Z86" s="232"/>
      <c r="AA86" s="232"/>
      <c r="AB86" s="232"/>
      <c r="AC86" s="3187">
        <f t="shared" si="0"/>
        <v>129250</v>
      </c>
    </row>
    <row r="87" spans="1:29" s="104" customFormat="1" ht="20.25" customHeight="1" thickBot="1">
      <c r="A87" s="3114"/>
      <c r="B87" s="110"/>
      <c r="C87" s="111"/>
      <c r="D87" s="112"/>
      <c r="E87" s="112"/>
      <c r="F87" s="112"/>
      <c r="G87" s="112"/>
      <c r="H87" s="112"/>
      <c r="I87" s="210"/>
      <c r="J87" s="114"/>
      <c r="K87" s="115"/>
      <c r="L87" s="112"/>
      <c r="M87" s="113"/>
      <c r="N87" s="113"/>
      <c r="O87" s="113"/>
      <c r="P87" s="113"/>
      <c r="Q87" s="113"/>
      <c r="R87" s="113"/>
      <c r="S87" s="113"/>
      <c r="T87" s="113"/>
      <c r="U87" s="113"/>
      <c r="V87" s="113"/>
      <c r="W87" s="232"/>
      <c r="X87" s="232"/>
      <c r="Y87" s="232"/>
      <c r="Z87" s="232"/>
      <c r="AA87" s="232"/>
      <c r="AB87" s="232"/>
      <c r="AC87" s="3187">
        <f t="shared" si="0"/>
        <v>129250</v>
      </c>
    </row>
    <row r="88" spans="1:29" s="1" customFormat="1" ht="26.25" customHeight="1" thickTop="1" thickBot="1">
      <c r="A88" s="3115"/>
      <c r="B88" s="82" t="s">
        <v>19</v>
      </c>
      <c r="C88" s="83"/>
      <c r="D88" s="948">
        <f>SUM(D13:D87)</f>
        <v>0</v>
      </c>
      <c r="E88" s="948">
        <f>SUM(E13:E87)</f>
        <v>0</v>
      </c>
      <c r="F88" s="948">
        <f>SUM(F13:F87)</f>
        <v>0</v>
      </c>
      <c r="G88" s="948">
        <f>SUM(G13:G87)</f>
        <v>97459200</v>
      </c>
      <c r="H88" s="948">
        <f>SUM(H13:H87)</f>
        <v>58200000</v>
      </c>
      <c r="I88" s="948">
        <f>SUM(I13:I87)</f>
        <v>0</v>
      </c>
      <c r="J88" s="949">
        <f>SUM(J13:J87)</f>
        <v>0</v>
      </c>
      <c r="K88" s="950">
        <f>SUM(K13:K87)</f>
        <v>91980000</v>
      </c>
      <c r="L88" s="948">
        <f>SUM(L13:L87)</f>
        <v>0</v>
      </c>
      <c r="M88" s="948">
        <f>SUM(M13:M87)</f>
        <v>1419500</v>
      </c>
      <c r="N88" s="2873">
        <f>SUM(N13:N87)</f>
        <v>150000</v>
      </c>
      <c r="O88" s="948">
        <f>SUM(O13:O87)</f>
        <v>1800000</v>
      </c>
      <c r="P88" s="948">
        <f>SUM(P13:P87)</f>
        <v>0</v>
      </c>
      <c r="Q88" s="948">
        <f>SUM(Q13:Q87)</f>
        <v>30000000</v>
      </c>
      <c r="R88" s="2873">
        <f>SUM(R13:R87)</f>
        <v>5479200</v>
      </c>
      <c r="S88" s="948">
        <f>SUM(S13:S87)</f>
        <v>0</v>
      </c>
      <c r="T88" s="948">
        <f>SUM(T13:T87)</f>
        <v>0</v>
      </c>
      <c r="U88" s="948">
        <f>SUM(U13:U87)</f>
        <v>0</v>
      </c>
      <c r="V88" s="948">
        <f>SUM(V13:V87)</f>
        <v>0</v>
      </c>
      <c r="W88" s="2873">
        <f>SUM(W13:W87)</f>
        <v>0</v>
      </c>
      <c r="X88" s="948">
        <f>SUM(X13:X87)</f>
        <v>25000000</v>
      </c>
      <c r="Y88" s="948">
        <f>SUM(Y13:Y87)</f>
        <v>0</v>
      </c>
      <c r="Z88" s="948">
        <f>SUM(Z13:Z87)</f>
        <v>0</v>
      </c>
      <c r="AA88" s="948">
        <f>SUM(AA13:AA87)</f>
        <v>0</v>
      </c>
      <c r="AB88" s="948">
        <f>SUM(AB13:AB87)</f>
        <v>0</v>
      </c>
      <c r="AC88" s="3187">
        <f>(SUM((D88:J88))-(SUM((K88:AB88))))</f>
        <v>-169500</v>
      </c>
    </row>
    <row r="89" spans="1:29" s="1" customFormat="1" ht="26.25" customHeight="1" thickTop="1" thickBot="1">
      <c r="A89" s="3115"/>
      <c r="B89" s="82" t="s">
        <v>257</v>
      </c>
      <c r="C89" s="83"/>
      <c r="D89" s="948">
        <f>D12+D88</f>
        <v>0</v>
      </c>
      <c r="E89" s="948">
        <f>E12+E88</f>
        <v>0</v>
      </c>
      <c r="F89" s="948">
        <f>F12+F88</f>
        <v>0</v>
      </c>
      <c r="G89" s="948">
        <f>G12+G88</f>
        <v>223177600</v>
      </c>
      <c r="H89" s="948">
        <f>H12+H88</f>
        <v>175500000</v>
      </c>
      <c r="I89" s="948">
        <f>I12+I88</f>
        <v>0</v>
      </c>
      <c r="J89" s="949">
        <f>J12+J88</f>
        <v>0</v>
      </c>
      <c r="K89" s="950">
        <f>K12+K88</f>
        <v>209980000</v>
      </c>
      <c r="L89" s="948">
        <f>L12+L88</f>
        <v>9200000</v>
      </c>
      <c r="M89" s="948">
        <f>M12+M88</f>
        <v>3187200</v>
      </c>
      <c r="N89" s="2873">
        <f>N12+N88</f>
        <v>200000</v>
      </c>
      <c r="O89" s="948">
        <f>O12+O88</f>
        <v>1800000</v>
      </c>
      <c r="P89" s="948">
        <f>P12+P88</f>
        <v>0</v>
      </c>
      <c r="Q89" s="948">
        <f>Q12+Q88</f>
        <v>80000000</v>
      </c>
      <c r="R89" s="2873">
        <f>R12+R88</f>
        <v>13197600</v>
      </c>
      <c r="S89" s="948">
        <f>S12+S88</f>
        <v>1050000</v>
      </c>
      <c r="T89" s="948">
        <f>T12+T88</f>
        <v>0</v>
      </c>
      <c r="U89" s="948">
        <f>U12+U88</f>
        <v>0</v>
      </c>
      <c r="V89" s="948">
        <f>V12+V88</f>
        <v>5629000</v>
      </c>
      <c r="W89" s="2873">
        <f>W12+W88</f>
        <v>0</v>
      </c>
      <c r="X89" s="948">
        <f>X12+X88</f>
        <v>25000000</v>
      </c>
      <c r="Y89" s="948">
        <f>Y12+Y88</f>
        <v>25000000</v>
      </c>
      <c r="Z89" s="948">
        <f>Z12+Z88</f>
        <v>0</v>
      </c>
      <c r="AA89" s="948">
        <f>AA12+AA88</f>
        <v>25000000</v>
      </c>
      <c r="AB89" s="948">
        <f>AB12+AB88</f>
        <v>0</v>
      </c>
      <c r="AC89" s="3187">
        <f t="shared" ref="AC89:AC90" si="1">(SUM((D89:J89))-(SUM((K89:AB89))))</f>
        <v>-566200</v>
      </c>
    </row>
    <row r="90" spans="1:29" s="1" customFormat="1" ht="26.25" customHeight="1" thickTop="1" thickBot="1">
      <c r="A90" s="3116"/>
      <c r="B90" s="216" t="s">
        <v>538</v>
      </c>
      <c r="C90" s="217"/>
      <c r="D90" s="952">
        <f>SUM(D89+D11)</f>
        <v>34271800</v>
      </c>
      <c r="E90" s="952">
        <f>E89+E11</f>
        <v>188698800</v>
      </c>
      <c r="F90" s="952">
        <f>F89+F11</f>
        <v>0</v>
      </c>
      <c r="G90" s="952">
        <f>G89+G11</f>
        <v>1696041854</v>
      </c>
      <c r="H90" s="952">
        <f>H89+H11</f>
        <v>1074990555</v>
      </c>
      <c r="I90" s="952">
        <f>I89+I11</f>
        <v>17850000</v>
      </c>
      <c r="J90" s="953">
        <f>J89+J11</f>
        <v>29358000</v>
      </c>
      <c r="K90" s="954">
        <f>K89+K11</f>
        <v>1061143205</v>
      </c>
      <c r="L90" s="952">
        <f>L89+L11</f>
        <v>474086000</v>
      </c>
      <c r="M90" s="952">
        <f>M89+M11</f>
        <v>139280379</v>
      </c>
      <c r="N90" s="2876">
        <f>N89+N11</f>
        <v>20749000</v>
      </c>
      <c r="O90" s="952">
        <f>O89+O11</f>
        <v>5400000</v>
      </c>
      <c r="P90" s="952">
        <f>P89+P11</f>
        <v>119068400</v>
      </c>
      <c r="Q90" s="952">
        <f>Q89+Q11</f>
        <v>280000000</v>
      </c>
      <c r="R90" s="2876">
        <f>R89+R11</f>
        <v>247090900</v>
      </c>
      <c r="S90" s="952">
        <f>S89+S11</f>
        <v>71411800</v>
      </c>
      <c r="T90" s="952">
        <f>T89+T11</f>
        <v>10924000</v>
      </c>
      <c r="U90" s="952">
        <f>U89+U11</f>
        <v>40000</v>
      </c>
      <c r="V90" s="952">
        <f>V89+V11</f>
        <v>37817025</v>
      </c>
      <c r="W90" s="2876">
        <f>W89+W11</f>
        <v>78977550</v>
      </c>
      <c r="X90" s="952">
        <f>X89+X11</f>
        <v>42850000</v>
      </c>
      <c r="Y90" s="952">
        <f>Y89+Y11</f>
        <v>188748300</v>
      </c>
      <c r="Z90" s="952">
        <f>Z89+Z11</f>
        <v>41600000</v>
      </c>
      <c r="AA90" s="952">
        <f>AA89+AA11</f>
        <v>219395200</v>
      </c>
      <c r="AB90" s="952">
        <f>AB89+AB11</f>
        <v>2500000</v>
      </c>
      <c r="AC90" s="3187">
        <f t="shared" si="1"/>
        <v>129250</v>
      </c>
    </row>
    <row r="91" spans="1:29" s="104" customFormat="1" ht="15.75">
      <c r="A91" s="3110"/>
      <c r="B91" s="117" t="s">
        <v>21</v>
      </c>
      <c r="C91" s="105"/>
      <c r="D91" s="105"/>
      <c r="E91" s="2413">
        <f>SUM(D90:E90)</f>
        <v>222970600</v>
      </c>
      <c r="F91" s="105"/>
      <c r="G91" s="105"/>
      <c r="H91" s="105"/>
      <c r="I91" s="209"/>
      <c r="J91" s="105"/>
      <c r="K91" s="105"/>
      <c r="L91" s="105"/>
      <c r="M91" s="105"/>
      <c r="N91" s="105"/>
      <c r="O91" s="105"/>
      <c r="Q91" s="11"/>
      <c r="R91" s="11"/>
      <c r="S91" s="11"/>
      <c r="T91" s="11"/>
      <c r="U91" s="11"/>
      <c r="V91" s="11"/>
      <c r="W91" s="11"/>
      <c r="X91" s="105"/>
      <c r="Y91" s="105"/>
      <c r="Z91" s="105"/>
      <c r="AA91" s="11" t="str">
        <f>DT!D28</f>
        <v>Nagrak, 29 Februari 2016 2016</v>
      </c>
      <c r="AB91" s="105"/>
      <c r="AC91" s="105"/>
    </row>
    <row r="92" spans="1:29" s="104" customFormat="1" ht="15.75" customHeight="1">
      <c r="A92" s="3110"/>
      <c r="B92" s="117" t="s">
        <v>23</v>
      </c>
      <c r="E92" s="1329"/>
      <c r="I92" s="211"/>
      <c r="J92" s="105"/>
      <c r="K92" s="116"/>
      <c r="L92" s="105"/>
      <c r="M92" s="105"/>
      <c r="N92" s="105"/>
      <c r="O92" s="105"/>
      <c r="Q92" s="118"/>
      <c r="R92" s="118"/>
      <c r="S92" s="118"/>
      <c r="T92" s="118"/>
      <c r="U92" s="118"/>
      <c r="V92" s="118"/>
      <c r="W92" s="118"/>
      <c r="X92" s="117"/>
      <c r="Y92" s="117"/>
      <c r="Z92" s="105"/>
      <c r="AA92" s="118" t="s">
        <v>24</v>
      </c>
      <c r="AB92" s="105"/>
      <c r="AC92" s="105"/>
    </row>
    <row r="93" spans="1:29" s="104" customFormat="1" ht="15.75" customHeight="1">
      <c r="A93" s="3110"/>
      <c r="B93" s="117"/>
      <c r="E93" s="1329"/>
      <c r="I93" s="211"/>
      <c r="J93" s="105"/>
      <c r="K93" s="116"/>
      <c r="L93" s="105"/>
      <c r="M93" s="105"/>
      <c r="N93" s="105"/>
      <c r="O93" s="105"/>
      <c r="Q93" s="118"/>
      <c r="R93" s="118"/>
      <c r="S93" s="118"/>
      <c r="T93" s="118"/>
      <c r="U93" s="118"/>
      <c r="V93" s="118"/>
      <c r="W93" s="118"/>
      <c r="X93" s="117"/>
      <c r="Y93" s="117"/>
      <c r="Z93" s="105"/>
      <c r="AA93" s="118"/>
      <c r="AB93" s="105"/>
      <c r="AC93" s="105"/>
    </row>
    <row r="94" spans="1:29" s="104" customFormat="1" ht="15.75" customHeight="1">
      <c r="A94" s="3110"/>
      <c r="B94" s="117"/>
      <c r="E94" s="1329"/>
      <c r="I94" s="211"/>
      <c r="J94" s="105"/>
      <c r="K94" s="116"/>
      <c r="L94" s="105"/>
      <c r="M94" s="105"/>
      <c r="N94" s="105"/>
      <c r="O94" s="105"/>
      <c r="Q94" s="118"/>
      <c r="R94" s="118"/>
      <c r="S94" s="118"/>
      <c r="T94" s="118"/>
      <c r="U94" s="118"/>
      <c r="V94" s="118"/>
      <c r="W94" s="118"/>
      <c r="X94" s="117"/>
      <c r="Y94" s="117"/>
      <c r="Z94" s="105"/>
      <c r="AA94" s="118"/>
      <c r="AB94" s="105"/>
      <c r="AC94" s="105"/>
    </row>
    <row r="95" spans="1:29" s="104" customFormat="1" ht="15.75" customHeight="1">
      <c r="A95" s="3110"/>
      <c r="B95" s="117"/>
      <c r="E95" s="1329"/>
      <c r="I95" s="211"/>
      <c r="J95" s="105"/>
      <c r="K95" s="116"/>
      <c r="L95" s="105"/>
      <c r="M95" s="105"/>
      <c r="N95" s="105"/>
      <c r="O95" s="105"/>
      <c r="Q95" s="118"/>
      <c r="R95" s="118"/>
      <c r="S95" s="118"/>
      <c r="T95" s="118"/>
      <c r="U95" s="118"/>
      <c r="V95" s="118"/>
      <c r="W95" s="118"/>
      <c r="X95" s="117"/>
      <c r="Y95" s="117"/>
      <c r="Z95" s="105"/>
      <c r="AA95" s="118"/>
      <c r="AB95" s="105"/>
      <c r="AC95" s="105"/>
    </row>
    <row r="96" spans="1:29" s="104" customFormat="1" ht="15" customHeight="1">
      <c r="A96" s="3110"/>
      <c r="E96" s="1329"/>
      <c r="I96" s="211"/>
      <c r="K96" s="116"/>
      <c r="L96" s="105"/>
      <c r="M96" s="105"/>
      <c r="N96" s="105"/>
      <c r="O96" s="105"/>
      <c r="Q96" s="119"/>
      <c r="R96" s="119"/>
      <c r="S96" s="119"/>
      <c r="T96" s="119"/>
      <c r="U96" s="119"/>
      <c r="V96" s="119"/>
      <c r="W96" s="119"/>
      <c r="X96" s="119"/>
      <c r="Y96" s="119"/>
      <c r="Z96" s="105"/>
      <c r="AA96" s="119"/>
      <c r="AB96" s="105"/>
      <c r="AC96" s="105"/>
    </row>
    <row r="97" spans="1:29" s="104" customFormat="1" ht="47.25" customHeight="1">
      <c r="A97" s="3110"/>
      <c r="B97" s="213" t="str">
        <f>[2]DT!D14</f>
        <v>Endang Taryana</v>
      </c>
      <c r="I97" s="211"/>
      <c r="K97" s="116"/>
      <c r="L97" s="105"/>
      <c r="M97" s="105"/>
      <c r="N97" s="105"/>
      <c r="O97" s="105"/>
      <c r="Q97" s="233"/>
      <c r="R97" s="233"/>
      <c r="S97" s="233"/>
      <c r="T97" s="233"/>
      <c r="U97" s="233"/>
      <c r="V97" s="233"/>
      <c r="W97" s="233"/>
      <c r="X97" s="102"/>
      <c r="Y97" s="102"/>
      <c r="Z97" s="105"/>
      <c r="AA97" s="233" t="s">
        <v>2641</v>
      </c>
      <c r="AB97" s="105"/>
      <c r="AC97" s="105"/>
    </row>
    <row r="98" spans="1:29" ht="15.75">
      <c r="B98" s="117"/>
    </row>
  </sheetData>
  <customSheetViews>
    <customSheetView guid="{4567A2CF-35AA-4E08-B7D1-F029A2641346}" scale="70" showPageBreaks="1" view="pageBreakPreview" topLeftCell="C19">
      <selection activeCell="I31" sqref="I31"/>
      <pageMargins left="0.15748031496062992" right="0.31496062992125984" top="0.35433070866141736" bottom="0.23622047244094491" header="0.51181102362204722" footer="0.51181102362204722"/>
      <pageSetup paperSize="9" scale="55" orientation="landscape" r:id="rId1"/>
      <headerFooter alignWithMargins="0"/>
    </customSheetView>
  </customSheetViews>
  <mergeCells count="25">
    <mergeCell ref="A1:AC1"/>
    <mergeCell ref="J9:J10"/>
    <mergeCell ref="N9:N10"/>
    <mergeCell ref="A2:AC2"/>
    <mergeCell ref="D8:J8"/>
    <mergeCell ref="A8:A10"/>
    <mergeCell ref="AB9:AB10"/>
    <mergeCell ref="R9:W9"/>
    <mergeCell ref="AC8:AC10"/>
    <mergeCell ref="D9:E9"/>
    <mergeCell ref="B8:B10"/>
    <mergeCell ref="F9:F10"/>
    <mergeCell ref="Y9:AA9"/>
    <mergeCell ref="P9:P10"/>
    <mergeCell ref="G9:G10"/>
    <mergeCell ref="X9:X10"/>
    <mergeCell ref="C8:C10"/>
    <mergeCell ref="L9:L10"/>
    <mergeCell ref="I9:I10"/>
    <mergeCell ref="O9:O10"/>
    <mergeCell ref="M9:M10"/>
    <mergeCell ref="K9:K10"/>
    <mergeCell ref="K8:AB8"/>
    <mergeCell ref="Q9:Q10"/>
    <mergeCell ref="H9:H10"/>
  </mergeCells>
  <phoneticPr fontId="0" type="noConversion"/>
  <pageMargins left="0.15748031496062992" right="3.937007874015748E-2" top="0.47244094488188981" bottom="0.55118110236220474" header="0.31496062992125984" footer="0.27559055118110237"/>
  <pageSetup paperSize="9" scale="30" orientation="landscape" horizontalDpi="4294967294" verticalDpi="4294967294" r:id="rId2"/>
  <headerFooter alignWithMargins="0">
    <oddFooter>&amp;C&amp;"Arial,Bold"&amp;12--- &amp;P ---</oddFooter>
  </headerFooter>
  <drawing r:id="rId3"/>
  <legacyDrawing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FFC000"/>
  </sheetPr>
  <dimension ref="A1:N51"/>
  <sheetViews>
    <sheetView topLeftCell="A16" zoomScale="50" zoomScaleNormal="50" zoomScaleSheetLayoutView="55" zoomScalePageLayoutView="60" workbookViewId="0">
      <selection activeCell="A14" sqref="A14"/>
    </sheetView>
  </sheetViews>
  <sheetFormatPr defaultColWidth="9.140625" defaultRowHeight="15.75"/>
  <cols>
    <col min="1" max="1" width="22.5703125" style="197" customWidth="1"/>
    <col min="2" max="2" width="57.85546875" style="1" customWidth="1"/>
    <col min="3" max="3" width="18.140625" style="1" customWidth="1"/>
    <col min="4" max="4" width="18.85546875" style="7" customWidth="1"/>
    <col min="5" max="5" width="18.28515625" style="7" customWidth="1"/>
    <col min="6" max="6" width="18" style="7" customWidth="1"/>
    <col min="7" max="7" width="13.7109375" style="7" customWidth="1"/>
    <col min="8" max="8" width="19.140625" style="7" customWidth="1"/>
    <col min="9" max="9" width="19.5703125" style="7" customWidth="1"/>
    <col min="10" max="10" width="20" style="7" customWidth="1"/>
    <col min="11" max="11" width="17.7109375" style="7" customWidth="1"/>
    <col min="12" max="12" width="17.42578125" style="7" customWidth="1"/>
    <col min="13" max="13" width="13.42578125" style="7" customWidth="1"/>
    <col min="14" max="14" width="19.85546875" style="7" bestFit="1" customWidth="1"/>
    <col min="15" max="16384" width="9.140625" style="1"/>
  </cols>
  <sheetData>
    <row r="1" spans="1:14" ht="20.25">
      <c r="A1" s="3396" t="s">
        <v>0</v>
      </c>
      <c r="B1" s="3396"/>
      <c r="C1" s="3396"/>
      <c r="D1" s="3396"/>
      <c r="E1" s="3396"/>
      <c r="F1" s="3396"/>
      <c r="G1" s="3396"/>
      <c r="H1" s="3396"/>
      <c r="I1" s="3396"/>
      <c r="J1" s="3396"/>
      <c r="K1" s="3396"/>
      <c r="L1" s="3396"/>
      <c r="M1" s="3396"/>
      <c r="N1" s="3396"/>
    </row>
    <row r="2" spans="1:14" ht="20.25">
      <c r="A2" s="3396" t="s">
        <v>1</v>
      </c>
      <c r="B2" s="3396"/>
      <c r="C2" s="3396"/>
      <c r="D2" s="3396"/>
      <c r="E2" s="3396"/>
      <c r="F2" s="3396"/>
      <c r="G2" s="3396"/>
      <c r="H2" s="3396"/>
      <c r="I2" s="3396"/>
      <c r="J2" s="3396"/>
      <c r="K2" s="3396"/>
      <c r="L2" s="3396"/>
      <c r="M2" s="3396"/>
      <c r="N2" s="3396"/>
    </row>
    <row r="3" spans="1:14" ht="20.25">
      <c r="A3" s="3396" t="s">
        <v>574</v>
      </c>
      <c r="B3" s="3396"/>
      <c r="C3" s="3396"/>
      <c r="D3" s="3396"/>
      <c r="E3" s="3396"/>
      <c r="F3" s="3396"/>
      <c r="G3" s="3396"/>
      <c r="H3" s="3396"/>
      <c r="I3" s="3396"/>
      <c r="J3" s="3396"/>
      <c r="K3" s="3396"/>
      <c r="L3" s="3396"/>
      <c r="M3" s="3396"/>
      <c r="N3" s="3396"/>
    </row>
    <row r="4" spans="1:14">
      <c r="A4" s="196"/>
      <c r="B4" s="2"/>
      <c r="C4" s="2"/>
      <c r="D4" s="3"/>
      <c r="E4" s="3"/>
      <c r="F4" s="3"/>
      <c r="G4" s="3"/>
      <c r="H4" s="3"/>
      <c r="I4" s="3"/>
      <c r="J4" s="3"/>
      <c r="K4" s="3"/>
      <c r="L4" s="3"/>
      <c r="M4" s="3"/>
      <c r="N4" s="3"/>
    </row>
    <row r="5" spans="1:14">
      <c r="A5" s="196" t="s">
        <v>2</v>
      </c>
      <c r="B5" s="4" t="str">
        <f>": "&amp;DT!D3</f>
        <v>: Nagrak</v>
      </c>
      <c r="D5" s="3"/>
      <c r="E5" s="3"/>
      <c r="F5" s="3"/>
      <c r="G5" s="3"/>
      <c r="H5" s="3"/>
      <c r="I5" s="5" t="s">
        <v>3</v>
      </c>
      <c r="J5" s="5"/>
      <c r="K5" s="5"/>
      <c r="L5" s="6" t="str">
        <f>": "&amp;DT!D25</f>
        <v>: Februari 2016</v>
      </c>
      <c r="M5" s="6"/>
    </row>
    <row r="6" spans="1:14">
      <c r="A6" s="196" t="s">
        <v>4</v>
      </c>
      <c r="B6" s="4" t="str">
        <f>": "&amp;DT!D4</f>
        <v>: Sukabumi</v>
      </c>
      <c r="D6" s="3"/>
      <c r="E6" s="3"/>
      <c r="F6" s="3"/>
      <c r="G6" s="3"/>
      <c r="H6" s="3"/>
      <c r="I6" s="5" t="s">
        <v>5</v>
      </c>
      <c r="J6" s="5"/>
      <c r="K6" s="5"/>
      <c r="L6" s="6" t="s">
        <v>357</v>
      </c>
      <c r="M6" s="6"/>
    </row>
    <row r="7" spans="1:14">
      <c r="A7" s="196" t="s">
        <v>6</v>
      </c>
      <c r="B7" s="4" t="str">
        <f>": "&amp;DT!D5</f>
        <v>: Jawa Barat</v>
      </c>
    </row>
    <row r="8" spans="1:14" ht="6.75" customHeight="1" thickBot="1">
      <c r="A8" s="196"/>
      <c r="C8" s="4"/>
    </row>
    <row r="9" spans="1:14" ht="30.75" customHeight="1">
      <c r="A9" s="2199" t="s">
        <v>7</v>
      </c>
      <c r="B9" s="2200" t="s">
        <v>8</v>
      </c>
      <c r="C9" s="2200" t="s">
        <v>9</v>
      </c>
      <c r="D9" s="3462" t="s">
        <v>10</v>
      </c>
      <c r="E9" s="3462"/>
      <c r="F9" s="3462"/>
      <c r="G9" s="3462"/>
      <c r="H9" s="3462"/>
      <c r="I9" s="3462" t="s">
        <v>11</v>
      </c>
      <c r="J9" s="3462"/>
      <c r="K9" s="3462"/>
      <c r="L9" s="3462"/>
      <c r="M9" s="2200"/>
      <c r="N9" s="3463" t="s">
        <v>12</v>
      </c>
    </row>
    <row r="10" spans="1:14" ht="21" customHeight="1">
      <c r="A10" s="3466" t="s">
        <v>13</v>
      </c>
      <c r="B10" s="3415" t="s">
        <v>13</v>
      </c>
      <c r="C10" s="3415" t="s">
        <v>13</v>
      </c>
      <c r="D10" s="3415" t="s">
        <v>14</v>
      </c>
      <c r="E10" s="3415"/>
      <c r="F10" s="3415"/>
      <c r="G10" s="2148" t="s">
        <v>66</v>
      </c>
      <c r="H10" s="3415" t="s">
        <v>575</v>
      </c>
      <c r="I10" s="3415" t="s">
        <v>576</v>
      </c>
      <c r="J10" s="3415" t="s">
        <v>573</v>
      </c>
      <c r="K10" s="2148" t="s">
        <v>64</v>
      </c>
      <c r="L10" s="2148" t="s">
        <v>69</v>
      </c>
      <c r="M10" s="3415" t="s">
        <v>18</v>
      </c>
      <c r="N10" s="3464"/>
    </row>
    <row r="11" spans="1:14" ht="21" customHeight="1" thickBot="1">
      <c r="A11" s="3467"/>
      <c r="B11" s="3468"/>
      <c r="C11" s="3468"/>
      <c r="D11" s="456" t="s">
        <v>16</v>
      </c>
      <c r="E11" s="456" t="s">
        <v>17</v>
      </c>
      <c r="F11" s="456" t="s">
        <v>68</v>
      </c>
      <c r="G11" s="456" t="s">
        <v>67</v>
      </c>
      <c r="H11" s="3468"/>
      <c r="I11" s="3468"/>
      <c r="J11" s="3468"/>
      <c r="K11" s="456" t="s">
        <v>63</v>
      </c>
      <c r="L11" s="456" t="s">
        <v>67</v>
      </c>
      <c r="M11" s="3468"/>
      <c r="N11" s="3465"/>
    </row>
    <row r="12" spans="1:14" ht="33" customHeight="1">
      <c r="A12" s="2150"/>
      <c r="B12" s="2151" t="s">
        <v>258</v>
      </c>
      <c r="C12" s="2151"/>
      <c r="D12" s="2152"/>
      <c r="E12" s="2152"/>
      <c r="F12" s="2152"/>
      <c r="G12" s="2152"/>
      <c r="H12" s="2153"/>
      <c r="I12"/>
      <c r="J12" s="2152"/>
      <c r="K12" s="2152"/>
      <c r="L12" s="2152"/>
      <c r="M12" s="2152"/>
      <c r="N12" s="2201">
        <f>(SUM((D12:H12))-(SUM((I12:M12))))</f>
        <v>0</v>
      </c>
    </row>
    <row r="13" spans="1:14" ht="33" customHeight="1" thickBot="1">
      <c r="A13" s="958"/>
      <c r="B13" s="959" t="s">
        <v>539</v>
      </c>
      <c r="C13" s="960"/>
      <c r="D13" s="961"/>
      <c r="E13" s="961"/>
      <c r="F13" s="961"/>
      <c r="G13" s="961"/>
      <c r="H13" s="993"/>
      <c r="I13" s="991"/>
      <c r="J13" s="961"/>
      <c r="K13" s="961"/>
      <c r="L13" s="961"/>
      <c r="M13" s="961"/>
      <c r="N13" s="962">
        <f>N12+(SUM((D13:H13))-(SUM((I13:M13))))</f>
        <v>0</v>
      </c>
    </row>
    <row r="14" spans="1:14" ht="22.5" customHeight="1" thickTop="1">
      <c r="A14" s="428"/>
      <c r="B14" s="429"/>
      <c r="C14" s="229"/>
      <c r="D14" s="430"/>
      <c r="E14" s="430"/>
      <c r="F14" s="195"/>
      <c r="G14" s="195"/>
      <c r="H14" s="431"/>
      <c r="I14" s="432"/>
      <c r="J14" s="195"/>
      <c r="K14" s="195"/>
      <c r="L14" s="195"/>
      <c r="M14" s="430"/>
      <c r="N14" s="963">
        <f>N13+(SUM((D14:H14))-(SUM((I14:M14))))</f>
        <v>0</v>
      </c>
    </row>
    <row r="15" spans="1:14" ht="22.5" customHeight="1">
      <c r="A15" s="208"/>
      <c r="B15" s="86"/>
      <c r="C15" s="71"/>
      <c r="D15" s="9"/>
      <c r="E15" s="9"/>
      <c r="F15" s="87"/>
      <c r="G15" s="87"/>
      <c r="H15" s="80"/>
      <c r="I15" s="81"/>
      <c r="J15" s="87"/>
      <c r="K15" s="87"/>
      <c r="L15" s="87"/>
      <c r="M15" s="9"/>
      <c r="N15" s="964">
        <f>N14+(SUM((D15:H15))-(SUM((I15:M15))))</f>
        <v>0</v>
      </c>
    </row>
    <row r="16" spans="1:14" ht="22.5" customHeight="1">
      <c r="A16" s="208"/>
      <c r="B16" s="86"/>
      <c r="C16" s="71"/>
      <c r="D16" s="9"/>
      <c r="E16" s="9"/>
      <c r="F16" s="87"/>
      <c r="G16" s="87"/>
      <c r="H16" s="80"/>
      <c r="I16" s="81"/>
      <c r="J16" s="87"/>
      <c r="K16" s="87"/>
      <c r="L16" s="87"/>
      <c r="M16" s="9"/>
      <c r="N16" s="964">
        <f t="shared" ref="N16:N39" si="0">N15+(SUM((D16:H16))-(SUM((I16:M16))))</f>
        <v>0</v>
      </c>
    </row>
    <row r="17" spans="1:14" ht="22.5" customHeight="1">
      <c r="A17" s="208"/>
      <c r="B17" s="86"/>
      <c r="C17" s="71"/>
      <c r="D17" s="9"/>
      <c r="E17" s="9"/>
      <c r="F17" s="87"/>
      <c r="G17" s="87"/>
      <c r="H17" s="80"/>
      <c r="I17" s="81"/>
      <c r="J17" s="87"/>
      <c r="K17" s="87"/>
      <c r="L17" s="87"/>
      <c r="M17" s="9"/>
      <c r="N17" s="964">
        <f t="shared" si="0"/>
        <v>0</v>
      </c>
    </row>
    <row r="18" spans="1:14" ht="22.5" customHeight="1">
      <c r="A18" s="208"/>
      <c r="B18" s="86"/>
      <c r="C18" s="71"/>
      <c r="D18" s="9"/>
      <c r="E18" s="9"/>
      <c r="F18" s="87"/>
      <c r="G18" s="87"/>
      <c r="H18" s="80"/>
      <c r="I18" s="81"/>
      <c r="J18" s="87"/>
      <c r="K18" s="87"/>
      <c r="L18" s="87"/>
      <c r="M18" s="9"/>
      <c r="N18" s="964">
        <f t="shared" si="0"/>
        <v>0</v>
      </c>
    </row>
    <row r="19" spans="1:14" ht="22.5" customHeight="1">
      <c r="A19" s="208"/>
      <c r="B19" s="86"/>
      <c r="C19" s="71"/>
      <c r="D19" s="9"/>
      <c r="E19" s="9"/>
      <c r="F19" s="87"/>
      <c r="G19" s="87"/>
      <c r="H19" s="80"/>
      <c r="I19" s="81"/>
      <c r="J19" s="87"/>
      <c r="K19" s="87"/>
      <c r="L19" s="87"/>
      <c r="M19" s="9"/>
      <c r="N19" s="964">
        <f t="shared" si="0"/>
        <v>0</v>
      </c>
    </row>
    <row r="20" spans="1:14" ht="22.5" customHeight="1">
      <c r="A20" s="208"/>
      <c r="B20" s="86"/>
      <c r="C20" s="71"/>
      <c r="D20" s="9"/>
      <c r="E20" s="9"/>
      <c r="F20" s="87"/>
      <c r="G20" s="87"/>
      <c r="H20" s="80"/>
      <c r="I20" s="81"/>
      <c r="J20" s="87"/>
      <c r="K20" s="87"/>
      <c r="L20" s="87"/>
      <c r="M20" s="9"/>
      <c r="N20" s="964">
        <f t="shared" si="0"/>
        <v>0</v>
      </c>
    </row>
    <row r="21" spans="1:14" ht="22.5" customHeight="1">
      <c r="A21" s="208"/>
      <c r="B21" s="86"/>
      <c r="C21" s="71"/>
      <c r="D21" s="9"/>
      <c r="E21" s="9"/>
      <c r="F21" s="87"/>
      <c r="G21" s="87"/>
      <c r="H21" s="80"/>
      <c r="I21" s="81"/>
      <c r="J21" s="87"/>
      <c r="K21" s="87"/>
      <c r="L21" s="87"/>
      <c r="M21" s="9"/>
      <c r="N21" s="964">
        <f t="shared" si="0"/>
        <v>0</v>
      </c>
    </row>
    <row r="22" spans="1:14" ht="22.5" customHeight="1">
      <c r="A22" s="208"/>
      <c r="B22" s="86"/>
      <c r="C22" s="71"/>
      <c r="D22" s="9"/>
      <c r="E22" s="9"/>
      <c r="F22" s="87"/>
      <c r="G22" s="87"/>
      <c r="H22" s="80"/>
      <c r="I22" s="81"/>
      <c r="J22" s="87"/>
      <c r="K22" s="87"/>
      <c r="L22" s="87"/>
      <c r="M22" s="9"/>
      <c r="N22" s="964">
        <f t="shared" si="0"/>
        <v>0</v>
      </c>
    </row>
    <row r="23" spans="1:14" ht="22.5" customHeight="1">
      <c r="A23" s="208"/>
      <c r="B23" s="86"/>
      <c r="C23" s="71"/>
      <c r="D23" s="9"/>
      <c r="E23" s="9"/>
      <c r="F23" s="87"/>
      <c r="G23" s="87"/>
      <c r="H23" s="80"/>
      <c r="I23" s="81"/>
      <c r="J23" s="87"/>
      <c r="K23" s="87"/>
      <c r="L23" s="87"/>
      <c r="M23" s="9"/>
      <c r="N23" s="964">
        <f t="shared" si="0"/>
        <v>0</v>
      </c>
    </row>
    <row r="24" spans="1:14" ht="22.5" customHeight="1">
      <c r="A24" s="208"/>
      <c r="B24" s="86"/>
      <c r="C24" s="71"/>
      <c r="D24" s="9"/>
      <c r="E24" s="9"/>
      <c r="F24" s="87"/>
      <c r="G24" s="87"/>
      <c r="H24" s="80"/>
      <c r="I24" s="81"/>
      <c r="J24" s="87"/>
      <c r="K24" s="87"/>
      <c r="L24" s="87"/>
      <c r="M24" s="9"/>
      <c r="N24" s="964">
        <f t="shared" si="0"/>
        <v>0</v>
      </c>
    </row>
    <row r="25" spans="1:14" ht="22.5" customHeight="1">
      <c r="A25" s="208"/>
      <c r="B25" s="86"/>
      <c r="C25" s="71"/>
      <c r="D25" s="9"/>
      <c r="E25" s="9"/>
      <c r="F25" s="87"/>
      <c r="G25" s="87"/>
      <c r="H25" s="80"/>
      <c r="I25" s="81"/>
      <c r="J25" s="87"/>
      <c r="K25" s="87"/>
      <c r="L25" s="87"/>
      <c r="M25" s="9"/>
      <c r="N25" s="964">
        <f t="shared" si="0"/>
        <v>0</v>
      </c>
    </row>
    <row r="26" spans="1:14" ht="22.5" customHeight="1">
      <c r="A26" s="208"/>
      <c r="B26" s="86"/>
      <c r="C26" s="71"/>
      <c r="D26" s="9"/>
      <c r="E26" s="9"/>
      <c r="F26" s="87"/>
      <c r="G26" s="87"/>
      <c r="H26" s="80"/>
      <c r="I26" s="81"/>
      <c r="J26" s="87"/>
      <c r="K26" s="87"/>
      <c r="L26" s="87"/>
      <c r="M26" s="9"/>
      <c r="N26" s="964">
        <f t="shared" si="0"/>
        <v>0</v>
      </c>
    </row>
    <row r="27" spans="1:14" ht="22.5" customHeight="1">
      <c r="A27" s="208"/>
      <c r="B27" s="86"/>
      <c r="C27" s="71"/>
      <c r="D27" s="9"/>
      <c r="E27" s="9"/>
      <c r="F27" s="87"/>
      <c r="G27" s="87"/>
      <c r="H27" s="80"/>
      <c r="I27" s="81"/>
      <c r="J27" s="87"/>
      <c r="K27" s="87"/>
      <c r="L27" s="87"/>
      <c r="M27" s="9"/>
      <c r="N27" s="964">
        <f t="shared" si="0"/>
        <v>0</v>
      </c>
    </row>
    <row r="28" spans="1:14" ht="22.5" customHeight="1">
      <c r="A28" s="208"/>
      <c r="B28" s="86"/>
      <c r="C28" s="71"/>
      <c r="D28" s="9"/>
      <c r="E28" s="9"/>
      <c r="F28" s="87"/>
      <c r="G28" s="87"/>
      <c r="H28" s="80"/>
      <c r="I28" s="81"/>
      <c r="J28" s="87"/>
      <c r="K28" s="87"/>
      <c r="L28" s="87"/>
      <c r="M28" s="9"/>
      <c r="N28" s="964">
        <f t="shared" si="0"/>
        <v>0</v>
      </c>
    </row>
    <row r="29" spans="1:14" ht="22.5" customHeight="1">
      <c r="A29" s="208"/>
      <c r="B29" s="86"/>
      <c r="C29" s="71"/>
      <c r="D29" s="9"/>
      <c r="E29" s="9"/>
      <c r="F29" s="87"/>
      <c r="G29" s="87"/>
      <c r="H29" s="80"/>
      <c r="I29" s="81"/>
      <c r="J29" s="87"/>
      <c r="K29" s="87"/>
      <c r="L29" s="87"/>
      <c r="M29" s="9"/>
      <c r="N29" s="964">
        <f t="shared" si="0"/>
        <v>0</v>
      </c>
    </row>
    <row r="30" spans="1:14" ht="22.5" customHeight="1">
      <c r="A30" s="208"/>
      <c r="B30" s="86"/>
      <c r="C30" s="71"/>
      <c r="D30" s="9"/>
      <c r="E30" s="9"/>
      <c r="F30" s="87"/>
      <c r="G30" s="87"/>
      <c r="H30" s="80"/>
      <c r="I30" s="81"/>
      <c r="J30" s="87"/>
      <c r="K30" s="87"/>
      <c r="L30" s="87"/>
      <c r="M30" s="9"/>
      <c r="N30" s="964">
        <f t="shared" si="0"/>
        <v>0</v>
      </c>
    </row>
    <row r="31" spans="1:14" ht="22.5" customHeight="1">
      <c r="A31" s="208"/>
      <c r="B31" s="86"/>
      <c r="C31" s="71"/>
      <c r="D31" s="9"/>
      <c r="E31" s="9"/>
      <c r="F31" s="87"/>
      <c r="G31" s="87"/>
      <c r="H31" s="80"/>
      <c r="I31" s="81"/>
      <c r="J31" s="87"/>
      <c r="K31" s="87"/>
      <c r="L31" s="87"/>
      <c r="M31" s="9"/>
      <c r="N31" s="964">
        <f t="shared" si="0"/>
        <v>0</v>
      </c>
    </row>
    <row r="32" spans="1:14" ht="22.5" customHeight="1">
      <c r="A32" s="208"/>
      <c r="B32" s="86"/>
      <c r="C32" s="71"/>
      <c r="D32" s="9"/>
      <c r="E32" s="9"/>
      <c r="F32" s="87"/>
      <c r="G32" s="87"/>
      <c r="H32" s="80"/>
      <c r="I32" s="81"/>
      <c r="J32" s="87"/>
      <c r="K32" s="87"/>
      <c r="L32" s="87"/>
      <c r="M32" s="9"/>
      <c r="N32" s="964">
        <f t="shared" si="0"/>
        <v>0</v>
      </c>
    </row>
    <row r="33" spans="1:14" ht="22.5" customHeight="1">
      <c r="A33" s="208"/>
      <c r="B33" s="86"/>
      <c r="C33" s="71"/>
      <c r="D33" s="9"/>
      <c r="E33" s="9"/>
      <c r="F33" s="87"/>
      <c r="G33" s="87"/>
      <c r="H33" s="80"/>
      <c r="I33" s="81"/>
      <c r="J33" s="87"/>
      <c r="K33" s="87"/>
      <c r="L33" s="87"/>
      <c r="M33" s="9"/>
      <c r="N33" s="964">
        <f t="shared" si="0"/>
        <v>0</v>
      </c>
    </row>
    <row r="34" spans="1:14" ht="22.5" customHeight="1">
      <c r="A34" s="208"/>
      <c r="B34" s="86"/>
      <c r="C34" s="71"/>
      <c r="D34" s="9"/>
      <c r="E34" s="9"/>
      <c r="F34" s="87"/>
      <c r="G34" s="87"/>
      <c r="H34" s="80"/>
      <c r="I34" s="81"/>
      <c r="J34" s="87"/>
      <c r="K34" s="87"/>
      <c r="L34" s="87"/>
      <c r="M34" s="9"/>
      <c r="N34" s="964">
        <f t="shared" si="0"/>
        <v>0</v>
      </c>
    </row>
    <row r="35" spans="1:14" ht="22.5" customHeight="1">
      <c r="A35" s="208"/>
      <c r="B35" s="86"/>
      <c r="C35" s="71"/>
      <c r="D35" s="9"/>
      <c r="E35" s="9"/>
      <c r="F35" s="87"/>
      <c r="G35" s="87"/>
      <c r="H35" s="80"/>
      <c r="I35" s="81"/>
      <c r="J35" s="87"/>
      <c r="K35" s="87"/>
      <c r="L35" s="87"/>
      <c r="M35" s="9"/>
      <c r="N35" s="964">
        <f t="shared" si="0"/>
        <v>0</v>
      </c>
    </row>
    <row r="36" spans="1:14" ht="22.5" customHeight="1">
      <c r="A36" s="208"/>
      <c r="B36" s="86"/>
      <c r="C36" s="71"/>
      <c r="D36" s="9"/>
      <c r="E36" s="9"/>
      <c r="F36" s="87"/>
      <c r="G36" s="87"/>
      <c r="H36" s="80"/>
      <c r="I36" s="81"/>
      <c r="J36" s="87"/>
      <c r="K36" s="87"/>
      <c r="L36" s="87"/>
      <c r="M36" s="9"/>
      <c r="N36" s="964">
        <f t="shared" si="0"/>
        <v>0</v>
      </c>
    </row>
    <row r="37" spans="1:14" ht="22.5" customHeight="1">
      <c r="A37" s="208"/>
      <c r="B37" s="86"/>
      <c r="C37" s="71"/>
      <c r="D37" s="9"/>
      <c r="E37" s="9"/>
      <c r="F37" s="87"/>
      <c r="G37" s="87"/>
      <c r="H37" s="80"/>
      <c r="I37" s="81"/>
      <c r="J37" s="87"/>
      <c r="K37" s="87"/>
      <c r="L37" s="87"/>
      <c r="M37" s="9"/>
      <c r="N37" s="964">
        <f t="shared" si="0"/>
        <v>0</v>
      </c>
    </row>
    <row r="38" spans="1:14" ht="22.5" customHeight="1">
      <c r="A38" s="208"/>
      <c r="B38" s="86"/>
      <c r="C38" s="71"/>
      <c r="D38" s="9"/>
      <c r="E38" s="9"/>
      <c r="F38" s="87"/>
      <c r="G38" s="87"/>
      <c r="H38" s="80"/>
      <c r="I38" s="81"/>
      <c r="J38" s="87"/>
      <c r="K38" s="87"/>
      <c r="L38" s="87"/>
      <c r="M38" s="9"/>
      <c r="N38" s="964">
        <f t="shared" si="0"/>
        <v>0</v>
      </c>
    </row>
    <row r="39" spans="1:14" ht="22.5" customHeight="1" thickBot="1">
      <c r="A39" s="208"/>
      <c r="B39" s="199"/>
      <c r="C39" s="71"/>
      <c r="D39" s="200"/>
      <c r="E39" s="9"/>
      <c r="F39" s="87"/>
      <c r="G39" s="87"/>
      <c r="H39" s="80"/>
      <c r="I39" s="81"/>
      <c r="J39" s="9"/>
      <c r="K39" s="9"/>
      <c r="L39" s="9"/>
      <c r="M39" s="9"/>
      <c r="N39" s="964">
        <f t="shared" si="0"/>
        <v>0</v>
      </c>
    </row>
    <row r="40" spans="1:14" ht="26.25" customHeight="1" thickTop="1" thickBot="1">
      <c r="A40" s="214"/>
      <c r="B40" s="82" t="s">
        <v>19</v>
      </c>
      <c r="C40" s="83"/>
      <c r="D40" s="948">
        <f>SUM(D14:D39)</f>
        <v>0</v>
      </c>
      <c r="E40" s="948">
        <f t="shared" ref="E40:M40" si="1">SUM(E14:E39)</f>
        <v>0</v>
      </c>
      <c r="F40" s="948">
        <f t="shared" si="1"/>
        <v>0</v>
      </c>
      <c r="G40" s="948">
        <f t="shared" si="1"/>
        <v>0</v>
      </c>
      <c r="H40" s="949">
        <f t="shared" si="1"/>
        <v>0</v>
      </c>
      <c r="I40" s="950">
        <f t="shared" si="1"/>
        <v>0</v>
      </c>
      <c r="J40" s="948">
        <f t="shared" si="1"/>
        <v>0</v>
      </c>
      <c r="K40" s="948">
        <f t="shared" si="1"/>
        <v>0</v>
      </c>
      <c r="L40" s="948">
        <f t="shared" si="1"/>
        <v>0</v>
      </c>
      <c r="M40" s="948">
        <f t="shared" si="1"/>
        <v>0</v>
      </c>
      <c r="N40" s="948">
        <f>(SUM((D40:H40))-(SUM((I40:M40))))</f>
        <v>0</v>
      </c>
    </row>
    <row r="41" spans="1:14" ht="26.25" customHeight="1" thickTop="1" thickBot="1">
      <c r="A41" s="214"/>
      <c r="B41" s="82" t="s">
        <v>257</v>
      </c>
      <c r="C41" s="83"/>
      <c r="D41" s="948">
        <f>D13+D40</f>
        <v>0</v>
      </c>
      <c r="E41" s="948">
        <f t="shared" ref="E41:M41" si="2">E13+E40</f>
        <v>0</v>
      </c>
      <c r="F41" s="948">
        <f t="shared" si="2"/>
        <v>0</v>
      </c>
      <c r="G41" s="948">
        <f t="shared" si="2"/>
        <v>0</v>
      </c>
      <c r="H41" s="949">
        <f t="shared" si="2"/>
        <v>0</v>
      </c>
      <c r="I41" s="950">
        <f t="shared" si="2"/>
        <v>0</v>
      </c>
      <c r="J41" s="948">
        <f t="shared" si="2"/>
        <v>0</v>
      </c>
      <c r="K41" s="948">
        <f t="shared" si="2"/>
        <v>0</v>
      </c>
      <c r="L41" s="948">
        <f t="shared" si="2"/>
        <v>0</v>
      </c>
      <c r="M41" s="948">
        <f t="shared" si="2"/>
        <v>0</v>
      </c>
      <c r="N41" s="948">
        <f>(SUM((D41:H41))-(SUM((I41:M41))))</f>
        <v>0</v>
      </c>
    </row>
    <row r="42" spans="1:14" ht="26.25" customHeight="1" thickTop="1" thickBot="1">
      <c r="A42" s="215"/>
      <c r="B42" s="216" t="s">
        <v>20</v>
      </c>
      <c r="C42" s="217"/>
      <c r="D42" s="952">
        <f>D12+D41</f>
        <v>0</v>
      </c>
      <c r="E42" s="952">
        <f t="shared" ref="E42:M42" si="3">E12+E41</f>
        <v>0</v>
      </c>
      <c r="F42" s="952">
        <f t="shared" si="3"/>
        <v>0</v>
      </c>
      <c r="G42" s="952">
        <f t="shared" si="3"/>
        <v>0</v>
      </c>
      <c r="H42" s="953">
        <f t="shared" si="3"/>
        <v>0</v>
      </c>
      <c r="I42" s="954">
        <f t="shared" si="3"/>
        <v>0</v>
      </c>
      <c r="J42" s="952">
        <f t="shared" si="3"/>
        <v>0</v>
      </c>
      <c r="K42" s="952">
        <f t="shared" si="3"/>
        <v>0</v>
      </c>
      <c r="L42" s="952">
        <f t="shared" si="3"/>
        <v>0</v>
      </c>
      <c r="M42" s="952">
        <f t="shared" si="3"/>
        <v>0</v>
      </c>
      <c r="N42" s="952">
        <f>(SUM((D42:H42))-(SUM((I42:M42))))</f>
        <v>0</v>
      </c>
    </row>
    <row r="43" spans="1:14" ht="10.5" customHeight="1">
      <c r="J43" s="3410"/>
      <c r="K43" s="3410"/>
      <c r="L43" s="3410"/>
      <c r="M43" s="85"/>
    </row>
    <row r="44" spans="1:14" ht="15.75" customHeight="1">
      <c r="A44" s="198"/>
      <c r="D44" s="1"/>
      <c r="E44" s="1"/>
      <c r="F44" s="1"/>
      <c r="G44" s="1"/>
      <c r="L44" s="10" t="str">
        <f>DT!D28</f>
        <v>Nagrak, 29 Februari 2016 2016</v>
      </c>
      <c r="M44" s="14"/>
    </row>
    <row r="45" spans="1:14" ht="15.75" customHeight="1">
      <c r="A45" s="198"/>
      <c r="B45" s="11" t="s">
        <v>21</v>
      </c>
      <c r="F45" s="1"/>
      <c r="G45" s="1"/>
      <c r="L45" s="11" t="s">
        <v>22</v>
      </c>
    </row>
    <row r="46" spans="1:14" ht="15.75" customHeight="1">
      <c r="B46" s="11" t="s">
        <v>23</v>
      </c>
      <c r="D46" s="1"/>
      <c r="E46" s="1"/>
      <c r="F46" s="1"/>
      <c r="G46" s="1"/>
      <c r="L46" s="14" t="s">
        <v>24</v>
      </c>
    </row>
    <row r="47" spans="1:14" ht="42" customHeight="1">
      <c r="D47" s="1"/>
      <c r="E47" s="1"/>
      <c r="F47" s="1"/>
      <c r="G47" s="1"/>
      <c r="L47" s="11"/>
    </row>
    <row r="48" spans="1:14" ht="42" customHeight="1">
      <c r="B48" s="12"/>
      <c r="D48" s="1"/>
      <c r="E48" s="1"/>
      <c r="F48" s="1"/>
      <c r="G48" s="1"/>
      <c r="L48" s="13"/>
    </row>
    <row r="49" spans="2:14">
      <c r="B49" s="11" t="str">
        <f>DT!D14</f>
        <v>Endang Taryana</v>
      </c>
      <c r="D49" s="1"/>
      <c r="E49" s="1"/>
      <c r="F49" s="1"/>
      <c r="G49" s="1"/>
      <c r="L49" s="14" t="str">
        <f>DT!D15</f>
        <v>Arin Yustini, SE</v>
      </c>
      <c r="N49" s="1"/>
    </row>
    <row r="51" spans="2:14">
      <c r="C51" s="70"/>
    </row>
  </sheetData>
  <mergeCells count="15">
    <mergeCell ref="J43:L43"/>
    <mergeCell ref="A1:N1"/>
    <mergeCell ref="A2:N2"/>
    <mergeCell ref="A3:N3"/>
    <mergeCell ref="D9:H9"/>
    <mergeCell ref="I9:L9"/>
    <mergeCell ref="N9:N11"/>
    <mergeCell ref="A10:A11"/>
    <mergeCell ref="B10:B11"/>
    <mergeCell ref="C10:C11"/>
    <mergeCell ref="D10:F10"/>
    <mergeCell ref="H10:H11"/>
    <mergeCell ref="I10:I11"/>
    <mergeCell ref="J10:J11"/>
    <mergeCell ref="M10:M11"/>
  </mergeCells>
  <printOptions horizontalCentered="1"/>
  <pageMargins left="0" right="0" top="0.59055118110236227" bottom="0.19685039370078741" header="0.51181102362204722" footer="0.51181102362204722"/>
  <pageSetup paperSize="9" scale="51" orientation="landscape" r:id="rId1"/>
  <headerFooter alignWithMargins="0">
    <oddFooter>&amp;C&amp;"Arial,Bold"&amp;12--- &amp;P ---</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FFC000"/>
  </sheetPr>
  <dimension ref="A1:O378"/>
  <sheetViews>
    <sheetView topLeftCell="A313" zoomScale="58" zoomScaleNormal="58" zoomScaleSheetLayoutView="55" zoomScalePageLayoutView="60" workbookViewId="0">
      <selection activeCell="I331" sqref="I331"/>
    </sheetView>
  </sheetViews>
  <sheetFormatPr defaultColWidth="9.140625" defaultRowHeight="15.75"/>
  <cols>
    <col min="1" max="1" width="22.5703125" style="197" customWidth="1"/>
    <col min="2" max="2" width="54.7109375" style="1" customWidth="1"/>
    <col min="3" max="3" width="14.140625" style="1" customWidth="1"/>
    <col min="4" max="4" width="22.28515625" style="7" customWidth="1"/>
    <col min="5" max="5" width="20.42578125" style="7" bestFit="1" customWidth="1"/>
    <col min="6" max="6" width="17.7109375" style="7" customWidth="1"/>
    <col min="7" max="7" width="13.7109375" style="7" customWidth="1"/>
    <col min="8" max="8" width="19.7109375" style="7" customWidth="1"/>
    <col min="9" max="9" width="21.85546875" style="7" customWidth="1"/>
    <col min="10" max="10" width="21.5703125" style="7" customWidth="1"/>
    <col min="11" max="11" width="15.140625" style="7" customWidth="1"/>
    <col min="12" max="12" width="19.5703125" style="7" customWidth="1"/>
    <col min="13" max="13" width="13.42578125" style="7" customWidth="1"/>
    <col min="14" max="14" width="21" style="7" customWidth="1"/>
    <col min="15" max="15" width="19.140625" style="1" bestFit="1" customWidth="1"/>
    <col min="16" max="16" width="9.140625" style="1"/>
    <col min="17" max="17" width="17.5703125" style="1" customWidth="1"/>
    <col min="18" max="16384" width="9.140625" style="1"/>
  </cols>
  <sheetData>
    <row r="1" spans="1:15" ht="20.25">
      <c r="A1" s="3396" t="s">
        <v>0</v>
      </c>
      <c r="B1" s="3396"/>
      <c r="C1" s="3396"/>
      <c r="D1" s="3396"/>
      <c r="E1" s="3396"/>
      <c r="F1" s="3396"/>
      <c r="G1" s="3396"/>
      <c r="H1" s="3396"/>
      <c r="I1" s="3396"/>
      <c r="J1" s="3396"/>
      <c r="K1" s="3396"/>
      <c r="L1" s="3396"/>
      <c r="M1" s="3396"/>
      <c r="N1" s="3396"/>
    </row>
    <row r="2" spans="1:15" ht="20.25">
      <c r="A2" s="3396" t="s">
        <v>1</v>
      </c>
      <c r="B2" s="3396"/>
      <c r="C2" s="3396"/>
      <c r="D2" s="3396"/>
      <c r="E2" s="3396"/>
      <c r="F2" s="3396"/>
      <c r="G2" s="3396"/>
      <c r="H2" s="3396"/>
      <c r="I2" s="3396"/>
      <c r="J2" s="3396"/>
      <c r="K2" s="3396"/>
      <c r="L2" s="3396"/>
      <c r="M2" s="3396"/>
      <c r="N2" s="3396"/>
    </row>
    <row r="3" spans="1:15" ht="20.25">
      <c r="A3" s="3396" t="s">
        <v>70</v>
      </c>
      <c r="B3" s="3396"/>
      <c r="C3" s="3396"/>
      <c r="D3" s="3396"/>
      <c r="E3" s="3396"/>
      <c r="F3" s="3396"/>
      <c r="G3" s="3396"/>
      <c r="H3" s="3396"/>
      <c r="I3" s="3396"/>
      <c r="J3" s="3396"/>
      <c r="K3" s="3396"/>
      <c r="L3" s="3396"/>
      <c r="M3" s="3396"/>
      <c r="N3" s="3396"/>
    </row>
    <row r="4" spans="1:15">
      <c r="A4" s="196"/>
      <c r="B4" s="2"/>
      <c r="C4" s="2"/>
      <c r="D4" s="3"/>
      <c r="E4" s="3"/>
      <c r="F4" s="3"/>
      <c r="G4" s="3"/>
      <c r="H4" s="3"/>
      <c r="I4" s="3"/>
      <c r="J4" s="3"/>
      <c r="K4" s="3"/>
      <c r="L4" s="3"/>
      <c r="M4" s="3"/>
      <c r="N4" s="3"/>
    </row>
    <row r="5" spans="1:15">
      <c r="A5" s="196" t="s">
        <v>2</v>
      </c>
      <c r="B5" s="4" t="str">
        <f>": "&amp;DT!D3</f>
        <v>: Nagrak</v>
      </c>
      <c r="D5" s="3"/>
      <c r="E5" s="3"/>
      <c r="F5" s="3"/>
      <c r="G5" s="3"/>
      <c r="H5" s="3"/>
      <c r="I5" s="5" t="s">
        <v>3</v>
      </c>
      <c r="J5" s="5"/>
      <c r="K5" s="5"/>
      <c r="L5" s="6" t="str">
        <f>": "&amp;DT!D25</f>
        <v>: Februari 2016</v>
      </c>
      <c r="M5" s="6"/>
    </row>
    <row r="6" spans="1:15">
      <c r="A6" s="196" t="s">
        <v>4</v>
      </c>
      <c r="B6" s="4" t="str">
        <f>": "&amp;DT!D4</f>
        <v>: Sukabumi</v>
      </c>
      <c r="D6" s="3"/>
      <c r="E6" s="3"/>
      <c r="F6" s="3"/>
      <c r="G6" s="3"/>
      <c r="H6" s="3"/>
      <c r="I6" s="5" t="s">
        <v>5</v>
      </c>
      <c r="J6" s="5"/>
      <c r="K6" s="5"/>
      <c r="L6" s="6" t="s">
        <v>357</v>
      </c>
      <c r="M6" s="6"/>
    </row>
    <row r="7" spans="1:15">
      <c r="A7" s="196" t="s">
        <v>6</v>
      </c>
      <c r="B7" s="4" t="str">
        <f>": "&amp;DT!D5</f>
        <v>: Jawa Barat</v>
      </c>
    </row>
    <row r="8" spans="1:15" ht="6.75" customHeight="1">
      <c r="A8" s="196"/>
      <c r="C8" s="4"/>
    </row>
    <row r="9" spans="1:15" ht="30.75" customHeight="1">
      <c r="A9" s="2950" t="s">
        <v>7</v>
      </c>
      <c r="B9" s="2866" t="s">
        <v>8</v>
      </c>
      <c r="C9" s="2866" t="s">
        <v>9</v>
      </c>
      <c r="D9" s="3470" t="s">
        <v>10</v>
      </c>
      <c r="E9" s="3470"/>
      <c r="F9" s="3470"/>
      <c r="G9" s="3470"/>
      <c r="H9" s="3470"/>
      <c r="I9" s="3470" t="s">
        <v>11</v>
      </c>
      <c r="J9" s="3470"/>
      <c r="K9" s="3470"/>
      <c r="L9" s="3470"/>
      <c r="M9" s="2867"/>
      <c r="N9" s="3471" t="s">
        <v>12</v>
      </c>
    </row>
    <row r="10" spans="1:15" ht="21" customHeight="1">
      <c r="A10" s="3472" t="s">
        <v>13</v>
      </c>
      <c r="B10" s="3470" t="s">
        <v>13</v>
      </c>
      <c r="C10" s="3470" t="s">
        <v>13</v>
      </c>
      <c r="D10" s="3470" t="s">
        <v>14</v>
      </c>
      <c r="E10" s="3470"/>
      <c r="F10" s="3470"/>
      <c r="G10" s="2867" t="s">
        <v>66</v>
      </c>
      <c r="H10" s="3470" t="s">
        <v>229</v>
      </c>
      <c r="I10" s="3470" t="s">
        <v>228</v>
      </c>
      <c r="J10" s="3470" t="s">
        <v>441</v>
      </c>
      <c r="K10" s="2867" t="s">
        <v>64</v>
      </c>
      <c r="L10" s="2867" t="s">
        <v>69</v>
      </c>
      <c r="M10" s="3470" t="s">
        <v>18</v>
      </c>
      <c r="N10" s="3471"/>
    </row>
    <row r="11" spans="1:15" ht="21" customHeight="1">
      <c r="A11" s="3472"/>
      <c r="B11" s="3470"/>
      <c r="C11" s="3470"/>
      <c r="D11" s="2866" t="s">
        <v>16</v>
      </c>
      <c r="E11" s="2866" t="s">
        <v>17</v>
      </c>
      <c r="F11" s="2866" t="s">
        <v>68</v>
      </c>
      <c r="G11" s="2866" t="s">
        <v>67</v>
      </c>
      <c r="H11" s="3470"/>
      <c r="I11" s="3470"/>
      <c r="J11" s="3470"/>
      <c r="K11" s="2148" t="s">
        <v>63</v>
      </c>
      <c r="L11" s="2867" t="s">
        <v>67</v>
      </c>
      <c r="M11" s="3470"/>
      <c r="N11" s="3471"/>
    </row>
    <row r="12" spans="1:15" ht="33" customHeight="1">
      <c r="A12" s="2868"/>
      <c r="B12" s="2869" t="s">
        <v>258</v>
      </c>
      <c r="C12" s="2869"/>
      <c r="D12" s="3151">
        <v>23694481700</v>
      </c>
      <c r="E12" s="3151">
        <v>4105941100</v>
      </c>
      <c r="F12" s="3151">
        <v>600300</v>
      </c>
      <c r="G12" s="3151">
        <v>0</v>
      </c>
      <c r="H12" s="3152">
        <v>25301085000</v>
      </c>
      <c r="I12" s="3202">
        <v>25357143846</v>
      </c>
      <c r="J12" s="3203">
        <v>26272100000</v>
      </c>
      <c r="K12" s="3151">
        <v>0</v>
      </c>
      <c r="L12" s="3151">
        <v>1472864254</v>
      </c>
      <c r="M12" s="3151">
        <v>0</v>
      </c>
      <c r="N12" s="3153">
        <f>(SUM((D12:H12))-(SUM((I12:M12))))</f>
        <v>0</v>
      </c>
    </row>
    <row r="13" spans="1:15" ht="33" customHeight="1" thickBot="1">
      <c r="A13" s="2870"/>
      <c r="B13" s="2193" t="s">
        <v>539</v>
      </c>
      <c r="C13" s="2871"/>
      <c r="D13" s="3154">
        <v>619207400</v>
      </c>
      <c r="E13" s="3154">
        <v>102400500</v>
      </c>
      <c r="F13" s="3154">
        <v>0</v>
      </c>
      <c r="G13" s="3154">
        <v>0</v>
      </c>
      <c r="H13" s="3155">
        <v>676000000</v>
      </c>
      <c r="I13" s="3156">
        <v>713889500</v>
      </c>
      <c r="J13" s="3154">
        <v>558000000</v>
      </c>
      <c r="K13" s="3154">
        <v>0</v>
      </c>
      <c r="L13" s="3154">
        <v>125718400</v>
      </c>
      <c r="M13" s="3154">
        <v>0</v>
      </c>
      <c r="N13" s="3157">
        <f>N12+(SUM((D13:H13))-(SUM((I13:M13))))</f>
        <v>0</v>
      </c>
      <c r="O13" s="7">
        <f>SUM(D13:H13)-SUM(I13:M13)</f>
        <v>0</v>
      </c>
    </row>
    <row r="14" spans="1:15" ht="22.5" customHeight="1" thickTop="1">
      <c r="A14" s="428">
        <v>42401</v>
      </c>
      <c r="B14" s="429" t="s">
        <v>2739</v>
      </c>
      <c r="C14" s="229"/>
      <c r="D14" s="3159">
        <v>3000000</v>
      </c>
      <c r="E14" s="3159">
        <v>540000</v>
      </c>
      <c r="F14" s="195"/>
      <c r="G14" s="195"/>
      <c r="H14" s="431"/>
      <c r="I14" s="432"/>
      <c r="J14" s="195"/>
      <c r="K14" s="195"/>
      <c r="L14" s="195"/>
      <c r="M14" s="430"/>
      <c r="N14" s="2872">
        <f>N13+(SUM((D14:H14))-(SUM((I14:M14))))</f>
        <v>3540000</v>
      </c>
    </row>
    <row r="15" spans="1:15" ht="22.5" customHeight="1">
      <c r="A15" s="428">
        <v>42401</v>
      </c>
      <c r="B15" s="429" t="s">
        <v>2740</v>
      </c>
      <c r="C15" s="229"/>
      <c r="D15" s="3159">
        <v>533400</v>
      </c>
      <c r="E15" s="3159">
        <v>0</v>
      </c>
      <c r="F15" s="195"/>
      <c r="G15" s="195"/>
      <c r="H15" s="431"/>
      <c r="I15" s="432"/>
      <c r="J15" s="195"/>
      <c r="K15" s="195"/>
      <c r="L15" s="195"/>
      <c r="M15" s="430"/>
      <c r="N15" s="2872">
        <f t="shared" ref="N15:N85" si="0">N14+(SUM((D15:H15))-(SUM((I15:M15))))</f>
        <v>4073400</v>
      </c>
    </row>
    <row r="16" spans="1:15" ht="22.5" customHeight="1">
      <c r="A16" s="428">
        <v>42401</v>
      </c>
      <c r="B16" s="429" t="s">
        <v>2740</v>
      </c>
      <c r="C16" s="229"/>
      <c r="D16" s="3159">
        <v>66600</v>
      </c>
      <c r="E16" s="3159">
        <v>300000</v>
      </c>
      <c r="F16" s="195"/>
      <c r="G16" s="195"/>
      <c r="H16" s="431"/>
      <c r="I16" s="432"/>
      <c r="J16" s="195"/>
      <c r="K16" s="195"/>
      <c r="L16" s="195"/>
      <c r="M16" s="430"/>
      <c r="N16" s="2872">
        <f t="shared" si="0"/>
        <v>4440000</v>
      </c>
    </row>
    <row r="17" spans="1:14" ht="22.5" customHeight="1">
      <c r="A17" s="428">
        <v>42401</v>
      </c>
      <c r="B17" s="429" t="s">
        <v>2741</v>
      </c>
      <c r="C17" s="229"/>
      <c r="D17" s="3159"/>
      <c r="E17" s="3159"/>
      <c r="F17" s="195"/>
      <c r="G17" s="195"/>
      <c r="H17" s="431"/>
      <c r="I17" s="432">
        <v>4440000</v>
      </c>
      <c r="J17" s="195"/>
      <c r="K17" s="195"/>
      <c r="L17" s="195"/>
      <c r="M17" s="430"/>
      <c r="N17" s="2872">
        <f t="shared" si="0"/>
        <v>0</v>
      </c>
    </row>
    <row r="18" spans="1:14" ht="22.5" customHeight="1">
      <c r="A18" s="428">
        <v>42401</v>
      </c>
      <c r="B18" s="429" t="s">
        <v>2742</v>
      </c>
      <c r="C18" s="229"/>
      <c r="D18" s="3159">
        <v>3166700</v>
      </c>
      <c r="E18" s="3159">
        <v>570000</v>
      </c>
      <c r="F18" s="195"/>
      <c r="G18" s="195"/>
      <c r="H18" s="431"/>
      <c r="I18" s="432"/>
      <c r="J18" s="195"/>
      <c r="K18" s="195"/>
      <c r="L18" s="195"/>
      <c r="M18" s="430"/>
      <c r="N18" s="2872">
        <f t="shared" si="0"/>
        <v>3736700</v>
      </c>
    </row>
    <row r="19" spans="1:14" ht="22.5" customHeight="1">
      <c r="A19" s="428">
        <v>42402</v>
      </c>
      <c r="B19" s="429" t="s">
        <v>2743</v>
      </c>
      <c r="C19" s="229"/>
      <c r="D19" s="3159">
        <v>3083300</v>
      </c>
      <c r="E19" s="3159">
        <v>555000</v>
      </c>
      <c r="F19" s="195"/>
      <c r="G19" s="195"/>
      <c r="H19" s="431"/>
      <c r="I19" s="432"/>
      <c r="J19" s="195"/>
      <c r="K19" s="195"/>
      <c r="L19" s="195"/>
      <c r="M19" s="430"/>
      <c r="N19" s="2872">
        <f t="shared" si="0"/>
        <v>7375000</v>
      </c>
    </row>
    <row r="20" spans="1:14" ht="22.5" customHeight="1">
      <c r="A20" s="428">
        <v>42402</v>
      </c>
      <c r="B20" s="429" t="s">
        <v>2744</v>
      </c>
      <c r="C20" s="229"/>
      <c r="D20" s="3159">
        <v>416700</v>
      </c>
      <c r="E20" s="3159">
        <v>75000</v>
      </c>
      <c r="F20" s="195"/>
      <c r="G20" s="195"/>
      <c r="H20" s="431"/>
      <c r="I20" s="432"/>
      <c r="J20" s="195"/>
      <c r="K20" s="195"/>
      <c r="L20" s="195"/>
      <c r="M20" s="430"/>
      <c r="N20" s="2872">
        <f t="shared" si="0"/>
        <v>7866700</v>
      </c>
    </row>
    <row r="21" spans="1:14" ht="22.5" customHeight="1">
      <c r="A21" s="428">
        <v>42402</v>
      </c>
      <c r="B21" s="429" t="s">
        <v>2745</v>
      </c>
      <c r="C21" s="229"/>
      <c r="D21" s="3159"/>
      <c r="E21" s="3159"/>
      <c r="F21" s="195"/>
      <c r="G21" s="195"/>
      <c r="H21" s="431">
        <v>58000000</v>
      </c>
      <c r="I21" s="432"/>
      <c r="J21" s="195"/>
      <c r="K21" s="195"/>
      <c r="L21" s="195"/>
      <c r="M21" s="430"/>
      <c r="N21" s="2872">
        <f t="shared" si="0"/>
        <v>65866700</v>
      </c>
    </row>
    <row r="22" spans="1:14" ht="22.5" customHeight="1">
      <c r="A22" s="428">
        <v>42402</v>
      </c>
      <c r="B22" s="429" t="s">
        <v>2746</v>
      </c>
      <c r="C22" s="229"/>
      <c r="D22" s="3159"/>
      <c r="E22" s="3159"/>
      <c r="F22" s="195"/>
      <c r="G22" s="195"/>
      <c r="H22" s="431"/>
      <c r="I22" s="432"/>
      <c r="J22" s="195">
        <v>8000000</v>
      </c>
      <c r="K22" s="195"/>
      <c r="L22" s="195"/>
      <c r="M22" s="430"/>
      <c r="N22" s="2872">
        <f t="shared" si="0"/>
        <v>57866700</v>
      </c>
    </row>
    <row r="23" spans="1:14" ht="22.5" customHeight="1">
      <c r="A23" s="428">
        <v>42402</v>
      </c>
      <c r="B23" s="429" t="s">
        <v>2747</v>
      </c>
      <c r="C23" s="229"/>
      <c r="D23" s="3159"/>
      <c r="E23" s="3159"/>
      <c r="F23" s="195"/>
      <c r="G23" s="195"/>
      <c r="H23" s="431"/>
      <c r="I23" s="432"/>
      <c r="J23" s="195"/>
      <c r="K23" s="195"/>
      <c r="L23" s="195">
        <v>50000000</v>
      </c>
      <c r="M23" s="430"/>
      <c r="N23" s="2872">
        <f t="shared" si="0"/>
        <v>7866700</v>
      </c>
    </row>
    <row r="24" spans="1:14" ht="22.5" customHeight="1">
      <c r="A24" s="428">
        <v>42402</v>
      </c>
      <c r="B24" s="429" t="s">
        <v>2748</v>
      </c>
      <c r="C24" s="229"/>
      <c r="D24" s="3159">
        <v>3541700</v>
      </c>
      <c r="E24" s="3159">
        <v>637500</v>
      </c>
      <c r="F24" s="195"/>
      <c r="G24" s="195"/>
      <c r="H24" s="431"/>
      <c r="I24" s="432"/>
      <c r="J24" s="195"/>
      <c r="K24" s="195"/>
      <c r="L24" s="195"/>
      <c r="M24" s="430"/>
      <c r="N24" s="2872">
        <f t="shared" si="0"/>
        <v>12045900</v>
      </c>
    </row>
    <row r="25" spans="1:14" ht="22.5" customHeight="1">
      <c r="A25" s="428">
        <v>42402</v>
      </c>
      <c r="B25" s="429" t="s">
        <v>2749</v>
      </c>
      <c r="C25" s="229"/>
      <c r="D25" s="3159">
        <v>700000</v>
      </c>
      <c r="E25" s="3159">
        <v>126000</v>
      </c>
      <c r="F25" s="195"/>
      <c r="G25" s="195"/>
      <c r="H25" s="431"/>
      <c r="I25" s="432"/>
      <c r="J25" s="195"/>
      <c r="K25" s="195"/>
      <c r="L25" s="195"/>
      <c r="M25" s="430"/>
      <c r="N25" s="2872">
        <f t="shared" si="0"/>
        <v>12871900</v>
      </c>
    </row>
    <row r="26" spans="1:14" ht="22.5" customHeight="1">
      <c r="A26" s="428">
        <v>42402</v>
      </c>
      <c r="B26" s="429" t="s">
        <v>2749</v>
      </c>
      <c r="C26" s="229"/>
      <c r="D26" s="3159">
        <v>700000</v>
      </c>
      <c r="E26" s="3159">
        <v>0</v>
      </c>
      <c r="F26" s="195"/>
      <c r="G26" s="195"/>
      <c r="H26" s="431"/>
      <c r="I26" s="432"/>
      <c r="J26" s="195"/>
      <c r="K26" s="195"/>
      <c r="L26" s="195"/>
      <c r="M26" s="430"/>
      <c r="N26" s="2872">
        <f t="shared" si="0"/>
        <v>13571900</v>
      </c>
    </row>
    <row r="27" spans="1:14" ht="22.5" customHeight="1">
      <c r="A27" s="428">
        <v>42402</v>
      </c>
      <c r="B27" s="429" t="s">
        <v>2747</v>
      </c>
      <c r="C27" s="229"/>
      <c r="D27" s="3159"/>
      <c r="E27" s="3159"/>
      <c r="F27" s="195"/>
      <c r="G27" s="195"/>
      <c r="H27" s="431"/>
      <c r="I27" s="432"/>
      <c r="J27" s="195"/>
      <c r="K27" s="195"/>
      <c r="L27" s="195">
        <v>100800</v>
      </c>
      <c r="M27" s="430"/>
      <c r="N27" s="2872">
        <f t="shared" si="0"/>
        <v>13471100</v>
      </c>
    </row>
    <row r="28" spans="1:14" ht="22.5" customHeight="1">
      <c r="A28" s="428">
        <v>42402</v>
      </c>
      <c r="B28" s="429" t="s">
        <v>2750</v>
      </c>
      <c r="C28" s="229"/>
      <c r="D28" s="3159">
        <v>1250000</v>
      </c>
      <c r="E28" s="3159">
        <v>225000</v>
      </c>
      <c r="F28" s="195"/>
      <c r="G28" s="195"/>
      <c r="H28" s="431"/>
      <c r="I28" s="432"/>
      <c r="J28" s="195"/>
      <c r="K28" s="195"/>
      <c r="L28" s="195"/>
      <c r="M28" s="430"/>
      <c r="N28" s="2872">
        <f t="shared" si="0"/>
        <v>14946100</v>
      </c>
    </row>
    <row r="29" spans="1:14" ht="22.5" customHeight="1">
      <c r="A29" s="428">
        <v>42402</v>
      </c>
      <c r="B29" s="429" t="s">
        <v>2751</v>
      </c>
      <c r="C29" s="229"/>
      <c r="D29" s="3159">
        <v>1458300</v>
      </c>
      <c r="E29" s="3159">
        <v>262500</v>
      </c>
      <c r="F29" s="195"/>
      <c r="G29" s="195"/>
      <c r="H29" s="431"/>
      <c r="I29" s="432"/>
      <c r="J29" s="195"/>
      <c r="K29" s="195"/>
      <c r="L29" s="195"/>
      <c r="M29" s="430"/>
      <c r="N29" s="2872">
        <f t="shared" si="0"/>
        <v>16666900</v>
      </c>
    </row>
    <row r="30" spans="1:14" ht="22.5" customHeight="1">
      <c r="A30" s="428">
        <v>42402</v>
      </c>
      <c r="B30" s="429" t="s">
        <v>2752</v>
      </c>
      <c r="C30" s="229"/>
      <c r="D30" s="3159">
        <v>2916700</v>
      </c>
      <c r="E30" s="3159">
        <v>525000</v>
      </c>
      <c r="F30" s="195"/>
      <c r="G30" s="195"/>
      <c r="H30" s="431"/>
      <c r="I30" s="432"/>
      <c r="J30" s="195"/>
      <c r="K30" s="195"/>
      <c r="L30" s="195"/>
      <c r="M30" s="430"/>
      <c r="N30" s="2872">
        <f t="shared" si="0"/>
        <v>20108600</v>
      </c>
    </row>
    <row r="31" spans="1:14" ht="22.5" customHeight="1">
      <c r="A31" s="428">
        <v>42402</v>
      </c>
      <c r="B31" s="429" t="s">
        <v>2753</v>
      </c>
      <c r="C31" s="229"/>
      <c r="D31" s="3159">
        <v>3541700</v>
      </c>
      <c r="E31" s="3159">
        <v>637500</v>
      </c>
      <c r="F31" s="195"/>
      <c r="G31" s="195"/>
      <c r="H31" s="431"/>
      <c r="I31" s="432"/>
      <c r="J31" s="195"/>
      <c r="K31" s="195"/>
      <c r="L31" s="195"/>
      <c r="M31" s="430"/>
      <c r="N31" s="2872">
        <f t="shared" si="0"/>
        <v>24287800</v>
      </c>
    </row>
    <row r="32" spans="1:14" ht="22.5" customHeight="1">
      <c r="A32" s="428">
        <v>42402</v>
      </c>
      <c r="B32" s="429" t="s">
        <v>2754</v>
      </c>
      <c r="C32" s="229"/>
      <c r="D32" s="3159">
        <v>458300</v>
      </c>
      <c r="E32" s="3159">
        <v>0</v>
      </c>
      <c r="F32" s="195"/>
      <c r="G32" s="195"/>
      <c r="H32" s="431"/>
      <c r="I32" s="432"/>
      <c r="J32" s="195"/>
      <c r="K32" s="195"/>
      <c r="L32" s="195"/>
      <c r="M32" s="430"/>
      <c r="N32" s="2872">
        <f t="shared" si="0"/>
        <v>24746100</v>
      </c>
    </row>
    <row r="33" spans="1:14" ht="22.5" customHeight="1">
      <c r="A33" s="428">
        <v>42402</v>
      </c>
      <c r="B33" s="429" t="s">
        <v>2741</v>
      </c>
      <c r="C33" s="229"/>
      <c r="D33" s="3159"/>
      <c r="E33" s="3159"/>
      <c r="F33" s="195"/>
      <c r="G33" s="195"/>
      <c r="H33" s="431"/>
      <c r="I33" s="432">
        <v>24746100</v>
      </c>
      <c r="J33" s="195"/>
      <c r="K33" s="195"/>
      <c r="L33" s="195"/>
      <c r="M33" s="430"/>
      <c r="N33" s="2872">
        <f t="shared" si="0"/>
        <v>0</v>
      </c>
    </row>
    <row r="34" spans="1:14" ht="22.5" customHeight="1">
      <c r="A34" s="428">
        <v>42403</v>
      </c>
      <c r="B34" s="429" t="s">
        <v>2755</v>
      </c>
      <c r="C34" s="229"/>
      <c r="D34" s="3159">
        <v>3500000</v>
      </c>
      <c r="E34" s="3159">
        <v>630000</v>
      </c>
      <c r="F34" s="195"/>
      <c r="G34" s="195"/>
      <c r="H34" s="431"/>
      <c r="I34" s="432"/>
      <c r="J34" s="195"/>
      <c r="K34" s="195"/>
      <c r="L34" s="195"/>
      <c r="M34" s="430"/>
      <c r="N34" s="2872">
        <f t="shared" si="0"/>
        <v>4130000</v>
      </c>
    </row>
    <row r="35" spans="1:14" ht="22.5" customHeight="1">
      <c r="A35" s="428">
        <v>42403</v>
      </c>
      <c r="B35" s="429" t="s">
        <v>2756</v>
      </c>
      <c r="C35" s="229"/>
      <c r="D35" s="3159">
        <v>2333300</v>
      </c>
      <c r="E35" s="3159">
        <v>420000</v>
      </c>
      <c r="F35" s="195"/>
      <c r="G35" s="195"/>
      <c r="H35" s="431"/>
      <c r="I35" s="432"/>
      <c r="J35" s="195"/>
      <c r="K35" s="195"/>
      <c r="L35" s="195"/>
      <c r="M35" s="430"/>
      <c r="N35" s="2872">
        <f t="shared" si="0"/>
        <v>6883300</v>
      </c>
    </row>
    <row r="36" spans="1:14" ht="22.5" customHeight="1">
      <c r="A36" s="428">
        <v>42403</v>
      </c>
      <c r="B36" s="429" t="s">
        <v>2745</v>
      </c>
      <c r="C36" s="229"/>
      <c r="D36" s="3159"/>
      <c r="E36" s="3159"/>
      <c r="F36" s="195"/>
      <c r="G36" s="195"/>
      <c r="H36" s="431">
        <v>61500000</v>
      </c>
      <c r="I36" s="432"/>
      <c r="J36" s="195"/>
      <c r="K36" s="195"/>
      <c r="L36" s="195"/>
      <c r="M36" s="430"/>
      <c r="N36" s="2872">
        <f t="shared" si="0"/>
        <v>68383300</v>
      </c>
    </row>
    <row r="37" spans="1:14" ht="22.5" customHeight="1">
      <c r="A37" s="428">
        <v>42403</v>
      </c>
      <c r="B37" s="429" t="s">
        <v>2757</v>
      </c>
      <c r="C37" s="229"/>
      <c r="D37" s="3159"/>
      <c r="E37" s="3159"/>
      <c r="F37" s="195"/>
      <c r="G37" s="195"/>
      <c r="H37" s="431"/>
      <c r="I37" s="432"/>
      <c r="J37" s="195">
        <v>31500000</v>
      </c>
      <c r="K37" s="195"/>
      <c r="L37" s="195"/>
      <c r="M37" s="430"/>
      <c r="N37" s="2872">
        <f t="shared" si="0"/>
        <v>36883300</v>
      </c>
    </row>
    <row r="38" spans="1:14" ht="22.5" customHeight="1">
      <c r="A38" s="428">
        <v>42403</v>
      </c>
      <c r="B38" s="429" t="s">
        <v>2758</v>
      </c>
      <c r="C38" s="229"/>
      <c r="D38" s="3159"/>
      <c r="E38" s="3159"/>
      <c r="F38" s="195"/>
      <c r="G38" s="195"/>
      <c r="H38" s="431"/>
      <c r="I38" s="432"/>
      <c r="J38" s="195">
        <v>30000000</v>
      </c>
      <c r="K38" s="195"/>
      <c r="L38" s="195"/>
      <c r="M38" s="430"/>
      <c r="N38" s="2872">
        <f t="shared" si="0"/>
        <v>6883300</v>
      </c>
    </row>
    <row r="39" spans="1:14" ht="22.5" customHeight="1">
      <c r="A39" s="428">
        <v>42403</v>
      </c>
      <c r="B39" s="429" t="s">
        <v>2759</v>
      </c>
      <c r="C39" s="229"/>
      <c r="D39" s="3159">
        <v>1250000</v>
      </c>
      <c r="E39" s="3159">
        <v>225000</v>
      </c>
      <c r="F39" s="195"/>
      <c r="G39" s="195"/>
      <c r="H39" s="431"/>
      <c r="I39" s="432"/>
      <c r="J39" s="195"/>
      <c r="K39" s="195"/>
      <c r="L39" s="195"/>
      <c r="M39" s="430"/>
      <c r="N39" s="2872">
        <f t="shared" si="0"/>
        <v>8358300</v>
      </c>
    </row>
    <row r="40" spans="1:14" ht="22.5" customHeight="1">
      <c r="A40" s="428">
        <v>42403</v>
      </c>
      <c r="B40" s="429" t="s">
        <v>2760</v>
      </c>
      <c r="C40" s="229"/>
      <c r="D40" s="3159">
        <v>3500000</v>
      </c>
      <c r="E40" s="3159">
        <v>630000</v>
      </c>
      <c r="F40" s="195"/>
      <c r="G40" s="195"/>
      <c r="H40" s="431"/>
      <c r="I40" s="432"/>
      <c r="J40" s="195"/>
      <c r="K40" s="195"/>
      <c r="L40" s="195"/>
      <c r="M40" s="430"/>
      <c r="N40" s="2872">
        <f t="shared" si="0"/>
        <v>12488300</v>
      </c>
    </row>
    <row r="41" spans="1:14" ht="22.5" customHeight="1">
      <c r="A41" s="428">
        <v>42403</v>
      </c>
      <c r="B41" s="429" t="s">
        <v>2747</v>
      </c>
      <c r="C41" s="229"/>
      <c r="D41" s="3159"/>
      <c r="E41" s="3159"/>
      <c r="F41" s="195"/>
      <c r="G41" s="195"/>
      <c r="H41" s="431"/>
      <c r="I41" s="432"/>
      <c r="J41" s="195"/>
      <c r="K41" s="195"/>
      <c r="L41" s="195">
        <v>604800</v>
      </c>
      <c r="M41" s="430"/>
      <c r="N41" s="2872">
        <f t="shared" si="0"/>
        <v>11883500</v>
      </c>
    </row>
    <row r="42" spans="1:14" ht="22.5" customHeight="1">
      <c r="A42" s="428">
        <v>42403</v>
      </c>
      <c r="B42" s="429" t="s">
        <v>2761</v>
      </c>
      <c r="C42" s="229"/>
      <c r="D42" s="3159">
        <v>3500000</v>
      </c>
      <c r="E42" s="3159">
        <v>630000</v>
      </c>
      <c r="F42" s="195"/>
      <c r="G42" s="195"/>
      <c r="H42" s="431"/>
      <c r="I42" s="432"/>
      <c r="J42" s="195"/>
      <c r="K42" s="195"/>
      <c r="L42" s="195"/>
      <c r="M42" s="430"/>
      <c r="N42" s="2872">
        <f t="shared" si="0"/>
        <v>16013500</v>
      </c>
    </row>
    <row r="43" spans="1:14" ht="22.5" customHeight="1">
      <c r="A43" s="428">
        <v>42403</v>
      </c>
      <c r="B43" s="429" t="s">
        <v>2762</v>
      </c>
      <c r="C43" s="229"/>
      <c r="D43" s="3159">
        <v>2333700</v>
      </c>
      <c r="E43" s="3159">
        <v>420000</v>
      </c>
      <c r="F43" s="195"/>
      <c r="G43" s="195"/>
      <c r="H43" s="431"/>
      <c r="I43" s="432"/>
      <c r="J43" s="195"/>
      <c r="K43" s="195"/>
      <c r="L43" s="195"/>
      <c r="M43" s="430"/>
      <c r="N43" s="2872">
        <f t="shared" si="0"/>
        <v>18767200</v>
      </c>
    </row>
    <row r="44" spans="1:14" ht="22.5" customHeight="1">
      <c r="A44" s="428">
        <v>42403</v>
      </c>
      <c r="B44" s="429" t="s">
        <v>2763</v>
      </c>
      <c r="C44" s="229"/>
      <c r="D44" s="3159">
        <v>2916700</v>
      </c>
      <c r="E44" s="3159">
        <v>525000</v>
      </c>
      <c r="F44" s="195"/>
      <c r="G44" s="195"/>
      <c r="H44" s="431"/>
      <c r="I44" s="432"/>
      <c r="J44" s="195"/>
      <c r="K44" s="195"/>
      <c r="L44" s="195"/>
      <c r="M44" s="430"/>
      <c r="N44" s="2872">
        <f t="shared" si="0"/>
        <v>22208900</v>
      </c>
    </row>
    <row r="45" spans="1:14" ht="22.5" customHeight="1">
      <c r="A45" s="428">
        <v>42403</v>
      </c>
      <c r="B45" s="429" t="s">
        <v>2764</v>
      </c>
      <c r="C45" s="229"/>
      <c r="D45" s="3159">
        <v>2916700</v>
      </c>
      <c r="E45" s="3159">
        <v>525000</v>
      </c>
      <c r="F45" s="195"/>
      <c r="G45" s="195"/>
      <c r="H45" s="431"/>
      <c r="I45" s="432"/>
      <c r="J45" s="195"/>
      <c r="K45" s="195"/>
      <c r="L45" s="195"/>
      <c r="M45" s="430"/>
      <c r="N45" s="2872">
        <f t="shared" si="0"/>
        <v>25650600</v>
      </c>
    </row>
    <row r="46" spans="1:14" ht="22.5" customHeight="1">
      <c r="A46" s="428">
        <v>42403</v>
      </c>
      <c r="B46" s="429" t="s">
        <v>2747</v>
      </c>
      <c r="C46" s="229"/>
      <c r="D46" s="3159"/>
      <c r="E46" s="3159"/>
      <c r="F46" s="195"/>
      <c r="G46" s="195"/>
      <c r="H46" s="431"/>
      <c r="I46" s="432"/>
      <c r="J46" s="195"/>
      <c r="K46" s="195"/>
      <c r="L46" s="195">
        <v>403200</v>
      </c>
      <c r="M46" s="430"/>
      <c r="N46" s="2872">
        <f t="shared" si="0"/>
        <v>25247400</v>
      </c>
    </row>
    <row r="47" spans="1:14" ht="22.5" customHeight="1">
      <c r="A47" s="428">
        <v>42403</v>
      </c>
      <c r="B47" s="429" t="s">
        <v>2741</v>
      </c>
      <c r="C47" s="229"/>
      <c r="D47" s="3159"/>
      <c r="E47" s="3159"/>
      <c r="F47" s="195"/>
      <c r="G47" s="195"/>
      <c r="H47" s="431"/>
      <c r="I47" s="432">
        <v>25247400</v>
      </c>
      <c r="J47" s="195"/>
      <c r="K47" s="195"/>
      <c r="L47" s="195"/>
      <c r="M47" s="430"/>
      <c r="N47" s="2872">
        <f t="shared" si="0"/>
        <v>0</v>
      </c>
    </row>
    <row r="48" spans="1:14" ht="22.5" customHeight="1">
      <c r="A48" s="428">
        <v>42404</v>
      </c>
      <c r="B48" s="429" t="s">
        <v>2765</v>
      </c>
      <c r="C48" s="229"/>
      <c r="D48" s="3159">
        <v>1500000</v>
      </c>
      <c r="E48" s="3159">
        <v>270000</v>
      </c>
      <c r="F48" s="195"/>
      <c r="G48" s="195"/>
      <c r="H48" s="431"/>
      <c r="I48" s="432"/>
      <c r="J48" s="195"/>
      <c r="K48" s="195"/>
      <c r="L48" s="195"/>
      <c r="M48" s="430"/>
      <c r="N48" s="2872">
        <f t="shared" si="0"/>
        <v>1770000</v>
      </c>
    </row>
    <row r="49" spans="1:14" ht="22.5" customHeight="1">
      <c r="A49" s="428">
        <v>42404</v>
      </c>
      <c r="B49" s="429" t="s">
        <v>2745</v>
      </c>
      <c r="C49" s="229"/>
      <c r="D49" s="3159"/>
      <c r="E49" s="3159"/>
      <c r="F49" s="195"/>
      <c r="G49" s="195"/>
      <c r="H49" s="431">
        <v>50000000</v>
      </c>
      <c r="I49" s="432"/>
      <c r="J49" s="195"/>
      <c r="K49" s="195"/>
      <c r="L49" s="195"/>
      <c r="M49" s="430"/>
      <c r="N49" s="2872">
        <f t="shared" si="0"/>
        <v>51770000</v>
      </c>
    </row>
    <row r="50" spans="1:14" ht="22.5" customHeight="1">
      <c r="A50" s="428">
        <v>42404</v>
      </c>
      <c r="B50" s="429" t="s">
        <v>2747</v>
      </c>
      <c r="C50" s="229"/>
      <c r="D50" s="3159"/>
      <c r="E50" s="3159"/>
      <c r="F50" s="195"/>
      <c r="G50" s="195"/>
      <c r="H50" s="431"/>
      <c r="I50" s="432"/>
      <c r="J50" s="195"/>
      <c r="K50" s="195"/>
      <c r="L50" s="195">
        <v>2000000</v>
      </c>
      <c r="M50" s="430"/>
      <c r="N50" s="2872">
        <f t="shared" si="0"/>
        <v>49770000</v>
      </c>
    </row>
    <row r="51" spans="1:14" ht="22.5" customHeight="1">
      <c r="A51" s="428">
        <v>42404</v>
      </c>
      <c r="B51" s="429" t="s">
        <v>2766</v>
      </c>
      <c r="C51" s="229"/>
      <c r="D51" s="3159"/>
      <c r="E51" s="3159"/>
      <c r="F51" s="195"/>
      <c r="G51" s="195"/>
      <c r="H51" s="431"/>
      <c r="I51" s="432"/>
      <c r="J51" s="195">
        <v>48000000</v>
      </c>
      <c r="K51" s="195"/>
      <c r="L51" s="195"/>
      <c r="M51" s="430"/>
      <c r="N51" s="2872">
        <f t="shared" si="0"/>
        <v>1770000</v>
      </c>
    </row>
    <row r="52" spans="1:14" ht="22.5" customHeight="1">
      <c r="A52" s="428">
        <v>42404</v>
      </c>
      <c r="B52" s="429" t="s">
        <v>2767</v>
      </c>
      <c r="C52" s="229"/>
      <c r="D52" s="3159">
        <v>3500000</v>
      </c>
      <c r="E52" s="3159">
        <v>630000</v>
      </c>
      <c r="F52" s="195"/>
      <c r="G52" s="195"/>
      <c r="H52" s="431"/>
      <c r="I52" s="432"/>
      <c r="J52" s="195"/>
      <c r="K52" s="195"/>
      <c r="L52" s="195"/>
      <c r="M52" s="430"/>
      <c r="N52" s="2872">
        <f t="shared" si="0"/>
        <v>5900000</v>
      </c>
    </row>
    <row r="53" spans="1:14" ht="22.5" customHeight="1">
      <c r="A53" s="428">
        <v>42404</v>
      </c>
      <c r="B53" s="429" t="s">
        <v>2768</v>
      </c>
      <c r="C53" s="229"/>
      <c r="D53" s="3159">
        <v>2666700</v>
      </c>
      <c r="E53" s="3159">
        <v>480000</v>
      </c>
      <c r="F53" s="195"/>
      <c r="G53" s="195"/>
      <c r="H53" s="431"/>
      <c r="I53" s="432"/>
      <c r="J53" s="195"/>
      <c r="K53" s="195"/>
      <c r="L53" s="195"/>
      <c r="M53" s="430"/>
      <c r="N53" s="2872">
        <f t="shared" si="0"/>
        <v>9046700</v>
      </c>
    </row>
    <row r="54" spans="1:14" ht="22.5" customHeight="1">
      <c r="A54" s="428">
        <v>42404</v>
      </c>
      <c r="B54" s="429" t="s">
        <v>2769</v>
      </c>
      <c r="C54" s="229"/>
      <c r="D54" s="3159">
        <v>2333300</v>
      </c>
      <c r="E54" s="3159">
        <v>420000</v>
      </c>
      <c r="F54" s="195"/>
      <c r="G54" s="195"/>
      <c r="H54" s="431"/>
      <c r="I54" s="432"/>
      <c r="J54" s="195"/>
      <c r="K54" s="195"/>
      <c r="L54" s="195"/>
      <c r="M54" s="430"/>
      <c r="N54" s="2872">
        <f t="shared" si="0"/>
        <v>11800000</v>
      </c>
    </row>
    <row r="55" spans="1:14" ht="22.5" customHeight="1">
      <c r="A55" s="428">
        <v>42404</v>
      </c>
      <c r="B55" s="429" t="s">
        <v>2741</v>
      </c>
      <c r="C55" s="229"/>
      <c r="D55" s="3159"/>
      <c r="E55" s="3159"/>
      <c r="F55" s="195"/>
      <c r="G55" s="195"/>
      <c r="H55" s="431"/>
      <c r="I55" s="432">
        <v>11800000</v>
      </c>
      <c r="J55" s="195"/>
      <c r="K55" s="195"/>
      <c r="L55" s="195"/>
      <c r="M55" s="430"/>
      <c r="N55" s="2872">
        <f t="shared" si="0"/>
        <v>0</v>
      </c>
    </row>
    <row r="56" spans="1:14" ht="22.5" customHeight="1">
      <c r="A56" s="428">
        <v>42405</v>
      </c>
      <c r="B56" s="429" t="s">
        <v>2770</v>
      </c>
      <c r="C56" s="229"/>
      <c r="D56" s="3159">
        <v>2916700</v>
      </c>
      <c r="E56" s="3159">
        <v>525000</v>
      </c>
      <c r="F56" s="195"/>
      <c r="G56" s="195"/>
      <c r="H56" s="431"/>
      <c r="I56" s="432"/>
      <c r="J56" s="195"/>
      <c r="K56" s="195"/>
      <c r="L56" s="195"/>
      <c r="M56" s="430"/>
      <c r="N56" s="2872">
        <f t="shared" si="0"/>
        <v>3441700</v>
      </c>
    </row>
    <row r="57" spans="1:14" ht="22.5" customHeight="1">
      <c r="A57" s="428">
        <v>42405</v>
      </c>
      <c r="B57" s="429" t="s">
        <v>2771</v>
      </c>
      <c r="C57" s="229"/>
      <c r="D57" s="3159">
        <v>2500000</v>
      </c>
      <c r="E57" s="3159">
        <v>450000</v>
      </c>
      <c r="F57" s="195"/>
      <c r="G57" s="195"/>
      <c r="H57" s="431"/>
      <c r="I57" s="432"/>
      <c r="J57" s="195"/>
      <c r="K57" s="195"/>
      <c r="L57" s="195"/>
      <c r="M57" s="430"/>
      <c r="N57" s="2872">
        <f t="shared" si="0"/>
        <v>6391700</v>
      </c>
    </row>
    <row r="58" spans="1:14" ht="22.5" customHeight="1">
      <c r="A58" s="428">
        <v>42405</v>
      </c>
      <c r="B58" s="429" t="s">
        <v>2772</v>
      </c>
      <c r="C58" s="229"/>
      <c r="D58" s="3159">
        <v>1250000</v>
      </c>
      <c r="E58" s="3159">
        <v>225000</v>
      </c>
      <c r="F58" s="195"/>
      <c r="G58" s="195"/>
      <c r="H58" s="431"/>
      <c r="I58" s="432"/>
      <c r="J58" s="195"/>
      <c r="K58" s="195"/>
      <c r="L58" s="195"/>
      <c r="M58" s="430"/>
      <c r="N58" s="2872">
        <f t="shared" si="0"/>
        <v>7866700</v>
      </c>
    </row>
    <row r="59" spans="1:14" ht="21" customHeight="1">
      <c r="A59" s="428">
        <v>42405</v>
      </c>
      <c r="B59" s="429" t="s">
        <v>2772</v>
      </c>
      <c r="C59" s="229"/>
      <c r="D59" s="3159">
        <v>1250000</v>
      </c>
      <c r="E59" s="3159">
        <v>0</v>
      </c>
      <c r="F59" s="195"/>
      <c r="G59" s="195"/>
      <c r="H59" s="431"/>
      <c r="I59" s="432"/>
      <c r="J59" s="195"/>
      <c r="K59" s="195"/>
      <c r="L59" s="195"/>
      <c r="M59" s="430"/>
      <c r="N59" s="2872">
        <f t="shared" si="0"/>
        <v>9116700</v>
      </c>
    </row>
    <row r="60" spans="1:14" ht="22.5" customHeight="1">
      <c r="A60" s="428">
        <v>42405</v>
      </c>
      <c r="B60" s="429" t="s">
        <v>2773</v>
      </c>
      <c r="C60" s="229"/>
      <c r="D60" s="3159">
        <v>583300</v>
      </c>
      <c r="E60" s="3159">
        <v>105000</v>
      </c>
      <c r="F60" s="195"/>
      <c r="G60" s="195"/>
      <c r="H60" s="431"/>
      <c r="I60" s="432"/>
      <c r="J60" s="195"/>
      <c r="K60" s="195"/>
      <c r="L60" s="195"/>
      <c r="M60" s="430"/>
      <c r="N60" s="2872">
        <f t="shared" si="0"/>
        <v>9805000</v>
      </c>
    </row>
    <row r="61" spans="1:14" ht="22.5" customHeight="1">
      <c r="A61" s="428">
        <v>42405</v>
      </c>
      <c r="B61" s="429" t="s">
        <v>2747</v>
      </c>
      <c r="C61" s="229"/>
      <c r="D61" s="3159"/>
      <c r="E61" s="3159"/>
      <c r="F61" s="195"/>
      <c r="G61" s="195"/>
      <c r="H61" s="431"/>
      <c r="I61" s="432"/>
      <c r="J61" s="195"/>
      <c r="K61" s="195"/>
      <c r="L61" s="195">
        <v>216000</v>
      </c>
      <c r="M61" s="430"/>
      <c r="N61" s="2872">
        <f t="shared" si="0"/>
        <v>9589000</v>
      </c>
    </row>
    <row r="62" spans="1:14" ht="22.5" customHeight="1">
      <c r="A62" s="428">
        <v>42405</v>
      </c>
      <c r="B62" s="429" t="s">
        <v>2774</v>
      </c>
      <c r="C62" s="229"/>
      <c r="D62" s="3159">
        <v>2750000</v>
      </c>
      <c r="E62" s="3159">
        <v>495000</v>
      </c>
      <c r="F62" s="195"/>
      <c r="G62" s="195"/>
      <c r="H62" s="431"/>
      <c r="I62" s="432"/>
      <c r="J62" s="195"/>
      <c r="K62" s="195"/>
      <c r="L62" s="195"/>
      <c r="M62" s="430"/>
      <c r="N62" s="2872">
        <f t="shared" si="0"/>
        <v>12834000</v>
      </c>
    </row>
    <row r="63" spans="1:14" ht="22.5" customHeight="1">
      <c r="A63" s="428">
        <v>42405</v>
      </c>
      <c r="B63" s="429" t="s">
        <v>2775</v>
      </c>
      <c r="C63" s="229"/>
      <c r="D63" s="3159">
        <v>641700</v>
      </c>
      <c r="E63" s="3159">
        <v>115500</v>
      </c>
      <c r="F63" s="195"/>
      <c r="G63" s="195"/>
      <c r="H63" s="431"/>
      <c r="I63" s="432"/>
      <c r="J63" s="195"/>
      <c r="K63" s="195"/>
      <c r="L63" s="195"/>
      <c r="M63" s="430"/>
      <c r="N63" s="2872">
        <f t="shared" si="0"/>
        <v>13591200</v>
      </c>
    </row>
    <row r="64" spans="1:14" ht="22.5" customHeight="1">
      <c r="A64" s="428">
        <v>42405</v>
      </c>
      <c r="B64" s="429" t="s">
        <v>2776</v>
      </c>
      <c r="C64" s="229"/>
      <c r="D64" s="3159">
        <v>1375000</v>
      </c>
      <c r="E64" s="3159">
        <v>247500</v>
      </c>
      <c r="F64" s="195"/>
      <c r="G64" s="195"/>
      <c r="H64" s="431"/>
      <c r="I64" s="432"/>
      <c r="J64" s="195"/>
      <c r="K64" s="195"/>
      <c r="L64" s="195"/>
      <c r="M64" s="430"/>
      <c r="N64" s="2872">
        <f t="shared" si="0"/>
        <v>15213700</v>
      </c>
    </row>
    <row r="65" spans="1:14" ht="22.5" customHeight="1">
      <c r="A65" s="428">
        <v>42405</v>
      </c>
      <c r="B65" s="429" t="s">
        <v>2777</v>
      </c>
      <c r="C65" s="229"/>
      <c r="D65" s="3159">
        <v>2083300</v>
      </c>
      <c r="E65" s="3159">
        <v>375000</v>
      </c>
      <c r="F65" s="195"/>
      <c r="G65" s="195"/>
      <c r="H65" s="431"/>
      <c r="I65" s="432"/>
      <c r="J65" s="195"/>
      <c r="K65" s="195"/>
      <c r="L65" s="195"/>
      <c r="M65" s="430"/>
      <c r="N65" s="2872">
        <f t="shared" si="0"/>
        <v>17672000</v>
      </c>
    </row>
    <row r="66" spans="1:14" ht="22.5" customHeight="1">
      <c r="A66" s="428">
        <v>42405</v>
      </c>
      <c r="B66" s="429" t="s">
        <v>2741</v>
      </c>
      <c r="C66" s="229"/>
      <c r="D66" s="3159"/>
      <c r="E66" s="3159"/>
      <c r="F66" s="195"/>
      <c r="G66" s="195"/>
      <c r="H66" s="431"/>
      <c r="I66" s="432">
        <v>17672000</v>
      </c>
      <c r="J66" s="195"/>
      <c r="K66" s="195"/>
      <c r="L66" s="195"/>
      <c r="M66" s="430"/>
      <c r="N66" s="2872">
        <f t="shared" si="0"/>
        <v>0</v>
      </c>
    </row>
    <row r="67" spans="1:14" ht="22.5" customHeight="1">
      <c r="A67" s="428">
        <v>42405</v>
      </c>
      <c r="B67" s="429" t="s">
        <v>2745</v>
      </c>
      <c r="C67" s="229"/>
      <c r="D67" s="3159"/>
      <c r="E67" s="3159"/>
      <c r="F67" s="195"/>
      <c r="G67" s="195"/>
      <c r="H67" s="431">
        <v>13000000</v>
      </c>
      <c r="I67" s="432"/>
      <c r="J67" s="195"/>
      <c r="K67" s="195"/>
      <c r="L67" s="195"/>
      <c r="M67" s="430"/>
      <c r="N67" s="2872">
        <f t="shared" si="0"/>
        <v>13000000</v>
      </c>
    </row>
    <row r="68" spans="1:14" ht="22.5" customHeight="1">
      <c r="A68" s="428">
        <v>42405</v>
      </c>
      <c r="B68" s="429" t="s">
        <v>2778</v>
      </c>
      <c r="C68" s="229"/>
      <c r="D68" s="3159"/>
      <c r="E68" s="3159"/>
      <c r="F68" s="195"/>
      <c r="G68" s="195"/>
      <c r="H68" s="431"/>
      <c r="I68" s="432"/>
      <c r="J68" s="195">
        <v>13000000</v>
      </c>
      <c r="K68" s="195"/>
      <c r="L68" s="195"/>
      <c r="M68" s="430"/>
      <c r="N68" s="2872">
        <f t="shared" si="0"/>
        <v>0</v>
      </c>
    </row>
    <row r="69" spans="1:14" ht="22.5" customHeight="1">
      <c r="A69" s="428">
        <v>42409</v>
      </c>
      <c r="B69" s="429" t="s">
        <v>2779</v>
      </c>
      <c r="C69" s="229"/>
      <c r="D69" s="3159">
        <v>3500000</v>
      </c>
      <c r="E69" s="3159">
        <v>630000</v>
      </c>
      <c r="F69" s="195"/>
      <c r="G69" s="195"/>
      <c r="H69" s="431"/>
      <c r="I69" s="432"/>
      <c r="J69" s="195"/>
      <c r="K69" s="195"/>
      <c r="L69" s="195"/>
      <c r="M69" s="430"/>
      <c r="N69" s="2872">
        <f t="shared" si="0"/>
        <v>4130000</v>
      </c>
    </row>
    <row r="70" spans="1:14" ht="22.5" customHeight="1">
      <c r="A70" s="428">
        <v>42409</v>
      </c>
      <c r="B70" s="429" t="s">
        <v>2780</v>
      </c>
      <c r="C70" s="229"/>
      <c r="D70" s="3159">
        <v>4166700</v>
      </c>
      <c r="E70" s="3159">
        <v>750000</v>
      </c>
      <c r="F70" s="195"/>
      <c r="G70" s="195"/>
      <c r="H70" s="431"/>
      <c r="I70" s="432"/>
      <c r="J70" s="195"/>
      <c r="K70" s="195"/>
      <c r="L70" s="195"/>
      <c r="M70" s="430"/>
      <c r="N70" s="2872">
        <f t="shared" si="0"/>
        <v>9046700</v>
      </c>
    </row>
    <row r="71" spans="1:14" ht="22.5" customHeight="1">
      <c r="A71" s="428">
        <v>42409</v>
      </c>
      <c r="B71" s="429" t="s">
        <v>2781</v>
      </c>
      <c r="C71" s="229"/>
      <c r="D71" s="3159">
        <v>2916300</v>
      </c>
      <c r="E71" s="3159">
        <v>525000</v>
      </c>
      <c r="F71" s="195"/>
      <c r="G71" s="195"/>
      <c r="H71" s="431"/>
      <c r="I71" s="432"/>
      <c r="J71" s="195"/>
      <c r="K71" s="195"/>
      <c r="L71" s="195"/>
      <c r="M71" s="430"/>
      <c r="N71" s="2872">
        <f t="shared" si="0"/>
        <v>12488000</v>
      </c>
    </row>
    <row r="72" spans="1:14" ht="22.5" customHeight="1">
      <c r="A72" s="428">
        <v>42409</v>
      </c>
      <c r="B72" s="429" t="s">
        <v>2782</v>
      </c>
      <c r="C72" s="229"/>
      <c r="D72" s="3159">
        <v>2916300</v>
      </c>
      <c r="E72" s="3159">
        <v>525000</v>
      </c>
      <c r="F72" s="195"/>
      <c r="G72" s="195"/>
      <c r="H72" s="431"/>
      <c r="I72" s="432"/>
      <c r="J72" s="195"/>
      <c r="K72" s="195"/>
      <c r="L72" s="195"/>
      <c r="M72" s="430"/>
      <c r="N72" s="2872">
        <f t="shared" si="0"/>
        <v>15929300</v>
      </c>
    </row>
    <row r="73" spans="1:14" ht="22.5" customHeight="1">
      <c r="A73" s="428">
        <v>42409</v>
      </c>
      <c r="B73" s="429" t="s">
        <v>2747</v>
      </c>
      <c r="C73" s="229"/>
      <c r="D73" s="3159"/>
      <c r="E73" s="3159"/>
      <c r="F73" s="195"/>
      <c r="G73" s="195"/>
      <c r="H73" s="431"/>
      <c r="I73" s="432"/>
      <c r="J73" s="195"/>
      <c r="K73" s="195"/>
      <c r="L73" s="195">
        <v>504000</v>
      </c>
      <c r="M73" s="430"/>
      <c r="N73" s="2872">
        <f t="shared" si="0"/>
        <v>15425300</v>
      </c>
    </row>
    <row r="74" spans="1:14" ht="22.5" customHeight="1">
      <c r="A74" s="428">
        <v>42409</v>
      </c>
      <c r="B74" s="429" t="s">
        <v>2747</v>
      </c>
      <c r="C74" s="229"/>
      <c r="D74" s="3159"/>
      <c r="E74" s="3159"/>
      <c r="F74" s="195"/>
      <c r="G74" s="195"/>
      <c r="H74" s="431"/>
      <c r="I74" s="432"/>
      <c r="J74" s="195"/>
      <c r="K74" s="195"/>
      <c r="L74" s="195">
        <v>504000</v>
      </c>
      <c r="M74" s="430"/>
      <c r="N74" s="2872">
        <f t="shared" si="0"/>
        <v>14921300</v>
      </c>
    </row>
    <row r="75" spans="1:14" ht="22.5" customHeight="1">
      <c r="A75" s="428">
        <v>42409</v>
      </c>
      <c r="B75" s="429" t="s">
        <v>2783</v>
      </c>
      <c r="C75" s="229"/>
      <c r="D75" s="3159">
        <v>2666700</v>
      </c>
      <c r="E75" s="3159">
        <v>480000</v>
      </c>
      <c r="F75" s="195"/>
      <c r="G75" s="195"/>
      <c r="H75" s="431"/>
      <c r="I75" s="432"/>
      <c r="J75" s="195"/>
      <c r="K75" s="195"/>
      <c r="L75" s="195"/>
      <c r="M75" s="430"/>
      <c r="N75" s="2872">
        <f t="shared" si="0"/>
        <v>18068000</v>
      </c>
    </row>
    <row r="76" spans="1:14" ht="22.5" customHeight="1">
      <c r="A76" s="428">
        <v>42409</v>
      </c>
      <c r="B76" s="429" t="s">
        <v>2784</v>
      </c>
      <c r="C76" s="229"/>
      <c r="D76" s="3159">
        <v>1333300</v>
      </c>
      <c r="E76" s="3159">
        <v>240000</v>
      </c>
      <c r="F76" s="195"/>
      <c r="G76" s="195"/>
      <c r="H76" s="431"/>
      <c r="I76" s="432"/>
      <c r="J76" s="195"/>
      <c r="K76" s="195"/>
      <c r="L76" s="195"/>
      <c r="M76" s="430"/>
      <c r="N76" s="2872">
        <f t="shared" si="0"/>
        <v>19641300</v>
      </c>
    </row>
    <row r="77" spans="1:14" ht="22.5" customHeight="1">
      <c r="A77" s="428">
        <v>42409</v>
      </c>
      <c r="B77" s="429" t="s">
        <v>2785</v>
      </c>
      <c r="C77" s="229"/>
      <c r="D77" s="3159">
        <v>0</v>
      </c>
      <c r="E77" s="3159">
        <v>100000</v>
      </c>
      <c r="F77" s="195"/>
      <c r="G77" s="195"/>
      <c r="H77" s="431"/>
      <c r="I77" s="432"/>
      <c r="J77" s="195"/>
      <c r="K77" s="195"/>
      <c r="L77" s="195"/>
      <c r="M77" s="430"/>
      <c r="N77" s="2872">
        <f t="shared" si="0"/>
        <v>19741300</v>
      </c>
    </row>
    <row r="78" spans="1:14" ht="22.5" customHeight="1">
      <c r="A78" s="428">
        <v>42409</v>
      </c>
      <c r="B78" s="429" t="s">
        <v>2786</v>
      </c>
      <c r="C78" s="229"/>
      <c r="D78" s="3159">
        <v>2083300</v>
      </c>
      <c r="E78" s="3159">
        <v>375000</v>
      </c>
      <c r="F78" s="195"/>
      <c r="G78" s="195"/>
      <c r="H78" s="431"/>
      <c r="I78" s="432"/>
      <c r="J78" s="195"/>
      <c r="K78" s="195"/>
      <c r="L78" s="195"/>
      <c r="M78" s="430"/>
      <c r="N78" s="2872">
        <f t="shared" si="0"/>
        <v>22199600</v>
      </c>
    </row>
    <row r="79" spans="1:14" ht="22.5" customHeight="1">
      <c r="A79" s="428">
        <v>42409</v>
      </c>
      <c r="B79" s="429" t="s">
        <v>2787</v>
      </c>
      <c r="C79" s="229"/>
      <c r="D79" s="3159">
        <v>2916700</v>
      </c>
      <c r="E79" s="3159">
        <v>525000</v>
      </c>
      <c r="F79" s="195"/>
      <c r="G79" s="195"/>
      <c r="H79" s="431"/>
      <c r="I79" s="432"/>
      <c r="J79" s="195"/>
      <c r="K79" s="195"/>
      <c r="L79" s="195"/>
      <c r="M79" s="430"/>
      <c r="N79" s="2872">
        <f>N78+(SUM((D79:H79))-(SUM((I79:M79))))</f>
        <v>25641300</v>
      </c>
    </row>
    <row r="80" spans="1:14" ht="22.5" customHeight="1">
      <c r="A80" s="428">
        <v>42409</v>
      </c>
      <c r="B80" s="429" t="s">
        <v>2788</v>
      </c>
      <c r="C80" s="229"/>
      <c r="D80" s="3159">
        <v>1166700</v>
      </c>
      <c r="E80" s="3159">
        <v>210000</v>
      </c>
      <c r="F80" s="195"/>
      <c r="G80" s="195"/>
      <c r="H80" s="431"/>
      <c r="I80" s="432"/>
      <c r="J80" s="195"/>
      <c r="K80" s="195"/>
      <c r="L80" s="195"/>
      <c r="M80" s="430"/>
      <c r="N80" s="2872">
        <f t="shared" si="0"/>
        <v>27018000</v>
      </c>
    </row>
    <row r="81" spans="1:14" ht="22.5" customHeight="1">
      <c r="A81" s="428">
        <v>42409</v>
      </c>
      <c r="B81" s="429" t="s">
        <v>2789</v>
      </c>
      <c r="C81" s="229"/>
      <c r="D81" s="3159">
        <v>2500000</v>
      </c>
      <c r="E81" s="3159">
        <v>450000</v>
      </c>
      <c r="F81" s="195"/>
      <c r="G81" s="195"/>
      <c r="H81" s="431"/>
      <c r="I81" s="432"/>
      <c r="J81" s="195"/>
      <c r="K81" s="195"/>
      <c r="L81" s="195"/>
      <c r="M81" s="430"/>
      <c r="N81" s="2872">
        <f t="shared" si="0"/>
        <v>29968000</v>
      </c>
    </row>
    <row r="82" spans="1:14" ht="22.5" customHeight="1">
      <c r="A82" s="428">
        <v>42409</v>
      </c>
      <c r="B82" s="429" t="s">
        <v>2790</v>
      </c>
      <c r="C82" s="229"/>
      <c r="D82" s="3159">
        <v>4166700</v>
      </c>
      <c r="E82" s="3159">
        <v>750000</v>
      </c>
      <c r="F82" s="195"/>
      <c r="G82" s="195"/>
      <c r="H82" s="431"/>
      <c r="I82" s="432"/>
      <c r="J82" s="195"/>
      <c r="K82" s="195"/>
      <c r="L82" s="195"/>
      <c r="M82" s="430"/>
      <c r="N82" s="2872">
        <f t="shared" si="0"/>
        <v>34884700</v>
      </c>
    </row>
    <row r="83" spans="1:14" ht="22.5" customHeight="1">
      <c r="A83" s="428">
        <v>42409</v>
      </c>
      <c r="B83" s="429" t="s">
        <v>2791</v>
      </c>
      <c r="C83" s="229"/>
      <c r="D83" s="3159">
        <v>1500000</v>
      </c>
      <c r="E83" s="3159">
        <v>270000</v>
      </c>
      <c r="F83" s="195"/>
      <c r="G83" s="195"/>
      <c r="H83" s="431"/>
      <c r="I83" s="432"/>
      <c r="J83" s="195"/>
      <c r="K83" s="195"/>
      <c r="L83" s="195"/>
      <c r="M83" s="430"/>
      <c r="N83" s="2872">
        <f t="shared" si="0"/>
        <v>36654700</v>
      </c>
    </row>
    <row r="84" spans="1:14" ht="22.5" customHeight="1">
      <c r="A84" s="428">
        <v>42409</v>
      </c>
      <c r="B84" s="429" t="s">
        <v>2792</v>
      </c>
      <c r="C84" s="229"/>
      <c r="D84" s="3159">
        <v>1666300</v>
      </c>
      <c r="E84" s="3159">
        <v>300000</v>
      </c>
      <c r="F84" s="195"/>
      <c r="G84" s="195"/>
      <c r="H84" s="431"/>
      <c r="I84" s="432"/>
      <c r="J84" s="195"/>
      <c r="K84" s="195"/>
      <c r="L84" s="195"/>
      <c r="M84" s="430"/>
      <c r="N84" s="2872">
        <f t="shared" si="0"/>
        <v>38621000</v>
      </c>
    </row>
    <row r="85" spans="1:14" ht="22.5" customHeight="1">
      <c r="A85" s="428">
        <v>42409</v>
      </c>
      <c r="B85" s="429" t="s">
        <v>2793</v>
      </c>
      <c r="C85" s="229"/>
      <c r="D85" s="3159">
        <v>875000</v>
      </c>
      <c r="E85" s="3159">
        <v>157500</v>
      </c>
      <c r="F85" s="195"/>
      <c r="G85" s="195"/>
      <c r="H85" s="431"/>
      <c r="I85" s="432"/>
      <c r="J85" s="195"/>
      <c r="K85" s="195"/>
      <c r="L85" s="195"/>
      <c r="M85" s="430"/>
      <c r="N85" s="2872">
        <f t="shared" si="0"/>
        <v>39653500</v>
      </c>
    </row>
    <row r="86" spans="1:14" ht="22.5" customHeight="1">
      <c r="A86" s="428">
        <v>42409</v>
      </c>
      <c r="B86" s="429" t="s">
        <v>2741</v>
      </c>
      <c r="C86" s="229"/>
      <c r="D86" s="3159"/>
      <c r="E86" s="3159"/>
      <c r="F86" s="195"/>
      <c r="G86" s="195"/>
      <c r="H86" s="431"/>
      <c r="I86" s="432">
        <v>39653500</v>
      </c>
      <c r="J86" s="195"/>
      <c r="K86" s="195"/>
      <c r="L86" s="195"/>
      <c r="M86" s="430"/>
      <c r="N86" s="2872">
        <f t="shared" ref="N86:N94" si="1">N85+(SUM((D86:H86))-(SUM((I86:M86))))</f>
        <v>0</v>
      </c>
    </row>
    <row r="87" spans="1:14" ht="22.5" customHeight="1">
      <c r="A87" s="428">
        <v>42409</v>
      </c>
      <c r="B87" s="429" t="s">
        <v>2794</v>
      </c>
      <c r="C87" s="229"/>
      <c r="D87" s="3159">
        <v>3500000</v>
      </c>
      <c r="E87" s="3159">
        <v>630000</v>
      </c>
      <c r="F87" s="195"/>
      <c r="G87" s="195"/>
      <c r="H87" s="431"/>
      <c r="I87" s="432"/>
      <c r="J87" s="195"/>
      <c r="K87" s="195"/>
      <c r="L87" s="195"/>
      <c r="M87" s="430"/>
      <c r="N87" s="2872">
        <f t="shared" si="1"/>
        <v>4130000</v>
      </c>
    </row>
    <row r="88" spans="1:14" ht="22.5" customHeight="1">
      <c r="A88" s="428">
        <v>42410</v>
      </c>
      <c r="B88" s="429" t="s">
        <v>2795</v>
      </c>
      <c r="C88" s="229"/>
      <c r="D88" s="3159">
        <v>3208300</v>
      </c>
      <c r="E88" s="3159">
        <v>577500</v>
      </c>
      <c r="F88" s="195"/>
      <c r="G88" s="195"/>
      <c r="H88" s="431"/>
      <c r="I88" s="432"/>
      <c r="J88" s="195"/>
      <c r="K88" s="195"/>
      <c r="L88" s="195"/>
      <c r="M88" s="430"/>
      <c r="N88" s="2872">
        <f t="shared" si="1"/>
        <v>7915800</v>
      </c>
    </row>
    <row r="89" spans="1:14" ht="22.5" customHeight="1">
      <c r="A89" s="428">
        <v>42410</v>
      </c>
      <c r="B89" s="429" t="s">
        <v>2796</v>
      </c>
      <c r="C89" s="229"/>
      <c r="D89" s="3159">
        <v>1508300</v>
      </c>
      <c r="E89" s="3159">
        <v>271500</v>
      </c>
      <c r="F89" s="195"/>
      <c r="G89" s="195"/>
      <c r="H89" s="431"/>
      <c r="I89" s="432"/>
      <c r="J89" s="195"/>
      <c r="K89" s="195"/>
      <c r="L89" s="195"/>
      <c r="M89" s="430"/>
      <c r="N89" s="2872">
        <f t="shared" si="1"/>
        <v>9695600</v>
      </c>
    </row>
    <row r="90" spans="1:14" ht="22.5" customHeight="1">
      <c r="A90" s="428">
        <v>42410</v>
      </c>
      <c r="B90" s="429" t="s">
        <v>2797</v>
      </c>
      <c r="C90" s="229"/>
      <c r="D90" s="3159">
        <v>1458300</v>
      </c>
      <c r="E90" s="3159">
        <v>262500</v>
      </c>
      <c r="F90" s="195"/>
      <c r="G90" s="195"/>
      <c r="H90" s="431"/>
      <c r="I90" s="432"/>
      <c r="J90" s="195"/>
      <c r="K90" s="195"/>
      <c r="L90" s="195"/>
      <c r="M90" s="430"/>
      <c r="N90" s="2872">
        <f t="shared" si="1"/>
        <v>11416400</v>
      </c>
    </row>
    <row r="91" spans="1:14" ht="22.5" customHeight="1">
      <c r="A91" s="428">
        <v>42410</v>
      </c>
      <c r="B91" s="429" t="s">
        <v>2798</v>
      </c>
      <c r="C91" s="229"/>
      <c r="D91" s="3159">
        <v>1583300</v>
      </c>
      <c r="E91" s="3159">
        <v>285000</v>
      </c>
      <c r="F91" s="195"/>
      <c r="G91" s="195"/>
      <c r="H91" s="431"/>
      <c r="I91" s="432"/>
      <c r="J91" s="195"/>
      <c r="K91" s="195"/>
      <c r="L91" s="195"/>
      <c r="M91" s="430"/>
      <c r="N91" s="2872">
        <f t="shared" si="1"/>
        <v>13284700</v>
      </c>
    </row>
    <row r="92" spans="1:14" ht="22.5" customHeight="1">
      <c r="A92" s="428">
        <v>42410</v>
      </c>
      <c r="B92" s="429" t="s">
        <v>2745</v>
      </c>
      <c r="C92" s="229"/>
      <c r="D92" s="3159"/>
      <c r="E92" s="3159"/>
      <c r="F92" s="195"/>
      <c r="G92" s="195"/>
      <c r="H92" s="431">
        <v>30500000</v>
      </c>
      <c r="I92" s="432"/>
      <c r="J92" s="195"/>
      <c r="K92" s="195"/>
      <c r="L92" s="195"/>
      <c r="M92" s="430"/>
      <c r="N92" s="2872">
        <f t="shared" si="1"/>
        <v>43784700</v>
      </c>
    </row>
    <row r="93" spans="1:14" ht="22.5" customHeight="1">
      <c r="A93" s="428">
        <v>42410</v>
      </c>
      <c r="B93" s="429" t="s">
        <v>2799</v>
      </c>
      <c r="C93" s="229"/>
      <c r="D93" s="3159"/>
      <c r="E93" s="3159"/>
      <c r="F93" s="195"/>
      <c r="G93" s="195"/>
      <c r="H93" s="431"/>
      <c r="I93" s="432"/>
      <c r="J93" s="195">
        <v>10500000</v>
      </c>
      <c r="K93" s="195"/>
      <c r="L93" s="195"/>
      <c r="M93" s="430"/>
      <c r="N93" s="2872">
        <f t="shared" si="1"/>
        <v>33284700</v>
      </c>
    </row>
    <row r="94" spans="1:14" ht="22.5" customHeight="1">
      <c r="A94" s="428">
        <v>42410</v>
      </c>
      <c r="B94" s="429" t="s">
        <v>2800</v>
      </c>
      <c r="C94" s="229"/>
      <c r="D94" s="3159"/>
      <c r="E94" s="3159"/>
      <c r="F94" s="195"/>
      <c r="G94" s="195"/>
      <c r="H94" s="431"/>
      <c r="I94" s="432"/>
      <c r="J94" s="195">
        <v>20000000</v>
      </c>
      <c r="K94" s="195"/>
      <c r="L94" s="195"/>
      <c r="M94" s="430"/>
      <c r="N94" s="2872">
        <f t="shared" si="1"/>
        <v>13284700</v>
      </c>
    </row>
    <row r="95" spans="1:14" ht="22.5" customHeight="1">
      <c r="A95" s="428">
        <v>42410</v>
      </c>
      <c r="B95" s="429" t="s">
        <v>2801</v>
      </c>
      <c r="C95" s="229"/>
      <c r="D95" s="3159">
        <v>3000000</v>
      </c>
      <c r="E95" s="3159">
        <v>540000</v>
      </c>
      <c r="F95" s="195"/>
      <c r="G95" s="195"/>
      <c r="H95" s="431"/>
      <c r="I95" s="432"/>
      <c r="J95" s="195"/>
      <c r="K95" s="195"/>
      <c r="L95" s="195"/>
      <c r="M95" s="430"/>
      <c r="N95" s="2872">
        <f t="shared" ref="N95:N152" si="2">N94+(SUM((D95:H95))-(SUM((I95:M95))))</f>
        <v>16824700</v>
      </c>
    </row>
    <row r="96" spans="1:14" ht="22.5" customHeight="1">
      <c r="A96" s="428">
        <v>42410</v>
      </c>
      <c r="B96" s="429" t="s">
        <v>2802</v>
      </c>
      <c r="C96" s="229"/>
      <c r="D96" s="3159">
        <v>3333300</v>
      </c>
      <c r="E96" s="3159">
        <v>600000</v>
      </c>
      <c r="F96" s="195"/>
      <c r="G96" s="195"/>
      <c r="H96" s="431"/>
      <c r="I96" s="432"/>
      <c r="J96" s="195"/>
      <c r="K96" s="195"/>
      <c r="L96" s="195"/>
      <c r="M96" s="430"/>
      <c r="N96" s="2872">
        <f t="shared" si="2"/>
        <v>20758000</v>
      </c>
    </row>
    <row r="97" spans="1:14" ht="22.5" customHeight="1">
      <c r="A97" s="428">
        <v>42410</v>
      </c>
      <c r="B97" s="429" t="s">
        <v>2803</v>
      </c>
      <c r="C97" s="229"/>
      <c r="D97" s="3159">
        <v>2083300</v>
      </c>
      <c r="E97" s="3159">
        <v>375000</v>
      </c>
      <c r="F97" s="195"/>
      <c r="G97" s="195"/>
      <c r="H97" s="431"/>
      <c r="I97" s="432"/>
      <c r="J97" s="195"/>
      <c r="K97" s="195"/>
      <c r="L97" s="195"/>
      <c r="M97" s="430"/>
      <c r="N97" s="2872">
        <f t="shared" si="2"/>
        <v>23216300</v>
      </c>
    </row>
    <row r="98" spans="1:14" ht="22.5" customHeight="1">
      <c r="A98" s="428">
        <v>42410</v>
      </c>
      <c r="B98" s="429" t="s">
        <v>2804</v>
      </c>
      <c r="C98" s="229"/>
      <c r="D98" s="3159">
        <v>1166700</v>
      </c>
      <c r="E98" s="3159">
        <v>210000</v>
      </c>
      <c r="F98" s="195"/>
      <c r="G98" s="195"/>
      <c r="H98" s="431"/>
      <c r="I98" s="432"/>
      <c r="J98" s="195"/>
      <c r="K98" s="195"/>
      <c r="L98" s="195"/>
      <c r="M98" s="430"/>
      <c r="N98" s="2872">
        <f t="shared" si="2"/>
        <v>24593000</v>
      </c>
    </row>
    <row r="99" spans="1:14" ht="22.5" customHeight="1">
      <c r="A99" s="428">
        <v>42410</v>
      </c>
      <c r="B99" s="429" t="s">
        <v>2805</v>
      </c>
      <c r="C99" s="229"/>
      <c r="D99" s="3159">
        <v>2083300</v>
      </c>
      <c r="E99" s="3159">
        <v>375000</v>
      </c>
      <c r="F99" s="195"/>
      <c r="G99" s="195"/>
      <c r="H99" s="431"/>
      <c r="I99" s="432"/>
      <c r="J99" s="195"/>
      <c r="K99" s="195"/>
      <c r="L99" s="195"/>
      <c r="M99" s="430"/>
      <c r="N99" s="2872">
        <f t="shared" si="2"/>
        <v>27051300</v>
      </c>
    </row>
    <row r="100" spans="1:14" ht="22.5" customHeight="1">
      <c r="A100" s="428">
        <v>42410</v>
      </c>
      <c r="B100" s="429" t="s">
        <v>2741</v>
      </c>
      <c r="C100" s="229"/>
      <c r="D100" s="3159"/>
      <c r="E100" s="3159"/>
      <c r="F100" s="195"/>
      <c r="G100" s="195"/>
      <c r="H100" s="431"/>
      <c r="I100" s="432">
        <v>27051300</v>
      </c>
      <c r="J100" s="195"/>
      <c r="K100" s="195"/>
      <c r="L100" s="195"/>
      <c r="M100" s="430"/>
      <c r="N100" s="2872">
        <f t="shared" si="2"/>
        <v>0</v>
      </c>
    </row>
    <row r="101" spans="1:14" ht="22.5" customHeight="1">
      <c r="A101" s="428">
        <v>42411</v>
      </c>
      <c r="B101" s="429" t="s">
        <v>2806</v>
      </c>
      <c r="C101" s="229"/>
      <c r="D101" s="3159">
        <v>3333700</v>
      </c>
      <c r="E101" s="3159">
        <v>600000</v>
      </c>
      <c r="F101" s="195"/>
      <c r="G101" s="195"/>
      <c r="H101" s="431"/>
      <c r="I101" s="432"/>
      <c r="J101" s="195"/>
      <c r="K101" s="195"/>
      <c r="L101" s="195"/>
      <c r="M101" s="430"/>
      <c r="N101" s="2872">
        <f t="shared" si="2"/>
        <v>3933700</v>
      </c>
    </row>
    <row r="102" spans="1:14" ht="22.5" customHeight="1">
      <c r="A102" s="428">
        <v>42411</v>
      </c>
      <c r="B102" s="429" t="s">
        <v>2747</v>
      </c>
      <c r="C102" s="229"/>
      <c r="D102" s="3159"/>
      <c r="E102" s="3159"/>
      <c r="F102" s="195"/>
      <c r="G102" s="195"/>
      <c r="H102" s="431"/>
      <c r="I102" s="432"/>
      <c r="J102" s="195"/>
      <c r="K102" s="195"/>
      <c r="L102" s="195">
        <v>576000</v>
      </c>
      <c r="M102" s="430"/>
      <c r="N102" s="2872">
        <f t="shared" si="2"/>
        <v>3357700</v>
      </c>
    </row>
    <row r="103" spans="1:14" ht="22.5" customHeight="1">
      <c r="A103" s="428">
        <v>42411</v>
      </c>
      <c r="B103" s="429" t="s">
        <v>2807</v>
      </c>
      <c r="C103" s="229"/>
      <c r="D103" s="3159">
        <v>2666700</v>
      </c>
      <c r="E103" s="3159">
        <v>480000</v>
      </c>
      <c r="F103" s="195"/>
      <c r="G103" s="195"/>
      <c r="H103" s="431"/>
      <c r="I103" s="432"/>
      <c r="J103" s="195"/>
      <c r="K103" s="195"/>
      <c r="L103" s="195"/>
      <c r="M103" s="430"/>
      <c r="N103" s="2872">
        <f t="shared" si="2"/>
        <v>6504400</v>
      </c>
    </row>
    <row r="104" spans="1:14" ht="22.5" customHeight="1">
      <c r="A104" s="428">
        <v>42411</v>
      </c>
      <c r="B104" s="429" t="s">
        <v>2808</v>
      </c>
      <c r="C104" s="229"/>
      <c r="D104" s="3159">
        <v>4166700</v>
      </c>
      <c r="E104" s="3159">
        <v>750000</v>
      </c>
      <c r="F104" s="195"/>
      <c r="G104" s="195"/>
      <c r="H104" s="431"/>
      <c r="I104" s="432"/>
      <c r="J104" s="195"/>
      <c r="K104" s="195"/>
      <c r="L104" s="195"/>
      <c r="M104" s="430"/>
      <c r="N104" s="2872">
        <f t="shared" si="2"/>
        <v>11421100</v>
      </c>
    </row>
    <row r="105" spans="1:14" ht="22.5" customHeight="1">
      <c r="A105" s="428">
        <v>42411</v>
      </c>
      <c r="B105" s="429" t="s">
        <v>2809</v>
      </c>
      <c r="C105" s="229"/>
      <c r="D105" s="3159">
        <v>2000000</v>
      </c>
      <c r="E105" s="3159">
        <v>360000</v>
      </c>
      <c r="F105" s="195"/>
      <c r="G105" s="195"/>
      <c r="H105" s="431"/>
      <c r="I105" s="432"/>
      <c r="J105" s="195"/>
      <c r="K105" s="195"/>
      <c r="L105" s="195"/>
      <c r="M105" s="430"/>
      <c r="N105" s="2872">
        <f t="shared" si="2"/>
        <v>13781100</v>
      </c>
    </row>
    <row r="106" spans="1:14" ht="22.5" customHeight="1">
      <c r="A106" s="428">
        <v>42411</v>
      </c>
      <c r="B106" s="429" t="s">
        <v>2810</v>
      </c>
      <c r="C106" s="229"/>
      <c r="D106" s="3159">
        <v>4166700</v>
      </c>
      <c r="E106" s="3159">
        <v>750000</v>
      </c>
      <c r="F106" s="195"/>
      <c r="G106" s="195"/>
      <c r="H106" s="431"/>
      <c r="I106" s="432"/>
      <c r="J106" s="195"/>
      <c r="K106" s="195"/>
      <c r="L106" s="195"/>
      <c r="M106" s="430"/>
      <c r="N106" s="2872">
        <f t="shared" si="2"/>
        <v>18697800</v>
      </c>
    </row>
    <row r="107" spans="1:14" ht="22.5" customHeight="1">
      <c r="A107" s="428">
        <v>42411</v>
      </c>
      <c r="B107" s="429" t="s">
        <v>2811</v>
      </c>
      <c r="C107" s="229"/>
      <c r="D107" s="3159">
        <v>583300</v>
      </c>
      <c r="E107" s="3159">
        <v>105000</v>
      </c>
      <c r="F107" s="195"/>
      <c r="G107" s="195"/>
      <c r="H107" s="431"/>
      <c r="I107" s="432"/>
      <c r="J107" s="195"/>
      <c r="K107" s="195"/>
      <c r="L107" s="195"/>
      <c r="M107" s="430"/>
      <c r="N107" s="2872">
        <f t="shared" si="2"/>
        <v>19386100</v>
      </c>
    </row>
    <row r="108" spans="1:14" ht="22.5" customHeight="1">
      <c r="A108" s="428">
        <v>42411</v>
      </c>
      <c r="B108" s="429" t="s">
        <v>2745</v>
      </c>
      <c r="C108" s="229"/>
      <c r="D108" s="3159"/>
      <c r="E108" s="3159"/>
      <c r="F108" s="195"/>
      <c r="G108" s="195"/>
      <c r="H108" s="431">
        <v>40000000</v>
      </c>
      <c r="I108" s="432"/>
      <c r="J108" s="195"/>
      <c r="K108" s="195"/>
      <c r="L108" s="195"/>
      <c r="M108" s="430"/>
      <c r="N108" s="2872">
        <f t="shared" si="2"/>
        <v>59386100</v>
      </c>
    </row>
    <row r="109" spans="1:14" ht="22.5" customHeight="1">
      <c r="A109" s="428">
        <v>42411</v>
      </c>
      <c r="B109" s="429" t="s">
        <v>2812</v>
      </c>
      <c r="C109" s="229"/>
      <c r="D109" s="3159"/>
      <c r="E109" s="3159"/>
      <c r="F109" s="195"/>
      <c r="G109" s="195"/>
      <c r="H109" s="431"/>
      <c r="I109" s="432"/>
      <c r="J109" s="195">
        <v>40000000</v>
      </c>
      <c r="K109" s="195"/>
      <c r="L109" s="195"/>
      <c r="M109" s="430"/>
      <c r="N109" s="2872">
        <f t="shared" si="2"/>
        <v>19386100</v>
      </c>
    </row>
    <row r="110" spans="1:14" ht="22.5" customHeight="1">
      <c r="A110" s="428">
        <v>42411</v>
      </c>
      <c r="B110" s="429" t="s">
        <v>2813</v>
      </c>
      <c r="C110" s="229"/>
      <c r="D110" s="3159">
        <v>1166700</v>
      </c>
      <c r="E110" s="3159">
        <v>210000</v>
      </c>
      <c r="F110" s="195"/>
      <c r="G110" s="195"/>
      <c r="H110" s="431"/>
      <c r="I110" s="432"/>
      <c r="J110" s="195"/>
      <c r="K110" s="195"/>
      <c r="L110" s="195"/>
      <c r="M110" s="430"/>
      <c r="N110" s="2872">
        <f t="shared" si="2"/>
        <v>20762800</v>
      </c>
    </row>
    <row r="111" spans="1:14" ht="22.5" customHeight="1">
      <c r="A111" s="428">
        <v>42411</v>
      </c>
      <c r="B111" s="429" t="s">
        <v>2814</v>
      </c>
      <c r="C111" s="229"/>
      <c r="D111" s="3159">
        <v>1875000</v>
      </c>
      <c r="E111" s="3159">
        <v>337500</v>
      </c>
      <c r="F111" s="195"/>
      <c r="G111" s="195"/>
      <c r="H111" s="431"/>
      <c r="I111" s="432"/>
      <c r="J111" s="195"/>
      <c r="K111" s="195"/>
      <c r="L111" s="195"/>
      <c r="M111" s="430"/>
      <c r="N111" s="2872">
        <f t="shared" si="2"/>
        <v>22975300</v>
      </c>
    </row>
    <row r="112" spans="1:14" ht="22.5" customHeight="1">
      <c r="A112" s="428">
        <v>42411</v>
      </c>
      <c r="B112" s="429" t="s">
        <v>2815</v>
      </c>
      <c r="C112" s="229"/>
      <c r="D112" s="3159">
        <v>2833300</v>
      </c>
      <c r="E112" s="3159">
        <v>510000</v>
      </c>
      <c r="F112" s="195"/>
      <c r="G112" s="195"/>
      <c r="H112" s="431"/>
      <c r="I112" s="432"/>
      <c r="J112" s="195"/>
      <c r="K112" s="195"/>
      <c r="L112" s="195"/>
      <c r="M112" s="430"/>
      <c r="N112" s="2872">
        <f t="shared" si="2"/>
        <v>26318600</v>
      </c>
    </row>
    <row r="113" spans="1:14" ht="22.5" customHeight="1">
      <c r="A113" s="428">
        <v>42411</v>
      </c>
      <c r="B113" s="429" t="s">
        <v>2816</v>
      </c>
      <c r="C113" s="229"/>
      <c r="D113" s="3159">
        <v>148300</v>
      </c>
      <c r="E113" s="3159">
        <v>0</v>
      </c>
      <c r="F113" s="195"/>
      <c r="G113" s="195"/>
      <c r="H113" s="431"/>
      <c r="I113" s="432"/>
      <c r="J113" s="195"/>
      <c r="K113" s="195"/>
      <c r="L113" s="195"/>
      <c r="M113" s="430"/>
      <c r="N113" s="2872">
        <f t="shared" si="2"/>
        <v>26466900</v>
      </c>
    </row>
    <row r="114" spans="1:14" ht="22.5" customHeight="1">
      <c r="A114" s="428">
        <v>42411</v>
      </c>
      <c r="B114" s="429" t="s">
        <v>2816</v>
      </c>
      <c r="C114" s="229"/>
      <c r="D114" s="3159">
        <v>1946700</v>
      </c>
      <c r="E114" s="3159">
        <v>375000</v>
      </c>
      <c r="F114" s="195"/>
      <c r="G114" s="195"/>
      <c r="H114" s="431"/>
      <c r="I114" s="432"/>
      <c r="J114" s="195"/>
      <c r="K114" s="195"/>
      <c r="L114" s="195"/>
      <c r="M114" s="430"/>
      <c r="N114" s="2872">
        <f t="shared" si="2"/>
        <v>28788600</v>
      </c>
    </row>
    <row r="115" spans="1:14" ht="22.5" customHeight="1">
      <c r="A115" s="428">
        <v>42411</v>
      </c>
      <c r="B115" s="429" t="s">
        <v>2747</v>
      </c>
      <c r="C115" s="229"/>
      <c r="D115" s="3159"/>
      <c r="E115" s="3159"/>
      <c r="F115" s="195"/>
      <c r="G115" s="195"/>
      <c r="H115" s="431"/>
      <c r="I115" s="432"/>
      <c r="J115" s="195"/>
      <c r="K115" s="195"/>
      <c r="L115" s="195">
        <v>345600</v>
      </c>
      <c r="M115" s="430"/>
      <c r="N115" s="2872">
        <f t="shared" si="2"/>
        <v>28443000</v>
      </c>
    </row>
    <row r="116" spans="1:14" ht="22.5" customHeight="1">
      <c r="A116" s="428">
        <v>42411</v>
      </c>
      <c r="B116" s="429" t="s">
        <v>2741</v>
      </c>
      <c r="C116" s="229"/>
      <c r="D116" s="3159"/>
      <c r="E116" s="3159"/>
      <c r="F116" s="195"/>
      <c r="G116" s="195"/>
      <c r="H116" s="431"/>
      <c r="I116" s="432">
        <v>28443000</v>
      </c>
      <c r="J116" s="195"/>
      <c r="K116" s="195"/>
      <c r="L116" s="195"/>
      <c r="M116" s="430"/>
      <c r="N116" s="2872">
        <f t="shared" si="2"/>
        <v>0</v>
      </c>
    </row>
    <row r="117" spans="1:14" ht="22.5" customHeight="1">
      <c r="A117" s="428">
        <v>42412</v>
      </c>
      <c r="B117" s="429" t="s">
        <v>2817</v>
      </c>
      <c r="C117" s="229"/>
      <c r="D117" s="3159">
        <v>1708300</v>
      </c>
      <c r="E117" s="3159">
        <v>307500</v>
      </c>
      <c r="F117" s="195"/>
      <c r="G117" s="195"/>
      <c r="H117" s="431"/>
      <c r="I117" s="432"/>
      <c r="J117" s="195"/>
      <c r="K117" s="195"/>
      <c r="L117" s="195"/>
      <c r="M117" s="430"/>
      <c r="N117" s="2872">
        <f t="shared" si="2"/>
        <v>2015800</v>
      </c>
    </row>
    <row r="118" spans="1:14" ht="22.5" customHeight="1">
      <c r="A118" s="428">
        <v>42412</v>
      </c>
      <c r="B118" s="429" t="s">
        <v>2818</v>
      </c>
      <c r="C118" s="229"/>
      <c r="D118" s="3159">
        <v>3333300</v>
      </c>
      <c r="E118" s="3159">
        <v>600000</v>
      </c>
      <c r="F118" s="195"/>
      <c r="G118" s="195"/>
      <c r="H118" s="431"/>
      <c r="I118" s="432"/>
      <c r="J118" s="195"/>
      <c r="K118" s="195"/>
      <c r="L118" s="195"/>
      <c r="M118" s="430"/>
      <c r="N118" s="2872">
        <f t="shared" si="2"/>
        <v>5949100</v>
      </c>
    </row>
    <row r="119" spans="1:14" ht="22.5" customHeight="1">
      <c r="A119" s="428">
        <v>42412</v>
      </c>
      <c r="B119" s="429" t="s">
        <v>2820</v>
      </c>
      <c r="C119" s="229"/>
      <c r="D119" s="3159">
        <v>2916700</v>
      </c>
      <c r="E119" s="3159">
        <v>525000</v>
      </c>
      <c r="F119" s="195"/>
      <c r="G119" s="195"/>
      <c r="H119" s="431"/>
      <c r="I119" s="432"/>
      <c r="J119" s="195"/>
      <c r="K119" s="195"/>
      <c r="L119" s="195"/>
      <c r="M119" s="430"/>
      <c r="N119" s="2872">
        <f t="shared" si="2"/>
        <v>9390800</v>
      </c>
    </row>
    <row r="120" spans="1:14" ht="22.5" customHeight="1">
      <c r="A120" s="428">
        <v>42412</v>
      </c>
      <c r="B120" s="429" t="s">
        <v>2819</v>
      </c>
      <c r="C120" s="229"/>
      <c r="D120" s="3159">
        <v>2500000</v>
      </c>
      <c r="E120" s="3159">
        <v>450000</v>
      </c>
      <c r="F120" s="195"/>
      <c r="G120" s="195"/>
      <c r="H120" s="431"/>
      <c r="I120" s="432"/>
      <c r="J120" s="195"/>
      <c r="K120" s="195"/>
      <c r="L120" s="195"/>
      <c r="M120" s="430"/>
      <c r="N120" s="2872">
        <f t="shared" si="2"/>
        <v>12340800</v>
      </c>
    </row>
    <row r="121" spans="1:14" ht="22.5" customHeight="1">
      <c r="A121" s="428">
        <v>42412</v>
      </c>
      <c r="B121" s="429" t="s">
        <v>2821</v>
      </c>
      <c r="C121" s="229"/>
      <c r="D121" s="3159">
        <v>2083300</v>
      </c>
      <c r="E121" s="3159">
        <v>375000</v>
      </c>
      <c r="F121" s="195"/>
      <c r="G121" s="195"/>
      <c r="H121" s="431"/>
      <c r="I121" s="432"/>
      <c r="J121" s="195"/>
      <c r="K121" s="195"/>
      <c r="L121" s="195"/>
      <c r="M121" s="430"/>
      <c r="N121" s="2872">
        <f t="shared" si="2"/>
        <v>14799100</v>
      </c>
    </row>
    <row r="122" spans="1:14" ht="22.5" customHeight="1">
      <c r="A122" s="428">
        <v>42412</v>
      </c>
      <c r="B122" s="429" t="s">
        <v>2822</v>
      </c>
      <c r="C122" s="229"/>
      <c r="D122" s="3159">
        <v>1500000</v>
      </c>
      <c r="E122" s="3159">
        <v>270000</v>
      </c>
      <c r="F122" s="195"/>
      <c r="G122" s="195"/>
      <c r="H122" s="431"/>
      <c r="I122" s="432"/>
      <c r="J122" s="195"/>
      <c r="K122" s="195"/>
      <c r="L122" s="195"/>
      <c r="M122" s="430"/>
      <c r="N122" s="2872">
        <f t="shared" si="2"/>
        <v>16569100</v>
      </c>
    </row>
    <row r="123" spans="1:14" ht="22.5" customHeight="1">
      <c r="A123" s="428">
        <v>42412</v>
      </c>
      <c r="B123" s="429" t="s">
        <v>2823</v>
      </c>
      <c r="C123" s="229"/>
      <c r="D123" s="3159">
        <v>833300</v>
      </c>
      <c r="E123" s="3159">
        <v>150000</v>
      </c>
      <c r="F123" s="195"/>
      <c r="G123" s="195"/>
      <c r="H123" s="431"/>
      <c r="I123" s="432"/>
      <c r="J123" s="195"/>
      <c r="K123" s="195"/>
      <c r="L123" s="195"/>
      <c r="M123" s="430"/>
      <c r="N123" s="2872">
        <f t="shared" si="2"/>
        <v>17552400</v>
      </c>
    </row>
    <row r="124" spans="1:14" ht="22.5" customHeight="1">
      <c r="A124" s="428">
        <v>42412</v>
      </c>
      <c r="B124" s="429" t="s">
        <v>2824</v>
      </c>
      <c r="C124" s="229"/>
      <c r="D124" s="3159">
        <v>2500000</v>
      </c>
      <c r="E124" s="3159">
        <v>450000</v>
      </c>
      <c r="F124" s="195"/>
      <c r="G124" s="195"/>
      <c r="H124" s="431"/>
      <c r="I124" s="432"/>
      <c r="J124" s="195"/>
      <c r="K124" s="195"/>
      <c r="L124" s="195"/>
      <c r="M124" s="430"/>
      <c r="N124" s="2872">
        <f t="shared" si="2"/>
        <v>20502400</v>
      </c>
    </row>
    <row r="125" spans="1:14" ht="22.5" customHeight="1">
      <c r="A125" s="428">
        <v>42412</v>
      </c>
      <c r="B125" s="429" t="s">
        <v>2825</v>
      </c>
      <c r="C125" s="229"/>
      <c r="D125" s="3159">
        <v>2166700</v>
      </c>
      <c r="E125" s="3159">
        <v>390000</v>
      </c>
      <c r="F125" s="195"/>
      <c r="G125" s="195"/>
      <c r="H125" s="431"/>
      <c r="I125" s="432"/>
      <c r="J125" s="195"/>
      <c r="K125" s="195"/>
      <c r="L125" s="195"/>
      <c r="M125" s="430"/>
      <c r="N125" s="2872">
        <f t="shared" si="2"/>
        <v>23059100</v>
      </c>
    </row>
    <row r="126" spans="1:14" ht="22.5" customHeight="1">
      <c r="A126" s="428">
        <v>42412</v>
      </c>
      <c r="B126" s="429" t="s">
        <v>2826</v>
      </c>
      <c r="C126" s="229"/>
      <c r="D126" s="3159">
        <v>1166700</v>
      </c>
      <c r="E126" s="3159">
        <v>210000</v>
      </c>
      <c r="F126" s="195"/>
      <c r="G126" s="195"/>
      <c r="H126" s="431"/>
      <c r="I126" s="432"/>
      <c r="J126" s="195"/>
      <c r="K126" s="195"/>
      <c r="L126" s="195"/>
      <c r="M126" s="430"/>
      <c r="N126" s="2872">
        <f t="shared" si="2"/>
        <v>24435800</v>
      </c>
    </row>
    <row r="127" spans="1:14" ht="22.5" customHeight="1">
      <c r="A127" s="428">
        <v>42412</v>
      </c>
      <c r="B127" s="429" t="s">
        <v>2839</v>
      </c>
      <c r="C127" s="229"/>
      <c r="D127" s="3159">
        <v>3333700</v>
      </c>
      <c r="E127" s="3159">
        <v>600000</v>
      </c>
      <c r="F127" s="195"/>
      <c r="G127" s="195"/>
      <c r="H127" s="431"/>
      <c r="I127" s="432"/>
      <c r="J127" s="195"/>
      <c r="K127" s="195"/>
      <c r="L127" s="195"/>
      <c r="M127" s="430"/>
      <c r="N127" s="2872">
        <f t="shared" si="2"/>
        <v>28369500</v>
      </c>
    </row>
    <row r="128" spans="1:14" ht="22.5" customHeight="1">
      <c r="A128" s="428">
        <v>42412</v>
      </c>
      <c r="B128" s="429" t="s">
        <v>2747</v>
      </c>
      <c r="C128" s="229"/>
      <c r="D128" s="3159"/>
      <c r="E128" s="3159"/>
      <c r="F128" s="195"/>
      <c r="G128" s="195"/>
      <c r="H128" s="431"/>
      <c r="I128" s="432"/>
      <c r="J128" s="195"/>
      <c r="K128" s="195"/>
      <c r="L128" s="195">
        <v>576000</v>
      </c>
      <c r="M128" s="430"/>
      <c r="N128" s="2872">
        <f t="shared" si="2"/>
        <v>27793500</v>
      </c>
    </row>
    <row r="129" spans="1:14" ht="22.5" customHeight="1">
      <c r="A129" s="428">
        <v>42412</v>
      </c>
      <c r="B129" s="429" t="s">
        <v>2827</v>
      </c>
      <c r="C129" s="229"/>
      <c r="D129" s="3159">
        <v>4166700</v>
      </c>
      <c r="E129" s="3159">
        <v>750000</v>
      </c>
      <c r="F129" s="195"/>
      <c r="G129" s="195"/>
      <c r="H129" s="431"/>
      <c r="I129" s="432"/>
      <c r="J129" s="195"/>
      <c r="K129" s="195"/>
      <c r="L129" s="195"/>
      <c r="M129" s="430"/>
      <c r="N129" s="2872">
        <f t="shared" si="2"/>
        <v>32710200</v>
      </c>
    </row>
    <row r="130" spans="1:14" ht="22.5" customHeight="1">
      <c r="A130" s="428">
        <v>42412</v>
      </c>
      <c r="B130" s="429" t="s">
        <v>2828</v>
      </c>
      <c r="C130" s="229"/>
      <c r="D130" s="3159">
        <v>2500000</v>
      </c>
      <c r="E130" s="3159">
        <v>450000</v>
      </c>
      <c r="F130" s="195"/>
      <c r="G130" s="195"/>
      <c r="H130" s="431"/>
      <c r="I130" s="432"/>
      <c r="J130" s="195"/>
      <c r="K130" s="195"/>
      <c r="L130" s="195"/>
      <c r="M130" s="430"/>
      <c r="N130" s="2872">
        <f t="shared" si="2"/>
        <v>35660200</v>
      </c>
    </row>
    <row r="131" spans="1:14" ht="22.5" customHeight="1">
      <c r="A131" s="428">
        <v>42412</v>
      </c>
      <c r="B131" s="429" t="s">
        <v>2829</v>
      </c>
      <c r="C131" s="229"/>
      <c r="D131" s="3159">
        <v>833300</v>
      </c>
      <c r="E131" s="3159">
        <v>150000</v>
      </c>
      <c r="F131" s="195"/>
      <c r="G131" s="195"/>
      <c r="H131" s="431"/>
      <c r="I131" s="432"/>
      <c r="J131" s="195"/>
      <c r="K131" s="195"/>
      <c r="L131" s="195"/>
      <c r="M131" s="430"/>
      <c r="N131" s="2872">
        <f t="shared" si="2"/>
        <v>36643500</v>
      </c>
    </row>
    <row r="132" spans="1:14" ht="22.5" customHeight="1">
      <c r="A132" s="428">
        <v>42412</v>
      </c>
      <c r="B132" s="429" t="s">
        <v>2830</v>
      </c>
      <c r="C132" s="229"/>
      <c r="D132" s="3159">
        <v>4166700</v>
      </c>
      <c r="E132" s="3159">
        <v>750000</v>
      </c>
      <c r="F132" s="195"/>
      <c r="G132" s="195"/>
      <c r="H132" s="431"/>
      <c r="I132" s="432"/>
      <c r="J132" s="195"/>
      <c r="K132" s="195"/>
      <c r="L132" s="195"/>
      <c r="M132" s="430"/>
      <c r="N132" s="2872">
        <f t="shared" si="2"/>
        <v>41560200</v>
      </c>
    </row>
    <row r="133" spans="1:14" ht="22.5" customHeight="1">
      <c r="A133" s="428">
        <v>42412</v>
      </c>
      <c r="B133" s="429" t="s">
        <v>2831</v>
      </c>
      <c r="C133" s="229"/>
      <c r="D133" s="3159">
        <v>2708300</v>
      </c>
      <c r="E133" s="3159">
        <v>487500</v>
      </c>
      <c r="F133" s="195"/>
      <c r="G133" s="195"/>
      <c r="H133" s="431"/>
      <c r="I133" s="432"/>
      <c r="J133" s="195"/>
      <c r="K133" s="195"/>
      <c r="L133" s="195"/>
      <c r="M133" s="430"/>
      <c r="N133" s="2872">
        <f t="shared" si="2"/>
        <v>44756000</v>
      </c>
    </row>
    <row r="134" spans="1:14" ht="22.5" customHeight="1">
      <c r="A134" s="428">
        <v>42412</v>
      </c>
      <c r="B134" s="429" t="s">
        <v>2832</v>
      </c>
      <c r="C134" s="229"/>
      <c r="D134" s="3159">
        <v>2916700</v>
      </c>
      <c r="E134" s="3159">
        <v>525000</v>
      </c>
      <c r="F134" s="195"/>
      <c r="G134" s="195"/>
      <c r="H134" s="431"/>
      <c r="I134" s="432"/>
      <c r="J134" s="195"/>
      <c r="K134" s="195"/>
      <c r="L134" s="195"/>
      <c r="M134" s="430"/>
      <c r="N134" s="2872">
        <f t="shared" si="2"/>
        <v>48197700</v>
      </c>
    </row>
    <row r="135" spans="1:14" ht="22.5" customHeight="1">
      <c r="A135" s="428">
        <v>42412</v>
      </c>
      <c r="B135" s="429" t="s">
        <v>2833</v>
      </c>
      <c r="C135" s="229"/>
      <c r="D135" s="3159">
        <v>1333300</v>
      </c>
      <c r="E135" s="3159">
        <v>240000</v>
      </c>
      <c r="F135" s="195"/>
      <c r="G135" s="195"/>
      <c r="H135" s="431"/>
      <c r="I135" s="432"/>
      <c r="J135" s="195"/>
      <c r="K135" s="195"/>
      <c r="L135" s="195"/>
      <c r="M135" s="430"/>
      <c r="N135" s="2872">
        <f t="shared" si="2"/>
        <v>49771000</v>
      </c>
    </row>
    <row r="136" spans="1:14" ht="22.5" customHeight="1">
      <c r="A136" s="428">
        <v>42412</v>
      </c>
      <c r="B136" s="429" t="s">
        <v>2834</v>
      </c>
      <c r="C136" s="229"/>
      <c r="D136" s="3159">
        <v>3250000</v>
      </c>
      <c r="E136" s="3159">
        <v>585000</v>
      </c>
      <c r="F136" s="195"/>
      <c r="G136" s="195"/>
      <c r="H136" s="431"/>
      <c r="I136" s="432"/>
      <c r="J136" s="195"/>
      <c r="K136" s="195"/>
      <c r="L136" s="195"/>
      <c r="M136" s="430"/>
      <c r="N136" s="2872">
        <f t="shared" si="2"/>
        <v>53606000</v>
      </c>
    </row>
    <row r="137" spans="1:14" ht="22.5" customHeight="1">
      <c r="A137" s="428">
        <v>42412</v>
      </c>
      <c r="B137" s="429" t="s">
        <v>2835</v>
      </c>
      <c r="C137" s="229"/>
      <c r="D137" s="3159">
        <v>1000000</v>
      </c>
      <c r="E137" s="3159">
        <v>180000</v>
      </c>
      <c r="F137" s="195"/>
      <c r="G137" s="195"/>
      <c r="H137" s="431"/>
      <c r="I137" s="432"/>
      <c r="J137" s="195"/>
      <c r="K137" s="195"/>
      <c r="L137" s="195"/>
      <c r="M137" s="430"/>
      <c r="N137" s="2872">
        <f t="shared" si="2"/>
        <v>54786000</v>
      </c>
    </row>
    <row r="138" spans="1:14" ht="22.5" customHeight="1">
      <c r="A138" s="428">
        <v>42412</v>
      </c>
      <c r="B138" s="429" t="s">
        <v>2836</v>
      </c>
      <c r="C138" s="229"/>
      <c r="D138" s="3159">
        <v>1750000</v>
      </c>
      <c r="E138" s="3159">
        <v>315000</v>
      </c>
      <c r="F138" s="195"/>
      <c r="G138" s="195"/>
      <c r="H138" s="431"/>
      <c r="I138" s="432"/>
      <c r="J138" s="195"/>
      <c r="K138" s="195"/>
      <c r="L138" s="195"/>
      <c r="M138" s="430"/>
      <c r="N138" s="2872">
        <f t="shared" si="2"/>
        <v>56851000</v>
      </c>
    </row>
    <row r="139" spans="1:14" ht="22.5" customHeight="1">
      <c r="A139" s="428">
        <v>42412</v>
      </c>
      <c r="B139" s="429" t="s">
        <v>2837</v>
      </c>
      <c r="C139" s="229"/>
      <c r="D139" s="3159">
        <v>3333300</v>
      </c>
      <c r="E139" s="3159">
        <v>600000</v>
      </c>
      <c r="F139" s="195"/>
      <c r="G139" s="195"/>
      <c r="H139" s="431"/>
      <c r="I139" s="432"/>
      <c r="J139" s="195"/>
      <c r="K139" s="195"/>
      <c r="L139" s="195"/>
      <c r="M139" s="430"/>
      <c r="N139" s="2872">
        <f t="shared" si="2"/>
        <v>60784300</v>
      </c>
    </row>
    <row r="140" spans="1:14" ht="22.5" customHeight="1">
      <c r="A140" s="428">
        <v>42412</v>
      </c>
      <c r="B140" s="429" t="s">
        <v>2838</v>
      </c>
      <c r="C140" s="229"/>
      <c r="D140" s="3159">
        <v>4166700</v>
      </c>
      <c r="E140" s="3159">
        <v>750000</v>
      </c>
      <c r="F140" s="195"/>
      <c r="G140" s="195"/>
      <c r="H140" s="431"/>
      <c r="I140" s="432"/>
      <c r="J140" s="195"/>
      <c r="K140" s="195"/>
      <c r="L140" s="195"/>
      <c r="M140" s="430"/>
      <c r="N140" s="2872">
        <f t="shared" si="2"/>
        <v>65701000</v>
      </c>
    </row>
    <row r="141" spans="1:14" ht="22.5" customHeight="1">
      <c r="A141" s="428">
        <v>42412</v>
      </c>
      <c r="B141" s="429" t="s">
        <v>2840</v>
      </c>
      <c r="C141" s="229"/>
      <c r="D141" s="3159">
        <v>2083300</v>
      </c>
      <c r="E141" s="3159">
        <v>375000</v>
      </c>
      <c r="F141" s="195"/>
      <c r="G141" s="195"/>
      <c r="H141" s="431"/>
      <c r="I141" s="432"/>
      <c r="J141" s="195"/>
      <c r="K141" s="195"/>
      <c r="L141" s="195"/>
      <c r="M141" s="430"/>
      <c r="N141" s="2872">
        <f t="shared" si="2"/>
        <v>68159300</v>
      </c>
    </row>
    <row r="142" spans="1:14" ht="22.5" customHeight="1">
      <c r="A142" s="428">
        <v>42412</v>
      </c>
      <c r="B142" s="429" t="s">
        <v>2841</v>
      </c>
      <c r="C142" s="229"/>
      <c r="D142" s="3159">
        <v>2750000</v>
      </c>
      <c r="E142" s="3159">
        <v>495000</v>
      </c>
      <c r="F142" s="195"/>
      <c r="G142" s="195"/>
      <c r="H142" s="431"/>
      <c r="I142" s="432"/>
      <c r="J142" s="195"/>
      <c r="K142" s="195"/>
      <c r="L142" s="195"/>
      <c r="M142" s="430"/>
      <c r="N142" s="2872">
        <f t="shared" si="2"/>
        <v>71404300</v>
      </c>
    </row>
    <row r="143" spans="1:14" ht="22.5" customHeight="1">
      <c r="A143" s="428">
        <v>42412</v>
      </c>
      <c r="B143" s="429" t="s">
        <v>2842</v>
      </c>
      <c r="C143" s="229"/>
      <c r="D143" s="3159">
        <v>1508300</v>
      </c>
      <c r="E143" s="3159">
        <v>271500</v>
      </c>
      <c r="F143" s="195"/>
      <c r="G143" s="195"/>
      <c r="H143" s="431"/>
      <c r="I143" s="432"/>
      <c r="J143" s="195"/>
      <c r="K143" s="195"/>
      <c r="L143" s="195"/>
      <c r="M143" s="430"/>
      <c r="N143" s="2872">
        <f t="shared" si="2"/>
        <v>73184100</v>
      </c>
    </row>
    <row r="144" spans="1:14" ht="22.5" customHeight="1">
      <c r="A144" s="428">
        <v>42412</v>
      </c>
      <c r="B144" s="429" t="s">
        <v>2843</v>
      </c>
      <c r="C144" s="229"/>
      <c r="D144" s="3159">
        <v>2666700</v>
      </c>
      <c r="E144" s="3159">
        <v>480000</v>
      </c>
      <c r="F144" s="195"/>
      <c r="G144" s="195"/>
      <c r="H144" s="431"/>
      <c r="I144" s="432"/>
      <c r="J144" s="195"/>
      <c r="K144" s="195"/>
      <c r="L144" s="195"/>
      <c r="M144" s="430"/>
      <c r="N144" s="2872">
        <f t="shared" si="2"/>
        <v>76330800</v>
      </c>
    </row>
    <row r="145" spans="1:14" ht="22.5" customHeight="1">
      <c r="A145" s="428">
        <v>42412</v>
      </c>
      <c r="B145" s="429" t="s">
        <v>2844</v>
      </c>
      <c r="C145" s="229"/>
      <c r="D145" s="3159">
        <v>1000000</v>
      </c>
      <c r="E145" s="3159">
        <v>180000</v>
      </c>
      <c r="F145" s="195"/>
      <c r="G145" s="195"/>
      <c r="H145" s="431"/>
      <c r="I145" s="432"/>
      <c r="J145" s="195"/>
      <c r="K145" s="195"/>
      <c r="L145" s="195"/>
      <c r="M145" s="430"/>
      <c r="N145" s="2872">
        <f t="shared" si="2"/>
        <v>77510800</v>
      </c>
    </row>
    <row r="146" spans="1:14" ht="22.5" customHeight="1">
      <c r="A146" s="428">
        <v>42412</v>
      </c>
      <c r="B146" s="429" t="s">
        <v>2845</v>
      </c>
      <c r="C146" s="229"/>
      <c r="D146" s="3159">
        <v>4166700</v>
      </c>
      <c r="E146" s="3159">
        <v>750000</v>
      </c>
      <c r="F146" s="195"/>
      <c r="G146" s="195"/>
      <c r="H146" s="431"/>
      <c r="I146" s="432"/>
      <c r="J146" s="195"/>
      <c r="K146" s="195"/>
      <c r="L146" s="195"/>
      <c r="M146" s="430"/>
      <c r="N146" s="2872">
        <f t="shared" si="2"/>
        <v>82427500</v>
      </c>
    </row>
    <row r="147" spans="1:14" ht="22.5" customHeight="1">
      <c r="A147" s="428">
        <v>42412</v>
      </c>
      <c r="B147" s="429" t="s">
        <v>2846</v>
      </c>
      <c r="C147" s="229"/>
      <c r="D147" s="3159">
        <v>1833300</v>
      </c>
      <c r="E147" s="3159">
        <v>330000</v>
      </c>
      <c r="F147" s="195"/>
      <c r="G147" s="195"/>
      <c r="H147" s="431"/>
      <c r="I147" s="432"/>
      <c r="J147" s="195"/>
      <c r="K147" s="195"/>
      <c r="L147" s="195"/>
      <c r="M147" s="430"/>
      <c r="N147" s="2872">
        <f t="shared" si="2"/>
        <v>84590800</v>
      </c>
    </row>
    <row r="148" spans="1:14" ht="22.5" customHeight="1">
      <c r="A148" s="428">
        <v>42412</v>
      </c>
      <c r="B148" s="429" t="s">
        <v>2741</v>
      </c>
      <c r="C148" s="229"/>
      <c r="D148" s="3159"/>
      <c r="E148" s="3159"/>
      <c r="F148" s="195"/>
      <c r="G148" s="195"/>
      <c r="H148" s="431"/>
      <c r="I148" s="432">
        <v>84590800</v>
      </c>
      <c r="J148" s="195"/>
      <c r="K148" s="195"/>
      <c r="L148" s="195"/>
      <c r="M148" s="430"/>
      <c r="N148" s="2872">
        <f t="shared" si="2"/>
        <v>0</v>
      </c>
    </row>
    <row r="149" spans="1:14" ht="22.5" customHeight="1">
      <c r="A149" s="428">
        <v>42412</v>
      </c>
      <c r="B149" s="429" t="s">
        <v>2847</v>
      </c>
      <c r="C149" s="229"/>
      <c r="D149" s="3159">
        <v>1333300</v>
      </c>
      <c r="E149" s="3159">
        <v>240000</v>
      </c>
      <c r="F149" s="195"/>
      <c r="G149" s="195"/>
      <c r="H149" s="431"/>
      <c r="I149" s="432"/>
      <c r="J149" s="195"/>
      <c r="K149" s="195"/>
      <c r="L149" s="195"/>
      <c r="M149" s="430"/>
      <c r="N149" s="2872">
        <f t="shared" si="2"/>
        <v>1573300</v>
      </c>
    </row>
    <row r="150" spans="1:14" ht="22.5" customHeight="1">
      <c r="A150" s="428">
        <v>42412</v>
      </c>
      <c r="B150" s="429" t="s">
        <v>2848</v>
      </c>
      <c r="C150" s="229"/>
      <c r="D150" s="3159">
        <v>2333300</v>
      </c>
      <c r="E150" s="3159">
        <v>420000</v>
      </c>
      <c r="F150" s="195"/>
      <c r="G150" s="195"/>
      <c r="H150" s="431"/>
      <c r="I150" s="432"/>
      <c r="J150" s="195"/>
      <c r="K150" s="195"/>
      <c r="L150" s="195"/>
      <c r="M150" s="430"/>
      <c r="N150" s="2872">
        <f t="shared" si="2"/>
        <v>4326600</v>
      </c>
    </row>
    <row r="151" spans="1:14" ht="22.5" customHeight="1">
      <c r="A151" s="428">
        <v>42412</v>
      </c>
      <c r="B151" s="429" t="s">
        <v>2745</v>
      </c>
      <c r="C151" s="229"/>
      <c r="D151" s="3159"/>
      <c r="E151" s="3159"/>
      <c r="F151" s="195"/>
      <c r="G151" s="195"/>
      <c r="H151" s="431">
        <v>46500000</v>
      </c>
      <c r="I151" s="432"/>
      <c r="J151" s="195"/>
      <c r="K151" s="195"/>
      <c r="L151" s="195"/>
      <c r="M151" s="430"/>
      <c r="N151" s="2872">
        <f t="shared" si="2"/>
        <v>50826600</v>
      </c>
    </row>
    <row r="152" spans="1:14" ht="22.5" customHeight="1">
      <c r="A152" s="428">
        <v>42412</v>
      </c>
      <c r="B152" s="429" t="s">
        <v>2849</v>
      </c>
      <c r="C152" s="229"/>
      <c r="D152" s="3159"/>
      <c r="E152" s="3159"/>
      <c r="F152" s="195"/>
      <c r="G152" s="195"/>
      <c r="H152" s="431"/>
      <c r="I152" s="432"/>
      <c r="J152" s="195">
        <v>15000000</v>
      </c>
      <c r="K152" s="195"/>
      <c r="L152" s="195"/>
      <c r="M152" s="430"/>
      <c r="N152" s="2872">
        <f t="shared" si="2"/>
        <v>35826600</v>
      </c>
    </row>
    <row r="153" spans="1:14" ht="22.5" customHeight="1">
      <c r="A153" s="428">
        <v>42412</v>
      </c>
      <c r="B153" s="429" t="s">
        <v>2850</v>
      </c>
      <c r="C153" s="229"/>
      <c r="D153" s="3159"/>
      <c r="E153" s="3159"/>
      <c r="F153" s="195"/>
      <c r="G153" s="195"/>
      <c r="H153" s="431"/>
      <c r="I153" s="432"/>
      <c r="J153" s="195">
        <v>31500000</v>
      </c>
      <c r="K153" s="195"/>
      <c r="L153" s="195"/>
      <c r="M153" s="430"/>
      <c r="N153" s="2872">
        <f t="shared" ref="N153:N216" si="3">N152+(SUM((D153:H153))-(SUM((I153:M153))))</f>
        <v>4326600</v>
      </c>
    </row>
    <row r="154" spans="1:14" ht="22.5" customHeight="1">
      <c r="A154" s="428">
        <v>42415</v>
      </c>
      <c r="B154" s="429" t="s">
        <v>2851</v>
      </c>
      <c r="C154" s="229"/>
      <c r="D154" s="3159">
        <v>3166700</v>
      </c>
      <c r="E154" s="3159">
        <v>570000</v>
      </c>
      <c r="F154" s="195"/>
      <c r="G154" s="195"/>
      <c r="H154" s="431"/>
      <c r="I154" s="432"/>
      <c r="J154" s="195"/>
      <c r="K154" s="195"/>
      <c r="L154" s="195"/>
      <c r="M154" s="430"/>
      <c r="N154" s="2872">
        <f t="shared" si="3"/>
        <v>8063300</v>
      </c>
    </row>
    <row r="155" spans="1:14" ht="22.5" customHeight="1">
      <c r="A155" s="428">
        <v>42415</v>
      </c>
      <c r="B155" s="429" t="s">
        <v>2852</v>
      </c>
      <c r="C155" s="229"/>
      <c r="D155" s="3159">
        <v>1750000</v>
      </c>
      <c r="E155" s="3159">
        <v>315000</v>
      </c>
      <c r="F155" s="195"/>
      <c r="G155" s="195"/>
      <c r="H155" s="431"/>
      <c r="I155" s="432"/>
      <c r="J155" s="195"/>
      <c r="K155" s="195"/>
      <c r="L155" s="195"/>
      <c r="M155" s="430"/>
      <c r="N155" s="2872">
        <f t="shared" si="3"/>
        <v>10128300</v>
      </c>
    </row>
    <row r="156" spans="1:14" ht="22.5" customHeight="1">
      <c r="A156" s="428">
        <v>42415</v>
      </c>
      <c r="B156" s="429" t="s">
        <v>2853</v>
      </c>
      <c r="C156" s="229"/>
      <c r="D156" s="3159">
        <v>2166700</v>
      </c>
      <c r="E156" s="3159">
        <v>390000</v>
      </c>
      <c r="F156" s="195"/>
      <c r="G156" s="195"/>
      <c r="H156" s="431"/>
      <c r="I156" s="432"/>
      <c r="J156" s="195"/>
      <c r="K156" s="195"/>
      <c r="L156" s="195"/>
      <c r="M156" s="430"/>
      <c r="N156" s="2872">
        <f t="shared" si="3"/>
        <v>12685000</v>
      </c>
    </row>
    <row r="157" spans="1:14" ht="22.5" customHeight="1">
      <c r="A157" s="428">
        <v>42415</v>
      </c>
      <c r="B157" s="429" t="s">
        <v>2854</v>
      </c>
      <c r="C157" s="229"/>
      <c r="D157" s="3159">
        <v>3333300</v>
      </c>
      <c r="E157" s="3159">
        <v>600000</v>
      </c>
      <c r="F157" s="195"/>
      <c r="G157" s="195"/>
      <c r="H157" s="431"/>
      <c r="I157" s="432"/>
      <c r="J157" s="195"/>
      <c r="K157" s="195"/>
      <c r="L157" s="195"/>
      <c r="M157" s="430"/>
      <c r="N157" s="2872">
        <f t="shared" si="3"/>
        <v>16618300</v>
      </c>
    </row>
    <row r="158" spans="1:14" ht="22.5" customHeight="1">
      <c r="A158" s="428">
        <v>42415</v>
      </c>
      <c r="B158" s="429" t="s">
        <v>2855</v>
      </c>
      <c r="C158" s="229"/>
      <c r="D158" s="3159">
        <v>2916700</v>
      </c>
      <c r="E158" s="3159">
        <v>525000</v>
      </c>
      <c r="F158" s="195"/>
      <c r="G158" s="195"/>
      <c r="H158" s="431"/>
      <c r="I158" s="432"/>
      <c r="J158" s="195"/>
      <c r="K158" s="195"/>
      <c r="L158" s="195"/>
      <c r="M158" s="430"/>
      <c r="N158" s="2872">
        <f t="shared" si="3"/>
        <v>20060000</v>
      </c>
    </row>
    <row r="159" spans="1:14" ht="22.5" customHeight="1">
      <c r="A159" s="428">
        <v>42415</v>
      </c>
      <c r="B159" s="429" t="s">
        <v>2856</v>
      </c>
      <c r="C159" s="229"/>
      <c r="D159" s="3159">
        <v>1333300</v>
      </c>
      <c r="E159" s="3159">
        <v>240000</v>
      </c>
      <c r="F159" s="195"/>
      <c r="G159" s="195"/>
      <c r="H159" s="431"/>
      <c r="I159" s="432"/>
      <c r="J159" s="195"/>
      <c r="K159" s="195"/>
      <c r="L159" s="195"/>
      <c r="M159" s="430"/>
      <c r="N159" s="2872">
        <f t="shared" si="3"/>
        <v>21633300</v>
      </c>
    </row>
    <row r="160" spans="1:14" ht="22.5" customHeight="1">
      <c r="A160" s="428">
        <v>42415</v>
      </c>
      <c r="B160" s="429" t="s">
        <v>2857</v>
      </c>
      <c r="C160" s="229"/>
      <c r="D160" s="3159">
        <v>3333700</v>
      </c>
      <c r="E160" s="3159">
        <v>600000</v>
      </c>
      <c r="F160" s="195"/>
      <c r="G160" s="195"/>
      <c r="H160" s="431"/>
      <c r="I160" s="432"/>
      <c r="J160" s="195"/>
      <c r="K160" s="195"/>
      <c r="L160" s="195"/>
      <c r="M160" s="430"/>
      <c r="N160" s="2872">
        <f t="shared" si="3"/>
        <v>25567000</v>
      </c>
    </row>
    <row r="161" spans="1:14" ht="22.5" customHeight="1">
      <c r="A161" s="428">
        <v>42415</v>
      </c>
      <c r="B161" s="429" t="s">
        <v>2858</v>
      </c>
      <c r="C161" s="229"/>
      <c r="D161" s="3159">
        <v>2500000</v>
      </c>
      <c r="E161" s="3159">
        <v>450000</v>
      </c>
      <c r="F161" s="195"/>
      <c r="G161" s="195"/>
      <c r="H161" s="431"/>
      <c r="I161" s="432"/>
      <c r="J161" s="195"/>
      <c r="K161" s="195"/>
      <c r="L161" s="195"/>
      <c r="M161" s="430"/>
      <c r="N161" s="2872">
        <f t="shared" si="3"/>
        <v>28517000</v>
      </c>
    </row>
    <row r="162" spans="1:14" ht="22.5" customHeight="1">
      <c r="A162" s="428">
        <v>42415</v>
      </c>
      <c r="B162" s="429" t="s">
        <v>2859</v>
      </c>
      <c r="C162" s="229"/>
      <c r="D162" s="3159">
        <v>875000</v>
      </c>
      <c r="E162" s="3159">
        <v>157500</v>
      </c>
      <c r="F162" s="195"/>
      <c r="G162" s="195"/>
      <c r="H162" s="431"/>
      <c r="I162" s="432"/>
      <c r="J162" s="195"/>
      <c r="K162" s="195"/>
      <c r="L162" s="195"/>
      <c r="M162" s="430"/>
      <c r="N162" s="2872">
        <f t="shared" si="3"/>
        <v>29549500</v>
      </c>
    </row>
    <row r="163" spans="1:14" ht="22.5" customHeight="1">
      <c r="A163" s="428">
        <v>42415</v>
      </c>
      <c r="B163" s="429" t="s">
        <v>2860</v>
      </c>
      <c r="C163" s="229"/>
      <c r="D163" s="3159">
        <v>2333300</v>
      </c>
      <c r="E163" s="3159">
        <v>420000</v>
      </c>
      <c r="F163" s="195"/>
      <c r="G163" s="195"/>
      <c r="H163" s="431"/>
      <c r="I163" s="432"/>
      <c r="J163" s="195"/>
      <c r="K163" s="195"/>
      <c r="L163" s="195"/>
      <c r="M163" s="430"/>
      <c r="N163" s="2872">
        <f t="shared" si="3"/>
        <v>32302800</v>
      </c>
    </row>
    <row r="164" spans="1:14" ht="22.5" customHeight="1">
      <c r="A164" s="428">
        <v>42415</v>
      </c>
      <c r="B164" s="429" t="s">
        <v>2861</v>
      </c>
      <c r="C164" s="229"/>
      <c r="D164" s="3159">
        <v>2916700</v>
      </c>
      <c r="E164" s="3159">
        <v>525000</v>
      </c>
      <c r="F164" s="195"/>
      <c r="G164" s="195"/>
      <c r="H164" s="431"/>
      <c r="I164" s="432"/>
      <c r="J164" s="195"/>
      <c r="K164" s="195"/>
      <c r="L164" s="195"/>
      <c r="M164" s="430"/>
      <c r="N164" s="2872">
        <f t="shared" si="3"/>
        <v>35744500</v>
      </c>
    </row>
    <row r="165" spans="1:14" ht="22.5" customHeight="1">
      <c r="A165" s="428">
        <v>42415</v>
      </c>
      <c r="B165" s="429" t="s">
        <v>2862</v>
      </c>
      <c r="C165" s="229"/>
      <c r="D165" s="3159">
        <v>1000000</v>
      </c>
      <c r="E165" s="3159">
        <v>180000</v>
      </c>
      <c r="F165" s="195"/>
      <c r="G165" s="195"/>
      <c r="H165" s="431"/>
      <c r="I165" s="432"/>
      <c r="J165" s="195"/>
      <c r="K165" s="195"/>
      <c r="L165" s="195"/>
      <c r="M165" s="430"/>
      <c r="N165" s="2872">
        <f t="shared" si="3"/>
        <v>36924500</v>
      </c>
    </row>
    <row r="166" spans="1:14" ht="22.5" customHeight="1">
      <c r="A166" s="428">
        <v>42415</v>
      </c>
      <c r="B166" s="429" t="s">
        <v>2863</v>
      </c>
      <c r="C166" s="229"/>
      <c r="D166" s="3159">
        <v>1750000</v>
      </c>
      <c r="E166" s="3159">
        <v>315000</v>
      </c>
      <c r="F166" s="195"/>
      <c r="G166" s="195"/>
      <c r="H166" s="431"/>
      <c r="I166" s="432"/>
      <c r="J166" s="195"/>
      <c r="K166" s="195"/>
      <c r="L166" s="195"/>
      <c r="M166" s="430"/>
      <c r="N166" s="2872">
        <f t="shared" si="3"/>
        <v>38989500</v>
      </c>
    </row>
    <row r="167" spans="1:14" ht="22.5" customHeight="1">
      <c r="A167" s="428">
        <v>42415</v>
      </c>
      <c r="B167" s="429" t="s">
        <v>2864</v>
      </c>
      <c r="C167" s="229"/>
      <c r="D167" s="3159">
        <v>2708300</v>
      </c>
      <c r="E167" s="3159">
        <v>487500</v>
      </c>
      <c r="F167" s="195"/>
      <c r="G167" s="195"/>
      <c r="H167" s="431"/>
      <c r="I167" s="432"/>
      <c r="J167" s="195"/>
      <c r="K167" s="195"/>
      <c r="L167" s="195"/>
      <c r="M167" s="430"/>
      <c r="N167" s="2872">
        <f t="shared" si="3"/>
        <v>42185300</v>
      </c>
    </row>
    <row r="168" spans="1:14" ht="22.5" customHeight="1">
      <c r="A168" s="428">
        <v>42415</v>
      </c>
      <c r="B168" s="429" t="s">
        <v>2865</v>
      </c>
      <c r="C168" s="229"/>
      <c r="D168" s="3159">
        <v>2916700</v>
      </c>
      <c r="E168" s="3159">
        <v>525000</v>
      </c>
      <c r="F168" s="195"/>
      <c r="G168" s="195"/>
      <c r="H168" s="431"/>
      <c r="I168" s="432"/>
      <c r="J168" s="195"/>
      <c r="K168" s="195"/>
      <c r="L168" s="195"/>
      <c r="M168" s="430"/>
      <c r="N168" s="2872">
        <f t="shared" si="3"/>
        <v>45627000</v>
      </c>
    </row>
    <row r="169" spans="1:14" ht="22.5" customHeight="1">
      <c r="A169" s="428">
        <v>42415</v>
      </c>
      <c r="B169" s="429" t="s">
        <v>2866</v>
      </c>
      <c r="C169" s="229"/>
      <c r="D169" s="3159">
        <v>700000</v>
      </c>
      <c r="E169" s="3159">
        <v>126000</v>
      </c>
      <c r="F169" s="195"/>
      <c r="G169" s="195"/>
      <c r="H169" s="431"/>
      <c r="I169" s="432"/>
      <c r="J169" s="195"/>
      <c r="K169" s="195"/>
      <c r="L169" s="195"/>
      <c r="M169" s="430"/>
      <c r="N169" s="2872">
        <f t="shared" si="3"/>
        <v>46453000</v>
      </c>
    </row>
    <row r="170" spans="1:14" ht="22.5" customHeight="1">
      <c r="A170" s="428">
        <v>42415</v>
      </c>
      <c r="B170" s="429" t="s">
        <v>2867</v>
      </c>
      <c r="C170" s="229"/>
      <c r="D170" s="3159">
        <v>2500000</v>
      </c>
      <c r="E170" s="3159">
        <v>450000</v>
      </c>
      <c r="F170" s="195"/>
      <c r="G170" s="195"/>
      <c r="H170" s="431"/>
      <c r="I170" s="432"/>
      <c r="J170" s="195"/>
      <c r="K170" s="195"/>
      <c r="L170" s="195"/>
      <c r="M170" s="430"/>
      <c r="N170" s="2872">
        <f t="shared" si="3"/>
        <v>49403000</v>
      </c>
    </row>
    <row r="171" spans="1:14" ht="22.5" customHeight="1">
      <c r="A171" s="428">
        <v>42415</v>
      </c>
      <c r="B171" s="429" t="s">
        <v>2868</v>
      </c>
      <c r="C171" s="229"/>
      <c r="D171" s="3159">
        <v>800000</v>
      </c>
      <c r="E171" s="3159">
        <v>0</v>
      </c>
      <c r="F171" s="195"/>
      <c r="G171" s="195"/>
      <c r="H171" s="431"/>
      <c r="I171" s="432"/>
      <c r="J171" s="195"/>
      <c r="K171" s="195"/>
      <c r="L171" s="195"/>
      <c r="M171" s="430"/>
      <c r="N171" s="2872">
        <f t="shared" si="3"/>
        <v>50203000</v>
      </c>
    </row>
    <row r="172" spans="1:14" ht="22.5" customHeight="1">
      <c r="A172" s="428">
        <v>42415</v>
      </c>
      <c r="B172" s="429" t="s">
        <v>2741</v>
      </c>
      <c r="C172" s="229"/>
      <c r="D172" s="3159"/>
      <c r="E172" s="3159"/>
      <c r="F172" s="195"/>
      <c r="G172" s="195"/>
      <c r="H172" s="431"/>
      <c r="I172" s="432">
        <v>3000000</v>
      </c>
      <c r="J172" s="195"/>
      <c r="K172" s="195"/>
      <c r="L172" s="195"/>
      <c r="M172" s="430"/>
      <c r="N172" s="2872">
        <f t="shared" si="3"/>
        <v>47203000</v>
      </c>
    </row>
    <row r="173" spans="1:14" ht="22.5" customHeight="1">
      <c r="A173" s="428">
        <v>42415</v>
      </c>
      <c r="B173" s="429" t="s">
        <v>2745</v>
      </c>
      <c r="C173" s="229"/>
      <c r="D173" s="3159"/>
      <c r="E173" s="3159"/>
      <c r="F173" s="195"/>
      <c r="G173" s="195"/>
      <c r="H173" s="431">
        <v>88000000</v>
      </c>
      <c r="I173" s="432"/>
      <c r="J173" s="195"/>
      <c r="K173" s="195"/>
      <c r="L173" s="195"/>
      <c r="M173" s="430"/>
      <c r="N173" s="2872">
        <f t="shared" si="3"/>
        <v>135203000</v>
      </c>
    </row>
    <row r="174" spans="1:14" ht="22.5" customHeight="1">
      <c r="A174" s="428">
        <v>42415</v>
      </c>
      <c r="B174" s="429" t="s">
        <v>2869</v>
      </c>
      <c r="C174" s="229"/>
      <c r="D174" s="3159"/>
      <c r="E174" s="3159"/>
      <c r="F174" s="195"/>
      <c r="G174" s="195"/>
      <c r="H174" s="431"/>
      <c r="I174" s="432"/>
      <c r="J174" s="195">
        <v>48000000</v>
      </c>
      <c r="K174" s="195"/>
      <c r="L174" s="195"/>
      <c r="M174" s="430"/>
      <c r="N174" s="2872">
        <f t="shared" si="3"/>
        <v>87203000</v>
      </c>
    </row>
    <row r="175" spans="1:14" ht="22.5" customHeight="1">
      <c r="A175" s="428">
        <v>42415</v>
      </c>
      <c r="B175" s="429" t="s">
        <v>2870</v>
      </c>
      <c r="C175" s="229"/>
      <c r="D175" s="3159">
        <v>1666700</v>
      </c>
      <c r="E175" s="3159">
        <v>300000</v>
      </c>
      <c r="F175" s="195"/>
      <c r="G175" s="195"/>
      <c r="H175" s="431"/>
      <c r="I175" s="432"/>
      <c r="J175" s="195"/>
      <c r="K175" s="195"/>
      <c r="L175" s="195"/>
      <c r="M175" s="430"/>
      <c r="N175" s="2872">
        <f t="shared" si="3"/>
        <v>89169700</v>
      </c>
    </row>
    <row r="176" spans="1:14" ht="22.5" customHeight="1">
      <c r="A176" s="428">
        <v>42415</v>
      </c>
      <c r="B176" s="429" t="s">
        <v>2870</v>
      </c>
      <c r="C176" s="229"/>
      <c r="D176" s="3159">
        <v>1666300</v>
      </c>
      <c r="E176" s="3159">
        <v>0</v>
      </c>
      <c r="F176" s="195"/>
      <c r="G176" s="195"/>
      <c r="H176" s="431"/>
      <c r="I176" s="432"/>
      <c r="J176" s="195"/>
      <c r="K176" s="195"/>
      <c r="L176" s="195"/>
      <c r="M176" s="430"/>
      <c r="N176" s="2872">
        <f t="shared" si="3"/>
        <v>90836000</v>
      </c>
    </row>
    <row r="177" spans="1:14" ht="22.5" customHeight="1">
      <c r="A177" s="428">
        <v>42415</v>
      </c>
      <c r="B177" s="429" t="s">
        <v>2871</v>
      </c>
      <c r="C177" s="229"/>
      <c r="D177" s="3159"/>
      <c r="E177" s="3159"/>
      <c r="F177" s="195"/>
      <c r="G177" s="195"/>
      <c r="H177" s="431"/>
      <c r="I177" s="432"/>
      <c r="J177" s="195">
        <v>40000000</v>
      </c>
      <c r="K177" s="195"/>
      <c r="L177" s="195"/>
      <c r="M177" s="430"/>
      <c r="N177" s="2872">
        <f t="shared" si="3"/>
        <v>50836000</v>
      </c>
    </row>
    <row r="178" spans="1:14" ht="22.5" customHeight="1">
      <c r="A178" s="428">
        <v>42415</v>
      </c>
      <c r="B178" s="429" t="s">
        <v>2872</v>
      </c>
      <c r="C178" s="229"/>
      <c r="D178" s="3159">
        <v>3333300</v>
      </c>
      <c r="E178" s="3159">
        <v>600000</v>
      </c>
      <c r="F178" s="195"/>
      <c r="G178" s="195"/>
      <c r="H178" s="431"/>
      <c r="I178" s="432"/>
      <c r="J178" s="195"/>
      <c r="K178" s="195"/>
      <c r="L178" s="195"/>
      <c r="M178" s="430"/>
      <c r="N178" s="2872">
        <f t="shared" si="3"/>
        <v>54769300</v>
      </c>
    </row>
    <row r="179" spans="1:14" ht="22.5" customHeight="1">
      <c r="A179" s="428">
        <v>42415</v>
      </c>
      <c r="B179" s="429" t="s">
        <v>2873</v>
      </c>
      <c r="C179" s="229"/>
      <c r="D179" s="3159">
        <v>4166700</v>
      </c>
      <c r="E179" s="3159">
        <v>750000</v>
      </c>
      <c r="F179" s="195"/>
      <c r="G179" s="195"/>
      <c r="H179" s="431"/>
      <c r="I179" s="432"/>
      <c r="J179" s="195"/>
      <c r="K179" s="195"/>
      <c r="L179" s="195"/>
      <c r="M179" s="430"/>
      <c r="N179" s="2872">
        <f t="shared" si="3"/>
        <v>59686000</v>
      </c>
    </row>
    <row r="180" spans="1:14" ht="22.5" customHeight="1">
      <c r="A180" s="428">
        <v>42415</v>
      </c>
      <c r="B180" s="429" t="s">
        <v>2874</v>
      </c>
      <c r="C180" s="229"/>
      <c r="D180" s="3159">
        <v>1083300</v>
      </c>
      <c r="E180" s="3159">
        <v>195000</v>
      </c>
      <c r="F180" s="195"/>
      <c r="G180" s="195"/>
      <c r="H180" s="431"/>
      <c r="I180" s="432"/>
      <c r="J180" s="195"/>
      <c r="K180" s="195"/>
      <c r="L180" s="195"/>
      <c r="M180" s="430"/>
      <c r="N180" s="2872">
        <f t="shared" si="3"/>
        <v>60964300</v>
      </c>
    </row>
    <row r="181" spans="1:14" ht="22.5" customHeight="1">
      <c r="A181" s="428">
        <v>42415</v>
      </c>
      <c r="B181" s="429" t="s">
        <v>2875</v>
      </c>
      <c r="C181" s="229"/>
      <c r="D181" s="3159">
        <v>2916700</v>
      </c>
      <c r="E181" s="3159">
        <v>525000</v>
      </c>
      <c r="F181" s="195"/>
      <c r="G181" s="195"/>
      <c r="H181" s="431"/>
      <c r="I181" s="432"/>
      <c r="J181" s="195"/>
      <c r="K181" s="195"/>
      <c r="L181" s="195"/>
      <c r="M181" s="430"/>
      <c r="N181" s="2872">
        <f t="shared" si="3"/>
        <v>64406000</v>
      </c>
    </row>
    <row r="182" spans="1:14" ht="22.5" customHeight="1">
      <c r="A182" s="428">
        <v>42415</v>
      </c>
      <c r="B182" s="429" t="s">
        <v>2875</v>
      </c>
      <c r="C182" s="229"/>
      <c r="D182" s="3159">
        <v>478300</v>
      </c>
      <c r="E182" s="3159">
        <v>525000</v>
      </c>
      <c r="F182" s="195"/>
      <c r="G182" s="195"/>
      <c r="H182" s="431"/>
      <c r="I182" s="432"/>
      <c r="J182" s="195"/>
      <c r="K182" s="195"/>
      <c r="L182" s="195"/>
      <c r="M182" s="430"/>
      <c r="N182" s="2872">
        <f t="shared" si="3"/>
        <v>65409300</v>
      </c>
    </row>
    <row r="183" spans="1:14" ht="22.5" customHeight="1">
      <c r="A183" s="428">
        <v>42415</v>
      </c>
      <c r="B183" s="429" t="s">
        <v>2876</v>
      </c>
      <c r="C183" s="229"/>
      <c r="D183" s="3159">
        <v>2500000</v>
      </c>
      <c r="E183" s="3159">
        <v>450000</v>
      </c>
      <c r="F183" s="195"/>
      <c r="G183" s="195"/>
      <c r="H183" s="431"/>
      <c r="I183" s="432"/>
      <c r="J183" s="195"/>
      <c r="K183" s="195"/>
      <c r="L183" s="195"/>
      <c r="M183" s="430"/>
      <c r="N183" s="2872">
        <f t="shared" si="3"/>
        <v>68359300</v>
      </c>
    </row>
    <row r="184" spans="1:14" ht="22.5" customHeight="1">
      <c r="A184" s="428">
        <v>42415</v>
      </c>
      <c r="B184" s="429" t="s">
        <v>2877</v>
      </c>
      <c r="C184" s="229"/>
      <c r="D184" s="3159">
        <v>833300</v>
      </c>
      <c r="E184" s="3159">
        <v>150000</v>
      </c>
      <c r="F184" s="195"/>
      <c r="G184" s="195"/>
      <c r="H184" s="431"/>
      <c r="I184" s="432"/>
      <c r="J184" s="195"/>
      <c r="K184" s="195"/>
      <c r="L184" s="195"/>
      <c r="M184" s="430"/>
      <c r="N184" s="2872">
        <f t="shared" si="3"/>
        <v>69342600</v>
      </c>
    </row>
    <row r="185" spans="1:14" ht="22.5" customHeight="1">
      <c r="A185" s="428">
        <v>42415</v>
      </c>
      <c r="B185" s="429" t="s">
        <v>2878</v>
      </c>
      <c r="C185" s="229"/>
      <c r="D185" s="3159">
        <v>2291700</v>
      </c>
      <c r="E185" s="3159">
        <v>412500</v>
      </c>
      <c r="F185" s="195"/>
      <c r="G185" s="195"/>
      <c r="H185" s="431"/>
      <c r="I185" s="432"/>
      <c r="J185" s="195"/>
      <c r="K185" s="195"/>
      <c r="L185" s="195"/>
      <c r="M185" s="430"/>
      <c r="N185" s="2872">
        <f t="shared" si="3"/>
        <v>72046800</v>
      </c>
    </row>
    <row r="186" spans="1:14" ht="22.5" customHeight="1">
      <c r="A186" s="428">
        <v>42415</v>
      </c>
      <c r="B186" s="429" t="s">
        <v>2879</v>
      </c>
      <c r="C186" s="229"/>
      <c r="D186" s="3159">
        <v>1333300</v>
      </c>
      <c r="E186" s="3159">
        <v>240000</v>
      </c>
      <c r="F186" s="195"/>
      <c r="G186" s="195"/>
      <c r="H186" s="431"/>
      <c r="I186" s="432"/>
      <c r="J186" s="195"/>
      <c r="K186" s="195"/>
      <c r="L186" s="195"/>
      <c r="M186" s="430"/>
      <c r="N186" s="2872">
        <f t="shared" si="3"/>
        <v>73620100</v>
      </c>
    </row>
    <row r="187" spans="1:14" ht="22.5" customHeight="1">
      <c r="A187" s="428">
        <v>42415</v>
      </c>
      <c r="B187" s="429" t="s">
        <v>2880</v>
      </c>
      <c r="C187" s="229"/>
      <c r="D187" s="3159">
        <v>3333300</v>
      </c>
      <c r="E187" s="3159">
        <v>600000</v>
      </c>
      <c r="F187" s="195"/>
      <c r="G187" s="195"/>
      <c r="H187" s="431"/>
      <c r="I187" s="432"/>
      <c r="J187" s="195"/>
      <c r="K187" s="195"/>
      <c r="L187" s="195"/>
      <c r="M187" s="430"/>
      <c r="N187" s="2872">
        <f t="shared" si="3"/>
        <v>77553400</v>
      </c>
    </row>
    <row r="188" spans="1:14" ht="22.5" customHeight="1">
      <c r="A188" s="428">
        <v>42415</v>
      </c>
      <c r="B188" s="429" t="s">
        <v>2881</v>
      </c>
      <c r="C188" s="229"/>
      <c r="D188" s="3159">
        <v>2333300</v>
      </c>
      <c r="E188" s="3159">
        <v>420000</v>
      </c>
      <c r="F188" s="195"/>
      <c r="G188" s="195"/>
      <c r="H188" s="431"/>
      <c r="I188" s="432"/>
      <c r="J188" s="195"/>
      <c r="K188" s="195"/>
      <c r="L188" s="195"/>
      <c r="M188" s="430"/>
      <c r="N188" s="2872">
        <f t="shared" si="3"/>
        <v>80306700</v>
      </c>
    </row>
    <row r="189" spans="1:14" ht="22.5" customHeight="1">
      <c r="A189" s="428">
        <v>42415</v>
      </c>
      <c r="B189" s="429" t="s">
        <v>2882</v>
      </c>
      <c r="C189" s="229"/>
      <c r="D189" s="3159">
        <v>2500000</v>
      </c>
      <c r="E189" s="3159">
        <v>450000</v>
      </c>
      <c r="F189" s="195"/>
      <c r="G189" s="195"/>
      <c r="H189" s="431"/>
      <c r="I189" s="432"/>
      <c r="J189" s="195"/>
      <c r="K189" s="195"/>
      <c r="L189" s="195"/>
      <c r="M189" s="430"/>
      <c r="N189" s="2872">
        <f t="shared" si="3"/>
        <v>83256700</v>
      </c>
    </row>
    <row r="190" spans="1:14" ht="22.5" customHeight="1">
      <c r="A190" s="428">
        <v>42415</v>
      </c>
      <c r="B190" s="429" t="s">
        <v>2883</v>
      </c>
      <c r="C190" s="229"/>
      <c r="D190" s="3159">
        <v>2916700</v>
      </c>
      <c r="E190" s="3159">
        <v>525000</v>
      </c>
      <c r="F190" s="195"/>
      <c r="G190" s="195"/>
      <c r="H190" s="431"/>
      <c r="I190" s="432"/>
      <c r="J190" s="195"/>
      <c r="K190" s="195"/>
      <c r="L190" s="195"/>
      <c r="M190" s="430"/>
      <c r="N190" s="2872">
        <f t="shared" si="3"/>
        <v>86698400</v>
      </c>
    </row>
    <row r="191" spans="1:14" ht="22.5" customHeight="1">
      <c r="A191" s="428">
        <v>42415</v>
      </c>
      <c r="B191" s="429" t="s">
        <v>2884</v>
      </c>
      <c r="C191" s="229"/>
      <c r="D191" s="3159">
        <v>2500000</v>
      </c>
      <c r="E191" s="3159">
        <v>450000</v>
      </c>
      <c r="F191" s="195"/>
      <c r="G191" s="195"/>
      <c r="H191" s="431"/>
      <c r="I191" s="432"/>
      <c r="J191" s="195"/>
      <c r="K191" s="195"/>
      <c r="L191" s="195"/>
      <c r="M191" s="430"/>
      <c r="N191" s="2872">
        <f t="shared" si="3"/>
        <v>89648400</v>
      </c>
    </row>
    <row r="192" spans="1:14" ht="22.5" customHeight="1">
      <c r="A192" s="428">
        <v>42415</v>
      </c>
      <c r="B192" s="429" t="s">
        <v>2885</v>
      </c>
      <c r="C192" s="229"/>
      <c r="D192" s="3159">
        <v>2916700</v>
      </c>
      <c r="E192" s="430">
        <v>525000</v>
      </c>
      <c r="F192" s="195"/>
      <c r="G192" s="195"/>
      <c r="H192" s="431"/>
      <c r="I192" s="432"/>
      <c r="J192" s="195"/>
      <c r="K192" s="195"/>
      <c r="L192" s="195"/>
      <c r="M192" s="430"/>
      <c r="N192" s="2872">
        <f t="shared" si="3"/>
        <v>93090100</v>
      </c>
    </row>
    <row r="193" spans="1:14" ht="22.5" customHeight="1">
      <c r="A193" s="428">
        <v>42415</v>
      </c>
      <c r="B193" s="429" t="s">
        <v>2886</v>
      </c>
      <c r="C193" s="229"/>
      <c r="D193" s="3159">
        <v>3083300</v>
      </c>
      <c r="E193" s="3159">
        <v>555000</v>
      </c>
      <c r="F193" s="195"/>
      <c r="G193" s="195"/>
      <c r="H193" s="431"/>
      <c r="I193" s="432"/>
      <c r="J193" s="195"/>
      <c r="K193" s="195"/>
      <c r="L193" s="195"/>
      <c r="M193" s="430"/>
      <c r="N193" s="2872">
        <f t="shared" si="3"/>
        <v>96728400</v>
      </c>
    </row>
    <row r="194" spans="1:14" ht="22.5" customHeight="1">
      <c r="A194" s="428">
        <v>42415</v>
      </c>
      <c r="B194" s="429" t="s">
        <v>2887</v>
      </c>
      <c r="C194" s="229"/>
      <c r="D194" s="3159">
        <v>1666700</v>
      </c>
      <c r="E194" s="3159">
        <v>300000</v>
      </c>
      <c r="F194" s="195"/>
      <c r="G194" s="195"/>
      <c r="H194" s="431"/>
      <c r="I194" s="432"/>
      <c r="J194" s="195"/>
      <c r="K194" s="195"/>
      <c r="L194" s="195"/>
      <c r="M194" s="430"/>
      <c r="N194" s="2872">
        <f t="shared" si="3"/>
        <v>98695100</v>
      </c>
    </row>
    <row r="195" spans="1:14" ht="22.5" customHeight="1">
      <c r="A195" s="428">
        <v>42415</v>
      </c>
      <c r="B195" s="429" t="s">
        <v>2888</v>
      </c>
      <c r="C195" s="229"/>
      <c r="D195" s="3159">
        <v>3083300</v>
      </c>
      <c r="E195" s="3159">
        <v>555000</v>
      </c>
      <c r="F195" s="195"/>
      <c r="G195" s="195"/>
      <c r="H195" s="431"/>
      <c r="I195" s="432"/>
      <c r="J195" s="195"/>
      <c r="K195" s="195"/>
      <c r="L195" s="195"/>
      <c r="M195" s="430"/>
      <c r="N195" s="2872">
        <f t="shared" si="3"/>
        <v>102333400</v>
      </c>
    </row>
    <row r="196" spans="1:14" ht="22.5" customHeight="1">
      <c r="A196" s="428">
        <v>42415</v>
      </c>
      <c r="B196" s="429" t="s">
        <v>2889</v>
      </c>
      <c r="C196" s="229"/>
      <c r="D196" s="3159">
        <v>525000</v>
      </c>
      <c r="E196" s="3159">
        <v>94500</v>
      </c>
      <c r="F196" s="195"/>
      <c r="G196" s="195"/>
      <c r="H196" s="431"/>
      <c r="I196" s="432"/>
      <c r="J196" s="195"/>
      <c r="K196" s="195"/>
      <c r="L196" s="195"/>
      <c r="M196" s="430"/>
      <c r="N196" s="2872">
        <f t="shared" si="3"/>
        <v>102952900</v>
      </c>
    </row>
    <row r="197" spans="1:14" ht="22.5" customHeight="1">
      <c r="A197" s="428">
        <v>42415</v>
      </c>
      <c r="B197" s="429" t="s">
        <v>2890</v>
      </c>
      <c r="C197" s="229"/>
      <c r="D197" s="3159">
        <v>2083300</v>
      </c>
      <c r="E197" s="3159">
        <v>375000</v>
      </c>
      <c r="F197" s="195"/>
      <c r="G197" s="195"/>
      <c r="H197" s="431"/>
      <c r="I197" s="432"/>
      <c r="J197" s="195"/>
      <c r="K197" s="195"/>
      <c r="L197" s="195"/>
      <c r="M197" s="430"/>
      <c r="N197" s="2872">
        <f t="shared" si="3"/>
        <v>105411200</v>
      </c>
    </row>
    <row r="198" spans="1:14" ht="22.5" customHeight="1">
      <c r="A198" s="428">
        <v>42415</v>
      </c>
      <c r="B198" s="429" t="s">
        <v>2891</v>
      </c>
      <c r="C198" s="229"/>
      <c r="D198" s="3159">
        <v>1000000</v>
      </c>
      <c r="E198" s="3159">
        <v>180000</v>
      </c>
      <c r="F198" s="195"/>
      <c r="G198" s="195"/>
      <c r="H198" s="431"/>
      <c r="I198" s="432"/>
      <c r="J198" s="195"/>
      <c r="K198" s="195"/>
      <c r="L198" s="195"/>
      <c r="M198" s="430"/>
      <c r="N198" s="2872">
        <f t="shared" si="3"/>
        <v>106591200</v>
      </c>
    </row>
    <row r="199" spans="1:14" ht="22.5" customHeight="1">
      <c r="A199" s="428">
        <v>42415</v>
      </c>
      <c r="B199" s="429" t="s">
        <v>2892</v>
      </c>
      <c r="C199" s="229"/>
      <c r="D199" s="3159">
        <v>3166700</v>
      </c>
      <c r="E199" s="3159">
        <v>570000</v>
      </c>
      <c r="F199" s="195"/>
      <c r="G199" s="195"/>
      <c r="H199" s="431"/>
      <c r="I199" s="432"/>
      <c r="J199" s="195"/>
      <c r="K199" s="195"/>
      <c r="L199" s="195"/>
      <c r="M199" s="430"/>
      <c r="N199" s="2872">
        <f t="shared" si="3"/>
        <v>110327900</v>
      </c>
    </row>
    <row r="200" spans="1:14" ht="22.5" customHeight="1">
      <c r="A200" s="428">
        <v>42415</v>
      </c>
      <c r="B200" s="429" t="s">
        <v>2893</v>
      </c>
      <c r="C200" s="229"/>
      <c r="D200" s="3159">
        <v>4000000</v>
      </c>
      <c r="E200" s="3159">
        <v>720000</v>
      </c>
      <c r="F200" s="195"/>
      <c r="G200" s="195"/>
      <c r="H200" s="431"/>
      <c r="I200" s="432"/>
      <c r="J200" s="195"/>
      <c r="K200" s="195"/>
      <c r="L200" s="195"/>
      <c r="M200" s="430"/>
      <c r="N200" s="2872">
        <f t="shared" si="3"/>
        <v>115047900</v>
      </c>
    </row>
    <row r="201" spans="1:14" ht="22.5" customHeight="1">
      <c r="A201" s="428">
        <v>42415</v>
      </c>
      <c r="B201" s="429" t="s">
        <v>2894</v>
      </c>
      <c r="C201" s="229"/>
      <c r="D201" s="3159">
        <v>2000000</v>
      </c>
      <c r="E201" s="3159">
        <v>360000</v>
      </c>
      <c r="F201" s="195"/>
      <c r="G201" s="195"/>
      <c r="H201" s="431"/>
      <c r="I201" s="432"/>
      <c r="J201" s="195"/>
      <c r="K201" s="195"/>
      <c r="L201" s="195"/>
      <c r="M201" s="430"/>
      <c r="N201" s="2872">
        <f t="shared" si="3"/>
        <v>117407900</v>
      </c>
    </row>
    <row r="202" spans="1:14" ht="22.5" customHeight="1">
      <c r="A202" s="428">
        <v>42415</v>
      </c>
      <c r="B202" s="429" t="s">
        <v>2895</v>
      </c>
      <c r="C202" s="229"/>
      <c r="D202" s="3159">
        <v>4166700</v>
      </c>
      <c r="E202" s="3159">
        <v>750000</v>
      </c>
      <c r="F202" s="195"/>
      <c r="G202" s="195"/>
      <c r="H202" s="195"/>
      <c r="I202" s="3209"/>
      <c r="J202" s="195"/>
      <c r="K202" s="195"/>
      <c r="L202" s="195"/>
      <c r="M202" s="430"/>
      <c r="N202" s="2872">
        <f t="shared" si="3"/>
        <v>122324600</v>
      </c>
    </row>
    <row r="203" spans="1:14" ht="22.5" customHeight="1">
      <c r="A203" s="428">
        <v>42415</v>
      </c>
      <c r="B203" s="429" t="s">
        <v>2896</v>
      </c>
      <c r="C203" s="229"/>
      <c r="D203" s="3159">
        <v>3583300</v>
      </c>
      <c r="E203" s="3159">
        <v>645000</v>
      </c>
      <c r="F203" s="195"/>
      <c r="G203" s="195"/>
      <c r="H203" s="431"/>
      <c r="I203" s="432"/>
      <c r="J203" s="195"/>
      <c r="K203" s="195"/>
      <c r="L203" s="195"/>
      <c r="M203" s="430"/>
      <c r="N203" s="2872">
        <f t="shared" si="3"/>
        <v>126552900</v>
      </c>
    </row>
    <row r="204" spans="1:14" ht="22.5" customHeight="1">
      <c r="A204" s="428">
        <v>42415</v>
      </c>
      <c r="B204" s="429" t="s">
        <v>2897</v>
      </c>
      <c r="C204" s="229"/>
      <c r="D204" s="3159">
        <v>1000000</v>
      </c>
      <c r="E204" s="3159">
        <v>180000</v>
      </c>
      <c r="F204" s="195"/>
      <c r="G204" s="195"/>
      <c r="H204" s="431"/>
      <c r="I204" s="432"/>
      <c r="J204" s="195"/>
      <c r="K204" s="195"/>
      <c r="L204" s="195"/>
      <c r="M204" s="430"/>
      <c r="N204" s="2872">
        <f t="shared" si="3"/>
        <v>127732900</v>
      </c>
    </row>
    <row r="205" spans="1:14" ht="22.5" customHeight="1">
      <c r="A205" s="428">
        <v>42415</v>
      </c>
      <c r="B205" s="429" t="s">
        <v>2898</v>
      </c>
      <c r="C205" s="229"/>
      <c r="D205" s="430">
        <v>2333300</v>
      </c>
      <c r="E205" s="430">
        <v>420000</v>
      </c>
      <c r="F205" s="195"/>
      <c r="G205" s="195"/>
      <c r="H205" s="431"/>
      <c r="I205" s="432"/>
      <c r="J205" s="195"/>
      <c r="K205" s="195"/>
      <c r="L205" s="195"/>
      <c r="M205" s="430"/>
      <c r="N205" s="2872">
        <f t="shared" si="3"/>
        <v>130486200</v>
      </c>
    </row>
    <row r="206" spans="1:14" ht="22.5" customHeight="1">
      <c r="A206" s="428">
        <v>42415</v>
      </c>
      <c r="B206" s="429" t="s">
        <v>2899</v>
      </c>
      <c r="C206" s="229"/>
      <c r="D206" s="3159">
        <v>1333300</v>
      </c>
      <c r="E206" s="3159">
        <v>240000</v>
      </c>
      <c r="F206" s="195"/>
      <c r="G206" s="195"/>
      <c r="H206" s="431"/>
      <c r="I206" s="432"/>
      <c r="J206" s="195"/>
      <c r="K206" s="195"/>
      <c r="L206" s="195"/>
      <c r="M206" s="430"/>
      <c r="N206" s="2872">
        <f t="shared" si="3"/>
        <v>132059500</v>
      </c>
    </row>
    <row r="207" spans="1:14" ht="22.5" customHeight="1">
      <c r="A207" s="428">
        <v>42415</v>
      </c>
      <c r="B207" s="429" t="s">
        <v>2900</v>
      </c>
      <c r="C207" s="229"/>
      <c r="D207" s="3159">
        <v>833300</v>
      </c>
      <c r="E207" s="3159">
        <v>150000</v>
      </c>
      <c r="F207" s="195"/>
      <c r="G207" s="195"/>
      <c r="H207" s="431"/>
      <c r="I207" s="432"/>
      <c r="J207" s="195"/>
      <c r="K207" s="195"/>
      <c r="L207" s="195"/>
      <c r="M207" s="430"/>
      <c r="N207" s="2872">
        <f t="shared" si="3"/>
        <v>133042800</v>
      </c>
    </row>
    <row r="208" spans="1:14" ht="22.5" customHeight="1">
      <c r="A208" s="428">
        <v>42415</v>
      </c>
      <c r="B208" s="429" t="s">
        <v>2901</v>
      </c>
      <c r="C208" s="229"/>
      <c r="D208" s="3159">
        <v>1333300</v>
      </c>
      <c r="E208" s="3159">
        <v>240000</v>
      </c>
      <c r="F208" s="195"/>
      <c r="G208" s="195"/>
      <c r="H208" s="431"/>
      <c r="I208" s="432"/>
      <c r="J208" s="195"/>
      <c r="K208" s="195"/>
      <c r="L208" s="195"/>
      <c r="M208" s="430"/>
      <c r="N208" s="2872">
        <f t="shared" si="3"/>
        <v>134616100</v>
      </c>
    </row>
    <row r="209" spans="1:14" ht="22.5" customHeight="1">
      <c r="A209" s="428">
        <v>42415</v>
      </c>
      <c r="B209" s="429" t="s">
        <v>2902</v>
      </c>
      <c r="C209" s="229"/>
      <c r="D209" s="3159">
        <v>1333300</v>
      </c>
      <c r="E209" s="3159">
        <v>240000</v>
      </c>
      <c r="F209" s="195"/>
      <c r="G209" s="195"/>
      <c r="H209" s="431"/>
      <c r="I209" s="432"/>
      <c r="J209" s="195"/>
      <c r="K209" s="195"/>
      <c r="L209" s="195"/>
      <c r="M209" s="430"/>
      <c r="N209" s="2872">
        <f t="shared" si="3"/>
        <v>136189400</v>
      </c>
    </row>
    <row r="210" spans="1:14" ht="22.5" customHeight="1">
      <c r="A210" s="428">
        <v>42415</v>
      </c>
      <c r="B210" s="429" t="s">
        <v>2903</v>
      </c>
      <c r="C210" s="229"/>
      <c r="D210" s="3159">
        <v>1458300</v>
      </c>
      <c r="E210" s="3159">
        <v>262500</v>
      </c>
      <c r="F210" s="195"/>
      <c r="G210" s="195"/>
      <c r="H210" s="431"/>
      <c r="I210" s="432"/>
      <c r="J210" s="195"/>
      <c r="K210" s="195"/>
      <c r="L210" s="195"/>
      <c r="M210" s="430"/>
      <c r="N210" s="2872">
        <f t="shared" si="3"/>
        <v>137910200</v>
      </c>
    </row>
    <row r="211" spans="1:14" ht="22.5" customHeight="1">
      <c r="A211" s="428">
        <v>42415</v>
      </c>
      <c r="B211" s="429" t="s">
        <v>2904</v>
      </c>
      <c r="C211" s="229"/>
      <c r="D211" s="3159">
        <v>2583300</v>
      </c>
      <c r="E211" s="3159">
        <v>465000</v>
      </c>
      <c r="F211" s="195"/>
      <c r="G211" s="195"/>
      <c r="H211" s="431"/>
      <c r="I211" s="432"/>
      <c r="J211" s="195"/>
      <c r="K211" s="195"/>
      <c r="L211" s="195"/>
      <c r="M211" s="430"/>
      <c r="N211" s="2872">
        <f t="shared" si="3"/>
        <v>140958500</v>
      </c>
    </row>
    <row r="212" spans="1:14" ht="22.5" customHeight="1">
      <c r="A212" s="428">
        <v>42415</v>
      </c>
      <c r="B212" s="429" t="s">
        <v>2904</v>
      </c>
      <c r="C212" s="229"/>
      <c r="D212" s="3159">
        <v>5167000</v>
      </c>
      <c r="E212" s="3159">
        <v>0</v>
      </c>
      <c r="F212" s="195"/>
      <c r="G212" s="195"/>
      <c r="H212" s="431"/>
      <c r="I212" s="432"/>
      <c r="J212" s="195"/>
      <c r="K212" s="195"/>
      <c r="L212" s="195"/>
      <c r="M212" s="430"/>
      <c r="N212" s="2872">
        <f t="shared" si="3"/>
        <v>146125500</v>
      </c>
    </row>
    <row r="213" spans="1:14" ht="22.5" customHeight="1">
      <c r="A213" s="428">
        <v>42415</v>
      </c>
      <c r="B213" s="429" t="s">
        <v>2905</v>
      </c>
      <c r="C213" s="229"/>
      <c r="D213" s="3159">
        <v>4166700</v>
      </c>
      <c r="E213" s="3159">
        <v>750000</v>
      </c>
      <c r="F213" s="195"/>
      <c r="G213" s="195"/>
      <c r="H213" s="431"/>
      <c r="I213" s="432"/>
      <c r="J213" s="195"/>
      <c r="K213" s="195"/>
      <c r="L213" s="195"/>
      <c r="M213" s="430"/>
      <c r="N213" s="2872">
        <f t="shared" si="3"/>
        <v>151042200</v>
      </c>
    </row>
    <row r="214" spans="1:14" ht="22.5" customHeight="1">
      <c r="A214" s="428">
        <v>42415</v>
      </c>
      <c r="B214" s="429" t="s">
        <v>2747</v>
      </c>
      <c r="C214" s="229"/>
      <c r="D214" s="3159"/>
      <c r="E214" s="3159"/>
      <c r="F214" s="195"/>
      <c r="G214" s="195"/>
      <c r="H214" s="431"/>
      <c r="I214" s="432"/>
      <c r="J214" s="195"/>
      <c r="K214" s="195"/>
      <c r="L214" s="195">
        <v>446400</v>
      </c>
      <c r="M214" s="430"/>
      <c r="N214" s="2872">
        <f t="shared" si="3"/>
        <v>150595800</v>
      </c>
    </row>
    <row r="215" spans="1:14" ht="22.5" customHeight="1">
      <c r="A215" s="428">
        <v>42415</v>
      </c>
      <c r="B215" s="429" t="s">
        <v>2906</v>
      </c>
      <c r="C215" s="229"/>
      <c r="D215" s="3159">
        <v>875000</v>
      </c>
      <c r="E215" s="3159">
        <v>157500</v>
      </c>
      <c r="F215" s="195"/>
      <c r="G215" s="195"/>
      <c r="H215" s="431"/>
      <c r="I215" s="432"/>
      <c r="J215" s="432"/>
      <c r="K215" s="195"/>
      <c r="L215" s="195"/>
      <c r="M215" s="430"/>
      <c r="N215" s="2872">
        <f t="shared" si="3"/>
        <v>151628300</v>
      </c>
    </row>
    <row r="216" spans="1:14" ht="22.5" customHeight="1">
      <c r="A216" s="428">
        <v>42415</v>
      </c>
      <c r="B216" s="429" t="s">
        <v>2907</v>
      </c>
      <c r="C216" s="229"/>
      <c r="D216" s="3159">
        <v>4166700</v>
      </c>
      <c r="E216" s="3159">
        <v>750000</v>
      </c>
      <c r="F216" s="195"/>
      <c r="G216" s="195"/>
      <c r="H216" s="431"/>
      <c r="I216" s="432"/>
      <c r="J216" s="432"/>
      <c r="K216" s="195"/>
      <c r="L216" s="195"/>
      <c r="M216" s="430"/>
      <c r="N216" s="2872">
        <f t="shared" si="3"/>
        <v>156545000</v>
      </c>
    </row>
    <row r="217" spans="1:14" ht="22.5" customHeight="1">
      <c r="A217" s="428">
        <v>42415</v>
      </c>
      <c r="B217" s="429" t="s">
        <v>2741</v>
      </c>
      <c r="C217" s="229"/>
      <c r="D217" s="3159"/>
      <c r="E217" s="3159"/>
      <c r="F217" s="195"/>
      <c r="G217" s="195"/>
      <c r="H217" s="431"/>
      <c r="I217" s="432">
        <v>156545000</v>
      </c>
      <c r="J217" s="195"/>
      <c r="K217" s="195"/>
      <c r="L217" s="195"/>
      <c r="M217" s="430"/>
      <c r="N217" s="2872">
        <f t="shared" ref="N217:N323" si="4">N216+(SUM((D217:H217))-(SUM((I217:M217))))</f>
        <v>0</v>
      </c>
    </row>
    <row r="218" spans="1:14" ht="22.5" customHeight="1">
      <c r="A218" s="428">
        <v>42416</v>
      </c>
      <c r="B218" s="429" t="s">
        <v>2908</v>
      </c>
      <c r="C218" s="229"/>
      <c r="D218" s="3159">
        <v>1500000</v>
      </c>
      <c r="E218" s="3159">
        <v>270000</v>
      </c>
      <c r="F218" s="195"/>
      <c r="G218" s="195"/>
      <c r="H218" s="431"/>
      <c r="I218" s="432"/>
      <c r="J218" s="195"/>
      <c r="K218" s="195"/>
      <c r="L218" s="195"/>
      <c r="M218" s="430"/>
      <c r="N218" s="2872">
        <f t="shared" si="4"/>
        <v>1770000</v>
      </c>
    </row>
    <row r="219" spans="1:14" ht="22.5" customHeight="1">
      <c r="A219" s="428">
        <v>42416</v>
      </c>
      <c r="B219" s="429" t="s">
        <v>2909</v>
      </c>
      <c r="C219" s="229"/>
      <c r="D219" s="3159">
        <v>4166700</v>
      </c>
      <c r="E219" s="3159">
        <v>750000</v>
      </c>
      <c r="F219" s="195"/>
      <c r="G219" s="195"/>
      <c r="H219" s="431"/>
      <c r="I219" s="432"/>
      <c r="J219" s="195"/>
      <c r="K219" s="195"/>
      <c r="L219" s="195"/>
      <c r="M219" s="430"/>
      <c r="N219" s="2872">
        <f t="shared" si="4"/>
        <v>6686700</v>
      </c>
    </row>
    <row r="220" spans="1:14" ht="22.5" customHeight="1">
      <c r="A220" s="428">
        <v>42416</v>
      </c>
      <c r="B220" s="429" t="s">
        <v>2910</v>
      </c>
      <c r="C220" s="229"/>
      <c r="D220" s="3159">
        <v>2916700</v>
      </c>
      <c r="E220" s="3159">
        <v>525000</v>
      </c>
      <c r="F220" s="195"/>
      <c r="G220" s="195"/>
      <c r="H220" s="431"/>
      <c r="I220" s="432"/>
      <c r="J220" s="195"/>
      <c r="K220" s="195"/>
      <c r="L220" s="195"/>
      <c r="M220" s="430"/>
      <c r="N220" s="2872">
        <f t="shared" si="4"/>
        <v>10128400</v>
      </c>
    </row>
    <row r="221" spans="1:14" ht="22.5" customHeight="1">
      <c r="A221" s="428">
        <v>42416</v>
      </c>
      <c r="B221" s="429" t="s">
        <v>2911</v>
      </c>
      <c r="C221" s="229"/>
      <c r="D221" s="3159">
        <v>810000</v>
      </c>
      <c r="E221" s="3159">
        <v>0</v>
      </c>
      <c r="F221" s="195"/>
      <c r="G221" s="195"/>
      <c r="H221" s="431"/>
      <c r="I221" s="432"/>
      <c r="J221" s="195"/>
      <c r="K221" s="195"/>
      <c r="L221" s="195"/>
      <c r="M221" s="430"/>
      <c r="N221" s="2872">
        <f t="shared" si="4"/>
        <v>10938400</v>
      </c>
    </row>
    <row r="222" spans="1:14" ht="22.5" customHeight="1">
      <c r="A222" s="428">
        <v>42416</v>
      </c>
      <c r="B222" s="429" t="s">
        <v>2745</v>
      </c>
      <c r="C222" s="229"/>
      <c r="D222" s="3159"/>
      <c r="E222" s="3159"/>
      <c r="F222" s="195"/>
      <c r="G222" s="195"/>
      <c r="H222" s="431">
        <v>85000000</v>
      </c>
      <c r="I222" s="432"/>
      <c r="J222" s="195"/>
      <c r="K222" s="195"/>
      <c r="L222" s="195"/>
      <c r="M222" s="430"/>
      <c r="N222" s="2872">
        <f t="shared" si="4"/>
        <v>95938400</v>
      </c>
    </row>
    <row r="223" spans="1:14" ht="22.5" customHeight="1">
      <c r="A223" s="428">
        <v>42416</v>
      </c>
      <c r="B223" s="429" t="s">
        <v>2747</v>
      </c>
      <c r="C223" s="229"/>
      <c r="D223" s="3159"/>
      <c r="E223" s="3159"/>
      <c r="F223" s="195"/>
      <c r="G223" s="195"/>
      <c r="H223" s="431"/>
      <c r="I223" s="432"/>
      <c r="J223" s="195"/>
      <c r="K223" s="195"/>
      <c r="L223" s="195">
        <v>5000000</v>
      </c>
      <c r="M223" s="430"/>
      <c r="N223" s="2872">
        <f t="shared" si="4"/>
        <v>90938400</v>
      </c>
    </row>
    <row r="224" spans="1:14" ht="22.5" customHeight="1">
      <c r="A224" s="428">
        <v>42416</v>
      </c>
      <c r="B224" s="429" t="s">
        <v>2912</v>
      </c>
      <c r="C224" s="229"/>
      <c r="D224" s="3159"/>
      <c r="E224" s="3159"/>
      <c r="F224" s="195"/>
      <c r="G224" s="195"/>
      <c r="H224" s="431"/>
      <c r="I224" s="432"/>
      <c r="J224" s="195">
        <v>40000000</v>
      </c>
      <c r="K224" s="195"/>
      <c r="L224" s="195"/>
      <c r="M224" s="430"/>
      <c r="N224" s="2872">
        <f t="shared" si="4"/>
        <v>50938400</v>
      </c>
    </row>
    <row r="225" spans="1:14" ht="22.5" customHeight="1">
      <c r="A225" s="428">
        <v>42416</v>
      </c>
      <c r="B225" s="429" t="s">
        <v>2913</v>
      </c>
      <c r="C225" s="229"/>
      <c r="D225" s="3159"/>
      <c r="E225" s="3159"/>
      <c r="F225" s="195"/>
      <c r="G225" s="195"/>
      <c r="H225" s="431"/>
      <c r="I225" s="432"/>
      <c r="J225" s="195">
        <v>40000000</v>
      </c>
      <c r="K225" s="195"/>
      <c r="L225" s="195"/>
      <c r="M225" s="430"/>
      <c r="N225" s="2872">
        <f t="shared" si="4"/>
        <v>10938400</v>
      </c>
    </row>
    <row r="226" spans="1:14" ht="22.5" customHeight="1">
      <c r="A226" s="428">
        <v>42416</v>
      </c>
      <c r="B226" s="429" t="s">
        <v>2914</v>
      </c>
      <c r="C226" s="229"/>
      <c r="D226" s="3159">
        <v>1750000</v>
      </c>
      <c r="E226" s="3159">
        <v>315000</v>
      </c>
      <c r="F226" s="195"/>
      <c r="G226" s="195"/>
      <c r="H226" s="431"/>
      <c r="I226" s="432"/>
      <c r="J226" s="195"/>
      <c r="K226" s="195"/>
      <c r="L226" s="195"/>
      <c r="M226" s="430"/>
      <c r="N226" s="2872">
        <f t="shared" si="4"/>
        <v>13003400</v>
      </c>
    </row>
    <row r="227" spans="1:14" ht="22.5" customHeight="1">
      <c r="A227" s="428">
        <v>42416</v>
      </c>
      <c r="B227" s="429" t="s">
        <v>2915</v>
      </c>
      <c r="C227" s="229"/>
      <c r="D227" s="3159">
        <v>958300</v>
      </c>
      <c r="E227" s="3159">
        <v>172500</v>
      </c>
      <c r="F227" s="195"/>
      <c r="G227" s="195"/>
      <c r="H227" s="431"/>
      <c r="I227" s="432"/>
      <c r="J227" s="195"/>
      <c r="K227" s="195"/>
      <c r="L227" s="195"/>
      <c r="M227" s="430"/>
      <c r="N227" s="2872">
        <f t="shared" si="4"/>
        <v>14134200</v>
      </c>
    </row>
    <row r="228" spans="1:14" ht="22.5" customHeight="1">
      <c r="A228" s="428">
        <v>42416</v>
      </c>
      <c r="B228" s="429" t="s">
        <v>2916</v>
      </c>
      <c r="C228" s="229"/>
      <c r="D228" s="3159">
        <v>3100000</v>
      </c>
      <c r="E228" s="3159">
        <v>558000</v>
      </c>
      <c r="F228" s="195"/>
      <c r="G228" s="195"/>
      <c r="H228" s="431"/>
      <c r="I228" s="432"/>
      <c r="J228" s="195"/>
      <c r="K228" s="195"/>
      <c r="L228" s="195"/>
      <c r="M228" s="430"/>
      <c r="N228" s="2872">
        <f t="shared" si="4"/>
        <v>17792200</v>
      </c>
    </row>
    <row r="229" spans="1:14" ht="22.5" customHeight="1">
      <c r="A229" s="428">
        <v>42416</v>
      </c>
      <c r="B229" s="429" t="s">
        <v>2917</v>
      </c>
      <c r="C229" s="229"/>
      <c r="D229" s="3159">
        <v>2083300</v>
      </c>
      <c r="E229" s="3159">
        <v>375000</v>
      </c>
      <c r="F229" s="195"/>
      <c r="G229" s="195"/>
      <c r="H229" s="431"/>
      <c r="I229" s="432"/>
      <c r="J229" s="195"/>
      <c r="K229" s="195"/>
      <c r="L229" s="195"/>
      <c r="M229" s="430"/>
      <c r="N229" s="2872">
        <f t="shared" si="4"/>
        <v>20250500</v>
      </c>
    </row>
    <row r="230" spans="1:14" ht="22.5" customHeight="1">
      <c r="A230" s="428">
        <v>42416</v>
      </c>
      <c r="B230" s="429" t="s">
        <v>2918</v>
      </c>
      <c r="C230" s="229"/>
      <c r="D230" s="3159">
        <v>3166700</v>
      </c>
      <c r="E230" s="3159">
        <v>570000</v>
      </c>
      <c r="F230" s="195"/>
      <c r="G230" s="195"/>
      <c r="H230" s="431"/>
      <c r="I230" s="432"/>
      <c r="J230" s="195"/>
      <c r="K230" s="195"/>
      <c r="L230" s="195"/>
      <c r="M230" s="430"/>
      <c r="N230" s="2872">
        <f t="shared" si="4"/>
        <v>23987200</v>
      </c>
    </row>
    <row r="231" spans="1:14" ht="22.5" customHeight="1">
      <c r="A231" s="428">
        <v>42416</v>
      </c>
      <c r="B231" s="429" t="s">
        <v>2919</v>
      </c>
      <c r="C231" s="229"/>
      <c r="D231" s="3159">
        <v>2916700</v>
      </c>
      <c r="E231" s="3159">
        <v>525000</v>
      </c>
      <c r="F231" s="195"/>
      <c r="G231" s="195"/>
      <c r="H231" s="431"/>
      <c r="I231" s="432"/>
      <c r="J231" s="195"/>
      <c r="K231" s="195"/>
      <c r="L231" s="195"/>
      <c r="M231" s="430"/>
      <c r="N231" s="2872">
        <f t="shared" si="4"/>
        <v>27428900</v>
      </c>
    </row>
    <row r="232" spans="1:14" ht="22.5" customHeight="1">
      <c r="A232" s="428">
        <v>42416</v>
      </c>
      <c r="B232" s="429" t="s">
        <v>2920</v>
      </c>
      <c r="C232" s="229"/>
      <c r="D232" s="3159">
        <v>50000</v>
      </c>
      <c r="E232" s="3159">
        <v>750000</v>
      </c>
      <c r="F232" s="195"/>
      <c r="G232" s="195"/>
      <c r="H232" s="431"/>
      <c r="I232" s="432"/>
      <c r="J232" s="195"/>
      <c r="K232" s="195"/>
      <c r="L232" s="195"/>
      <c r="M232" s="430"/>
      <c r="N232" s="2872">
        <f t="shared" si="4"/>
        <v>28228900</v>
      </c>
    </row>
    <row r="233" spans="1:14" ht="22.5" customHeight="1">
      <c r="A233" s="428">
        <v>42416</v>
      </c>
      <c r="B233" s="429" t="s">
        <v>2921</v>
      </c>
      <c r="C233" s="229"/>
      <c r="D233" s="3159">
        <v>1833300</v>
      </c>
      <c r="E233" s="3159">
        <v>330000</v>
      </c>
      <c r="F233" s="195"/>
      <c r="G233" s="195"/>
      <c r="H233" s="431"/>
      <c r="I233" s="432"/>
      <c r="J233" s="195"/>
      <c r="K233" s="195"/>
      <c r="L233" s="195"/>
      <c r="M233" s="430"/>
      <c r="N233" s="2872">
        <f t="shared" si="4"/>
        <v>30392200</v>
      </c>
    </row>
    <row r="234" spans="1:14" ht="22.5" customHeight="1">
      <c r="A234" s="428">
        <v>42416</v>
      </c>
      <c r="B234" s="429" t="s">
        <v>2922</v>
      </c>
      <c r="C234" s="229"/>
      <c r="D234" s="3159">
        <v>3333300</v>
      </c>
      <c r="E234" s="3159">
        <v>600000</v>
      </c>
      <c r="F234" s="195"/>
      <c r="G234" s="195"/>
      <c r="H234" s="431"/>
      <c r="I234" s="432"/>
      <c r="J234" s="195"/>
      <c r="K234" s="195"/>
      <c r="L234" s="195"/>
      <c r="M234" s="430"/>
      <c r="N234" s="2872">
        <f t="shared" si="4"/>
        <v>34325500</v>
      </c>
    </row>
    <row r="235" spans="1:14" ht="22.5" customHeight="1">
      <c r="A235" s="428">
        <v>42416</v>
      </c>
      <c r="B235" s="429" t="s">
        <v>2923</v>
      </c>
      <c r="C235" s="229"/>
      <c r="D235" s="3159">
        <v>1500000</v>
      </c>
      <c r="E235" s="3159">
        <v>270000</v>
      </c>
      <c r="F235" s="195"/>
      <c r="G235" s="195"/>
      <c r="H235" s="431"/>
      <c r="I235" s="432"/>
      <c r="J235" s="195"/>
      <c r="K235" s="195"/>
      <c r="L235" s="195"/>
      <c r="M235" s="430"/>
      <c r="N235" s="2872">
        <f t="shared" si="4"/>
        <v>36095500</v>
      </c>
    </row>
    <row r="236" spans="1:14" ht="22.5" customHeight="1">
      <c r="A236" s="428">
        <v>42416</v>
      </c>
      <c r="B236" s="429" t="s">
        <v>2924</v>
      </c>
      <c r="C236" s="229"/>
      <c r="D236" s="3159">
        <v>3500000</v>
      </c>
      <c r="E236" s="3159">
        <v>630000</v>
      </c>
      <c r="F236" s="195"/>
      <c r="G236" s="195"/>
      <c r="H236" s="431"/>
      <c r="I236" s="432"/>
      <c r="J236" s="195"/>
      <c r="K236" s="195"/>
      <c r="L236" s="195"/>
      <c r="M236" s="430"/>
      <c r="N236" s="2872">
        <f t="shared" si="4"/>
        <v>40225500</v>
      </c>
    </row>
    <row r="237" spans="1:14" ht="22.5" customHeight="1">
      <c r="A237" s="428">
        <v>42416</v>
      </c>
      <c r="B237" s="429" t="s">
        <v>2925</v>
      </c>
      <c r="C237" s="229"/>
      <c r="D237" s="3159">
        <v>3000000</v>
      </c>
      <c r="E237" s="3159">
        <v>540000</v>
      </c>
      <c r="F237" s="195"/>
      <c r="G237" s="195"/>
      <c r="H237" s="431"/>
      <c r="I237" s="432"/>
      <c r="J237" s="195"/>
      <c r="K237" s="195"/>
      <c r="L237" s="195"/>
      <c r="M237" s="430"/>
      <c r="N237" s="2872">
        <f t="shared" si="4"/>
        <v>43765500</v>
      </c>
    </row>
    <row r="238" spans="1:14" ht="22.5" customHeight="1">
      <c r="A238" s="428">
        <v>42416</v>
      </c>
      <c r="B238" s="429" t="s">
        <v>2926</v>
      </c>
      <c r="C238" s="229"/>
      <c r="D238" s="3159">
        <v>2000000</v>
      </c>
      <c r="E238" s="3159">
        <v>360000</v>
      </c>
      <c r="F238" s="195"/>
      <c r="G238" s="195"/>
      <c r="H238" s="431"/>
      <c r="I238" s="432"/>
      <c r="J238" s="195"/>
      <c r="K238" s="195"/>
      <c r="L238" s="195"/>
      <c r="M238" s="430"/>
      <c r="N238" s="2872">
        <f t="shared" si="4"/>
        <v>46125500</v>
      </c>
    </row>
    <row r="239" spans="1:14" ht="22.5" customHeight="1">
      <c r="A239" s="428">
        <v>42416</v>
      </c>
      <c r="B239" s="429" t="s">
        <v>2927</v>
      </c>
      <c r="C239" s="229"/>
      <c r="D239" s="3159">
        <v>2708700</v>
      </c>
      <c r="E239" s="3159">
        <v>487500</v>
      </c>
      <c r="F239" s="195"/>
      <c r="G239" s="195"/>
      <c r="H239" s="431"/>
      <c r="I239" s="432"/>
      <c r="J239" s="195"/>
      <c r="K239" s="195"/>
      <c r="L239" s="195"/>
      <c r="M239" s="430"/>
      <c r="N239" s="2872">
        <f t="shared" si="4"/>
        <v>49321700</v>
      </c>
    </row>
    <row r="240" spans="1:14" ht="22.5" customHeight="1">
      <c r="A240" s="428">
        <v>42416</v>
      </c>
      <c r="B240" s="429" t="s">
        <v>2747</v>
      </c>
      <c r="C240" s="229"/>
      <c r="D240" s="3159"/>
      <c r="E240" s="3159"/>
      <c r="F240" s="195"/>
      <c r="G240" s="195"/>
      <c r="H240" s="431"/>
      <c r="I240" s="432"/>
      <c r="J240" s="195"/>
      <c r="K240" s="195"/>
      <c r="L240" s="195">
        <v>468000</v>
      </c>
      <c r="M240" s="430"/>
      <c r="N240" s="2872">
        <f t="shared" si="4"/>
        <v>48853700</v>
      </c>
    </row>
    <row r="241" spans="1:14" ht="22.5" customHeight="1">
      <c r="A241" s="428">
        <v>42416</v>
      </c>
      <c r="B241" s="429" t="s">
        <v>2928</v>
      </c>
      <c r="C241" s="229"/>
      <c r="D241" s="3159">
        <v>2500000</v>
      </c>
      <c r="E241" s="3159">
        <v>450000</v>
      </c>
      <c r="F241" s="195"/>
      <c r="G241" s="195"/>
      <c r="H241" s="431"/>
      <c r="I241" s="432"/>
      <c r="J241" s="195"/>
      <c r="K241" s="195"/>
      <c r="L241" s="195"/>
      <c r="M241" s="430"/>
      <c r="N241" s="2872">
        <f t="shared" si="4"/>
        <v>51803700</v>
      </c>
    </row>
    <row r="242" spans="1:14" ht="22.5" customHeight="1">
      <c r="A242" s="428">
        <v>42416</v>
      </c>
      <c r="B242" s="429" t="s">
        <v>2929</v>
      </c>
      <c r="C242" s="229"/>
      <c r="D242" s="3159">
        <v>3333300</v>
      </c>
      <c r="E242" s="3159">
        <v>600000</v>
      </c>
      <c r="F242" s="195"/>
      <c r="G242" s="195"/>
      <c r="H242" s="431"/>
      <c r="I242" s="432"/>
      <c r="J242" s="195"/>
      <c r="K242" s="195"/>
      <c r="L242" s="195"/>
      <c r="M242" s="430"/>
      <c r="N242" s="2872">
        <f t="shared" si="4"/>
        <v>55737000</v>
      </c>
    </row>
    <row r="243" spans="1:14" ht="22.5" customHeight="1">
      <c r="A243" s="428">
        <v>42416</v>
      </c>
      <c r="B243" s="429" t="s">
        <v>2741</v>
      </c>
      <c r="C243" s="229"/>
      <c r="D243" s="3159"/>
      <c r="E243" s="3159"/>
      <c r="F243" s="195"/>
      <c r="G243" s="195"/>
      <c r="H243" s="431"/>
      <c r="I243" s="432">
        <v>55737000</v>
      </c>
      <c r="J243" s="195"/>
      <c r="K243" s="195"/>
      <c r="L243" s="195"/>
      <c r="M243" s="430"/>
      <c r="N243" s="2872">
        <f t="shared" si="4"/>
        <v>0</v>
      </c>
    </row>
    <row r="244" spans="1:14" ht="22.5" customHeight="1">
      <c r="A244" s="428">
        <v>42417</v>
      </c>
      <c r="B244" s="429" t="s">
        <v>2930</v>
      </c>
      <c r="C244" s="229"/>
      <c r="D244" s="3159">
        <v>2500000</v>
      </c>
      <c r="E244" s="3159">
        <v>450000</v>
      </c>
      <c r="F244" s="195"/>
      <c r="G244" s="195"/>
      <c r="H244" s="431"/>
      <c r="I244" s="432"/>
      <c r="J244" s="195"/>
      <c r="K244" s="195"/>
      <c r="L244" s="195"/>
      <c r="M244" s="430"/>
      <c r="N244" s="2872">
        <f t="shared" si="4"/>
        <v>2950000</v>
      </c>
    </row>
    <row r="245" spans="1:14" ht="22.5" customHeight="1">
      <c r="A245" s="428">
        <v>42417</v>
      </c>
      <c r="B245" s="429" t="s">
        <v>2931</v>
      </c>
      <c r="C245" s="229"/>
      <c r="D245" s="3159">
        <v>1750000</v>
      </c>
      <c r="E245" s="3159">
        <v>315000</v>
      </c>
      <c r="F245" s="195"/>
      <c r="G245" s="195"/>
      <c r="H245" s="431"/>
      <c r="I245" s="432"/>
      <c r="J245" s="195"/>
      <c r="K245" s="195"/>
      <c r="L245" s="195"/>
      <c r="M245" s="430"/>
      <c r="N245" s="2872">
        <f t="shared" si="4"/>
        <v>5015000</v>
      </c>
    </row>
    <row r="246" spans="1:14" ht="22.5" customHeight="1">
      <c r="A246" s="428">
        <v>42417</v>
      </c>
      <c r="B246" s="429" t="s">
        <v>2932</v>
      </c>
      <c r="C246" s="229"/>
      <c r="D246" s="3159">
        <v>2500000</v>
      </c>
      <c r="E246" s="3159">
        <v>450000</v>
      </c>
      <c r="F246" s="195"/>
      <c r="G246" s="195"/>
      <c r="H246" s="431"/>
      <c r="I246" s="432"/>
      <c r="J246" s="195"/>
      <c r="K246" s="195"/>
      <c r="L246" s="195"/>
      <c r="M246" s="430"/>
      <c r="N246" s="2872">
        <f t="shared" si="4"/>
        <v>7965000</v>
      </c>
    </row>
    <row r="247" spans="1:14" ht="22.5" customHeight="1">
      <c r="A247" s="428">
        <v>42417</v>
      </c>
      <c r="B247" s="429" t="s">
        <v>2933</v>
      </c>
      <c r="C247" s="229"/>
      <c r="D247" s="3159">
        <v>1583300</v>
      </c>
      <c r="E247" s="3159">
        <v>285000</v>
      </c>
      <c r="F247" s="195"/>
      <c r="G247" s="195"/>
      <c r="H247" s="431"/>
      <c r="I247" s="432"/>
      <c r="J247" s="195"/>
      <c r="K247" s="195"/>
      <c r="L247" s="195"/>
      <c r="M247" s="430"/>
      <c r="N247" s="2872">
        <f t="shared" si="4"/>
        <v>9833300</v>
      </c>
    </row>
    <row r="248" spans="1:14" ht="22.5" customHeight="1">
      <c r="A248" s="428">
        <v>42417</v>
      </c>
      <c r="B248" s="429" t="s">
        <v>2934</v>
      </c>
      <c r="C248" s="229"/>
      <c r="D248" s="3159">
        <v>2500000</v>
      </c>
      <c r="E248" s="3159">
        <v>450000</v>
      </c>
      <c r="F248" s="195"/>
      <c r="G248" s="195"/>
      <c r="H248" s="431"/>
      <c r="I248" s="432"/>
      <c r="J248" s="195"/>
      <c r="K248" s="195"/>
      <c r="L248" s="195"/>
      <c r="M248" s="430"/>
      <c r="N248" s="2872">
        <f t="shared" si="4"/>
        <v>12783300</v>
      </c>
    </row>
    <row r="249" spans="1:14" ht="22.5" customHeight="1">
      <c r="A249" s="428">
        <v>42417</v>
      </c>
      <c r="B249" s="429" t="s">
        <v>2935</v>
      </c>
      <c r="C249" s="229"/>
      <c r="D249" s="3159">
        <v>3750000</v>
      </c>
      <c r="E249" s="3159">
        <v>675000</v>
      </c>
      <c r="F249" s="195"/>
      <c r="G249" s="195"/>
      <c r="H249" s="431"/>
      <c r="I249" s="432"/>
      <c r="J249" s="195"/>
      <c r="K249" s="195"/>
      <c r="L249" s="195"/>
      <c r="M249" s="430"/>
      <c r="N249" s="2872">
        <f t="shared" si="4"/>
        <v>17208300</v>
      </c>
    </row>
    <row r="250" spans="1:14" ht="22.5" customHeight="1">
      <c r="A250" s="428">
        <v>42417</v>
      </c>
      <c r="B250" s="429" t="s">
        <v>2936</v>
      </c>
      <c r="C250" s="229"/>
      <c r="D250" s="3159">
        <v>2500000</v>
      </c>
      <c r="E250" s="3159">
        <v>450000</v>
      </c>
      <c r="F250" s="195"/>
      <c r="G250" s="195"/>
      <c r="H250" s="431"/>
      <c r="I250" s="432"/>
      <c r="J250" s="195"/>
      <c r="K250" s="195"/>
      <c r="L250" s="195"/>
      <c r="M250" s="430"/>
      <c r="N250" s="2872">
        <f t="shared" si="4"/>
        <v>20158300</v>
      </c>
    </row>
    <row r="251" spans="1:14" ht="22.5" customHeight="1">
      <c r="A251" s="428">
        <v>42417</v>
      </c>
      <c r="B251" s="429" t="s">
        <v>2937</v>
      </c>
      <c r="C251" s="229"/>
      <c r="D251" s="3159">
        <v>2708300</v>
      </c>
      <c r="E251" s="3159">
        <v>487500</v>
      </c>
      <c r="F251" s="195"/>
      <c r="G251" s="195"/>
      <c r="H251" s="431"/>
      <c r="I251" s="432"/>
      <c r="J251" s="195"/>
      <c r="K251" s="195"/>
      <c r="L251" s="195"/>
      <c r="M251" s="430"/>
      <c r="N251" s="2872">
        <f t="shared" si="4"/>
        <v>23354100</v>
      </c>
    </row>
    <row r="252" spans="1:14" ht="22.5" customHeight="1">
      <c r="A252" s="428">
        <v>42417</v>
      </c>
      <c r="B252" s="429" t="s">
        <v>2938</v>
      </c>
      <c r="C252" s="229"/>
      <c r="D252" s="3159">
        <v>2500000</v>
      </c>
      <c r="E252" s="3159">
        <v>450000</v>
      </c>
      <c r="F252" s="195"/>
      <c r="G252" s="195"/>
      <c r="H252" s="431"/>
      <c r="I252" s="432"/>
      <c r="J252" s="195"/>
      <c r="K252" s="195"/>
      <c r="L252" s="195"/>
      <c r="M252" s="430"/>
      <c r="N252" s="2872">
        <f t="shared" si="4"/>
        <v>26304100</v>
      </c>
    </row>
    <row r="253" spans="1:14" ht="22.5" customHeight="1">
      <c r="A253" s="428">
        <v>42417</v>
      </c>
      <c r="B253" s="429" t="s">
        <v>2939</v>
      </c>
      <c r="C253" s="229"/>
      <c r="D253" s="3159">
        <v>2500000</v>
      </c>
      <c r="E253" s="3159">
        <v>450000</v>
      </c>
      <c r="F253" s="195"/>
      <c r="G253" s="195"/>
      <c r="H253" s="431"/>
      <c r="I253" s="432"/>
      <c r="J253" s="195"/>
      <c r="K253" s="195"/>
      <c r="L253" s="195"/>
      <c r="M253" s="430"/>
      <c r="N253" s="2872">
        <f t="shared" si="4"/>
        <v>29254100</v>
      </c>
    </row>
    <row r="254" spans="1:14" ht="22.5" customHeight="1">
      <c r="A254" s="428">
        <v>42417</v>
      </c>
      <c r="B254" s="429" t="s">
        <v>2740</v>
      </c>
      <c r="C254" s="229"/>
      <c r="D254" s="3159">
        <v>1600100</v>
      </c>
      <c r="E254" s="3159">
        <v>0</v>
      </c>
      <c r="F254" s="195"/>
      <c r="G254" s="195"/>
      <c r="H254" s="431"/>
      <c r="I254" s="432"/>
      <c r="J254" s="195"/>
      <c r="K254" s="195"/>
      <c r="L254" s="195"/>
      <c r="M254" s="430"/>
      <c r="N254" s="2872">
        <f t="shared" si="4"/>
        <v>30854200</v>
      </c>
    </row>
    <row r="255" spans="1:14" ht="22.5" customHeight="1">
      <c r="A255" s="428">
        <v>42417</v>
      </c>
      <c r="B255" s="429" t="s">
        <v>2740</v>
      </c>
      <c r="C255" s="229"/>
      <c r="D255" s="3159">
        <v>99900</v>
      </c>
      <c r="E255" s="3159">
        <v>300000</v>
      </c>
      <c r="F255" s="195"/>
      <c r="G255" s="195"/>
      <c r="H255" s="431"/>
      <c r="I255" s="432"/>
      <c r="J255" s="195"/>
      <c r="K255" s="195"/>
      <c r="L255" s="195"/>
      <c r="M255" s="430"/>
      <c r="N255" s="2872">
        <f t="shared" si="4"/>
        <v>31254100</v>
      </c>
    </row>
    <row r="256" spans="1:14" ht="22.5" customHeight="1">
      <c r="A256" s="428">
        <v>42417</v>
      </c>
      <c r="B256" s="429" t="s">
        <v>2940</v>
      </c>
      <c r="C256" s="229"/>
      <c r="D256" s="3159">
        <v>4166700</v>
      </c>
      <c r="E256" s="3159">
        <v>750000</v>
      </c>
      <c r="F256" s="195"/>
      <c r="G256" s="195"/>
      <c r="H256" s="431"/>
      <c r="I256" s="432"/>
      <c r="J256" s="195"/>
      <c r="K256" s="195"/>
      <c r="L256" s="195"/>
      <c r="M256" s="430"/>
      <c r="N256" s="2872">
        <f t="shared" si="4"/>
        <v>36170800</v>
      </c>
    </row>
    <row r="257" spans="1:14" ht="22.5" customHeight="1">
      <c r="A257" s="428">
        <v>42417</v>
      </c>
      <c r="B257" s="429" t="s">
        <v>2941</v>
      </c>
      <c r="C257" s="229"/>
      <c r="D257" s="3159">
        <v>1750000</v>
      </c>
      <c r="E257" s="3159">
        <v>315000</v>
      </c>
      <c r="F257" s="195"/>
      <c r="G257" s="195"/>
      <c r="H257" s="431"/>
      <c r="I257" s="432"/>
      <c r="J257" s="195"/>
      <c r="K257" s="195"/>
      <c r="L257" s="195"/>
      <c r="M257" s="430"/>
      <c r="N257" s="2872">
        <f t="shared" si="4"/>
        <v>38235800</v>
      </c>
    </row>
    <row r="258" spans="1:14" ht="22.5" customHeight="1">
      <c r="A258" s="428">
        <v>42417</v>
      </c>
      <c r="B258" s="429" t="s">
        <v>2942</v>
      </c>
      <c r="C258" s="229"/>
      <c r="D258" s="3159">
        <v>2083300</v>
      </c>
      <c r="E258" s="3159">
        <v>375000</v>
      </c>
      <c r="F258" s="195"/>
      <c r="G258" s="195"/>
      <c r="H258" s="431"/>
      <c r="I258" s="432"/>
      <c r="J258" s="195"/>
      <c r="K258" s="195"/>
      <c r="L258" s="195"/>
      <c r="M258" s="430"/>
      <c r="N258" s="2872">
        <f t="shared" si="4"/>
        <v>40694100</v>
      </c>
    </row>
    <row r="259" spans="1:14" ht="22.5" customHeight="1">
      <c r="A259" s="428">
        <v>42417</v>
      </c>
      <c r="B259" s="429" t="s">
        <v>2943</v>
      </c>
      <c r="C259" s="229"/>
      <c r="D259" s="3159">
        <v>1083300</v>
      </c>
      <c r="E259" s="3159">
        <v>195000</v>
      </c>
      <c r="F259" s="195"/>
      <c r="G259" s="195"/>
      <c r="H259" s="431"/>
      <c r="I259" s="432"/>
      <c r="J259" s="195"/>
      <c r="K259" s="195"/>
      <c r="L259" s="195"/>
      <c r="M259" s="430"/>
      <c r="N259" s="2872">
        <f t="shared" si="4"/>
        <v>41972400</v>
      </c>
    </row>
    <row r="260" spans="1:14" ht="22.5" customHeight="1">
      <c r="A260" s="428">
        <v>42417</v>
      </c>
      <c r="B260" s="429" t="s">
        <v>2944</v>
      </c>
      <c r="C260" s="229"/>
      <c r="D260" s="3159">
        <v>833300</v>
      </c>
      <c r="E260" s="3159">
        <v>150000</v>
      </c>
      <c r="F260" s="195"/>
      <c r="G260" s="195"/>
      <c r="H260" s="431"/>
      <c r="I260" s="432"/>
      <c r="J260" s="195"/>
      <c r="K260" s="195"/>
      <c r="L260" s="195"/>
      <c r="M260" s="430"/>
      <c r="N260" s="2872">
        <f t="shared" si="4"/>
        <v>42955700</v>
      </c>
    </row>
    <row r="261" spans="1:14" ht="22.5" customHeight="1">
      <c r="A261" s="428">
        <v>42417</v>
      </c>
      <c r="B261" s="429" t="s">
        <v>2945</v>
      </c>
      <c r="C261" s="229"/>
      <c r="D261" s="3159">
        <v>950000</v>
      </c>
      <c r="E261" s="3159">
        <v>0</v>
      </c>
      <c r="F261" s="195"/>
      <c r="G261" s="195"/>
      <c r="H261" s="431"/>
      <c r="I261" s="432"/>
      <c r="J261" s="195"/>
      <c r="K261" s="195"/>
      <c r="L261" s="195"/>
      <c r="M261" s="430"/>
      <c r="N261" s="2872">
        <f t="shared" si="4"/>
        <v>43905700</v>
      </c>
    </row>
    <row r="262" spans="1:14" ht="22.5" customHeight="1">
      <c r="A262" s="428">
        <v>42417</v>
      </c>
      <c r="B262" s="429" t="s">
        <v>2945</v>
      </c>
      <c r="C262" s="229"/>
      <c r="D262" s="3159">
        <v>300000</v>
      </c>
      <c r="E262" s="3159">
        <v>450000</v>
      </c>
      <c r="F262" s="195"/>
      <c r="G262" s="195"/>
      <c r="H262" s="431"/>
      <c r="I262" s="432"/>
      <c r="J262" s="195"/>
      <c r="K262" s="195"/>
      <c r="L262" s="195"/>
      <c r="M262" s="430"/>
      <c r="N262" s="2872">
        <f t="shared" si="4"/>
        <v>44655700</v>
      </c>
    </row>
    <row r="263" spans="1:14" ht="22.5" customHeight="1">
      <c r="A263" s="428">
        <v>42417</v>
      </c>
      <c r="B263" s="429" t="s">
        <v>2745</v>
      </c>
      <c r="C263" s="229"/>
      <c r="D263" s="3159"/>
      <c r="E263" s="3159"/>
      <c r="F263" s="195"/>
      <c r="G263" s="195"/>
      <c r="H263" s="431">
        <v>101400000</v>
      </c>
      <c r="I263" s="432"/>
      <c r="J263" s="195"/>
      <c r="K263" s="195"/>
      <c r="L263" s="195"/>
      <c r="M263" s="430"/>
      <c r="N263" s="2872">
        <f t="shared" si="4"/>
        <v>146055700</v>
      </c>
    </row>
    <row r="264" spans="1:14" ht="22.5" customHeight="1">
      <c r="A264" s="428">
        <v>42417</v>
      </c>
      <c r="B264" s="429" t="s">
        <v>2946</v>
      </c>
      <c r="C264" s="229"/>
      <c r="D264" s="3159"/>
      <c r="E264" s="3159"/>
      <c r="F264" s="195"/>
      <c r="G264" s="195"/>
      <c r="H264" s="431"/>
      <c r="I264" s="432"/>
      <c r="J264" s="195">
        <v>6400000</v>
      </c>
      <c r="K264" s="195"/>
      <c r="L264" s="195"/>
      <c r="M264" s="430"/>
      <c r="N264" s="2872">
        <f t="shared" si="4"/>
        <v>139655700</v>
      </c>
    </row>
    <row r="265" spans="1:14" ht="22.5" customHeight="1">
      <c r="A265" s="428">
        <v>42417</v>
      </c>
      <c r="B265" s="429" t="s">
        <v>2947</v>
      </c>
      <c r="C265" s="229"/>
      <c r="D265" s="3159"/>
      <c r="E265" s="3159"/>
      <c r="F265" s="195"/>
      <c r="G265" s="195"/>
      <c r="H265" s="431"/>
      <c r="I265" s="432"/>
      <c r="J265" s="195">
        <v>20000000</v>
      </c>
      <c r="K265" s="195"/>
      <c r="L265" s="195"/>
      <c r="M265" s="430"/>
      <c r="N265" s="2872">
        <f t="shared" si="4"/>
        <v>119655700</v>
      </c>
    </row>
    <row r="266" spans="1:14" ht="22.5" customHeight="1">
      <c r="A266" s="428">
        <v>42417</v>
      </c>
      <c r="B266" s="429" t="s">
        <v>2948</v>
      </c>
      <c r="C266" s="229"/>
      <c r="D266" s="3159"/>
      <c r="E266" s="3159"/>
      <c r="F266" s="195"/>
      <c r="G266" s="195"/>
      <c r="H266" s="431"/>
      <c r="I266" s="432"/>
      <c r="J266" s="195">
        <v>30000000</v>
      </c>
      <c r="K266" s="195"/>
      <c r="L266" s="195"/>
      <c r="M266" s="430"/>
      <c r="N266" s="2872">
        <f t="shared" si="4"/>
        <v>89655700</v>
      </c>
    </row>
    <row r="267" spans="1:14" ht="22.5" customHeight="1">
      <c r="A267" s="428">
        <v>42417</v>
      </c>
      <c r="B267" s="429" t="s">
        <v>2949</v>
      </c>
      <c r="C267" s="229"/>
      <c r="D267" s="3159"/>
      <c r="E267" s="3159"/>
      <c r="F267" s="195"/>
      <c r="G267" s="195"/>
      <c r="H267" s="431"/>
      <c r="I267" s="432"/>
      <c r="J267" s="195">
        <v>45000000</v>
      </c>
      <c r="K267" s="195"/>
      <c r="L267" s="195"/>
      <c r="M267" s="430"/>
      <c r="N267" s="2872">
        <f t="shared" si="4"/>
        <v>44655700</v>
      </c>
    </row>
    <row r="268" spans="1:14" ht="22.5" customHeight="1">
      <c r="A268" s="428">
        <v>42417</v>
      </c>
      <c r="B268" s="429" t="s">
        <v>2950</v>
      </c>
      <c r="C268" s="229"/>
      <c r="D268" s="3159">
        <v>2800000</v>
      </c>
      <c r="E268" s="3159">
        <v>504000</v>
      </c>
      <c r="F268" s="195"/>
      <c r="G268" s="195"/>
      <c r="H268" s="431"/>
      <c r="I268" s="432"/>
      <c r="J268" s="195"/>
      <c r="K268" s="195"/>
      <c r="L268" s="195"/>
      <c r="M268" s="430"/>
      <c r="N268" s="2872">
        <f t="shared" si="4"/>
        <v>47959700</v>
      </c>
    </row>
    <row r="269" spans="1:14" ht="22.5" customHeight="1">
      <c r="A269" s="428">
        <v>42417</v>
      </c>
      <c r="B269" s="429" t="s">
        <v>2951</v>
      </c>
      <c r="C269" s="229"/>
      <c r="D269" s="3159">
        <v>2500000</v>
      </c>
      <c r="E269" s="3159">
        <v>450000</v>
      </c>
      <c r="F269" s="195"/>
      <c r="G269" s="195"/>
      <c r="H269" s="431"/>
      <c r="I269" s="432"/>
      <c r="J269" s="195"/>
      <c r="K269" s="195"/>
      <c r="L269" s="195"/>
      <c r="M269" s="430"/>
      <c r="N269" s="2872">
        <f t="shared" si="4"/>
        <v>50909700</v>
      </c>
    </row>
    <row r="270" spans="1:14" ht="22.5" customHeight="1">
      <c r="A270" s="428">
        <v>42417</v>
      </c>
      <c r="B270" s="429" t="s">
        <v>2952</v>
      </c>
      <c r="C270" s="229"/>
      <c r="D270" s="3159">
        <v>2500000</v>
      </c>
      <c r="E270" s="3159">
        <v>450000</v>
      </c>
      <c r="F270" s="195"/>
      <c r="G270" s="195"/>
      <c r="H270" s="431"/>
      <c r="I270" s="432"/>
      <c r="J270" s="195"/>
      <c r="K270" s="195"/>
      <c r="L270" s="195"/>
      <c r="M270" s="430"/>
      <c r="N270" s="2872">
        <f t="shared" si="4"/>
        <v>53859700</v>
      </c>
    </row>
    <row r="271" spans="1:14" ht="22.5" customHeight="1">
      <c r="A271" s="428">
        <v>42417</v>
      </c>
      <c r="B271" s="429" t="s">
        <v>2953</v>
      </c>
      <c r="C271" s="229"/>
      <c r="D271" s="3159">
        <v>1166700</v>
      </c>
      <c r="E271" s="3159">
        <v>210000</v>
      </c>
      <c r="F271" s="195"/>
      <c r="G271" s="195"/>
      <c r="H271" s="431"/>
      <c r="I271" s="432"/>
      <c r="J271" s="195"/>
      <c r="K271" s="195"/>
      <c r="L271" s="195"/>
      <c r="M271" s="430"/>
      <c r="N271" s="2872">
        <f t="shared" si="4"/>
        <v>55236400</v>
      </c>
    </row>
    <row r="272" spans="1:14" ht="22.5" customHeight="1">
      <c r="A272" s="428">
        <v>42417</v>
      </c>
      <c r="B272" s="429" t="s">
        <v>2741</v>
      </c>
      <c r="C272" s="229"/>
      <c r="D272" s="3159"/>
      <c r="E272" s="3159"/>
      <c r="F272" s="195"/>
      <c r="G272" s="195"/>
      <c r="H272" s="431"/>
      <c r="I272" s="432">
        <v>55236400</v>
      </c>
      <c r="J272" s="195"/>
      <c r="K272" s="195"/>
      <c r="L272" s="195"/>
      <c r="M272" s="430"/>
      <c r="N272" s="2872">
        <f t="shared" si="4"/>
        <v>0</v>
      </c>
    </row>
    <row r="273" spans="1:14" ht="22.5" customHeight="1">
      <c r="A273" s="428">
        <v>42418</v>
      </c>
      <c r="B273" s="429" t="s">
        <v>2958</v>
      </c>
      <c r="C273" s="229"/>
      <c r="D273" s="3159">
        <v>1250000</v>
      </c>
      <c r="E273" s="3159">
        <v>225000</v>
      </c>
      <c r="F273" s="195"/>
      <c r="G273" s="195"/>
      <c r="H273" s="431"/>
      <c r="I273" s="432"/>
      <c r="J273" s="195"/>
      <c r="K273" s="195"/>
      <c r="L273" s="195"/>
      <c r="M273" s="430"/>
      <c r="N273" s="2872">
        <f t="shared" si="4"/>
        <v>1475000</v>
      </c>
    </row>
    <row r="274" spans="1:14" ht="22.5" customHeight="1">
      <c r="A274" s="428">
        <v>42418</v>
      </c>
      <c r="B274" s="429" t="s">
        <v>2959</v>
      </c>
      <c r="C274" s="229"/>
      <c r="D274" s="3159">
        <v>2916700</v>
      </c>
      <c r="E274" s="3159">
        <v>525000</v>
      </c>
      <c r="F274" s="195"/>
      <c r="G274" s="195"/>
      <c r="H274" s="431"/>
      <c r="I274" s="432"/>
      <c r="J274" s="195"/>
      <c r="K274" s="195"/>
      <c r="L274" s="195"/>
      <c r="M274" s="430"/>
      <c r="N274" s="2872">
        <f t="shared" si="4"/>
        <v>4916700</v>
      </c>
    </row>
    <row r="275" spans="1:14" ht="22.5" customHeight="1">
      <c r="A275" s="428">
        <v>42418</v>
      </c>
      <c r="B275" s="429" t="s">
        <v>2960</v>
      </c>
      <c r="C275" s="229"/>
      <c r="D275" s="3159">
        <v>641700</v>
      </c>
      <c r="E275" s="3159">
        <v>115500</v>
      </c>
      <c r="F275" s="195"/>
      <c r="G275" s="195"/>
      <c r="H275" s="431"/>
      <c r="I275" s="432"/>
      <c r="J275" s="195"/>
      <c r="K275" s="195"/>
      <c r="L275" s="195"/>
      <c r="M275" s="430"/>
      <c r="N275" s="2872">
        <f t="shared" si="4"/>
        <v>5673900</v>
      </c>
    </row>
    <row r="276" spans="1:14" ht="22.5" customHeight="1">
      <c r="A276" s="428">
        <v>42418</v>
      </c>
      <c r="B276" s="429" t="s">
        <v>2875</v>
      </c>
      <c r="C276" s="229"/>
      <c r="D276" s="3159">
        <v>50000</v>
      </c>
      <c r="E276" s="3159">
        <v>0</v>
      </c>
      <c r="F276" s="195"/>
      <c r="G276" s="195"/>
      <c r="H276" s="431"/>
      <c r="I276" s="432"/>
      <c r="J276" s="195"/>
      <c r="K276" s="195"/>
      <c r="L276" s="195"/>
      <c r="M276" s="430"/>
      <c r="N276" s="2872">
        <f t="shared" si="4"/>
        <v>5723900</v>
      </c>
    </row>
    <row r="277" spans="1:14" ht="22.5" customHeight="1">
      <c r="A277" s="428">
        <v>42418</v>
      </c>
      <c r="B277" s="429" t="s">
        <v>2961</v>
      </c>
      <c r="C277" s="229"/>
      <c r="D277" s="3159">
        <v>3333300</v>
      </c>
      <c r="E277" s="3159">
        <v>600000</v>
      </c>
      <c r="F277" s="195"/>
      <c r="G277" s="195"/>
      <c r="H277" s="431"/>
      <c r="I277" s="432"/>
      <c r="J277" s="195"/>
      <c r="K277" s="195"/>
      <c r="L277" s="195"/>
      <c r="M277" s="430"/>
      <c r="N277" s="2872">
        <f t="shared" si="4"/>
        <v>9657200</v>
      </c>
    </row>
    <row r="278" spans="1:14" ht="22.5" customHeight="1">
      <c r="A278" s="428">
        <v>42418</v>
      </c>
      <c r="B278" s="429" t="s">
        <v>2962</v>
      </c>
      <c r="C278" s="229"/>
      <c r="D278" s="3159">
        <v>641700</v>
      </c>
      <c r="E278" s="3159">
        <v>115500</v>
      </c>
      <c r="F278" s="195"/>
      <c r="G278" s="195"/>
      <c r="H278" s="431"/>
      <c r="I278" s="432"/>
      <c r="J278" s="195"/>
      <c r="K278" s="195"/>
      <c r="L278" s="195"/>
      <c r="M278" s="430"/>
      <c r="N278" s="2872">
        <f t="shared" si="4"/>
        <v>10414400</v>
      </c>
    </row>
    <row r="279" spans="1:14" ht="22.5" customHeight="1">
      <c r="A279" s="428">
        <v>42418</v>
      </c>
      <c r="B279" s="429" t="s">
        <v>2963</v>
      </c>
      <c r="C279" s="229"/>
      <c r="D279" s="3159">
        <v>3166700</v>
      </c>
      <c r="E279" s="3159">
        <v>570000</v>
      </c>
      <c r="F279" s="195"/>
      <c r="G279" s="195"/>
      <c r="H279" s="431"/>
      <c r="I279" s="432"/>
      <c r="J279" s="195"/>
      <c r="K279" s="195"/>
      <c r="L279" s="195"/>
      <c r="M279" s="430"/>
      <c r="N279" s="2872">
        <f t="shared" si="4"/>
        <v>14151100</v>
      </c>
    </row>
    <row r="280" spans="1:14" ht="22.5" customHeight="1">
      <c r="A280" s="428">
        <v>42418</v>
      </c>
      <c r="B280" s="429" t="s">
        <v>2964</v>
      </c>
      <c r="C280" s="229"/>
      <c r="D280" s="3159">
        <v>1666700</v>
      </c>
      <c r="E280" s="3159">
        <v>300000</v>
      </c>
      <c r="F280" s="195"/>
      <c r="G280" s="195"/>
      <c r="H280" s="431"/>
      <c r="I280" s="432"/>
      <c r="J280" s="195"/>
      <c r="K280" s="195"/>
      <c r="L280" s="195"/>
      <c r="M280" s="430"/>
      <c r="N280" s="2872">
        <f t="shared" si="4"/>
        <v>16117800</v>
      </c>
    </row>
    <row r="281" spans="1:14" ht="22.5" customHeight="1">
      <c r="A281" s="428">
        <v>42418</v>
      </c>
      <c r="B281" s="429" t="s">
        <v>2965</v>
      </c>
      <c r="C281" s="229"/>
      <c r="D281" s="3159">
        <v>3750000</v>
      </c>
      <c r="E281" s="3159">
        <v>675000</v>
      </c>
      <c r="F281" s="195"/>
      <c r="G281" s="195"/>
      <c r="H281" s="431"/>
      <c r="I281" s="432"/>
      <c r="J281" s="195"/>
      <c r="K281" s="195"/>
      <c r="L281" s="195"/>
      <c r="M281" s="430"/>
      <c r="N281" s="2872">
        <f t="shared" si="4"/>
        <v>20542800</v>
      </c>
    </row>
    <row r="282" spans="1:14" ht="22.5" customHeight="1">
      <c r="A282" s="428">
        <v>42418</v>
      </c>
      <c r="B282" s="429" t="s">
        <v>2966</v>
      </c>
      <c r="C282" s="229"/>
      <c r="D282" s="3159">
        <v>3000000</v>
      </c>
      <c r="E282" s="3159">
        <v>540000</v>
      </c>
      <c r="F282" s="195"/>
      <c r="G282" s="195"/>
      <c r="H282" s="431"/>
      <c r="I282" s="432"/>
      <c r="J282" s="195"/>
      <c r="K282" s="195"/>
      <c r="L282" s="195"/>
      <c r="M282" s="430"/>
      <c r="N282" s="2872">
        <f t="shared" si="4"/>
        <v>24082800</v>
      </c>
    </row>
    <row r="283" spans="1:14" ht="22.5" customHeight="1">
      <c r="A283" s="428">
        <v>42418</v>
      </c>
      <c r="B283" s="429" t="s">
        <v>2967</v>
      </c>
      <c r="C283" s="229"/>
      <c r="D283" s="3159">
        <v>3000000</v>
      </c>
      <c r="E283" s="3159">
        <v>540000</v>
      </c>
      <c r="F283" s="195"/>
      <c r="G283" s="195"/>
      <c r="H283" s="431"/>
      <c r="I283" s="432"/>
      <c r="J283" s="195"/>
      <c r="K283" s="195"/>
      <c r="L283" s="195"/>
      <c r="M283" s="430"/>
      <c r="N283" s="2872">
        <f t="shared" si="4"/>
        <v>27622800</v>
      </c>
    </row>
    <row r="284" spans="1:14" ht="22.5" customHeight="1">
      <c r="A284" s="428">
        <v>42418</v>
      </c>
      <c r="B284" s="429" t="s">
        <v>2968</v>
      </c>
      <c r="C284" s="229"/>
      <c r="D284" s="3159">
        <v>1166700</v>
      </c>
      <c r="E284" s="3159">
        <v>210000</v>
      </c>
      <c r="F284" s="195"/>
      <c r="G284" s="195"/>
      <c r="H284" s="431"/>
      <c r="I284" s="432"/>
      <c r="J284" s="195"/>
      <c r="K284" s="195"/>
      <c r="L284" s="195"/>
      <c r="M284" s="430"/>
      <c r="N284" s="2872">
        <f t="shared" si="4"/>
        <v>28999500</v>
      </c>
    </row>
    <row r="285" spans="1:14" ht="22.5" customHeight="1">
      <c r="A285" s="428">
        <v>42418</v>
      </c>
      <c r="B285" s="429" t="s">
        <v>2969</v>
      </c>
      <c r="C285" s="229"/>
      <c r="D285" s="3159">
        <v>2291700</v>
      </c>
      <c r="E285" s="3159">
        <v>412500</v>
      </c>
      <c r="F285" s="195"/>
      <c r="G285" s="195"/>
      <c r="H285" s="431"/>
      <c r="I285" s="432"/>
      <c r="J285" s="195"/>
      <c r="K285" s="195"/>
      <c r="L285" s="195"/>
      <c r="M285" s="430"/>
      <c r="N285" s="2872">
        <f t="shared" si="4"/>
        <v>31703700</v>
      </c>
    </row>
    <row r="286" spans="1:14" ht="22.5" customHeight="1">
      <c r="A286" s="428">
        <v>42418</v>
      </c>
      <c r="B286" s="429" t="s">
        <v>2970</v>
      </c>
      <c r="C286" s="229"/>
      <c r="D286" s="3159">
        <v>2500000</v>
      </c>
      <c r="E286" s="3159">
        <v>450000</v>
      </c>
      <c r="F286" s="195"/>
      <c r="G286" s="195"/>
      <c r="H286" s="431"/>
      <c r="I286" s="432"/>
      <c r="J286" s="195"/>
      <c r="K286" s="195"/>
      <c r="L286" s="195"/>
      <c r="M286" s="430"/>
      <c r="N286" s="2872">
        <f t="shared" si="4"/>
        <v>34653700</v>
      </c>
    </row>
    <row r="287" spans="1:14" ht="22.5" customHeight="1">
      <c r="A287" s="428">
        <v>42418</v>
      </c>
      <c r="B287" s="429" t="s">
        <v>2971</v>
      </c>
      <c r="C287" s="229"/>
      <c r="D287" s="3159">
        <v>1750000</v>
      </c>
      <c r="E287" s="3159">
        <v>315000</v>
      </c>
      <c r="F287" s="195"/>
      <c r="G287" s="195"/>
      <c r="H287" s="431"/>
      <c r="I287" s="432"/>
      <c r="J287" s="195"/>
      <c r="K287" s="195"/>
      <c r="L287" s="195"/>
      <c r="M287" s="430"/>
      <c r="N287" s="2872">
        <f t="shared" si="4"/>
        <v>36718700</v>
      </c>
    </row>
    <row r="288" spans="1:14" ht="22.5" customHeight="1">
      <c r="A288" s="428">
        <v>42418</v>
      </c>
      <c r="B288" s="429" t="s">
        <v>2972</v>
      </c>
      <c r="C288" s="229"/>
      <c r="D288" s="3159">
        <v>2750000</v>
      </c>
      <c r="E288" s="3159">
        <v>495000</v>
      </c>
      <c r="F288" s="195"/>
      <c r="G288" s="195"/>
      <c r="H288" s="431"/>
      <c r="I288" s="432"/>
      <c r="J288" s="195"/>
      <c r="K288" s="195"/>
      <c r="L288" s="195"/>
      <c r="M288" s="430"/>
      <c r="N288" s="2872">
        <f t="shared" si="4"/>
        <v>39963700</v>
      </c>
    </row>
    <row r="289" spans="1:14" ht="22.5" customHeight="1">
      <c r="A289" s="428">
        <v>42418</v>
      </c>
      <c r="B289" s="429" t="s">
        <v>2973</v>
      </c>
      <c r="C289" s="229"/>
      <c r="D289" s="3159">
        <v>1625000</v>
      </c>
      <c r="E289" s="3159">
        <v>375000</v>
      </c>
      <c r="F289" s="195"/>
      <c r="G289" s="195"/>
      <c r="H289" s="431"/>
      <c r="I289" s="432"/>
      <c r="J289" s="195"/>
      <c r="K289" s="195"/>
      <c r="L289" s="195"/>
      <c r="M289" s="430"/>
      <c r="N289" s="2872">
        <f t="shared" si="4"/>
        <v>41963700</v>
      </c>
    </row>
    <row r="290" spans="1:14" ht="22.5" customHeight="1">
      <c r="A290" s="428">
        <v>42418</v>
      </c>
      <c r="B290" s="429" t="s">
        <v>2974</v>
      </c>
      <c r="C290" s="229"/>
      <c r="D290" s="3159">
        <v>666700</v>
      </c>
      <c r="E290" s="3159">
        <v>120000</v>
      </c>
      <c r="F290" s="195"/>
      <c r="G290" s="195"/>
      <c r="H290" s="431"/>
      <c r="I290" s="432"/>
      <c r="J290" s="195"/>
      <c r="K290" s="195"/>
      <c r="L290" s="195"/>
      <c r="M290" s="430"/>
      <c r="N290" s="2872">
        <f t="shared" si="4"/>
        <v>42750400</v>
      </c>
    </row>
    <row r="291" spans="1:14" ht="22.5" customHeight="1">
      <c r="A291" s="428">
        <v>42418</v>
      </c>
      <c r="B291" s="429" t="s">
        <v>2975</v>
      </c>
      <c r="C291" s="229"/>
      <c r="D291" s="3159">
        <v>666700</v>
      </c>
      <c r="E291" s="3159">
        <v>120000</v>
      </c>
      <c r="F291" s="195"/>
      <c r="G291" s="195"/>
      <c r="H291" s="431"/>
      <c r="I291" s="432"/>
      <c r="J291" s="195"/>
      <c r="K291" s="195"/>
      <c r="L291" s="195"/>
      <c r="M291" s="430"/>
      <c r="N291" s="2872">
        <f t="shared" si="4"/>
        <v>43537100</v>
      </c>
    </row>
    <row r="292" spans="1:14" ht="22.5" customHeight="1">
      <c r="A292" s="428">
        <v>42418</v>
      </c>
      <c r="B292" s="429" t="s">
        <v>2974</v>
      </c>
      <c r="C292" s="229"/>
      <c r="D292" s="3159">
        <v>666300</v>
      </c>
      <c r="E292" s="3159">
        <v>0</v>
      </c>
      <c r="F292" s="195"/>
      <c r="G292" s="195"/>
      <c r="H292" s="431"/>
      <c r="I292" s="432"/>
      <c r="J292" s="195"/>
      <c r="K292" s="195"/>
      <c r="L292" s="195"/>
      <c r="M292" s="430"/>
      <c r="N292" s="2872">
        <f t="shared" si="4"/>
        <v>44203400</v>
      </c>
    </row>
    <row r="293" spans="1:14" ht="22.5" customHeight="1">
      <c r="A293" s="428">
        <v>42418</v>
      </c>
      <c r="B293" s="429" t="s">
        <v>2975</v>
      </c>
      <c r="C293" s="229"/>
      <c r="D293" s="3159">
        <v>666300</v>
      </c>
      <c r="E293" s="3159">
        <v>0</v>
      </c>
      <c r="F293" s="195"/>
      <c r="G293" s="195"/>
      <c r="H293" s="431"/>
      <c r="I293" s="432"/>
      <c r="J293" s="195"/>
      <c r="K293" s="195"/>
      <c r="L293" s="195"/>
      <c r="M293" s="430"/>
      <c r="N293" s="2872">
        <f t="shared" si="4"/>
        <v>44869700</v>
      </c>
    </row>
    <row r="294" spans="1:14" ht="22.5" customHeight="1">
      <c r="A294" s="428">
        <v>42418</v>
      </c>
      <c r="B294" s="429" t="s">
        <v>2747</v>
      </c>
      <c r="C294" s="229"/>
      <c r="D294" s="3159"/>
      <c r="E294" s="3159"/>
      <c r="F294" s="195"/>
      <c r="G294" s="195"/>
      <c r="H294" s="431"/>
      <c r="I294" s="432"/>
      <c r="J294" s="195"/>
      <c r="K294" s="195"/>
      <c r="L294" s="195">
        <v>115200</v>
      </c>
      <c r="M294" s="430"/>
      <c r="N294" s="2872">
        <f t="shared" si="4"/>
        <v>44754500</v>
      </c>
    </row>
    <row r="295" spans="1:14" ht="22.5" customHeight="1">
      <c r="A295" s="428">
        <v>42418</v>
      </c>
      <c r="B295" s="429" t="s">
        <v>2747</v>
      </c>
      <c r="C295" s="229"/>
      <c r="D295" s="3159"/>
      <c r="E295" s="3159"/>
      <c r="F295" s="195"/>
      <c r="G295" s="195"/>
      <c r="H295" s="431"/>
      <c r="I295" s="432"/>
      <c r="J295" s="195"/>
      <c r="K295" s="195"/>
      <c r="L295" s="195">
        <v>115200</v>
      </c>
      <c r="M295" s="430"/>
      <c r="N295" s="2872">
        <f t="shared" si="4"/>
        <v>44639300</v>
      </c>
    </row>
    <row r="296" spans="1:14" ht="22.5" customHeight="1">
      <c r="A296" s="428">
        <v>42418</v>
      </c>
      <c r="B296" s="429" t="s">
        <v>2741</v>
      </c>
      <c r="C296" s="229"/>
      <c r="D296" s="3159"/>
      <c r="E296" s="3159"/>
      <c r="F296" s="195"/>
      <c r="G296" s="195"/>
      <c r="H296" s="431"/>
      <c r="I296" s="432">
        <v>44639300</v>
      </c>
      <c r="J296" s="195"/>
      <c r="K296" s="195"/>
      <c r="L296" s="195"/>
      <c r="M296" s="430"/>
      <c r="N296" s="2872">
        <f t="shared" si="4"/>
        <v>0</v>
      </c>
    </row>
    <row r="297" spans="1:14" ht="22.5" customHeight="1">
      <c r="A297" s="428">
        <v>42418</v>
      </c>
      <c r="B297" s="429" t="s">
        <v>2745</v>
      </c>
      <c r="C297" s="229"/>
      <c r="D297" s="3159"/>
      <c r="E297" s="3159"/>
      <c r="F297" s="195"/>
      <c r="G297" s="195"/>
      <c r="H297" s="431">
        <v>40000000</v>
      </c>
      <c r="I297" s="432"/>
      <c r="J297" s="195"/>
      <c r="K297" s="195"/>
      <c r="L297" s="195"/>
      <c r="M297" s="430"/>
      <c r="N297" s="2872">
        <f t="shared" si="4"/>
        <v>40000000</v>
      </c>
    </row>
    <row r="298" spans="1:14" ht="22.5" customHeight="1">
      <c r="A298" s="428">
        <v>42418</v>
      </c>
      <c r="B298" s="429" t="s">
        <v>2976</v>
      </c>
      <c r="C298" s="229"/>
      <c r="D298" s="3159"/>
      <c r="E298" s="3159"/>
      <c r="F298" s="195"/>
      <c r="G298" s="195"/>
      <c r="H298" s="431"/>
      <c r="I298" s="432"/>
      <c r="J298" s="195">
        <v>40000000</v>
      </c>
      <c r="K298" s="195"/>
      <c r="L298" s="195"/>
      <c r="M298" s="430"/>
      <c r="N298" s="2872">
        <f t="shared" si="4"/>
        <v>0</v>
      </c>
    </row>
    <row r="299" spans="1:14" ht="22.5" customHeight="1">
      <c r="A299" s="428">
        <v>42419</v>
      </c>
      <c r="B299" s="429" t="s">
        <v>2977</v>
      </c>
      <c r="C299" s="229"/>
      <c r="D299" s="3159">
        <v>2083300</v>
      </c>
      <c r="E299" s="3159">
        <v>375000</v>
      </c>
      <c r="F299" s="195"/>
      <c r="G299" s="195"/>
      <c r="H299" s="431"/>
      <c r="I299" s="432"/>
      <c r="J299" s="195"/>
      <c r="K299" s="195"/>
      <c r="L299" s="195"/>
      <c r="M299" s="430"/>
      <c r="N299" s="2872">
        <f t="shared" si="4"/>
        <v>2458300</v>
      </c>
    </row>
    <row r="300" spans="1:14" ht="22.5" customHeight="1">
      <c r="A300" s="428">
        <v>42419</v>
      </c>
      <c r="B300" s="429" t="s">
        <v>2978</v>
      </c>
      <c r="C300" s="229"/>
      <c r="D300" s="3159">
        <v>3333300</v>
      </c>
      <c r="E300" s="3159">
        <v>600000</v>
      </c>
      <c r="F300" s="195"/>
      <c r="G300" s="195"/>
      <c r="H300" s="431"/>
      <c r="I300" s="432"/>
      <c r="J300" s="195"/>
      <c r="K300" s="195"/>
      <c r="L300" s="195"/>
      <c r="M300" s="430"/>
      <c r="N300" s="2872">
        <f t="shared" si="4"/>
        <v>6391600</v>
      </c>
    </row>
    <row r="301" spans="1:14" ht="22.5" customHeight="1">
      <c r="A301" s="428">
        <v>42419</v>
      </c>
      <c r="B301" s="429" t="s">
        <v>2979</v>
      </c>
      <c r="C301" s="229"/>
      <c r="D301" s="3159">
        <v>4000000</v>
      </c>
      <c r="E301" s="3159">
        <v>720000</v>
      </c>
      <c r="F301" s="195"/>
      <c r="G301" s="195"/>
      <c r="H301" s="431"/>
      <c r="I301" s="432"/>
      <c r="J301" s="195"/>
      <c r="K301" s="195"/>
      <c r="L301" s="195"/>
      <c r="M301" s="430"/>
      <c r="N301" s="2872">
        <f t="shared" si="4"/>
        <v>11111600</v>
      </c>
    </row>
    <row r="302" spans="1:14" ht="22.5" customHeight="1">
      <c r="A302" s="428">
        <v>42419</v>
      </c>
      <c r="B302" s="429" t="s">
        <v>2980</v>
      </c>
      <c r="C302" s="229"/>
      <c r="D302" s="3159">
        <v>4166700</v>
      </c>
      <c r="E302" s="3159">
        <v>750000</v>
      </c>
      <c r="F302" s="195"/>
      <c r="G302" s="195"/>
      <c r="H302" s="431"/>
      <c r="I302" s="432"/>
      <c r="J302" s="195"/>
      <c r="K302" s="195"/>
      <c r="L302" s="195"/>
      <c r="M302" s="430"/>
      <c r="N302" s="2872">
        <f t="shared" si="4"/>
        <v>16028300</v>
      </c>
    </row>
    <row r="303" spans="1:14" ht="22.5" customHeight="1">
      <c r="A303" s="428">
        <v>42419</v>
      </c>
      <c r="B303" s="429" t="s">
        <v>2981</v>
      </c>
      <c r="C303" s="229"/>
      <c r="D303" s="3159">
        <v>3000000</v>
      </c>
      <c r="E303" s="3159">
        <v>540000</v>
      </c>
      <c r="F303" s="195"/>
      <c r="G303" s="195"/>
      <c r="H303" s="431"/>
      <c r="I303" s="432"/>
      <c r="J303" s="195"/>
      <c r="K303" s="195"/>
      <c r="L303" s="195"/>
      <c r="M303" s="430"/>
      <c r="N303" s="2872">
        <f t="shared" si="4"/>
        <v>19568300</v>
      </c>
    </row>
    <row r="304" spans="1:14" ht="22.5" customHeight="1">
      <c r="A304" s="428">
        <v>42419</v>
      </c>
      <c r="B304" s="429" t="s">
        <v>2982</v>
      </c>
      <c r="C304" s="229"/>
      <c r="D304" s="3159">
        <v>3250000</v>
      </c>
      <c r="E304" s="3159">
        <v>585000</v>
      </c>
      <c r="F304" s="195"/>
      <c r="G304" s="195"/>
      <c r="H304" s="431"/>
      <c r="I304" s="432"/>
      <c r="J304" s="195"/>
      <c r="K304" s="195"/>
      <c r="L304" s="195"/>
      <c r="M304" s="430"/>
      <c r="N304" s="2872">
        <f t="shared" si="4"/>
        <v>23403300</v>
      </c>
    </row>
    <row r="305" spans="1:14" ht="22.5" customHeight="1">
      <c r="A305" s="428">
        <v>42419</v>
      </c>
      <c r="B305" s="429" t="s">
        <v>2983</v>
      </c>
      <c r="C305" s="229"/>
      <c r="D305" s="3159">
        <v>2916700</v>
      </c>
      <c r="E305" s="3159">
        <v>525000</v>
      </c>
      <c r="F305" s="195"/>
      <c r="G305" s="195"/>
      <c r="H305" s="431"/>
      <c r="I305" s="432"/>
      <c r="J305" s="195"/>
      <c r="K305" s="195"/>
      <c r="L305" s="195"/>
      <c r="M305" s="430"/>
      <c r="N305" s="2872">
        <f t="shared" si="4"/>
        <v>26845000</v>
      </c>
    </row>
    <row r="306" spans="1:14" ht="22.5" customHeight="1">
      <c r="A306" s="428">
        <v>42419</v>
      </c>
      <c r="B306" s="429" t="s">
        <v>2984</v>
      </c>
      <c r="C306" s="229"/>
      <c r="D306" s="3159">
        <v>2916700</v>
      </c>
      <c r="E306" s="3159">
        <v>525000</v>
      </c>
      <c r="F306" s="195"/>
      <c r="G306" s="195"/>
      <c r="H306" s="431"/>
      <c r="I306" s="432"/>
      <c r="J306" s="195"/>
      <c r="K306" s="195"/>
      <c r="L306" s="195"/>
      <c r="M306" s="430"/>
      <c r="N306" s="2872">
        <f t="shared" si="4"/>
        <v>30286700</v>
      </c>
    </row>
    <row r="307" spans="1:14" ht="22.5" customHeight="1">
      <c r="A307" s="428">
        <v>42419</v>
      </c>
      <c r="B307" s="429" t="s">
        <v>2985</v>
      </c>
      <c r="C307" s="229"/>
      <c r="D307" s="3159">
        <v>2083300</v>
      </c>
      <c r="E307" s="3159">
        <v>375000</v>
      </c>
      <c r="F307" s="195"/>
      <c r="G307" s="195"/>
      <c r="H307" s="431"/>
      <c r="I307" s="432"/>
      <c r="J307" s="195"/>
      <c r="K307" s="195"/>
      <c r="L307" s="195"/>
      <c r="M307" s="430"/>
      <c r="N307" s="2872">
        <f t="shared" si="4"/>
        <v>32745000</v>
      </c>
    </row>
    <row r="308" spans="1:14" ht="22.5" customHeight="1">
      <c r="A308" s="428">
        <v>42419</v>
      </c>
      <c r="B308" s="429" t="s">
        <v>2741</v>
      </c>
      <c r="C308" s="229"/>
      <c r="D308" s="3159"/>
      <c r="E308" s="3159"/>
      <c r="F308" s="195"/>
      <c r="G308" s="195"/>
      <c r="H308" s="431"/>
      <c r="I308" s="432">
        <v>32745000</v>
      </c>
      <c r="J308" s="195"/>
      <c r="K308" s="195"/>
      <c r="L308" s="195"/>
      <c r="M308" s="430"/>
      <c r="N308" s="2872">
        <f t="shared" si="4"/>
        <v>0</v>
      </c>
    </row>
    <row r="309" spans="1:14" ht="22.5" customHeight="1">
      <c r="A309" s="428">
        <v>42422</v>
      </c>
      <c r="B309" s="429" t="s">
        <v>2986</v>
      </c>
      <c r="C309" s="229"/>
      <c r="D309" s="3159">
        <v>2083300</v>
      </c>
      <c r="E309" s="3159">
        <v>375000</v>
      </c>
      <c r="F309" s="195"/>
      <c r="G309" s="195"/>
      <c r="H309" s="431"/>
      <c r="I309" s="432"/>
      <c r="J309" s="195"/>
      <c r="K309" s="195"/>
      <c r="L309" s="195"/>
      <c r="M309" s="430"/>
      <c r="N309" s="2872">
        <f t="shared" si="4"/>
        <v>2458300</v>
      </c>
    </row>
    <row r="310" spans="1:14" ht="22.5" customHeight="1">
      <c r="A310" s="428">
        <v>42422</v>
      </c>
      <c r="B310" s="429" t="s">
        <v>2987</v>
      </c>
      <c r="C310" s="229"/>
      <c r="D310" s="3159">
        <v>32400</v>
      </c>
      <c r="E310" s="3159">
        <v>0</v>
      </c>
      <c r="F310" s="195"/>
      <c r="G310" s="195"/>
      <c r="H310" s="431"/>
      <c r="I310" s="432"/>
      <c r="J310" s="195"/>
      <c r="K310" s="195"/>
      <c r="L310" s="195"/>
      <c r="M310" s="430"/>
      <c r="N310" s="2872">
        <f t="shared" si="4"/>
        <v>2490700</v>
      </c>
    </row>
    <row r="311" spans="1:14" ht="22.5" customHeight="1">
      <c r="A311" s="428">
        <v>42422</v>
      </c>
      <c r="B311" s="429" t="s">
        <v>2987</v>
      </c>
      <c r="C311" s="229"/>
      <c r="D311" s="3159">
        <v>905100</v>
      </c>
      <c r="E311" s="3159">
        <v>262500</v>
      </c>
      <c r="F311" s="195"/>
      <c r="G311" s="195"/>
      <c r="H311" s="431"/>
      <c r="I311" s="432"/>
      <c r="J311" s="195"/>
      <c r="K311" s="195"/>
      <c r="L311" s="195"/>
      <c r="M311" s="430"/>
      <c r="N311" s="2872">
        <f t="shared" si="4"/>
        <v>3658300</v>
      </c>
    </row>
    <row r="312" spans="1:14" ht="22.5" customHeight="1">
      <c r="A312" s="428">
        <v>42422</v>
      </c>
      <c r="B312" s="429" t="s">
        <v>2745</v>
      </c>
      <c r="C312" s="229"/>
      <c r="D312" s="3159"/>
      <c r="E312" s="3159"/>
      <c r="F312" s="195"/>
      <c r="G312" s="195"/>
      <c r="H312" s="431">
        <v>97000000</v>
      </c>
      <c r="I312" s="432"/>
      <c r="J312" s="195"/>
      <c r="K312" s="195"/>
      <c r="L312" s="195"/>
      <c r="M312" s="430"/>
      <c r="N312" s="2872">
        <f t="shared" si="4"/>
        <v>100658300</v>
      </c>
    </row>
    <row r="313" spans="1:14" ht="22.5" customHeight="1">
      <c r="A313" s="428">
        <v>42422</v>
      </c>
      <c r="B313" s="429" t="s">
        <v>2988</v>
      </c>
      <c r="C313" s="229"/>
      <c r="D313" s="3159"/>
      <c r="E313" s="3159"/>
      <c r="F313" s="195"/>
      <c r="G313" s="195"/>
      <c r="H313" s="431"/>
      <c r="I313" s="432"/>
      <c r="J313" s="195">
        <v>12000000</v>
      </c>
      <c r="K313" s="195"/>
      <c r="L313" s="195"/>
      <c r="M313" s="430"/>
      <c r="N313" s="2872">
        <f t="shared" si="4"/>
        <v>88658300</v>
      </c>
    </row>
    <row r="314" spans="1:14" ht="22.5" customHeight="1">
      <c r="A314" s="428">
        <v>42422</v>
      </c>
      <c r="B314" s="429" t="s">
        <v>2989</v>
      </c>
      <c r="C314" s="229"/>
      <c r="D314" s="3159"/>
      <c r="E314" s="3159"/>
      <c r="F314" s="195"/>
      <c r="G314" s="195"/>
      <c r="H314" s="431"/>
      <c r="I314" s="432"/>
      <c r="J314" s="195">
        <v>12000000</v>
      </c>
      <c r="K314" s="195"/>
      <c r="L314" s="195"/>
      <c r="M314" s="430"/>
      <c r="N314" s="2872">
        <f t="shared" si="4"/>
        <v>76658300</v>
      </c>
    </row>
    <row r="315" spans="1:14" ht="22.5" customHeight="1">
      <c r="A315" s="428">
        <v>42422</v>
      </c>
      <c r="B315" s="429" t="s">
        <v>2990</v>
      </c>
      <c r="C315" s="229"/>
      <c r="D315" s="3159"/>
      <c r="E315" s="3159"/>
      <c r="F315" s="195"/>
      <c r="G315" s="195"/>
      <c r="H315" s="431"/>
      <c r="I315" s="432"/>
      <c r="J315" s="195">
        <v>35000000</v>
      </c>
      <c r="K315" s="195"/>
      <c r="L315" s="195"/>
      <c r="M315" s="430"/>
      <c r="N315" s="2872">
        <f t="shared" si="4"/>
        <v>41658300</v>
      </c>
    </row>
    <row r="316" spans="1:14" ht="22.5" customHeight="1">
      <c r="A316" s="428">
        <v>42422</v>
      </c>
      <c r="B316" s="429" t="s">
        <v>2991</v>
      </c>
      <c r="C316" s="229"/>
      <c r="D316" s="3159"/>
      <c r="E316" s="3159"/>
      <c r="F316" s="195"/>
      <c r="G316" s="195"/>
      <c r="H316" s="431"/>
      <c r="I316" s="432"/>
      <c r="J316" s="195">
        <v>38000000</v>
      </c>
      <c r="K316" s="195"/>
      <c r="L316" s="195"/>
      <c r="M316" s="430"/>
      <c r="N316" s="2872">
        <f t="shared" si="4"/>
        <v>3658300</v>
      </c>
    </row>
    <row r="317" spans="1:14" ht="22.5" customHeight="1">
      <c r="A317" s="428">
        <v>42422</v>
      </c>
      <c r="B317" s="429" t="s">
        <v>2992</v>
      </c>
      <c r="C317" s="229"/>
      <c r="D317" s="3159">
        <v>875000</v>
      </c>
      <c r="E317" s="3159">
        <v>157500</v>
      </c>
      <c r="F317" s="195"/>
      <c r="G317" s="195"/>
      <c r="H317" s="431"/>
      <c r="I317" s="432"/>
      <c r="J317" s="195"/>
      <c r="K317" s="195"/>
      <c r="L317" s="195"/>
      <c r="M317" s="430"/>
      <c r="N317" s="2872">
        <f t="shared" si="4"/>
        <v>4690800</v>
      </c>
    </row>
    <row r="318" spans="1:14" ht="22.5" customHeight="1">
      <c r="A318" s="428">
        <v>42422</v>
      </c>
      <c r="B318" s="429" t="s">
        <v>2885</v>
      </c>
      <c r="C318" s="229"/>
      <c r="D318" s="3159">
        <v>2916300</v>
      </c>
      <c r="E318" s="3159">
        <v>0</v>
      </c>
      <c r="F318" s="195"/>
      <c r="G318" s="195"/>
      <c r="H318" s="431"/>
      <c r="I318" s="432"/>
      <c r="J318" s="195"/>
      <c r="K318" s="195"/>
      <c r="L318" s="195"/>
      <c r="M318" s="430"/>
      <c r="N318" s="2872">
        <f t="shared" si="4"/>
        <v>7607100</v>
      </c>
    </row>
    <row r="319" spans="1:14" ht="22.5" customHeight="1">
      <c r="A319" s="428">
        <v>42422</v>
      </c>
      <c r="B319" s="429" t="s">
        <v>2747</v>
      </c>
      <c r="C319" s="229"/>
      <c r="D319" s="3159"/>
      <c r="E319" s="3159"/>
      <c r="F319" s="195"/>
      <c r="G319" s="195"/>
      <c r="H319" s="431"/>
      <c r="I319" s="432"/>
      <c r="J319" s="195"/>
      <c r="K319" s="195"/>
      <c r="L319" s="195">
        <v>504000</v>
      </c>
      <c r="M319" s="430"/>
      <c r="N319" s="2872">
        <f t="shared" si="4"/>
        <v>7103100</v>
      </c>
    </row>
    <row r="320" spans="1:14" ht="22.5" customHeight="1">
      <c r="A320" s="428">
        <v>42422</v>
      </c>
      <c r="B320" s="429" t="s">
        <v>2993</v>
      </c>
      <c r="C320" s="229"/>
      <c r="D320" s="3159">
        <v>2500000</v>
      </c>
      <c r="E320" s="3159">
        <v>450000</v>
      </c>
      <c r="F320" s="195"/>
      <c r="G320" s="195"/>
      <c r="H320" s="431"/>
      <c r="I320" s="432"/>
      <c r="J320" s="195"/>
      <c r="K320" s="195"/>
      <c r="L320" s="195"/>
      <c r="M320" s="430"/>
      <c r="N320" s="2872">
        <f t="shared" si="4"/>
        <v>10053100</v>
      </c>
    </row>
    <row r="321" spans="1:14" ht="22.5" customHeight="1">
      <c r="A321" s="428">
        <v>42422</v>
      </c>
      <c r="B321" s="429" t="s">
        <v>2994</v>
      </c>
      <c r="C321" s="229"/>
      <c r="D321" s="3159">
        <v>2666700</v>
      </c>
      <c r="E321" s="3159">
        <v>480000</v>
      </c>
      <c r="F321" s="195"/>
      <c r="G321" s="195"/>
      <c r="H321" s="431"/>
      <c r="I321" s="432"/>
      <c r="J321" s="195"/>
      <c r="K321" s="195"/>
      <c r="L321" s="195"/>
      <c r="M321" s="430"/>
      <c r="N321" s="2872">
        <f t="shared" si="4"/>
        <v>13199800</v>
      </c>
    </row>
    <row r="322" spans="1:14" ht="22.5" customHeight="1">
      <c r="A322" s="428">
        <v>42422</v>
      </c>
      <c r="B322" s="429" t="s">
        <v>2995</v>
      </c>
      <c r="C322" s="229"/>
      <c r="D322" s="3159">
        <v>2750000</v>
      </c>
      <c r="E322" s="3159">
        <v>495000</v>
      </c>
      <c r="F322" s="195"/>
      <c r="G322" s="195"/>
      <c r="H322" s="431"/>
      <c r="I322" s="432"/>
      <c r="J322" s="195"/>
      <c r="K322" s="195"/>
      <c r="L322" s="195"/>
      <c r="M322" s="430"/>
      <c r="N322" s="2872">
        <f t="shared" si="4"/>
        <v>16444800</v>
      </c>
    </row>
    <row r="323" spans="1:14" ht="22.5" customHeight="1">
      <c r="A323" s="428">
        <v>42422</v>
      </c>
      <c r="B323" s="429" t="s">
        <v>2996</v>
      </c>
      <c r="C323" s="229"/>
      <c r="D323" s="3159">
        <v>2083300</v>
      </c>
      <c r="E323" s="3159">
        <v>375000</v>
      </c>
      <c r="F323" s="195"/>
      <c r="G323" s="195"/>
      <c r="H323" s="431"/>
      <c r="I323" s="432"/>
      <c r="J323" s="195"/>
      <c r="K323" s="195"/>
      <c r="L323" s="195"/>
      <c r="M323" s="430"/>
      <c r="N323" s="2872">
        <f t="shared" si="4"/>
        <v>18903100</v>
      </c>
    </row>
    <row r="324" spans="1:14" ht="22.5" customHeight="1">
      <c r="A324" s="428">
        <v>42422</v>
      </c>
      <c r="B324" s="429" t="s">
        <v>2747</v>
      </c>
      <c r="C324" s="229"/>
      <c r="D324" s="3159"/>
      <c r="E324" s="3159"/>
      <c r="F324" s="195"/>
      <c r="G324" s="195"/>
      <c r="H324" s="431"/>
      <c r="I324" s="432">
        <v>18903100</v>
      </c>
      <c r="J324" s="195"/>
      <c r="K324" s="195"/>
      <c r="L324" s="195"/>
      <c r="M324" s="430"/>
      <c r="N324" s="2872">
        <f t="shared" ref="N324:N364" si="5">N323+(SUM((D324:H324))-(SUM((I324:M324))))</f>
        <v>0</v>
      </c>
    </row>
    <row r="325" spans="1:14" ht="22.5" customHeight="1">
      <c r="A325" s="428">
        <v>42423</v>
      </c>
      <c r="B325" s="429" t="s">
        <v>3023</v>
      </c>
      <c r="C325" s="229"/>
      <c r="D325" s="3159">
        <v>2291700</v>
      </c>
      <c r="E325" s="3159">
        <v>412500</v>
      </c>
      <c r="F325" s="195"/>
      <c r="G325" s="195"/>
      <c r="H325" s="431"/>
      <c r="I325" s="432"/>
      <c r="J325" s="195"/>
      <c r="K325" s="195"/>
      <c r="L325" s="195"/>
      <c r="M325" s="430"/>
      <c r="N325" s="2872">
        <f t="shared" si="5"/>
        <v>2704200</v>
      </c>
    </row>
    <row r="326" spans="1:14" ht="22.5" customHeight="1">
      <c r="A326" s="428">
        <v>42423</v>
      </c>
      <c r="B326" s="429" t="s">
        <v>2745</v>
      </c>
      <c r="C326" s="229"/>
      <c r="D326" s="3159"/>
      <c r="E326" s="3159"/>
      <c r="F326" s="195"/>
      <c r="G326" s="195"/>
      <c r="H326" s="431">
        <v>34980000</v>
      </c>
      <c r="I326" s="432"/>
      <c r="J326" s="195"/>
      <c r="K326" s="195"/>
      <c r="L326" s="195"/>
      <c r="M326" s="430"/>
      <c r="N326" s="2872">
        <f t="shared" si="5"/>
        <v>37684200</v>
      </c>
    </row>
    <row r="327" spans="1:14" ht="22.5" customHeight="1">
      <c r="A327" s="428">
        <v>42423</v>
      </c>
      <c r="B327" s="429" t="s">
        <v>2747</v>
      </c>
      <c r="C327" s="229"/>
      <c r="D327" s="3159"/>
      <c r="E327" s="3159"/>
      <c r="F327" s="195"/>
      <c r="G327" s="195"/>
      <c r="H327" s="431"/>
      <c r="I327" s="432"/>
      <c r="J327" s="195"/>
      <c r="K327" s="195"/>
      <c r="L327" s="195">
        <v>34980000</v>
      </c>
      <c r="M327" s="430"/>
      <c r="N327" s="2872">
        <f t="shared" si="5"/>
        <v>2704200</v>
      </c>
    </row>
    <row r="328" spans="1:14" ht="22.5" customHeight="1">
      <c r="A328" s="428">
        <v>42423</v>
      </c>
      <c r="B328" s="429" t="s">
        <v>3024</v>
      </c>
      <c r="C328" s="229"/>
      <c r="D328" s="3159">
        <v>1625000</v>
      </c>
      <c r="E328" s="3159">
        <v>375000</v>
      </c>
      <c r="F328" s="195"/>
      <c r="G328" s="195"/>
      <c r="H328" s="431"/>
      <c r="I328" s="432"/>
      <c r="J328" s="195"/>
      <c r="K328" s="195"/>
      <c r="L328" s="195"/>
      <c r="M328" s="430"/>
      <c r="N328" s="2872">
        <f t="shared" si="5"/>
        <v>4704200</v>
      </c>
    </row>
    <row r="329" spans="1:14" ht="22.5" customHeight="1">
      <c r="A329" s="428">
        <v>42423</v>
      </c>
      <c r="B329" s="429" t="s">
        <v>3026</v>
      </c>
      <c r="C329" s="229"/>
      <c r="D329" s="3159">
        <v>2000000</v>
      </c>
      <c r="E329" s="3159">
        <v>360000</v>
      </c>
      <c r="F329" s="195"/>
      <c r="G329" s="195"/>
      <c r="H329" s="431"/>
      <c r="I329" s="432"/>
      <c r="J329" s="195"/>
      <c r="K329" s="195"/>
      <c r="L329" s="195"/>
      <c r="M329" s="430"/>
      <c r="N329" s="2872">
        <f t="shared" si="5"/>
        <v>7064200</v>
      </c>
    </row>
    <row r="330" spans="1:14" ht="22.5" customHeight="1">
      <c r="A330" s="428">
        <v>42423</v>
      </c>
      <c r="B330" s="429" t="s">
        <v>2741</v>
      </c>
      <c r="C330" s="229"/>
      <c r="D330" s="3159"/>
      <c r="E330" s="3159"/>
      <c r="F330" s="195"/>
      <c r="G330" s="195"/>
      <c r="H330" s="431"/>
      <c r="I330" s="432">
        <v>7064200</v>
      </c>
      <c r="J330" s="195"/>
      <c r="K330" s="195"/>
      <c r="L330" s="195"/>
      <c r="M330" s="430"/>
      <c r="N330" s="2872">
        <f t="shared" si="5"/>
        <v>0</v>
      </c>
    </row>
    <row r="331" spans="1:14" ht="22.5" customHeight="1">
      <c r="A331" s="428"/>
      <c r="B331" s="429" t="s">
        <v>2738</v>
      </c>
      <c r="C331" s="229"/>
      <c r="D331" s="3159"/>
      <c r="E331" s="3159"/>
      <c r="F331" s="195"/>
      <c r="G331" s="195"/>
      <c r="H331" s="431"/>
      <c r="I331" s="432"/>
      <c r="J331" s="195"/>
      <c r="K331" s="195"/>
      <c r="L331" s="195"/>
      <c r="M331" s="430"/>
      <c r="N331" s="2872">
        <f t="shared" si="5"/>
        <v>0</v>
      </c>
    </row>
    <row r="332" spans="1:14" ht="22.5" customHeight="1">
      <c r="A332" s="428"/>
      <c r="B332" s="429" t="s">
        <v>2738</v>
      </c>
      <c r="C332" s="229"/>
      <c r="D332" s="3159"/>
      <c r="E332" s="3159"/>
      <c r="F332" s="195"/>
      <c r="G332" s="195"/>
      <c r="H332" s="431"/>
      <c r="I332" s="432"/>
      <c r="J332" s="195"/>
      <c r="K332" s="195"/>
      <c r="L332" s="195"/>
      <c r="M332" s="430"/>
      <c r="N332" s="2872">
        <f t="shared" si="5"/>
        <v>0</v>
      </c>
    </row>
    <row r="333" spans="1:14" ht="22.5" customHeight="1">
      <c r="A333" s="428"/>
      <c r="B333" s="429" t="s">
        <v>2738</v>
      </c>
      <c r="C333" s="229"/>
      <c r="D333" s="3159"/>
      <c r="E333" s="3159"/>
      <c r="F333" s="195"/>
      <c r="G333" s="195"/>
      <c r="H333" s="431"/>
      <c r="I333" s="432"/>
      <c r="J333" s="195"/>
      <c r="K333" s="195"/>
      <c r="L333" s="195"/>
      <c r="M333" s="430"/>
      <c r="N333" s="2872">
        <f t="shared" si="5"/>
        <v>0</v>
      </c>
    </row>
    <row r="334" spans="1:14" ht="22.5" customHeight="1">
      <c r="A334" s="428"/>
      <c r="B334" s="429" t="s">
        <v>2738</v>
      </c>
      <c r="C334" s="229"/>
      <c r="D334" s="3159"/>
      <c r="E334" s="3159"/>
      <c r="F334" s="195"/>
      <c r="G334" s="195"/>
      <c r="H334" s="431"/>
      <c r="I334" s="432"/>
      <c r="J334" s="195"/>
      <c r="K334" s="195"/>
      <c r="L334" s="195"/>
      <c r="M334" s="430"/>
      <c r="N334" s="2872">
        <f t="shared" si="5"/>
        <v>0</v>
      </c>
    </row>
    <row r="335" spans="1:14" ht="22.5" customHeight="1">
      <c r="A335" s="428"/>
      <c r="B335" s="429" t="s">
        <v>2738</v>
      </c>
      <c r="C335" s="229"/>
      <c r="D335" s="3159"/>
      <c r="E335" s="3159"/>
      <c r="F335" s="195"/>
      <c r="G335" s="195"/>
      <c r="H335" s="431"/>
      <c r="I335" s="432"/>
      <c r="J335" s="195"/>
      <c r="K335" s="195"/>
      <c r="L335" s="195"/>
      <c r="M335" s="430"/>
      <c r="N335" s="2872">
        <f t="shared" si="5"/>
        <v>0</v>
      </c>
    </row>
    <row r="336" spans="1:14" ht="22.5" customHeight="1">
      <c r="A336" s="428"/>
      <c r="B336" s="429" t="s">
        <v>2738</v>
      </c>
      <c r="C336" s="229"/>
      <c r="D336" s="3159"/>
      <c r="E336" s="3159"/>
      <c r="F336" s="195"/>
      <c r="G336" s="195"/>
      <c r="H336" s="431"/>
      <c r="I336" s="432"/>
      <c r="J336" s="195"/>
      <c r="K336" s="195"/>
      <c r="L336" s="195"/>
      <c r="M336" s="430"/>
      <c r="N336" s="2872">
        <f t="shared" si="5"/>
        <v>0</v>
      </c>
    </row>
    <row r="337" spans="1:14" ht="22.5" customHeight="1">
      <c r="A337" s="428"/>
      <c r="B337" s="429" t="s">
        <v>2738</v>
      </c>
      <c r="C337" s="229"/>
      <c r="D337" s="3159"/>
      <c r="E337" s="3159"/>
      <c r="F337" s="195"/>
      <c r="G337" s="195"/>
      <c r="H337" s="431"/>
      <c r="I337" s="432"/>
      <c r="J337" s="195"/>
      <c r="K337" s="195"/>
      <c r="L337" s="195"/>
      <c r="M337" s="430"/>
      <c r="N337" s="2872">
        <f t="shared" si="5"/>
        <v>0</v>
      </c>
    </row>
    <row r="338" spans="1:14" ht="22.5" customHeight="1">
      <c r="A338" s="428"/>
      <c r="B338" s="429" t="s">
        <v>2738</v>
      </c>
      <c r="C338" s="229"/>
      <c r="D338" s="3159"/>
      <c r="E338" s="3159"/>
      <c r="F338" s="195"/>
      <c r="G338" s="195"/>
      <c r="H338" s="431"/>
      <c r="I338" s="432"/>
      <c r="J338" s="195"/>
      <c r="K338" s="195"/>
      <c r="L338" s="195"/>
      <c r="M338" s="430"/>
      <c r="N338" s="2872">
        <f t="shared" si="5"/>
        <v>0</v>
      </c>
    </row>
    <row r="339" spans="1:14" ht="22.5" customHeight="1">
      <c r="A339" s="428"/>
      <c r="B339" s="429" t="s">
        <v>2738</v>
      </c>
      <c r="C339" s="229"/>
      <c r="D339" s="3159"/>
      <c r="E339" s="3159"/>
      <c r="F339" s="195"/>
      <c r="G339" s="195"/>
      <c r="H339" s="431"/>
      <c r="I339" s="432"/>
      <c r="J339" s="195"/>
      <c r="K339" s="195"/>
      <c r="L339" s="195"/>
      <c r="M339" s="430"/>
      <c r="N339" s="2872">
        <f t="shared" si="5"/>
        <v>0</v>
      </c>
    </row>
    <row r="340" spans="1:14" ht="22.5" customHeight="1">
      <c r="A340" s="428"/>
      <c r="B340" s="429" t="s">
        <v>2738</v>
      </c>
      <c r="C340" s="229"/>
      <c r="D340" s="3159"/>
      <c r="E340" s="3159"/>
      <c r="F340" s="195"/>
      <c r="G340" s="195"/>
      <c r="H340" s="431"/>
      <c r="I340" s="432"/>
      <c r="J340" s="195"/>
      <c r="K340" s="195"/>
      <c r="L340" s="195"/>
      <c r="M340" s="430"/>
      <c r="N340" s="2872">
        <f t="shared" si="5"/>
        <v>0</v>
      </c>
    </row>
    <row r="341" spans="1:14" ht="22.5" customHeight="1">
      <c r="A341" s="428"/>
      <c r="B341" s="429" t="s">
        <v>2738</v>
      </c>
      <c r="C341" s="229"/>
      <c r="D341" s="3159"/>
      <c r="E341" s="3159"/>
      <c r="F341" s="195"/>
      <c r="G341" s="195"/>
      <c r="H341" s="431"/>
      <c r="I341" s="432"/>
      <c r="J341" s="195"/>
      <c r="K341" s="195"/>
      <c r="L341" s="195"/>
      <c r="M341" s="430"/>
      <c r="N341" s="2872">
        <f t="shared" si="5"/>
        <v>0</v>
      </c>
    </row>
    <row r="342" spans="1:14" ht="22.5" customHeight="1">
      <c r="A342" s="428"/>
      <c r="B342" s="429" t="s">
        <v>2738</v>
      </c>
      <c r="C342" s="229"/>
      <c r="D342" s="3159"/>
      <c r="E342" s="3159"/>
      <c r="F342" s="195"/>
      <c r="G342" s="195"/>
      <c r="H342" s="431"/>
      <c r="I342" s="432"/>
      <c r="J342" s="195"/>
      <c r="K342" s="195"/>
      <c r="L342" s="195"/>
      <c r="M342" s="430"/>
      <c r="N342" s="2872">
        <f t="shared" si="5"/>
        <v>0</v>
      </c>
    </row>
    <row r="343" spans="1:14" ht="22.5" customHeight="1">
      <c r="A343" s="428"/>
      <c r="B343" s="429" t="s">
        <v>2738</v>
      </c>
      <c r="C343" s="229"/>
      <c r="D343" s="3159"/>
      <c r="E343" s="3159"/>
      <c r="F343" s="195"/>
      <c r="G343" s="195"/>
      <c r="H343" s="431"/>
      <c r="I343" s="432"/>
      <c r="J343" s="195"/>
      <c r="K343" s="195"/>
      <c r="L343" s="195"/>
      <c r="M343" s="430"/>
      <c r="N343" s="2872">
        <f t="shared" si="5"/>
        <v>0</v>
      </c>
    </row>
    <row r="344" spans="1:14" ht="22.5" customHeight="1">
      <c r="A344" s="428"/>
      <c r="B344" s="429" t="s">
        <v>2738</v>
      </c>
      <c r="C344" s="229"/>
      <c r="D344" s="3159"/>
      <c r="E344" s="3159"/>
      <c r="F344" s="195"/>
      <c r="G344" s="195"/>
      <c r="H344" s="431"/>
      <c r="I344" s="432"/>
      <c r="J344" s="195"/>
      <c r="K344" s="195"/>
      <c r="L344" s="195"/>
      <c r="M344" s="430"/>
      <c r="N344" s="2872">
        <f t="shared" si="5"/>
        <v>0</v>
      </c>
    </row>
    <row r="345" spans="1:14" ht="22.5" customHeight="1">
      <c r="A345" s="428"/>
      <c r="B345" s="429" t="s">
        <v>2738</v>
      </c>
      <c r="C345" s="229"/>
      <c r="D345" s="3159"/>
      <c r="E345" s="3159"/>
      <c r="F345" s="195"/>
      <c r="G345" s="195"/>
      <c r="H345" s="431"/>
      <c r="I345" s="432"/>
      <c r="J345" s="195"/>
      <c r="K345" s="195"/>
      <c r="L345" s="195"/>
      <c r="M345" s="430"/>
      <c r="N345" s="2872">
        <f t="shared" si="5"/>
        <v>0</v>
      </c>
    </row>
    <row r="346" spans="1:14" ht="22.5" customHeight="1">
      <c r="A346" s="428"/>
      <c r="B346" s="429" t="s">
        <v>2738</v>
      </c>
      <c r="C346" s="229"/>
      <c r="D346" s="3159"/>
      <c r="E346" s="3159"/>
      <c r="F346" s="195"/>
      <c r="G346" s="195"/>
      <c r="H346" s="431"/>
      <c r="I346" s="432"/>
      <c r="J346" s="195"/>
      <c r="K346" s="195"/>
      <c r="L346" s="195"/>
      <c r="M346" s="430"/>
      <c r="N346" s="2872">
        <f t="shared" si="5"/>
        <v>0</v>
      </c>
    </row>
    <row r="347" spans="1:14" ht="22.5" customHeight="1">
      <c r="A347" s="428"/>
      <c r="B347" s="429" t="s">
        <v>2738</v>
      </c>
      <c r="C347" s="229"/>
      <c r="D347" s="3159"/>
      <c r="E347" s="3159"/>
      <c r="F347" s="195"/>
      <c r="G347" s="195"/>
      <c r="H347" s="431"/>
      <c r="I347" s="432"/>
      <c r="J347" s="195"/>
      <c r="K347" s="195"/>
      <c r="L347" s="195"/>
      <c r="M347" s="430"/>
      <c r="N347" s="2872">
        <f t="shared" si="5"/>
        <v>0</v>
      </c>
    </row>
    <row r="348" spans="1:14" ht="22.5" customHeight="1">
      <c r="A348" s="428"/>
      <c r="B348" s="429" t="s">
        <v>2738</v>
      </c>
      <c r="C348" s="229"/>
      <c r="D348" s="3159"/>
      <c r="E348" s="3159"/>
      <c r="F348" s="195"/>
      <c r="G348" s="195"/>
      <c r="H348" s="431"/>
      <c r="I348" s="432"/>
      <c r="J348" s="195"/>
      <c r="K348" s="195"/>
      <c r="L348" s="195"/>
      <c r="M348" s="430"/>
      <c r="N348" s="2872">
        <f t="shared" si="5"/>
        <v>0</v>
      </c>
    </row>
    <row r="349" spans="1:14" ht="22.5" customHeight="1">
      <c r="A349" s="428"/>
      <c r="B349" s="429" t="s">
        <v>2738</v>
      </c>
      <c r="C349" s="229"/>
      <c r="D349" s="3159"/>
      <c r="E349" s="3159"/>
      <c r="F349" s="195"/>
      <c r="G349" s="195"/>
      <c r="H349" s="431"/>
      <c r="I349" s="432"/>
      <c r="J349" s="195"/>
      <c r="K349" s="195"/>
      <c r="L349" s="195"/>
      <c r="M349" s="430"/>
      <c r="N349" s="2872">
        <f t="shared" si="5"/>
        <v>0</v>
      </c>
    </row>
    <row r="350" spans="1:14" ht="22.5" customHeight="1">
      <c r="A350" s="428"/>
      <c r="B350" s="429" t="s">
        <v>2738</v>
      </c>
      <c r="C350" s="229"/>
      <c r="D350" s="3159"/>
      <c r="E350" s="3159"/>
      <c r="F350" s="195"/>
      <c r="G350" s="195"/>
      <c r="H350" s="431"/>
      <c r="I350" s="432"/>
      <c r="J350" s="195"/>
      <c r="K350" s="195"/>
      <c r="L350" s="195"/>
      <c r="M350" s="430"/>
      <c r="N350" s="2872">
        <f t="shared" si="5"/>
        <v>0</v>
      </c>
    </row>
    <row r="351" spans="1:14" ht="22.5" customHeight="1">
      <c r="A351" s="428"/>
      <c r="B351" s="429" t="s">
        <v>2738</v>
      </c>
      <c r="C351" s="229"/>
      <c r="D351" s="3159"/>
      <c r="E351" s="3159"/>
      <c r="F351" s="195"/>
      <c r="G351" s="195"/>
      <c r="H351" s="431"/>
      <c r="I351" s="432"/>
      <c r="J351" s="195"/>
      <c r="K351" s="195"/>
      <c r="L351" s="195"/>
      <c r="M351" s="430"/>
      <c r="N351" s="2872">
        <f t="shared" si="5"/>
        <v>0</v>
      </c>
    </row>
    <row r="352" spans="1:14" ht="22.5" customHeight="1">
      <c r="A352" s="428"/>
      <c r="B352" s="429" t="s">
        <v>2738</v>
      </c>
      <c r="C352" s="229"/>
      <c r="D352" s="3159"/>
      <c r="E352" s="3159"/>
      <c r="F352" s="195"/>
      <c r="G352" s="195"/>
      <c r="H352" s="431"/>
      <c r="I352" s="432"/>
      <c r="J352" s="195"/>
      <c r="K352" s="195"/>
      <c r="L352" s="195"/>
      <c r="M352" s="430"/>
      <c r="N352" s="2872">
        <f t="shared" si="5"/>
        <v>0</v>
      </c>
    </row>
    <row r="353" spans="1:14" ht="22.5" customHeight="1">
      <c r="A353" s="428"/>
      <c r="B353" s="429" t="s">
        <v>2738</v>
      </c>
      <c r="C353" s="229"/>
      <c r="D353" s="3159"/>
      <c r="E353" s="3159"/>
      <c r="F353" s="195"/>
      <c r="G353" s="195"/>
      <c r="H353" s="431"/>
      <c r="I353" s="432"/>
      <c r="J353" s="195"/>
      <c r="K353" s="195"/>
      <c r="L353" s="195"/>
      <c r="M353" s="430"/>
      <c r="N353" s="2872">
        <f t="shared" si="5"/>
        <v>0</v>
      </c>
    </row>
    <row r="354" spans="1:14" ht="22.5" customHeight="1">
      <c r="A354" s="428"/>
      <c r="B354" s="429" t="s">
        <v>2738</v>
      </c>
      <c r="C354" s="229"/>
      <c r="D354" s="3159"/>
      <c r="E354" s="3159"/>
      <c r="F354" s="195"/>
      <c r="G354" s="195"/>
      <c r="H354" s="431"/>
      <c r="I354" s="432"/>
      <c r="J354" s="195"/>
      <c r="K354" s="195"/>
      <c r="L354" s="195"/>
      <c r="M354" s="430"/>
      <c r="N354" s="2872">
        <f t="shared" si="5"/>
        <v>0</v>
      </c>
    </row>
    <row r="355" spans="1:14" ht="22.5" customHeight="1">
      <c r="A355" s="428"/>
      <c r="B355" s="429" t="s">
        <v>2738</v>
      </c>
      <c r="C355" s="229"/>
      <c r="D355" s="3159"/>
      <c r="E355" s="3159"/>
      <c r="F355" s="195"/>
      <c r="G355" s="195"/>
      <c r="H355" s="431"/>
      <c r="I355" s="432"/>
      <c r="J355" s="195"/>
      <c r="K355" s="195"/>
      <c r="L355" s="195"/>
      <c r="M355" s="430"/>
      <c r="N355" s="2872">
        <f t="shared" si="5"/>
        <v>0</v>
      </c>
    </row>
    <row r="356" spans="1:14" ht="22.5" customHeight="1">
      <c r="A356" s="428"/>
      <c r="B356" s="429" t="s">
        <v>2738</v>
      </c>
      <c r="C356" s="229"/>
      <c r="D356" s="3159"/>
      <c r="E356" s="3159"/>
      <c r="F356" s="195"/>
      <c r="G356" s="195"/>
      <c r="H356" s="431"/>
      <c r="I356" s="432"/>
      <c r="J356" s="195"/>
      <c r="K356" s="195"/>
      <c r="L356" s="195"/>
      <c r="M356" s="430"/>
      <c r="N356" s="2872">
        <f t="shared" si="5"/>
        <v>0</v>
      </c>
    </row>
    <row r="357" spans="1:14" ht="22.5" customHeight="1">
      <c r="A357" s="428"/>
      <c r="B357" s="429" t="s">
        <v>2738</v>
      </c>
      <c r="C357" s="229"/>
      <c r="D357" s="3159"/>
      <c r="E357" s="3159"/>
      <c r="F357" s="195"/>
      <c r="G357" s="195"/>
      <c r="H357" s="431"/>
      <c r="I357" s="432"/>
      <c r="J357" s="195"/>
      <c r="K357" s="195"/>
      <c r="L357" s="195"/>
      <c r="M357" s="430"/>
      <c r="N357" s="2872">
        <f t="shared" si="5"/>
        <v>0</v>
      </c>
    </row>
    <row r="358" spans="1:14" ht="22.5" customHeight="1">
      <c r="A358" s="428"/>
      <c r="B358" s="429" t="s">
        <v>2738</v>
      </c>
      <c r="C358" s="229"/>
      <c r="D358" s="3159"/>
      <c r="E358" s="3159"/>
      <c r="F358" s="195"/>
      <c r="G358" s="195"/>
      <c r="H358" s="431"/>
      <c r="I358" s="432"/>
      <c r="J358" s="195"/>
      <c r="K358" s="195"/>
      <c r="L358" s="195"/>
      <c r="M358" s="430"/>
      <c r="N358" s="2872">
        <f t="shared" si="5"/>
        <v>0</v>
      </c>
    </row>
    <row r="359" spans="1:14" ht="22.5" customHeight="1">
      <c r="A359" s="428"/>
      <c r="B359" s="429" t="s">
        <v>2738</v>
      </c>
      <c r="C359" s="229"/>
      <c r="D359" s="3159"/>
      <c r="E359" s="3159"/>
      <c r="F359" s="195"/>
      <c r="G359" s="195"/>
      <c r="H359" s="431"/>
      <c r="I359" s="432"/>
      <c r="J359" s="195"/>
      <c r="K359" s="195"/>
      <c r="L359" s="195"/>
      <c r="M359" s="430"/>
      <c r="N359" s="2872">
        <f t="shared" si="5"/>
        <v>0</v>
      </c>
    </row>
    <row r="360" spans="1:14" ht="22.5" customHeight="1">
      <c r="A360" s="428"/>
      <c r="B360" s="429" t="s">
        <v>2738</v>
      </c>
      <c r="C360" s="229"/>
      <c r="D360" s="3159"/>
      <c r="E360" s="3159"/>
      <c r="F360" s="195"/>
      <c r="G360" s="195"/>
      <c r="H360" s="431"/>
      <c r="I360" s="432"/>
      <c r="J360" s="195"/>
      <c r="K360" s="195"/>
      <c r="L360" s="195"/>
      <c r="M360" s="430"/>
      <c r="N360" s="2872">
        <f>N359+(SUM((D360:H360))-(SUM((I360:M360))))</f>
        <v>0</v>
      </c>
    </row>
    <row r="361" spans="1:14" ht="22.5" customHeight="1">
      <c r="A361" s="428"/>
      <c r="B361" s="429" t="s">
        <v>2738</v>
      </c>
      <c r="C361" s="229"/>
      <c r="D361" s="3159"/>
      <c r="E361" s="3159"/>
      <c r="F361" s="195"/>
      <c r="G361" s="195"/>
      <c r="H361" s="431"/>
      <c r="I361" s="432"/>
      <c r="J361" s="195"/>
      <c r="K361" s="195"/>
      <c r="L361" s="195"/>
      <c r="M361" s="430"/>
      <c r="N361" s="2872">
        <f t="shared" si="5"/>
        <v>0</v>
      </c>
    </row>
    <row r="362" spans="1:14" ht="22.5" customHeight="1">
      <c r="A362" s="428"/>
      <c r="B362" s="429" t="s">
        <v>2738</v>
      </c>
      <c r="C362" s="229"/>
      <c r="D362" s="3159"/>
      <c r="E362" s="3159"/>
      <c r="F362" s="195"/>
      <c r="G362" s="195"/>
      <c r="H362" s="431"/>
      <c r="I362" s="432"/>
      <c r="J362" s="195"/>
      <c r="K362" s="195"/>
      <c r="L362" s="195"/>
      <c r="M362" s="430"/>
      <c r="N362" s="2872">
        <f t="shared" si="5"/>
        <v>0</v>
      </c>
    </row>
    <row r="363" spans="1:14" ht="22.5" customHeight="1">
      <c r="A363" s="428"/>
      <c r="B363" s="429" t="s">
        <v>2738</v>
      </c>
      <c r="C363" s="229"/>
      <c r="D363" s="3159"/>
      <c r="E363" s="3159"/>
      <c r="F363" s="195"/>
      <c r="G363" s="195"/>
      <c r="H363" s="431"/>
      <c r="I363" s="432"/>
      <c r="J363" s="195"/>
      <c r="K363" s="195"/>
      <c r="L363" s="195"/>
      <c r="M363" s="430"/>
      <c r="N363" s="2872">
        <f t="shared" si="5"/>
        <v>0</v>
      </c>
    </row>
    <row r="364" spans="1:14" ht="22.5" customHeight="1" thickBot="1">
      <c r="A364" s="428"/>
      <c r="B364" s="429"/>
      <c r="C364" s="71"/>
      <c r="D364" s="9"/>
      <c r="E364" s="9"/>
      <c r="F364" s="87"/>
      <c r="G364" s="87"/>
      <c r="H364" s="80"/>
      <c r="I364" s="81"/>
      <c r="J364" s="87"/>
      <c r="K364" s="87"/>
      <c r="L364" s="87"/>
      <c r="M364" s="9"/>
      <c r="N364" s="2872">
        <f t="shared" si="5"/>
        <v>0</v>
      </c>
    </row>
    <row r="365" spans="1:14" ht="26.25" customHeight="1" thickTop="1" thickBot="1">
      <c r="A365" s="2949"/>
      <c r="B365" s="216" t="s">
        <v>19</v>
      </c>
      <c r="C365" s="83"/>
      <c r="D365" s="2873">
        <f t="shared" ref="D365:M365" si="6">SUM(D14:D364)</f>
        <v>545570300</v>
      </c>
      <c r="E365" s="2873">
        <f t="shared" si="6"/>
        <v>97423000</v>
      </c>
      <c r="F365" s="2873">
        <f t="shared" si="6"/>
        <v>0</v>
      </c>
      <c r="G365" s="2873">
        <f t="shared" si="6"/>
        <v>0</v>
      </c>
      <c r="H365" s="2874">
        <f t="shared" si="6"/>
        <v>745880000</v>
      </c>
      <c r="I365" s="220">
        <f t="shared" si="6"/>
        <v>637514100</v>
      </c>
      <c r="J365" s="2873">
        <f t="shared" si="6"/>
        <v>653900000</v>
      </c>
      <c r="K365" s="2873">
        <f t="shared" si="6"/>
        <v>0</v>
      </c>
      <c r="L365" s="2873">
        <f t="shared" si="6"/>
        <v>97459200</v>
      </c>
      <c r="M365" s="2873">
        <f t="shared" si="6"/>
        <v>0</v>
      </c>
      <c r="N365" s="2875">
        <f>(SUM((D365:H365))-(SUM((I365:M365))))</f>
        <v>0</v>
      </c>
    </row>
    <row r="366" spans="1:14" ht="26.25" customHeight="1" thickTop="1" thickBot="1">
      <c r="A366" s="2949"/>
      <c r="B366" s="216" t="s">
        <v>257</v>
      </c>
      <c r="C366" s="83"/>
      <c r="D366" s="2873">
        <f t="shared" ref="D366:M366" si="7">D13+D365</f>
        <v>1164777700</v>
      </c>
      <c r="E366" s="2873">
        <f t="shared" si="7"/>
        <v>199823500</v>
      </c>
      <c r="F366" s="2873">
        <f t="shared" si="7"/>
        <v>0</v>
      </c>
      <c r="G366" s="2873">
        <f t="shared" si="7"/>
        <v>0</v>
      </c>
      <c r="H366" s="2874">
        <f t="shared" si="7"/>
        <v>1421880000</v>
      </c>
      <c r="I366" s="220">
        <f t="shared" si="7"/>
        <v>1351403600</v>
      </c>
      <c r="J366" s="2873">
        <f t="shared" si="7"/>
        <v>1211900000</v>
      </c>
      <c r="K366" s="2873">
        <f t="shared" si="7"/>
        <v>0</v>
      </c>
      <c r="L366" s="2873">
        <f t="shared" si="7"/>
        <v>223177600</v>
      </c>
      <c r="M366" s="2873">
        <f t="shared" si="7"/>
        <v>0</v>
      </c>
      <c r="N366" s="2875">
        <f>(SUM((D366:H366))-(SUM((I366:M366))))</f>
        <v>0</v>
      </c>
    </row>
    <row r="367" spans="1:14" ht="26.25" customHeight="1" thickTop="1" thickBot="1">
      <c r="A367" s="215"/>
      <c r="B367" s="216" t="s">
        <v>20</v>
      </c>
      <c r="C367" s="217"/>
      <c r="D367" s="2876">
        <f t="shared" ref="D367:M367" si="8">D12+D366</f>
        <v>24859259400</v>
      </c>
      <c r="E367" s="2876">
        <f t="shared" si="8"/>
        <v>4305764600</v>
      </c>
      <c r="F367" s="2876">
        <f t="shared" si="8"/>
        <v>600300</v>
      </c>
      <c r="G367" s="2876">
        <f t="shared" si="8"/>
        <v>0</v>
      </c>
      <c r="H367" s="2877">
        <f t="shared" si="8"/>
        <v>26722965000</v>
      </c>
      <c r="I367" s="221">
        <f t="shared" si="8"/>
        <v>26708547446</v>
      </c>
      <c r="J367" s="2876">
        <f t="shared" si="8"/>
        <v>27484000000</v>
      </c>
      <c r="K367" s="2876">
        <f t="shared" si="8"/>
        <v>0</v>
      </c>
      <c r="L367" s="2876">
        <f t="shared" si="8"/>
        <v>1696041854</v>
      </c>
      <c r="M367" s="2876">
        <f t="shared" si="8"/>
        <v>0</v>
      </c>
      <c r="N367" s="2878">
        <f>(SUM((D367:H367))-(SUM((I367:M367))))</f>
        <v>0</v>
      </c>
    </row>
    <row r="368" spans="1:14" ht="6" customHeight="1">
      <c r="J368" s="3469"/>
      <c r="K368" s="3469"/>
      <c r="L368" s="3469"/>
      <c r="M368" s="85"/>
    </row>
    <row r="369" spans="1:14" ht="15.75" customHeight="1">
      <c r="A369" s="198"/>
      <c r="D369" s="1"/>
      <c r="E369" s="1"/>
      <c r="F369" s="1"/>
      <c r="G369" s="1"/>
      <c r="L369" s="10" t="str">
        <f>DT!D28</f>
        <v>Nagrak, 29 Februari 2016 2016</v>
      </c>
      <c r="M369" s="14"/>
    </row>
    <row r="370" spans="1:14" ht="15.75" customHeight="1">
      <c r="A370" s="198"/>
      <c r="B370" s="11" t="s">
        <v>21</v>
      </c>
      <c r="E370" s="3011">
        <v>63728000</v>
      </c>
      <c r="F370" s="1"/>
      <c r="G370" s="1"/>
      <c r="L370" s="11" t="s">
        <v>22</v>
      </c>
    </row>
    <row r="371" spans="1:14" ht="15.75" customHeight="1">
      <c r="B371" s="11" t="s">
        <v>23</v>
      </c>
      <c r="D371" s="1"/>
      <c r="E371" s="3011">
        <f>E365-E370</f>
        <v>33695000</v>
      </c>
      <c r="F371" s="1"/>
      <c r="G371" s="1"/>
      <c r="L371" s="14" t="s">
        <v>24</v>
      </c>
    </row>
    <row r="372" spans="1:14" ht="15.75" customHeight="1">
      <c r="B372" s="11"/>
      <c r="D372" s="1"/>
      <c r="E372" s="3011"/>
      <c r="F372" s="1"/>
      <c r="G372" s="1"/>
      <c r="L372" s="14"/>
    </row>
    <row r="373" spans="1:14" ht="15.75" customHeight="1">
      <c r="B373" s="11"/>
      <c r="D373" s="1"/>
      <c r="E373" s="3011"/>
      <c r="F373" s="1"/>
      <c r="G373" s="1"/>
      <c r="L373" s="14"/>
    </row>
    <row r="374" spans="1:14" ht="42" customHeight="1">
      <c r="B374" s="12" t="s">
        <v>1861</v>
      </c>
      <c r="D374" s="1"/>
      <c r="E374" s="1"/>
      <c r="F374" s="1"/>
      <c r="G374" s="1"/>
      <c r="L374" s="13" t="s">
        <v>2641</v>
      </c>
    </row>
    <row r="375" spans="1:14" ht="42" customHeight="1">
      <c r="B375" s="12"/>
      <c r="D375" s="1"/>
      <c r="E375" s="1"/>
      <c r="F375" s="1"/>
      <c r="G375" s="1"/>
      <c r="L375" s="13"/>
    </row>
    <row r="376" spans="1:14">
      <c r="B376" s="11"/>
      <c r="D376" s="1"/>
      <c r="E376" s="1"/>
      <c r="F376" s="1"/>
      <c r="G376" s="1"/>
      <c r="L376" s="14"/>
      <c r="N376" s="1"/>
    </row>
    <row r="378" spans="1:14">
      <c r="C378" s="70"/>
    </row>
  </sheetData>
  <customSheetViews>
    <customSheetView guid="{4567A2CF-35AA-4E08-B7D1-F029A2641346}" scale="70" topLeftCell="A7">
      <selection activeCell="B26" sqref="B26"/>
      <pageMargins left="0.15748031496062992" right="0.31496062992125984" top="0.35433070866141736" bottom="0.23622047244094491" header="0.51181102362204722" footer="0.51181102362204722"/>
      <printOptions horizontalCentered="1" verticalCentered="1"/>
      <pageSetup paperSize="9" scale="55" orientation="landscape" r:id="rId1"/>
      <headerFooter alignWithMargins="0"/>
    </customSheetView>
  </customSheetViews>
  <mergeCells count="15">
    <mergeCell ref="J368:L368"/>
    <mergeCell ref="A1:N1"/>
    <mergeCell ref="A2:N2"/>
    <mergeCell ref="A3:N3"/>
    <mergeCell ref="D9:H9"/>
    <mergeCell ref="I9:L9"/>
    <mergeCell ref="N9:N11"/>
    <mergeCell ref="A10:A11"/>
    <mergeCell ref="B10:B11"/>
    <mergeCell ref="J10:J11"/>
    <mergeCell ref="C10:C11"/>
    <mergeCell ref="M10:M11"/>
    <mergeCell ref="D10:F10"/>
    <mergeCell ref="H10:H11"/>
    <mergeCell ref="I10:I11"/>
  </mergeCells>
  <phoneticPr fontId="0" type="noConversion"/>
  <pageMargins left="0.43307086614173229" right="0" top="0.6692913385826772" bottom="0.43307086614173229" header="0.74803149606299213" footer="0.27559055118110237"/>
  <pageSetup paperSize="9" scale="48" orientation="landscape" horizontalDpi="4294967293" verticalDpi="4294967293" r:id="rId2"/>
  <headerFooter alignWithMargins="0">
    <oddFooter>&amp;C&amp;"Arial,Bold"&amp;12--- &amp;P ---</oddFooter>
  </headerFooter>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C000"/>
  </sheetPr>
  <dimension ref="A1:N51"/>
  <sheetViews>
    <sheetView topLeftCell="A10" zoomScale="55" zoomScaleNormal="55" zoomScaleSheetLayoutView="55" zoomScalePageLayoutView="60" workbookViewId="0">
      <selection activeCell="I36" sqref="I36"/>
    </sheetView>
  </sheetViews>
  <sheetFormatPr defaultColWidth="9.140625" defaultRowHeight="15.75"/>
  <cols>
    <col min="1" max="1" width="22.5703125" style="197" customWidth="1"/>
    <col min="2" max="2" width="57.85546875" style="1" customWidth="1"/>
    <col min="3" max="3" width="18.140625" style="1" customWidth="1"/>
    <col min="4" max="4" width="18.85546875" style="7" customWidth="1"/>
    <col min="5" max="5" width="18.28515625" style="7" customWidth="1"/>
    <col min="6" max="6" width="18" style="7" customWidth="1"/>
    <col min="7" max="7" width="13.7109375" style="7" customWidth="1"/>
    <col min="8" max="8" width="16.5703125" style="7" customWidth="1"/>
    <col min="9" max="9" width="17.140625" style="7" customWidth="1"/>
    <col min="10" max="10" width="15.85546875" style="7" customWidth="1"/>
    <col min="11" max="11" width="17.7109375" style="7" customWidth="1"/>
    <col min="12" max="12" width="17.42578125" style="7" customWidth="1"/>
    <col min="13" max="13" width="13.42578125" style="7" customWidth="1"/>
    <col min="14" max="14" width="17.28515625" style="7" customWidth="1"/>
    <col min="15" max="16384" width="9.140625" style="1"/>
  </cols>
  <sheetData>
    <row r="1" spans="1:14" ht="20.25">
      <c r="A1" s="3396" t="s">
        <v>0</v>
      </c>
      <c r="B1" s="3396"/>
      <c r="C1" s="3396"/>
      <c r="D1" s="3396"/>
      <c r="E1" s="3396"/>
      <c r="F1" s="3396"/>
      <c r="G1" s="3396"/>
      <c r="H1" s="3396"/>
      <c r="I1" s="3396"/>
      <c r="J1" s="3396"/>
      <c r="K1" s="3396"/>
      <c r="L1" s="3396"/>
      <c r="M1" s="3396"/>
      <c r="N1" s="3396"/>
    </row>
    <row r="2" spans="1:14" ht="20.25">
      <c r="A2" s="3396" t="s">
        <v>1</v>
      </c>
      <c r="B2" s="3396"/>
      <c r="C2" s="3396"/>
      <c r="D2" s="3396"/>
      <c r="E2" s="3396"/>
      <c r="F2" s="3396"/>
      <c r="G2" s="3396"/>
      <c r="H2" s="3396"/>
      <c r="I2" s="3396"/>
      <c r="J2" s="3396"/>
      <c r="K2" s="3396"/>
      <c r="L2" s="3396"/>
      <c r="M2" s="3396"/>
      <c r="N2" s="3396"/>
    </row>
    <row r="3" spans="1:14" ht="20.25">
      <c r="A3" s="3396" t="s">
        <v>909</v>
      </c>
      <c r="B3" s="3396"/>
      <c r="C3" s="3396"/>
      <c r="D3" s="3396"/>
      <c r="E3" s="3396"/>
      <c r="F3" s="3396"/>
      <c r="G3" s="3396"/>
      <c r="H3" s="3396"/>
      <c r="I3" s="3396"/>
      <c r="J3" s="3396"/>
      <c r="K3" s="3396"/>
      <c r="L3" s="3396"/>
      <c r="M3" s="3396"/>
      <c r="N3" s="3396"/>
    </row>
    <row r="4" spans="1:14">
      <c r="A4" s="196"/>
      <c r="B4" s="2"/>
      <c r="C4" s="2"/>
      <c r="D4" s="3"/>
      <c r="E4" s="3"/>
      <c r="F4" s="3"/>
      <c r="G4" s="3"/>
      <c r="H4" s="3"/>
      <c r="I4" s="3"/>
      <c r="J4" s="3"/>
      <c r="K4" s="3"/>
      <c r="L4" s="3"/>
      <c r="M4" s="3"/>
      <c r="N4" s="3"/>
    </row>
    <row r="5" spans="1:14">
      <c r="A5" s="196" t="s">
        <v>2</v>
      </c>
      <c r="B5" s="4" t="str">
        <f>": "&amp;DT!D3</f>
        <v>: Nagrak</v>
      </c>
      <c r="D5" s="3"/>
      <c r="E5" s="3"/>
      <c r="F5" s="3"/>
      <c r="G5" s="3"/>
      <c r="H5" s="3"/>
      <c r="I5" s="5" t="s">
        <v>3</v>
      </c>
      <c r="J5" s="5"/>
      <c r="K5" s="5"/>
      <c r="L5" s="6" t="str">
        <f>": "&amp;DT!D25</f>
        <v>: Februari 2016</v>
      </c>
      <c r="M5" s="6"/>
    </row>
    <row r="6" spans="1:14">
      <c r="A6" s="196" t="s">
        <v>4</v>
      </c>
      <c r="B6" s="4" t="str">
        <f>": "&amp;DT!D4</f>
        <v>: Sukabumi</v>
      </c>
      <c r="D6" s="3"/>
      <c r="E6" s="3"/>
      <c r="F6" s="3"/>
      <c r="G6" s="3"/>
      <c r="H6" s="3"/>
      <c r="I6" s="5" t="s">
        <v>5</v>
      </c>
      <c r="J6" s="5"/>
      <c r="K6" s="5"/>
      <c r="L6" s="6" t="s">
        <v>357</v>
      </c>
      <c r="M6" s="6"/>
    </row>
    <row r="7" spans="1:14">
      <c r="A7" s="196" t="s">
        <v>6</v>
      </c>
      <c r="B7" s="4" t="str">
        <f>": "&amp;DT!D5</f>
        <v>: Jawa Barat</v>
      </c>
    </row>
    <row r="8" spans="1:14" ht="6.75" customHeight="1" thickBot="1">
      <c r="A8" s="196"/>
      <c r="C8" s="4"/>
    </row>
    <row r="9" spans="1:14" ht="30.75" customHeight="1">
      <c r="A9" s="2207" t="s">
        <v>7</v>
      </c>
      <c r="B9" s="2208" t="s">
        <v>8</v>
      </c>
      <c r="C9" s="2208" t="s">
        <v>9</v>
      </c>
      <c r="D9" s="3473" t="s">
        <v>10</v>
      </c>
      <c r="E9" s="3473"/>
      <c r="F9" s="3473"/>
      <c r="G9" s="3473"/>
      <c r="H9" s="3474"/>
      <c r="I9" s="3475" t="s">
        <v>11</v>
      </c>
      <c r="J9" s="3473"/>
      <c r="K9" s="3473"/>
      <c r="L9" s="3473"/>
      <c r="M9" s="2208"/>
      <c r="N9" s="3474" t="s">
        <v>12</v>
      </c>
    </row>
    <row r="10" spans="1:14" ht="21" customHeight="1">
      <c r="A10" s="3442" t="s">
        <v>13</v>
      </c>
      <c r="B10" s="3413" t="s">
        <v>13</v>
      </c>
      <c r="C10" s="3413" t="s">
        <v>13</v>
      </c>
      <c r="D10" s="3413" t="s">
        <v>14</v>
      </c>
      <c r="E10" s="3413"/>
      <c r="F10" s="3413"/>
      <c r="G10" s="2148" t="s">
        <v>66</v>
      </c>
      <c r="H10" s="3476" t="s">
        <v>229</v>
      </c>
      <c r="I10" s="3435" t="s">
        <v>228</v>
      </c>
      <c r="J10" s="3413" t="s">
        <v>441</v>
      </c>
      <c r="K10" s="2148" t="s">
        <v>64</v>
      </c>
      <c r="L10" s="2148" t="s">
        <v>69</v>
      </c>
      <c r="M10" s="3413" t="s">
        <v>18</v>
      </c>
      <c r="N10" s="3476"/>
    </row>
    <row r="11" spans="1:14" ht="21" customHeight="1" thickBot="1">
      <c r="A11" s="3478"/>
      <c r="B11" s="3479"/>
      <c r="C11" s="3479"/>
      <c r="D11" s="456" t="s">
        <v>16</v>
      </c>
      <c r="E11" s="456" t="s">
        <v>17</v>
      </c>
      <c r="F11" s="456" t="s">
        <v>68</v>
      </c>
      <c r="G11" s="456" t="s">
        <v>67</v>
      </c>
      <c r="H11" s="3477"/>
      <c r="I11" s="3480"/>
      <c r="J11" s="3479"/>
      <c r="K11" s="456" t="s">
        <v>63</v>
      </c>
      <c r="L11" s="456" t="s">
        <v>67</v>
      </c>
      <c r="M11" s="3479"/>
      <c r="N11" s="3477"/>
    </row>
    <row r="12" spans="1:14" ht="33" customHeight="1">
      <c r="A12" s="2150"/>
      <c r="B12" s="2151" t="s">
        <v>258</v>
      </c>
      <c r="C12" s="2151"/>
      <c r="D12" s="2152"/>
      <c r="E12" s="2152"/>
      <c r="F12" s="2152"/>
      <c r="G12" s="2152"/>
      <c r="H12" s="2182"/>
      <c r="I12" s="2180"/>
      <c r="J12" s="2152"/>
      <c r="K12" s="2152"/>
      <c r="L12" s="2152"/>
      <c r="M12" s="2152"/>
      <c r="N12" s="2182">
        <f>(SUM((D12:H12))-(SUM((I12:M12))))</f>
        <v>0</v>
      </c>
    </row>
    <row r="13" spans="1:14" ht="33" customHeight="1" thickBot="1">
      <c r="A13" s="958"/>
      <c r="B13" s="959" t="s">
        <v>539</v>
      </c>
      <c r="C13" s="960"/>
      <c r="D13" s="961"/>
      <c r="E13" s="961"/>
      <c r="F13" s="961"/>
      <c r="G13" s="961"/>
      <c r="H13" s="962"/>
      <c r="I13" s="991"/>
      <c r="J13" s="961"/>
      <c r="K13" s="961"/>
      <c r="L13" s="961"/>
      <c r="M13" s="961"/>
      <c r="N13" s="962">
        <f>N12+(SUM((D13:H13))-(SUM((I13:M13))))</f>
        <v>0</v>
      </c>
    </row>
    <row r="14" spans="1:14" ht="22.5" customHeight="1" thickTop="1">
      <c r="A14" s="428"/>
      <c r="B14" s="429"/>
      <c r="C14" s="229"/>
      <c r="D14" s="430"/>
      <c r="E14" s="430"/>
      <c r="F14" s="195"/>
      <c r="G14" s="195"/>
      <c r="H14" s="2209"/>
      <c r="I14" s="432"/>
      <c r="J14" s="195"/>
      <c r="K14" s="195"/>
      <c r="L14" s="195"/>
      <c r="M14" s="430"/>
      <c r="N14" s="963">
        <f>N13+(SUM((D14:H14))-(SUM((I14:M14))))</f>
        <v>0</v>
      </c>
    </row>
    <row r="15" spans="1:14" ht="22.5" customHeight="1">
      <c r="A15" s="208"/>
      <c r="B15" s="86"/>
      <c r="C15" s="71"/>
      <c r="D15" s="9"/>
      <c r="E15" s="9"/>
      <c r="F15" s="87"/>
      <c r="G15" s="87"/>
      <c r="H15" s="2210"/>
      <c r="I15" s="81"/>
      <c r="J15" s="87"/>
      <c r="K15" s="87"/>
      <c r="L15" s="87"/>
      <c r="M15" s="9"/>
      <c r="N15" s="964">
        <f>N14+(SUM((D15:H15))-(SUM((I15:M15))))</f>
        <v>0</v>
      </c>
    </row>
    <row r="16" spans="1:14" ht="22.5" customHeight="1">
      <c r="A16" s="208"/>
      <c r="B16" s="86"/>
      <c r="C16" s="71"/>
      <c r="D16" s="9"/>
      <c r="E16" s="9"/>
      <c r="F16" s="87"/>
      <c r="G16" s="87"/>
      <c r="H16" s="2210"/>
      <c r="I16" s="81"/>
      <c r="J16" s="87"/>
      <c r="K16" s="87"/>
      <c r="L16" s="87"/>
      <c r="M16" s="9"/>
      <c r="N16" s="964">
        <f t="shared" ref="N16:N39" si="0">N15+(SUM((D16:H16))-(SUM((I16:M16))))</f>
        <v>0</v>
      </c>
    </row>
    <row r="17" spans="1:14" ht="22.5" customHeight="1">
      <c r="A17" s="208"/>
      <c r="B17" s="86"/>
      <c r="C17" s="71"/>
      <c r="D17" s="9"/>
      <c r="E17" s="9"/>
      <c r="F17" s="87"/>
      <c r="G17" s="87"/>
      <c r="H17" s="2210"/>
      <c r="I17" s="81"/>
      <c r="J17" s="87"/>
      <c r="K17" s="87"/>
      <c r="L17" s="87"/>
      <c r="M17" s="9"/>
      <c r="N17" s="964">
        <f t="shared" si="0"/>
        <v>0</v>
      </c>
    </row>
    <row r="18" spans="1:14" ht="22.5" customHeight="1">
      <c r="A18" s="208"/>
      <c r="B18" s="86"/>
      <c r="C18" s="71"/>
      <c r="D18" s="9"/>
      <c r="E18" s="9"/>
      <c r="F18" s="87"/>
      <c r="G18" s="87"/>
      <c r="H18" s="80"/>
      <c r="I18" s="81"/>
      <c r="J18" s="87"/>
      <c r="K18" s="87"/>
      <c r="L18" s="87"/>
      <c r="M18" s="9"/>
      <c r="N18" s="964">
        <f t="shared" si="0"/>
        <v>0</v>
      </c>
    </row>
    <row r="19" spans="1:14" ht="22.5" customHeight="1">
      <c r="A19" s="208"/>
      <c r="B19" s="86"/>
      <c r="C19" s="71"/>
      <c r="D19" s="9"/>
      <c r="E19" s="9"/>
      <c r="F19" s="87"/>
      <c r="G19" s="87"/>
      <c r="H19" s="80"/>
      <c r="I19" s="81"/>
      <c r="J19" s="87"/>
      <c r="K19" s="87"/>
      <c r="L19" s="87"/>
      <c r="M19" s="9"/>
      <c r="N19" s="964">
        <f t="shared" si="0"/>
        <v>0</v>
      </c>
    </row>
    <row r="20" spans="1:14" ht="22.5" customHeight="1">
      <c r="A20" s="208"/>
      <c r="B20" s="86"/>
      <c r="C20" s="71"/>
      <c r="D20" s="9"/>
      <c r="E20" s="9"/>
      <c r="F20" s="87"/>
      <c r="G20" s="87"/>
      <c r="H20" s="80"/>
      <c r="I20" s="81"/>
      <c r="J20" s="87"/>
      <c r="K20" s="87"/>
      <c r="L20" s="87"/>
      <c r="M20" s="9"/>
      <c r="N20" s="964">
        <f t="shared" si="0"/>
        <v>0</v>
      </c>
    </row>
    <row r="21" spans="1:14" ht="22.5" customHeight="1">
      <c r="A21" s="208"/>
      <c r="B21" s="86"/>
      <c r="C21" s="71"/>
      <c r="D21" s="9"/>
      <c r="E21" s="9"/>
      <c r="F21" s="87"/>
      <c r="G21" s="87"/>
      <c r="H21" s="80"/>
      <c r="I21" s="81"/>
      <c r="J21" s="87"/>
      <c r="K21" s="87"/>
      <c r="L21" s="87"/>
      <c r="M21" s="9"/>
      <c r="N21" s="964">
        <f t="shared" si="0"/>
        <v>0</v>
      </c>
    </row>
    <row r="22" spans="1:14" ht="22.5" customHeight="1">
      <c r="A22" s="208"/>
      <c r="B22" s="86"/>
      <c r="C22" s="71"/>
      <c r="D22" s="9"/>
      <c r="E22" s="9"/>
      <c r="F22" s="87"/>
      <c r="G22" s="87"/>
      <c r="H22" s="80"/>
      <c r="I22" s="81"/>
      <c r="J22" s="87"/>
      <c r="K22" s="87"/>
      <c r="L22" s="87"/>
      <c r="M22" s="9"/>
      <c r="N22" s="964">
        <f t="shared" si="0"/>
        <v>0</v>
      </c>
    </row>
    <row r="23" spans="1:14" ht="22.5" customHeight="1">
      <c r="A23" s="208"/>
      <c r="B23" s="86"/>
      <c r="C23" s="71"/>
      <c r="D23" s="9"/>
      <c r="E23" s="9"/>
      <c r="F23" s="87"/>
      <c r="G23" s="87"/>
      <c r="H23" s="80"/>
      <c r="I23" s="81"/>
      <c r="J23" s="87"/>
      <c r="K23" s="87"/>
      <c r="L23" s="87"/>
      <c r="M23" s="9"/>
      <c r="N23" s="964">
        <f t="shared" si="0"/>
        <v>0</v>
      </c>
    </row>
    <row r="24" spans="1:14" ht="22.5" customHeight="1">
      <c r="A24" s="208"/>
      <c r="B24" s="86"/>
      <c r="C24" s="71"/>
      <c r="D24" s="9"/>
      <c r="E24" s="9"/>
      <c r="F24" s="87"/>
      <c r="G24" s="87"/>
      <c r="H24" s="80"/>
      <c r="I24" s="81"/>
      <c r="J24" s="87"/>
      <c r="K24" s="87"/>
      <c r="L24" s="87"/>
      <c r="M24" s="9"/>
      <c r="N24" s="964">
        <f t="shared" si="0"/>
        <v>0</v>
      </c>
    </row>
    <row r="25" spans="1:14" ht="22.5" customHeight="1">
      <c r="A25" s="208"/>
      <c r="B25" s="86"/>
      <c r="C25" s="71"/>
      <c r="D25" s="9"/>
      <c r="E25" s="9"/>
      <c r="F25" s="87"/>
      <c r="G25" s="87"/>
      <c r="H25" s="80"/>
      <c r="I25" s="81"/>
      <c r="J25" s="87"/>
      <c r="K25" s="87"/>
      <c r="L25" s="87"/>
      <c r="M25" s="9"/>
      <c r="N25" s="964">
        <f t="shared" si="0"/>
        <v>0</v>
      </c>
    </row>
    <row r="26" spans="1:14" ht="22.5" customHeight="1">
      <c r="A26" s="208"/>
      <c r="B26" s="86"/>
      <c r="C26" s="71"/>
      <c r="D26" s="9"/>
      <c r="E26" s="9"/>
      <c r="F26" s="87"/>
      <c r="G26" s="87"/>
      <c r="H26" s="80"/>
      <c r="I26" s="81"/>
      <c r="J26" s="87"/>
      <c r="K26" s="87"/>
      <c r="L26" s="87"/>
      <c r="M26" s="9"/>
      <c r="N26" s="964">
        <f t="shared" si="0"/>
        <v>0</v>
      </c>
    </row>
    <row r="27" spans="1:14" ht="22.5" customHeight="1">
      <c r="A27" s="208"/>
      <c r="B27" s="86"/>
      <c r="C27" s="71"/>
      <c r="D27" s="9"/>
      <c r="E27" s="9"/>
      <c r="F27" s="87"/>
      <c r="G27" s="87"/>
      <c r="H27" s="80"/>
      <c r="I27" s="81"/>
      <c r="J27" s="87"/>
      <c r="K27" s="87"/>
      <c r="L27" s="87"/>
      <c r="M27" s="9"/>
      <c r="N27" s="964">
        <f t="shared" si="0"/>
        <v>0</v>
      </c>
    </row>
    <row r="28" spans="1:14" ht="22.5" customHeight="1">
      <c r="A28" s="208"/>
      <c r="B28" s="86"/>
      <c r="C28" s="71"/>
      <c r="D28" s="9"/>
      <c r="E28" s="9"/>
      <c r="F28" s="87"/>
      <c r="G28" s="87"/>
      <c r="H28" s="80"/>
      <c r="I28" s="81"/>
      <c r="J28" s="87"/>
      <c r="K28" s="87"/>
      <c r="L28" s="87"/>
      <c r="M28" s="9"/>
      <c r="N28" s="964">
        <f t="shared" si="0"/>
        <v>0</v>
      </c>
    </row>
    <row r="29" spans="1:14" ht="22.5" customHeight="1">
      <c r="A29" s="208"/>
      <c r="B29" s="86"/>
      <c r="C29" s="71"/>
      <c r="D29" s="9"/>
      <c r="E29" s="9"/>
      <c r="F29" s="87"/>
      <c r="G29" s="87"/>
      <c r="H29" s="80"/>
      <c r="I29" s="81"/>
      <c r="J29" s="87"/>
      <c r="K29" s="87"/>
      <c r="L29" s="87"/>
      <c r="M29" s="9"/>
      <c r="N29" s="964">
        <f t="shared" si="0"/>
        <v>0</v>
      </c>
    </row>
    <row r="30" spans="1:14" ht="22.5" customHeight="1">
      <c r="A30" s="208"/>
      <c r="B30" s="86"/>
      <c r="C30" s="71"/>
      <c r="D30" s="9"/>
      <c r="E30" s="9"/>
      <c r="F30" s="87"/>
      <c r="G30" s="87"/>
      <c r="H30" s="80"/>
      <c r="I30" s="81"/>
      <c r="J30" s="87"/>
      <c r="K30" s="87"/>
      <c r="L30" s="87"/>
      <c r="M30" s="9"/>
      <c r="N30" s="964">
        <f t="shared" si="0"/>
        <v>0</v>
      </c>
    </row>
    <row r="31" spans="1:14" ht="22.5" customHeight="1">
      <c r="A31" s="208"/>
      <c r="B31" s="86"/>
      <c r="C31" s="71"/>
      <c r="D31" s="9"/>
      <c r="E31" s="9"/>
      <c r="F31" s="87"/>
      <c r="G31" s="87"/>
      <c r="H31" s="80"/>
      <c r="I31" s="81"/>
      <c r="J31" s="87"/>
      <c r="K31" s="87"/>
      <c r="L31" s="87"/>
      <c r="M31" s="9"/>
      <c r="N31" s="964">
        <f t="shared" si="0"/>
        <v>0</v>
      </c>
    </row>
    <row r="32" spans="1:14" ht="22.5" customHeight="1">
      <c r="A32" s="208"/>
      <c r="B32" s="86"/>
      <c r="C32" s="71"/>
      <c r="D32" s="9"/>
      <c r="E32" s="9"/>
      <c r="F32" s="87"/>
      <c r="G32" s="87"/>
      <c r="H32" s="80"/>
      <c r="I32" s="81"/>
      <c r="J32" s="87"/>
      <c r="K32" s="87"/>
      <c r="L32" s="87"/>
      <c r="M32" s="9"/>
      <c r="N32" s="964">
        <f t="shared" si="0"/>
        <v>0</v>
      </c>
    </row>
    <row r="33" spans="1:14" ht="22.5" customHeight="1">
      <c r="A33" s="208"/>
      <c r="B33" s="86"/>
      <c r="C33" s="71"/>
      <c r="D33" s="9"/>
      <c r="E33" s="9"/>
      <c r="F33" s="87"/>
      <c r="G33" s="87"/>
      <c r="H33" s="80"/>
      <c r="I33" s="81"/>
      <c r="J33" s="87"/>
      <c r="K33" s="87"/>
      <c r="L33" s="87"/>
      <c r="M33" s="9"/>
      <c r="N33" s="964">
        <f t="shared" si="0"/>
        <v>0</v>
      </c>
    </row>
    <row r="34" spans="1:14" ht="22.5" customHeight="1">
      <c r="A34" s="208"/>
      <c r="B34" s="86"/>
      <c r="C34" s="71"/>
      <c r="D34" s="9"/>
      <c r="E34" s="9"/>
      <c r="F34" s="87"/>
      <c r="G34" s="87"/>
      <c r="H34" s="80"/>
      <c r="I34" s="81"/>
      <c r="J34" s="87"/>
      <c r="K34" s="87"/>
      <c r="L34" s="87"/>
      <c r="M34" s="9"/>
      <c r="N34" s="964">
        <f t="shared" si="0"/>
        <v>0</v>
      </c>
    </row>
    <row r="35" spans="1:14" ht="22.5" customHeight="1">
      <c r="A35" s="208"/>
      <c r="B35" s="86"/>
      <c r="C35" s="71"/>
      <c r="D35" s="9"/>
      <c r="E35" s="9"/>
      <c r="F35" s="87"/>
      <c r="G35" s="87"/>
      <c r="H35" s="80"/>
      <c r="I35" s="81"/>
      <c r="J35" s="87"/>
      <c r="K35" s="87"/>
      <c r="L35" s="87"/>
      <c r="M35" s="9"/>
      <c r="N35" s="964">
        <f t="shared" si="0"/>
        <v>0</v>
      </c>
    </row>
    <row r="36" spans="1:14" ht="22.5" customHeight="1">
      <c r="A36" s="208"/>
      <c r="B36" s="86"/>
      <c r="C36" s="71"/>
      <c r="D36" s="9"/>
      <c r="E36" s="9"/>
      <c r="F36" s="87"/>
      <c r="G36" s="87"/>
      <c r="H36" s="80"/>
      <c r="I36" s="81"/>
      <c r="J36" s="87"/>
      <c r="K36" s="87"/>
      <c r="L36" s="87"/>
      <c r="M36" s="9"/>
      <c r="N36" s="964">
        <f t="shared" si="0"/>
        <v>0</v>
      </c>
    </row>
    <row r="37" spans="1:14" ht="22.5" customHeight="1">
      <c r="A37" s="208"/>
      <c r="B37" s="86"/>
      <c r="C37" s="71"/>
      <c r="D37" s="9"/>
      <c r="E37" s="9"/>
      <c r="F37" s="87"/>
      <c r="G37" s="87"/>
      <c r="H37" s="80"/>
      <c r="I37" s="81"/>
      <c r="J37" s="87"/>
      <c r="K37" s="87"/>
      <c r="L37" s="87"/>
      <c r="M37" s="9"/>
      <c r="N37" s="964">
        <f t="shared" si="0"/>
        <v>0</v>
      </c>
    </row>
    <row r="38" spans="1:14" ht="22.5" customHeight="1">
      <c r="A38" s="208"/>
      <c r="B38" s="86"/>
      <c r="C38" s="71"/>
      <c r="D38" s="9"/>
      <c r="E38" s="9"/>
      <c r="F38" s="87"/>
      <c r="G38" s="87"/>
      <c r="H38" s="80"/>
      <c r="I38" s="81"/>
      <c r="J38" s="87"/>
      <c r="K38" s="87"/>
      <c r="L38" s="87"/>
      <c r="M38" s="9"/>
      <c r="N38" s="964">
        <f t="shared" si="0"/>
        <v>0</v>
      </c>
    </row>
    <row r="39" spans="1:14" ht="22.5" customHeight="1" thickBot="1">
      <c r="A39" s="208"/>
      <c r="B39" s="199"/>
      <c r="C39" s="71"/>
      <c r="D39" s="200"/>
      <c r="E39" s="9"/>
      <c r="F39" s="87"/>
      <c r="G39" s="87"/>
      <c r="H39" s="80"/>
      <c r="I39" s="81"/>
      <c r="J39" s="9"/>
      <c r="K39" s="9"/>
      <c r="L39" s="9"/>
      <c r="M39" s="9"/>
      <c r="N39" s="964">
        <f t="shared" si="0"/>
        <v>0</v>
      </c>
    </row>
    <row r="40" spans="1:14" ht="26.25" customHeight="1" thickTop="1" thickBot="1">
      <c r="A40" s="214"/>
      <c r="B40" s="82" t="s">
        <v>19</v>
      </c>
      <c r="C40" s="83"/>
      <c r="D40" s="948">
        <f>SUM(D14:D39)</f>
        <v>0</v>
      </c>
      <c r="E40" s="948">
        <f t="shared" ref="E40:M40" si="1">SUM(E14:E39)</f>
        <v>0</v>
      </c>
      <c r="F40" s="948">
        <f t="shared" si="1"/>
        <v>0</v>
      </c>
      <c r="G40" s="948">
        <f t="shared" si="1"/>
        <v>0</v>
      </c>
      <c r="H40" s="949">
        <f t="shared" si="1"/>
        <v>0</v>
      </c>
      <c r="I40" s="950">
        <f t="shared" si="1"/>
        <v>0</v>
      </c>
      <c r="J40" s="948">
        <f t="shared" si="1"/>
        <v>0</v>
      </c>
      <c r="K40" s="948">
        <f t="shared" si="1"/>
        <v>0</v>
      </c>
      <c r="L40" s="948">
        <f t="shared" si="1"/>
        <v>0</v>
      </c>
      <c r="M40" s="948">
        <f t="shared" si="1"/>
        <v>0</v>
      </c>
      <c r="N40" s="957">
        <f>(SUM((D40:H40))-(SUM((I40:M40))))</f>
        <v>0</v>
      </c>
    </row>
    <row r="41" spans="1:14" ht="26.25" customHeight="1" thickTop="1" thickBot="1">
      <c r="A41" s="214"/>
      <c r="B41" s="82" t="s">
        <v>257</v>
      </c>
      <c r="C41" s="83"/>
      <c r="D41" s="948">
        <f>D13+D40</f>
        <v>0</v>
      </c>
      <c r="E41" s="948">
        <f t="shared" ref="E41:M41" si="2">E13+E40</f>
        <v>0</v>
      </c>
      <c r="F41" s="948">
        <f t="shared" si="2"/>
        <v>0</v>
      </c>
      <c r="G41" s="948">
        <f t="shared" si="2"/>
        <v>0</v>
      </c>
      <c r="H41" s="949">
        <f t="shared" si="2"/>
        <v>0</v>
      </c>
      <c r="I41" s="950">
        <f t="shared" si="2"/>
        <v>0</v>
      </c>
      <c r="J41" s="948">
        <f t="shared" si="2"/>
        <v>0</v>
      </c>
      <c r="K41" s="948">
        <f t="shared" si="2"/>
        <v>0</v>
      </c>
      <c r="L41" s="948">
        <f t="shared" si="2"/>
        <v>0</v>
      </c>
      <c r="M41" s="948">
        <f t="shared" si="2"/>
        <v>0</v>
      </c>
      <c r="N41" s="957">
        <f>(SUM((D41:H41))-(SUM((I41:M41))))</f>
        <v>0</v>
      </c>
    </row>
    <row r="42" spans="1:14" ht="26.25" customHeight="1" thickTop="1" thickBot="1">
      <c r="A42" s="215"/>
      <c r="B42" s="216" t="s">
        <v>20</v>
      </c>
      <c r="C42" s="217"/>
      <c r="D42" s="952">
        <f>D12+D41</f>
        <v>0</v>
      </c>
      <c r="E42" s="952">
        <f t="shared" ref="E42:M42" si="3">E12+E41</f>
        <v>0</v>
      </c>
      <c r="F42" s="952">
        <f t="shared" si="3"/>
        <v>0</v>
      </c>
      <c r="G42" s="952">
        <f t="shared" si="3"/>
        <v>0</v>
      </c>
      <c r="H42" s="953">
        <f t="shared" si="3"/>
        <v>0</v>
      </c>
      <c r="I42" s="954">
        <f t="shared" si="3"/>
        <v>0</v>
      </c>
      <c r="J42" s="952">
        <f t="shared" si="3"/>
        <v>0</v>
      </c>
      <c r="K42" s="952">
        <f t="shared" si="3"/>
        <v>0</v>
      </c>
      <c r="L42" s="952">
        <f t="shared" si="3"/>
        <v>0</v>
      </c>
      <c r="M42" s="952">
        <f t="shared" si="3"/>
        <v>0</v>
      </c>
      <c r="N42" s="947">
        <f>(SUM((D42:H42))-(SUM((I42:M42))))</f>
        <v>0</v>
      </c>
    </row>
    <row r="43" spans="1:14" ht="10.5" customHeight="1">
      <c r="J43" s="3410"/>
      <c r="K43" s="3410"/>
      <c r="L43" s="3410"/>
      <c r="M43" s="85"/>
    </row>
    <row r="44" spans="1:14" ht="15.75" customHeight="1">
      <c r="A44" s="198"/>
      <c r="D44" s="1"/>
      <c r="E44" s="1"/>
      <c r="F44" s="1"/>
      <c r="G44" s="1"/>
      <c r="L44" s="10" t="str">
        <f>DT!D28</f>
        <v>Nagrak, 29 Februari 2016 2016</v>
      </c>
      <c r="M44" s="14"/>
    </row>
    <row r="45" spans="1:14" ht="15.75" customHeight="1">
      <c r="A45" s="198"/>
      <c r="B45" s="11" t="s">
        <v>21</v>
      </c>
      <c r="F45" s="1"/>
      <c r="G45" s="1"/>
      <c r="L45" s="11" t="s">
        <v>22</v>
      </c>
    </row>
    <row r="46" spans="1:14" ht="15.75" customHeight="1">
      <c r="B46" s="11" t="s">
        <v>23</v>
      </c>
      <c r="D46" s="1"/>
      <c r="E46" s="1"/>
      <c r="F46" s="1"/>
      <c r="G46" s="1"/>
      <c r="L46" s="14" t="s">
        <v>24</v>
      </c>
    </row>
    <row r="47" spans="1:14" ht="42" customHeight="1">
      <c r="D47" s="1"/>
      <c r="E47" s="1"/>
      <c r="F47" s="1"/>
      <c r="G47" s="1"/>
      <c r="L47" s="11"/>
    </row>
    <row r="48" spans="1:14" ht="42" customHeight="1">
      <c r="B48" s="12"/>
      <c r="D48" s="1"/>
      <c r="E48" s="1"/>
      <c r="F48" s="1"/>
      <c r="G48" s="1"/>
      <c r="L48" s="13"/>
    </row>
    <row r="49" spans="2:14">
      <c r="B49" s="11" t="str">
        <f>DT!D14</f>
        <v>Endang Taryana</v>
      </c>
      <c r="D49" s="1"/>
      <c r="E49" s="1"/>
      <c r="F49" s="1"/>
      <c r="G49" s="1"/>
      <c r="L49" s="14" t="str">
        <f>DT!D15</f>
        <v>Arin Yustini, SE</v>
      </c>
      <c r="N49" s="1"/>
    </row>
    <row r="51" spans="2:14">
      <c r="C51" s="70"/>
    </row>
  </sheetData>
  <mergeCells count="15">
    <mergeCell ref="J43:L43"/>
    <mergeCell ref="A1:N1"/>
    <mergeCell ref="A2:N2"/>
    <mergeCell ref="A3:N3"/>
    <mergeCell ref="D9:H9"/>
    <mergeCell ref="I9:L9"/>
    <mergeCell ref="N9:N11"/>
    <mergeCell ref="A10:A11"/>
    <mergeCell ref="B10:B11"/>
    <mergeCell ref="C10:C11"/>
    <mergeCell ref="D10:F10"/>
    <mergeCell ref="H10:H11"/>
    <mergeCell ref="I10:I11"/>
    <mergeCell ref="J10:J11"/>
    <mergeCell ref="M10:M11"/>
  </mergeCells>
  <printOptions horizontalCentered="1"/>
  <pageMargins left="0" right="0" top="0.59055118110236227" bottom="0.19685039370078741" header="0.51181102362204722" footer="0.51181102362204722"/>
  <pageSetup paperSize="9" scale="51" orientation="landscape" r:id="rId1"/>
  <headerFooter alignWithMargins="0">
    <oddFooter>&amp;C&amp;"Arial,Bold"&amp;12--- &amp;P ---</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Q52"/>
  <sheetViews>
    <sheetView topLeftCell="A13" zoomScale="70" zoomScaleNormal="70" workbookViewId="0">
      <selection activeCell="F48" sqref="F48"/>
    </sheetView>
  </sheetViews>
  <sheetFormatPr defaultRowHeight="12.75"/>
  <cols>
    <col min="1" max="1" width="4.140625" style="2735" customWidth="1"/>
    <col min="2" max="2" width="13.140625" style="2739" customWidth="1"/>
    <col min="3" max="3" width="47.85546875" style="2735" customWidth="1"/>
    <col min="4" max="4" width="14.28515625" style="2735" customWidth="1"/>
    <col min="5" max="5" width="18" style="2735" customWidth="1"/>
    <col min="6" max="6" width="14.5703125" style="2735" customWidth="1"/>
    <col min="7" max="7" width="12.7109375" style="2735" customWidth="1"/>
    <col min="8" max="11" width="14.5703125" style="2735" customWidth="1"/>
    <col min="12" max="13" width="15.5703125" style="2735" customWidth="1"/>
    <col min="14" max="14" width="13.5703125" style="2735" customWidth="1"/>
    <col min="15" max="15" width="15.5703125" style="2735" customWidth="1"/>
    <col min="16" max="16" width="9.140625" style="2737"/>
    <col min="17" max="17" width="13.140625" style="2737" bestFit="1" customWidth="1"/>
    <col min="18" max="236" width="9.140625" style="2737"/>
    <col min="237" max="237" width="4.140625" style="2737" customWidth="1"/>
    <col min="238" max="238" width="19.42578125" style="2737" customWidth="1"/>
    <col min="239" max="239" width="54.85546875" style="2737" customWidth="1"/>
    <col min="240" max="240" width="19.42578125" style="2737" customWidth="1"/>
    <col min="241" max="242" width="18" style="2737" customWidth="1"/>
    <col min="243" max="243" width="13.140625" style="2737" customWidth="1"/>
    <col min="244" max="269" width="16.140625" style="2737" customWidth="1"/>
    <col min="270" max="270" width="13.7109375" style="2737" customWidth="1"/>
    <col min="271" max="271" width="18.5703125" style="2737" bestFit="1" customWidth="1"/>
    <col min="272" max="492" width="9.140625" style="2737"/>
    <col min="493" max="493" width="4.140625" style="2737" customWidth="1"/>
    <col min="494" max="494" width="19.42578125" style="2737" customWidth="1"/>
    <col min="495" max="495" width="54.85546875" style="2737" customWidth="1"/>
    <col min="496" max="496" width="19.42578125" style="2737" customWidth="1"/>
    <col min="497" max="498" width="18" style="2737" customWidth="1"/>
    <col min="499" max="499" width="13.140625" style="2737" customWidth="1"/>
    <col min="500" max="525" width="16.140625" style="2737" customWidth="1"/>
    <col min="526" max="526" width="13.7109375" style="2737" customWidth="1"/>
    <col min="527" max="527" width="18.5703125" style="2737" bestFit="1" customWidth="1"/>
    <col min="528" max="748" width="9.140625" style="2737"/>
    <col min="749" max="749" width="4.140625" style="2737" customWidth="1"/>
    <col min="750" max="750" width="19.42578125" style="2737" customWidth="1"/>
    <col min="751" max="751" width="54.85546875" style="2737" customWidth="1"/>
    <col min="752" max="752" width="19.42578125" style="2737" customWidth="1"/>
    <col min="753" max="754" width="18" style="2737" customWidth="1"/>
    <col min="755" max="755" width="13.140625" style="2737" customWidth="1"/>
    <col min="756" max="781" width="16.140625" style="2737" customWidth="1"/>
    <col min="782" max="782" width="13.7109375" style="2737" customWidth="1"/>
    <col min="783" max="783" width="18.5703125" style="2737" bestFit="1" customWidth="1"/>
    <col min="784" max="1004" width="9.140625" style="2737"/>
    <col min="1005" max="1005" width="4.140625" style="2737" customWidth="1"/>
    <col min="1006" max="1006" width="19.42578125" style="2737" customWidth="1"/>
    <col min="1007" max="1007" width="54.85546875" style="2737" customWidth="1"/>
    <col min="1008" max="1008" width="19.42578125" style="2737" customWidth="1"/>
    <col min="1009" max="1010" width="18" style="2737" customWidth="1"/>
    <col min="1011" max="1011" width="13.140625" style="2737" customWidth="1"/>
    <col min="1012" max="1037" width="16.140625" style="2737" customWidth="1"/>
    <col min="1038" max="1038" width="13.7109375" style="2737" customWidth="1"/>
    <col min="1039" max="1039" width="18.5703125" style="2737" bestFit="1" customWidth="1"/>
    <col min="1040" max="1260" width="9.140625" style="2737"/>
    <col min="1261" max="1261" width="4.140625" style="2737" customWidth="1"/>
    <col min="1262" max="1262" width="19.42578125" style="2737" customWidth="1"/>
    <col min="1263" max="1263" width="54.85546875" style="2737" customWidth="1"/>
    <col min="1264" max="1264" width="19.42578125" style="2737" customWidth="1"/>
    <col min="1265" max="1266" width="18" style="2737" customWidth="1"/>
    <col min="1267" max="1267" width="13.140625" style="2737" customWidth="1"/>
    <col min="1268" max="1293" width="16.140625" style="2737" customWidth="1"/>
    <col min="1294" max="1294" width="13.7109375" style="2737" customWidth="1"/>
    <col min="1295" max="1295" width="18.5703125" style="2737" bestFit="1" customWidth="1"/>
    <col min="1296" max="1516" width="9.140625" style="2737"/>
    <col min="1517" max="1517" width="4.140625" style="2737" customWidth="1"/>
    <col min="1518" max="1518" width="19.42578125" style="2737" customWidth="1"/>
    <col min="1519" max="1519" width="54.85546875" style="2737" customWidth="1"/>
    <col min="1520" max="1520" width="19.42578125" style="2737" customWidth="1"/>
    <col min="1521" max="1522" width="18" style="2737" customWidth="1"/>
    <col min="1523" max="1523" width="13.140625" style="2737" customWidth="1"/>
    <col min="1524" max="1549" width="16.140625" style="2737" customWidth="1"/>
    <col min="1550" max="1550" width="13.7109375" style="2737" customWidth="1"/>
    <col min="1551" max="1551" width="18.5703125" style="2737" bestFit="1" customWidth="1"/>
    <col min="1552" max="1772" width="9.140625" style="2737"/>
    <col min="1773" max="1773" width="4.140625" style="2737" customWidth="1"/>
    <col min="1774" max="1774" width="19.42578125" style="2737" customWidth="1"/>
    <col min="1775" max="1775" width="54.85546875" style="2737" customWidth="1"/>
    <col min="1776" max="1776" width="19.42578125" style="2737" customWidth="1"/>
    <col min="1777" max="1778" width="18" style="2737" customWidth="1"/>
    <col min="1779" max="1779" width="13.140625" style="2737" customWidth="1"/>
    <col min="1780" max="1805" width="16.140625" style="2737" customWidth="1"/>
    <col min="1806" max="1806" width="13.7109375" style="2737" customWidth="1"/>
    <col min="1807" max="1807" width="18.5703125" style="2737" bestFit="1" customWidth="1"/>
    <col min="1808" max="2028" width="9.140625" style="2737"/>
    <col min="2029" max="2029" width="4.140625" style="2737" customWidth="1"/>
    <col min="2030" max="2030" width="19.42578125" style="2737" customWidth="1"/>
    <col min="2031" max="2031" width="54.85546875" style="2737" customWidth="1"/>
    <col min="2032" max="2032" width="19.42578125" style="2737" customWidth="1"/>
    <col min="2033" max="2034" width="18" style="2737" customWidth="1"/>
    <col min="2035" max="2035" width="13.140625" style="2737" customWidth="1"/>
    <col min="2036" max="2061" width="16.140625" style="2737" customWidth="1"/>
    <col min="2062" max="2062" width="13.7109375" style="2737" customWidth="1"/>
    <col min="2063" max="2063" width="18.5703125" style="2737" bestFit="1" customWidth="1"/>
    <col min="2064" max="2284" width="9.140625" style="2737"/>
    <col min="2285" max="2285" width="4.140625" style="2737" customWidth="1"/>
    <col min="2286" max="2286" width="19.42578125" style="2737" customWidth="1"/>
    <col min="2287" max="2287" width="54.85546875" style="2737" customWidth="1"/>
    <col min="2288" max="2288" width="19.42578125" style="2737" customWidth="1"/>
    <col min="2289" max="2290" width="18" style="2737" customWidth="1"/>
    <col min="2291" max="2291" width="13.140625" style="2737" customWidth="1"/>
    <col min="2292" max="2317" width="16.140625" style="2737" customWidth="1"/>
    <col min="2318" max="2318" width="13.7109375" style="2737" customWidth="1"/>
    <col min="2319" max="2319" width="18.5703125" style="2737" bestFit="1" customWidth="1"/>
    <col min="2320" max="2540" width="9.140625" style="2737"/>
    <col min="2541" max="2541" width="4.140625" style="2737" customWidth="1"/>
    <col min="2542" max="2542" width="19.42578125" style="2737" customWidth="1"/>
    <col min="2543" max="2543" width="54.85546875" style="2737" customWidth="1"/>
    <col min="2544" max="2544" width="19.42578125" style="2737" customWidth="1"/>
    <col min="2545" max="2546" width="18" style="2737" customWidth="1"/>
    <col min="2547" max="2547" width="13.140625" style="2737" customWidth="1"/>
    <col min="2548" max="2573" width="16.140625" style="2737" customWidth="1"/>
    <col min="2574" max="2574" width="13.7109375" style="2737" customWidth="1"/>
    <col min="2575" max="2575" width="18.5703125" style="2737" bestFit="1" customWidth="1"/>
    <col min="2576" max="2796" width="9.140625" style="2737"/>
    <col min="2797" max="2797" width="4.140625" style="2737" customWidth="1"/>
    <col min="2798" max="2798" width="19.42578125" style="2737" customWidth="1"/>
    <col min="2799" max="2799" width="54.85546875" style="2737" customWidth="1"/>
    <col min="2800" max="2800" width="19.42578125" style="2737" customWidth="1"/>
    <col min="2801" max="2802" width="18" style="2737" customWidth="1"/>
    <col min="2803" max="2803" width="13.140625" style="2737" customWidth="1"/>
    <col min="2804" max="2829" width="16.140625" style="2737" customWidth="1"/>
    <col min="2830" max="2830" width="13.7109375" style="2737" customWidth="1"/>
    <col min="2831" max="2831" width="18.5703125" style="2737" bestFit="1" customWidth="1"/>
    <col min="2832" max="3052" width="9.140625" style="2737"/>
    <col min="3053" max="3053" width="4.140625" style="2737" customWidth="1"/>
    <col min="3054" max="3054" width="19.42578125" style="2737" customWidth="1"/>
    <col min="3055" max="3055" width="54.85546875" style="2737" customWidth="1"/>
    <col min="3056" max="3056" width="19.42578125" style="2737" customWidth="1"/>
    <col min="3057" max="3058" width="18" style="2737" customWidth="1"/>
    <col min="3059" max="3059" width="13.140625" style="2737" customWidth="1"/>
    <col min="3060" max="3085" width="16.140625" style="2737" customWidth="1"/>
    <col min="3086" max="3086" width="13.7109375" style="2737" customWidth="1"/>
    <col min="3087" max="3087" width="18.5703125" style="2737" bestFit="1" customWidth="1"/>
    <col min="3088" max="3308" width="9.140625" style="2737"/>
    <col min="3309" max="3309" width="4.140625" style="2737" customWidth="1"/>
    <col min="3310" max="3310" width="19.42578125" style="2737" customWidth="1"/>
    <col min="3311" max="3311" width="54.85546875" style="2737" customWidth="1"/>
    <col min="3312" max="3312" width="19.42578125" style="2737" customWidth="1"/>
    <col min="3313" max="3314" width="18" style="2737" customWidth="1"/>
    <col min="3315" max="3315" width="13.140625" style="2737" customWidth="1"/>
    <col min="3316" max="3341" width="16.140625" style="2737" customWidth="1"/>
    <col min="3342" max="3342" width="13.7109375" style="2737" customWidth="1"/>
    <col min="3343" max="3343" width="18.5703125" style="2737" bestFit="1" customWidth="1"/>
    <col min="3344" max="3564" width="9.140625" style="2737"/>
    <col min="3565" max="3565" width="4.140625" style="2737" customWidth="1"/>
    <col min="3566" max="3566" width="19.42578125" style="2737" customWidth="1"/>
    <col min="3567" max="3567" width="54.85546875" style="2737" customWidth="1"/>
    <col min="3568" max="3568" width="19.42578125" style="2737" customWidth="1"/>
    <col min="3569" max="3570" width="18" style="2737" customWidth="1"/>
    <col min="3571" max="3571" width="13.140625" style="2737" customWidth="1"/>
    <col min="3572" max="3597" width="16.140625" style="2737" customWidth="1"/>
    <col min="3598" max="3598" width="13.7109375" style="2737" customWidth="1"/>
    <col min="3599" max="3599" width="18.5703125" style="2737" bestFit="1" customWidth="1"/>
    <col min="3600" max="3820" width="9.140625" style="2737"/>
    <col min="3821" max="3821" width="4.140625" style="2737" customWidth="1"/>
    <col min="3822" max="3822" width="19.42578125" style="2737" customWidth="1"/>
    <col min="3823" max="3823" width="54.85546875" style="2737" customWidth="1"/>
    <col min="3824" max="3824" width="19.42578125" style="2737" customWidth="1"/>
    <col min="3825" max="3826" width="18" style="2737" customWidth="1"/>
    <col min="3827" max="3827" width="13.140625" style="2737" customWidth="1"/>
    <col min="3828" max="3853" width="16.140625" style="2737" customWidth="1"/>
    <col min="3854" max="3854" width="13.7109375" style="2737" customWidth="1"/>
    <col min="3855" max="3855" width="18.5703125" style="2737" bestFit="1" customWidth="1"/>
    <col min="3856" max="4076" width="9.140625" style="2737"/>
    <col min="4077" max="4077" width="4.140625" style="2737" customWidth="1"/>
    <col min="4078" max="4078" width="19.42578125" style="2737" customWidth="1"/>
    <col min="4079" max="4079" width="54.85546875" style="2737" customWidth="1"/>
    <col min="4080" max="4080" width="19.42578125" style="2737" customWidth="1"/>
    <col min="4081" max="4082" width="18" style="2737" customWidth="1"/>
    <col min="4083" max="4083" width="13.140625" style="2737" customWidth="1"/>
    <col min="4084" max="4109" width="16.140625" style="2737" customWidth="1"/>
    <col min="4110" max="4110" width="13.7109375" style="2737" customWidth="1"/>
    <col min="4111" max="4111" width="18.5703125" style="2737" bestFit="1" customWidth="1"/>
    <col min="4112" max="4332" width="9.140625" style="2737"/>
    <col min="4333" max="4333" width="4.140625" style="2737" customWidth="1"/>
    <col min="4334" max="4334" width="19.42578125" style="2737" customWidth="1"/>
    <col min="4335" max="4335" width="54.85546875" style="2737" customWidth="1"/>
    <col min="4336" max="4336" width="19.42578125" style="2737" customWidth="1"/>
    <col min="4337" max="4338" width="18" style="2737" customWidth="1"/>
    <col min="4339" max="4339" width="13.140625" style="2737" customWidth="1"/>
    <col min="4340" max="4365" width="16.140625" style="2737" customWidth="1"/>
    <col min="4366" max="4366" width="13.7109375" style="2737" customWidth="1"/>
    <col min="4367" max="4367" width="18.5703125" style="2737" bestFit="1" customWidth="1"/>
    <col min="4368" max="4588" width="9.140625" style="2737"/>
    <col min="4589" max="4589" width="4.140625" style="2737" customWidth="1"/>
    <col min="4590" max="4590" width="19.42578125" style="2737" customWidth="1"/>
    <col min="4591" max="4591" width="54.85546875" style="2737" customWidth="1"/>
    <col min="4592" max="4592" width="19.42578125" style="2737" customWidth="1"/>
    <col min="4593" max="4594" width="18" style="2737" customWidth="1"/>
    <col min="4595" max="4595" width="13.140625" style="2737" customWidth="1"/>
    <col min="4596" max="4621" width="16.140625" style="2737" customWidth="1"/>
    <col min="4622" max="4622" width="13.7109375" style="2737" customWidth="1"/>
    <col min="4623" max="4623" width="18.5703125" style="2737" bestFit="1" customWidth="1"/>
    <col min="4624" max="4844" width="9.140625" style="2737"/>
    <col min="4845" max="4845" width="4.140625" style="2737" customWidth="1"/>
    <col min="4846" max="4846" width="19.42578125" style="2737" customWidth="1"/>
    <col min="4847" max="4847" width="54.85546875" style="2737" customWidth="1"/>
    <col min="4848" max="4848" width="19.42578125" style="2737" customWidth="1"/>
    <col min="4849" max="4850" width="18" style="2737" customWidth="1"/>
    <col min="4851" max="4851" width="13.140625" style="2737" customWidth="1"/>
    <col min="4852" max="4877" width="16.140625" style="2737" customWidth="1"/>
    <col min="4878" max="4878" width="13.7109375" style="2737" customWidth="1"/>
    <col min="4879" max="4879" width="18.5703125" style="2737" bestFit="1" customWidth="1"/>
    <col min="4880" max="5100" width="9.140625" style="2737"/>
    <col min="5101" max="5101" width="4.140625" style="2737" customWidth="1"/>
    <col min="5102" max="5102" width="19.42578125" style="2737" customWidth="1"/>
    <col min="5103" max="5103" width="54.85546875" style="2737" customWidth="1"/>
    <col min="5104" max="5104" width="19.42578125" style="2737" customWidth="1"/>
    <col min="5105" max="5106" width="18" style="2737" customWidth="1"/>
    <col min="5107" max="5107" width="13.140625" style="2737" customWidth="1"/>
    <col min="5108" max="5133" width="16.140625" style="2737" customWidth="1"/>
    <col min="5134" max="5134" width="13.7109375" style="2737" customWidth="1"/>
    <col min="5135" max="5135" width="18.5703125" style="2737" bestFit="1" customWidth="1"/>
    <col min="5136" max="5356" width="9.140625" style="2737"/>
    <col min="5357" max="5357" width="4.140625" style="2737" customWidth="1"/>
    <col min="5358" max="5358" width="19.42578125" style="2737" customWidth="1"/>
    <col min="5359" max="5359" width="54.85546875" style="2737" customWidth="1"/>
    <col min="5360" max="5360" width="19.42578125" style="2737" customWidth="1"/>
    <col min="5361" max="5362" width="18" style="2737" customWidth="1"/>
    <col min="5363" max="5363" width="13.140625" style="2737" customWidth="1"/>
    <col min="5364" max="5389" width="16.140625" style="2737" customWidth="1"/>
    <col min="5390" max="5390" width="13.7109375" style="2737" customWidth="1"/>
    <col min="5391" max="5391" width="18.5703125" style="2737" bestFit="1" customWidth="1"/>
    <col min="5392" max="5612" width="9.140625" style="2737"/>
    <col min="5613" max="5613" width="4.140625" style="2737" customWidth="1"/>
    <col min="5614" max="5614" width="19.42578125" style="2737" customWidth="1"/>
    <col min="5615" max="5615" width="54.85546875" style="2737" customWidth="1"/>
    <col min="5616" max="5616" width="19.42578125" style="2737" customWidth="1"/>
    <col min="5617" max="5618" width="18" style="2737" customWidth="1"/>
    <col min="5619" max="5619" width="13.140625" style="2737" customWidth="1"/>
    <col min="5620" max="5645" width="16.140625" style="2737" customWidth="1"/>
    <col min="5646" max="5646" width="13.7109375" style="2737" customWidth="1"/>
    <col min="5647" max="5647" width="18.5703125" style="2737" bestFit="1" customWidth="1"/>
    <col min="5648" max="5868" width="9.140625" style="2737"/>
    <col min="5869" max="5869" width="4.140625" style="2737" customWidth="1"/>
    <col min="5870" max="5870" width="19.42578125" style="2737" customWidth="1"/>
    <col min="5871" max="5871" width="54.85546875" style="2737" customWidth="1"/>
    <col min="5872" max="5872" width="19.42578125" style="2737" customWidth="1"/>
    <col min="5873" max="5874" width="18" style="2737" customWidth="1"/>
    <col min="5875" max="5875" width="13.140625" style="2737" customWidth="1"/>
    <col min="5876" max="5901" width="16.140625" style="2737" customWidth="1"/>
    <col min="5902" max="5902" width="13.7109375" style="2737" customWidth="1"/>
    <col min="5903" max="5903" width="18.5703125" style="2737" bestFit="1" customWidth="1"/>
    <col min="5904" max="6124" width="9.140625" style="2737"/>
    <col min="6125" max="6125" width="4.140625" style="2737" customWidth="1"/>
    <col min="6126" max="6126" width="19.42578125" style="2737" customWidth="1"/>
    <col min="6127" max="6127" width="54.85546875" style="2737" customWidth="1"/>
    <col min="6128" max="6128" width="19.42578125" style="2737" customWidth="1"/>
    <col min="6129" max="6130" width="18" style="2737" customWidth="1"/>
    <col min="6131" max="6131" width="13.140625" style="2737" customWidth="1"/>
    <col min="6132" max="6157" width="16.140625" style="2737" customWidth="1"/>
    <col min="6158" max="6158" width="13.7109375" style="2737" customWidth="1"/>
    <col min="6159" max="6159" width="18.5703125" style="2737" bestFit="1" customWidth="1"/>
    <col min="6160" max="6380" width="9.140625" style="2737"/>
    <col min="6381" max="6381" width="4.140625" style="2737" customWidth="1"/>
    <col min="6382" max="6382" width="19.42578125" style="2737" customWidth="1"/>
    <col min="6383" max="6383" width="54.85546875" style="2737" customWidth="1"/>
    <col min="6384" max="6384" width="19.42578125" style="2737" customWidth="1"/>
    <col min="6385" max="6386" width="18" style="2737" customWidth="1"/>
    <col min="6387" max="6387" width="13.140625" style="2737" customWidth="1"/>
    <col min="6388" max="6413" width="16.140625" style="2737" customWidth="1"/>
    <col min="6414" max="6414" width="13.7109375" style="2737" customWidth="1"/>
    <col min="6415" max="6415" width="18.5703125" style="2737" bestFit="1" customWidth="1"/>
    <col min="6416" max="6636" width="9.140625" style="2737"/>
    <col min="6637" max="6637" width="4.140625" style="2737" customWidth="1"/>
    <col min="6638" max="6638" width="19.42578125" style="2737" customWidth="1"/>
    <col min="6639" max="6639" width="54.85546875" style="2737" customWidth="1"/>
    <col min="6640" max="6640" width="19.42578125" style="2737" customWidth="1"/>
    <col min="6641" max="6642" width="18" style="2737" customWidth="1"/>
    <col min="6643" max="6643" width="13.140625" style="2737" customWidth="1"/>
    <col min="6644" max="6669" width="16.140625" style="2737" customWidth="1"/>
    <col min="6670" max="6670" width="13.7109375" style="2737" customWidth="1"/>
    <col min="6671" max="6671" width="18.5703125" style="2737" bestFit="1" customWidth="1"/>
    <col min="6672" max="6892" width="9.140625" style="2737"/>
    <col min="6893" max="6893" width="4.140625" style="2737" customWidth="1"/>
    <col min="6894" max="6894" width="19.42578125" style="2737" customWidth="1"/>
    <col min="6895" max="6895" width="54.85546875" style="2737" customWidth="1"/>
    <col min="6896" max="6896" width="19.42578125" style="2737" customWidth="1"/>
    <col min="6897" max="6898" width="18" style="2737" customWidth="1"/>
    <col min="6899" max="6899" width="13.140625" style="2737" customWidth="1"/>
    <col min="6900" max="6925" width="16.140625" style="2737" customWidth="1"/>
    <col min="6926" max="6926" width="13.7109375" style="2737" customWidth="1"/>
    <col min="6927" max="6927" width="18.5703125" style="2737" bestFit="1" customWidth="1"/>
    <col min="6928" max="7148" width="9.140625" style="2737"/>
    <col min="7149" max="7149" width="4.140625" style="2737" customWidth="1"/>
    <col min="7150" max="7150" width="19.42578125" style="2737" customWidth="1"/>
    <col min="7151" max="7151" width="54.85546875" style="2737" customWidth="1"/>
    <col min="7152" max="7152" width="19.42578125" style="2737" customWidth="1"/>
    <col min="7153" max="7154" width="18" style="2737" customWidth="1"/>
    <col min="7155" max="7155" width="13.140625" style="2737" customWidth="1"/>
    <col min="7156" max="7181" width="16.140625" style="2737" customWidth="1"/>
    <col min="7182" max="7182" width="13.7109375" style="2737" customWidth="1"/>
    <col min="7183" max="7183" width="18.5703125" style="2737" bestFit="1" customWidth="1"/>
    <col min="7184" max="7404" width="9.140625" style="2737"/>
    <col min="7405" max="7405" width="4.140625" style="2737" customWidth="1"/>
    <col min="7406" max="7406" width="19.42578125" style="2737" customWidth="1"/>
    <col min="7407" max="7407" width="54.85546875" style="2737" customWidth="1"/>
    <col min="7408" max="7408" width="19.42578125" style="2737" customWidth="1"/>
    <col min="7409" max="7410" width="18" style="2737" customWidth="1"/>
    <col min="7411" max="7411" width="13.140625" style="2737" customWidth="1"/>
    <col min="7412" max="7437" width="16.140625" style="2737" customWidth="1"/>
    <col min="7438" max="7438" width="13.7109375" style="2737" customWidth="1"/>
    <col min="7439" max="7439" width="18.5703125" style="2737" bestFit="1" customWidth="1"/>
    <col min="7440" max="7660" width="9.140625" style="2737"/>
    <col min="7661" max="7661" width="4.140625" style="2737" customWidth="1"/>
    <col min="7662" max="7662" width="19.42578125" style="2737" customWidth="1"/>
    <col min="7663" max="7663" width="54.85546875" style="2737" customWidth="1"/>
    <col min="7664" max="7664" width="19.42578125" style="2737" customWidth="1"/>
    <col min="7665" max="7666" width="18" style="2737" customWidth="1"/>
    <col min="7667" max="7667" width="13.140625" style="2737" customWidth="1"/>
    <col min="7668" max="7693" width="16.140625" style="2737" customWidth="1"/>
    <col min="7694" max="7694" width="13.7109375" style="2737" customWidth="1"/>
    <col min="7695" max="7695" width="18.5703125" style="2737" bestFit="1" customWidth="1"/>
    <col min="7696" max="7916" width="9.140625" style="2737"/>
    <col min="7917" max="7917" width="4.140625" style="2737" customWidth="1"/>
    <col min="7918" max="7918" width="19.42578125" style="2737" customWidth="1"/>
    <col min="7919" max="7919" width="54.85546875" style="2737" customWidth="1"/>
    <col min="7920" max="7920" width="19.42578125" style="2737" customWidth="1"/>
    <col min="7921" max="7922" width="18" style="2737" customWidth="1"/>
    <col min="7923" max="7923" width="13.140625" style="2737" customWidth="1"/>
    <col min="7924" max="7949" width="16.140625" style="2737" customWidth="1"/>
    <col min="7950" max="7950" width="13.7109375" style="2737" customWidth="1"/>
    <col min="7951" max="7951" width="18.5703125" style="2737" bestFit="1" customWidth="1"/>
    <col min="7952" max="8172" width="9.140625" style="2737"/>
    <col min="8173" max="8173" width="4.140625" style="2737" customWidth="1"/>
    <col min="8174" max="8174" width="19.42578125" style="2737" customWidth="1"/>
    <col min="8175" max="8175" width="54.85546875" style="2737" customWidth="1"/>
    <col min="8176" max="8176" width="19.42578125" style="2737" customWidth="1"/>
    <col min="8177" max="8178" width="18" style="2737" customWidth="1"/>
    <col min="8179" max="8179" width="13.140625" style="2737" customWidth="1"/>
    <col min="8180" max="8205" width="16.140625" style="2737" customWidth="1"/>
    <col min="8206" max="8206" width="13.7109375" style="2737" customWidth="1"/>
    <col min="8207" max="8207" width="18.5703125" style="2737" bestFit="1" customWidth="1"/>
    <col min="8208" max="8428" width="9.140625" style="2737"/>
    <col min="8429" max="8429" width="4.140625" style="2737" customWidth="1"/>
    <col min="8430" max="8430" width="19.42578125" style="2737" customWidth="1"/>
    <col min="8431" max="8431" width="54.85546875" style="2737" customWidth="1"/>
    <col min="8432" max="8432" width="19.42578125" style="2737" customWidth="1"/>
    <col min="8433" max="8434" width="18" style="2737" customWidth="1"/>
    <col min="8435" max="8435" width="13.140625" style="2737" customWidth="1"/>
    <col min="8436" max="8461" width="16.140625" style="2737" customWidth="1"/>
    <col min="8462" max="8462" width="13.7109375" style="2737" customWidth="1"/>
    <col min="8463" max="8463" width="18.5703125" style="2737" bestFit="1" customWidth="1"/>
    <col min="8464" max="8684" width="9.140625" style="2737"/>
    <col min="8685" max="8685" width="4.140625" style="2737" customWidth="1"/>
    <col min="8686" max="8686" width="19.42578125" style="2737" customWidth="1"/>
    <col min="8687" max="8687" width="54.85546875" style="2737" customWidth="1"/>
    <col min="8688" max="8688" width="19.42578125" style="2737" customWidth="1"/>
    <col min="8689" max="8690" width="18" style="2737" customWidth="1"/>
    <col min="8691" max="8691" width="13.140625" style="2737" customWidth="1"/>
    <col min="8692" max="8717" width="16.140625" style="2737" customWidth="1"/>
    <col min="8718" max="8718" width="13.7109375" style="2737" customWidth="1"/>
    <col min="8719" max="8719" width="18.5703125" style="2737" bestFit="1" customWidth="1"/>
    <col min="8720" max="8940" width="9.140625" style="2737"/>
    <col min="8941" max="8941" width="4.140625" style="2737" customWidth="1"/>
    <col min="8942" max="8942" width="19.42578125" style="2737" customWidth="1"/>
    <col min="8943" max="8943" width="54.85546875" style="2737" customWidth="1"/>
    <col min="8944" max="8944" width="19.42578125" style="2737" customWidth="1"/>
    <col min="8945" max="8946" width="18" style="2737" customWidth="1"/>
    <col min="8947" max="8947" width="13.140625" style="2737" customWidth="1"/>
    <col min="8948" max="8973" width="16.140625" style="2737" customWidth="1"/>
    <col min="8974" max="8974" width="13.7109375" style="2737" customWidth="1"/>
    <col min="8975" max="8975" width="18.5703125" style="2737" bestFit="1" customWidth="1"/>
    <col min="8976" max="9196" width="9.140625" style="2737"/>
    <col min="9197" max="9197" width="4.140625" style="2737" customWidth="1"/>
    <col min="9198" max="9198" width="19.42578125" style="2737" customWidth="1"/>
    <col min="9199" max="9199" width="54.85546875" style="2737" customWidth="1"/>
    <col min="9200" max="9200" width="19.42578125" style="2737" customWidth="1"/>
    <col min="9201" max="9202" width="18" style="2737" customWidth="1"/>
    <col min="9203" max="9203" width="13.140625" style="2737" customWidth="1"/>
    <col min="9204" max="9229" width="16.140625" style="2737" customWidth="1"/>
    <col min="9230" max="9230" width="13.7109375" style="2737" customWidth="1"/>
    <col min="9231" max="9231" width="18.5703125" style="2737" bestFit="1" customWidth="1"/>
    <col min="9232" max="9452" width="9.140625" style="2737"/>
    <col min="9453" max="9453" width="4.140625" style="2737" customWidth="1"/>
    <col min="9454" max="9454" width="19.42578125" style="2737" customWidth="1"/>
    <col min="9455" max="9455" width="54.85546875" style="2737" customWidth="1"/>
    <col min="9456" max="9456" width="19.42578125" style="2737" customWidth="1"/>
    <col min="9457" max="9458" width="18" style="2737" customWidth="1"/>
    <col min="9459" max="9459" width="13.140625" style="2737" customWidth="1"/>
    <col min="9460" max="9485" width="16.140625" style="2737" customWidth="1"/>
    <col min="9486" max="9486" width="13.7109375" style="2737" customWidth="1"/>
    <col min="9487" max="9487" width="18.5703125" style="2737" bestFit="1" customWidth="1"/>
    <col min="9488" max="9708" width="9.140625" style="2737"/>
    <col min="9709" max="9709" width="4.140625" style="2737" customWidth="1"/>
    <col min="9710" max="9710" width="19.42578125" style="2737" customWidth="1"/>
    <col min="9711" max="9711" width="54.85546875" style="2737" customWidth="1"/>
    <col min="9712" max="9712" width="19.42578125" style="2737" customWidth="1"/>
    <col min="9713" max="9714" width="18" style="2737" customWidth="1"/>
    <col min="9715" max="9715" width="13.140625" style="2737" customWidth="1"/>
    <col min="9716" max="9741" width="16.140625" style="2737" customWidth="1"/>
    <col min="9742" max="9742" width="13.7109375" style="2737" customWidth="1"/>
    <col min="9743" max="9743" width="18.5703125" style="2737" bestFit="1" customWidth="1"/>
    <col min="9744" max="9964" width="9.140625" style="2737"/>
    <col min="9965" max="9965" width="4.140625" style="2737" customWidth="1"/>
    <col min="9966" max="9966" width="19.42578125" style="2737" customWidth="1"/>
    <col min="9967" max="9967" width="54.85546875" style="2737" customWidth="1"/>
    <col min="9968" max="9968" width="19.42578125" style="2737" customWidth="1"/>
    <col min="9969" max="9970" width="18" style="2737" customWidth="1"/>
    <col min="9971" max="9971" width="13.140625" style="2737" customWidth="1"/>
    <col min="9972" max="9997" width="16.140625" style="2737" customWidth="1"/>
    <col min="9998" max="9998" width="13.7109375" style="2737" customWidth="1"/>
    <col min="9999" max="9999" width="18.5703125" style="2737" bestFit="1" customWidth="1"/>
    <col min="10000" max="10220" width="9.140625" style="2737"/>
    <col min="10221" max="10221" width="4.140625" style="2737" customWidth="1"/>
    <col min="10222" max="10222" width="19.42578125" style="2737" customWidth="1"/>
    <col min="10223" max="10223" width="54.85546875" style="2737" customWidth="1"/>
    <col min="10224" max="10224" width="19.42578125" style="2737" customWidth="1"/>
    <col min="10225" max="10226" width="18" style="2737" customWidth="1"/>
    <col min="10227" max="10227" width="13.140625" style="2737" customWidth="1"/>
    <col min="10228" max="10253" width="16.140625" style="2737" customWidth="1"/>
    <col min="10254" max="10254" width="13.7109375" style="2737" customWidth="1"/>
    <col min="10255" max="10255" width="18.5703125" style="2737" bestFit="1" customWidth="1"/>
    <col min="10256" max="10476" width="9.140625" style="2737"/>
    <col min="10477" max="10477" width="4.140625" style="2737" customWidth="1"/>
    <col min="10478" max="10478" width="19.42578125" style="2737" customWidth="1"/>
    <col min="10479" max="10479" width="54.85546875" style="2737" customWidth="1"/>
    <col min="10480" max="10480" width="19.42578125" style="2737" customWidth="1"/>
    <col min="10481" max="10482" width="18" style="2737" customWidth="1"/>
    <col min="10483" max="10483" width="13.140625" style="2737" customWidth="1"/>
    <col min="10484" max="10509" width="16.140625" style="2737" customWidth="1"/>
    <col min="10510" max="10510" width="13.7109375" style="2737" customWidth="1"/>
    <col min="10511" max="10511" width="18.5703125" style="2737" bestFit="1" customWidth="1"/>
    <col min="10512" max="10732" width="9.140625" style="2737"/>
    <col min="10733" max="10733" width="4.140625" style="2737" customWidth="1"/>
    <col min="10734" max="10734" width="19.42578125" style="2737" customWidth="1"/>
    <col min="10735" max="10735" width="54.85546875" style="2737" customWidth="1"/>
    <col min="10736" max="10736" width="19.42578125" style="2737" customWidth="1"/>
    <col min="10737" max="10738" width="18" style="2737" customWidth="1"/>
    <col min="10739" max="10739" width="13.140625" style="2737" customWidth="1"/>
    <col min="10740" max="10765" width="16.140625" style="2737" customWidth="1"/>
    <col min="10766" max="10766" width="13.7109375" style="2737" customWidth="1"/>
    <col min="10767" max="10767" width="18.5703125" style="2737" bestFit="1" customWidth="1"/>
    <col min="10768" max="10988" width="9.140625" style="2737"/>
    <col min="10989" max="10989" width="4.140625" style="2737" customWidth="1"/>
    <col min="10990" max="10990" width="19.42578125" style="2737" customWidth="1"/>
    <col min="10991" max="10991" width="54.85546875" style="2737" customWidth="1"/>
    <col min="10992" max="10992" width="19.42578125" style="2737" customWidth="1"/>
    <col min="10993" max="10994" width="18" style="2737" customWidth="1"/>
    <col min="10995" max="10995" width="13.140625" style="2737" customWidth="1"/>
    <col min="10996" max="11021" width="16.140625" style="2737" customWidth="1"/>
    <col min="11022" max="11022" width="13.7109375" style="2737" customWidth="1"/>
    <col min="11023" max="11023" width="18.5703125" style="2737" bestFit="1" customWidth="1"/>
    <col min="11024" max="11244" width="9.140625" style="2737"/>
    <col min="11245" max="11245" width="4.140625" style="2737" customWidth="1"/>
    <col min="11246" max="11246" width="19.42578125" style="2737" customWidth="1"/>
    <col min="11247" max="11247" width="54.85546875" style="2737" customWidth="1"/>
    <col min="11248" max="11248" width="19.42578125" style="2737" customWidth="1"/>
    <col min="11249" max="11250" width="18" style="2737" customWidth="1"/>
    <col min="11251" max="11251" width="13.140625" style="2737" customWidth="1"/>
    <col min="11252" max="11277" width="16.140625" style="2737" customWidth="1"/>
    <col min="11278" max="11278" width="13.7109375" style="2737" customWidth="1"/>
    <col min="11279" max="11279" width="18.5703125" style="2737" bestFit="1" customWidth="1"/>
    <col min="11280" max="11500" width="9.140625" style="2737"/>
    <col min="11501" max="11501" width="4.140625" style="2737" customWidth="1"/>
    <col min="11502" max="11502" width="19.42578125" style="2737" customWidth="1"/>
    <col min="11503" max="11503" width="54.85546875" style="2737" customWidth="1"/>
    <col min="11504" max="11504" width="19.42578125" style="2737" customWidth="1"/>
    <col min="11505" max="11506" width="18" style="2737" customWidth="1"/>
    <col min="11507" max="11507" width="13.140625" style="2737" customWidth="1"/>
    <col min="11508" max="11533" width="16.140625" style="2737" customWidth="1"/>
    <col min="11534" max="11534" width="13.7109375" style="2737" customWidth="1"/>
    <col min="11535" max="11535" width="18.5703125" style="2737" bestFit="1" customWidth="1"/>
    <col min="11536" max="11756" width="9.140625" style="2737"/>
    <col min="11757" max="11757" width="4.140625" style="2737" customWidth="1"/>
    <col min="11758" max="11758" width="19.42578125" style="2737" customWidth="1"/>
    <col min="11759" max="11759" width="54.85546875" style="2737" customWidth="1"/>
    <col min="11760" max="11760" width="19.42578125" style="2737" customWidth="1"/>
    <col min="11761" max="11762" width="18" style="2737" customWidth="1"/>
    <col min="11763" max="11763" width="13.140625" style="2737" customWidth="1"/>
    <col min="11764" max="11789" width="16.140625" style="2737" customWidth="1"/>
    <col min="11790" max="11790" width="13.7109375" style="2737" customWidth="1"/>
    <col min="11791" max="11791" width="18.5703125" style="2737" bestFit="1" customWidth="1"/>
    <col min="11792" max="12012" width="9.140625" style="2737"/>
    <col min="12013" max="12013" width="4.140625" style="2737" customWidth="1"/>
    <col min="12014" max="12014" width="19.42578125" style="2737" customWidth="1"/>
    <col min="12015" max="12015" width="54.85546875" style="2737" customWidth="1"/>
    <col min="12016" max="12016" width="19.42578125" style="2737" customWidth="1"/>
    <col min="12017" max="12018" width="18" style="2737" customWidth="1"/>
    <col min="12019" max="12019" width="13.140625" style="2737" customWidth="1"/>
    <col min="12020" max="12045" width="16.140625" style="2737" customWidth="1"/>
    <col min="12046" max="12046" width="13.7109375" style="2737" customWidth="1"/>
    <col min="12047" max="12047" width="18.5703125" style="2737" bestFit="1" customWidth="1"/>
    <col min="12048" max="12268" width="9.140625" style="2737"/>
    <col min="12269" max="12269" width="4.140625" style="2737" customWidth="1"/>
    <col min="12270" max="12270" width="19.42578125" style="2737" customWidth="1"/>
    <col min="12271" max="12271" width="54.85546875" style="2737" customWidth="1"/>
    <col min="12272" max="12272" width="19.42578125" style="2737" customWidth="1"/>
    <col min="12273" max="12274" width="18" style="2737" customWidth="1"/>
    <col min="12275" max="12275" width="13.140625" style="2737" customWidth="1"/>
    <col min="12276" max="12301" width="16.140625" style="2737" customWidth="1"/>
    <col min="12302" max="12302" width="13.7109375" style="2737" customWidth="1"/>
    <col min="12303" max="12303" width="18.5703125" style="2737" bestFit="1" customWidth="1"/>
    <col min="12304" max="12524" width="9.140625" style="2737"/>
    <col min="12525" max="12525" width="4.140625" style="2737" customWidth="1"/>
    <col min="12526" max="12526" width="19.42578125" style="2737" customWidth="1"/>
    <col min="12527" max="12527" width="54.85546875" style="2737" customWidth="1"/>
    <col min="12528" max="12528" width="19.42578125" style="2737" customWidth="1"/>
    <col min="12529" max="12530" width="18" style="2737" customWidth="1"/>
    <col min="12531" max="12531" width="13.140625" style="2737" customWidth="1"/>
    <col min="12532" max="12557" width="16.140625" style="2737" customWidth="1"/>
    <col min="12558" max="12558" width="13.7109375" style="2737" customWidth="1"/>
    <col min="12559" max="12559" width="18.5703125" style="2737" bestFit="1" customWidth="1"/>
    <col min="12560" max="12780" width="9.140625" style="2737"/>
    <col min="12781" max="12781" width="4.140625" style="2737" customWidth="1"/>
    <col min="12782" max="12782" width="19.42578125" style="2737" customWidth="1"/>
    <col min="12783" max="12783" width="54.85546875" style="2737" customWidth="1"/>
    <col min="12784" max="12784" width="19.42578125" style="2737" customWidth="1"/>
    <col min="12785" max="12786" width="18" style="2737" customWidth="1"/>
    <col min="12787" max="12787" width="13.140625" style="2737" customWidth="1"/>
    <col min="12788" max="12813" width="16.140625" style="2737" customWidth="1"/>
    <col min="12814" max="12814" width="13.7109375" style="2737" customWidth="1"/>
    <col min="12815" max="12815" width="18.5703125" style="2737" bestFit="1" customWidth="1"/>
    <col min="12816" max="13036" width="9.140625" style="2737"/>
    <col min="13037" max="13037" width="4.140625" style="2737" customWidth="1"/>
    <col min="13038" max="13038" width="19.42578125" style="2737" customWidth="1"/>
    <col min="13039" max="13039" width="54.85546875" style="2737" customWidth="1"/>
    <col min="13040" max="13040" width="19.42578125" style="2737" customWidth="1"/>
    <col min="13041" max="13042" width="18" style="2737" customWidth="1"/>
    <col min="13043" max="13043" width="13.140625" style="2737" customWidth="1"/>
    <col min="13044" max="13069" width="16.140625" style="2737" customWidth="1"/>
    <col min="13070" max="13070" width="13.7109375" style="2737" customWidth="1"/>
    <col min="13071" max="13071" width="18.5703125" style="2737" bestFit="1" customWidth="1"/>
    <col min="13072" max="13292" width="9.140625" style="2737"/>
    <col min="13293" max="13293" width="4.140625" style="2737" customWidth="1"/>
    <col min="13294" max="13294" width="19.42578125" style="2737" customWidth="1"/>
    <col min="13295" max="13295" width="54.85546875" style="2737" customWidth="1"/>
    <col min="13296" max="13296" width="19.42578125" style="2737" customWidth="1"/>
    <col min="13297" max="13298" width="18" style="2737" customWidth="1"/>
    <col min="13299" max="13299" width="13.140625" style="2737" customWidth="1"/>
    <col min="13300" max="13325" width="16.140625" style="2737" customWidth="1"/>
    <col min="13326" max="13326" width="13.7109375" style="2737" customWidth="1"/>
    <col min="13327" max="13327" width="18.5703125" style="2737" bestFit="1" customWidth="1"/>
    <col min="13328" max="13548" width="9.140625" style="2737"/>
    <col min="13549" max="13549" width="4.140625" style="2737" customWidth="1"/>
    <col min="13550" max="13550" width="19.42578125" style="2737" customWidth="1"/>
    <col min="13551" max="13551" width="54.85546875" style="2737" customWidth="1"/>
    <col min="13552" max="13552" width="19.42578125" style="2737" customWidth="1"/>
    <col min="13553" max="13554" width="18" style="2737" customWidth="1"/>
    <col min="13555" max="13555" width="13.140625" style="2737" customWidth="1"/>
    <col min="13556" max="13581" width="16.140625" style="2737" customWidth="1"/>
    <col min="13582" max="13582" width="13.7109375" style="2737" customWidth="1"/>
    <col min="13583" max="13583" width="18.5703125" style="2737" bestFit="1" customWidth="1"/>
    <col min="13584" max="13804" width="9.140625" style="2737"/>
    <col min="13805" max="13805" width="4.140625" style="2737" customWidth="1"/>
    <col min="13806" max="13806" width="19.42578125" style="2737" customWidth="1"/>
    <col min="13807" max="13807" width="54.85546875" style="2737" customWidth="1"/>
    <col min="13808" max="13808" width="19.42578125" style="2737" customWidth="1"/>
    <col min="13809" max="13810" width="18" style="2737" customWidth="1"/>
    <col min="13811" max="13811" width="13.140625" style="2737" customWidth="1"/>
    <col min="13812" max="13837" width="16.140625" style="2737" customWidth="1"/>
    <col min="13838" max="13838" width="13.7109375" style="2737" customWidth="1"/>
    <col min="13839" max="13839" width="18.5703125" style="2737" bestFit="1" customWidth="1"/>
    <col min="13840" max="14060" width="9.140625" style="2737"/>
    <col min="14061" max="14061" width="4.140625" style="2737" customWidth="1"/>
    <col min="14062" max="14062" width="19.42578125" style="2737" customWidth="1"/>
    <col min="14063" max="14063" width="54.85546875" style="2737" customWidth="1"/>
    <col min="14064" max="14064" width="19.42578125" style="2737" customWidth="1"/>
    <col min="14065" max="14066" width="18" style="2737" customWidth="1"/>
    <col min="14067" max="14067" width="13.140625" style="2737" customWidth="1"/>
    <col min="14068" max="14093" width="16.140625" style="2737" customWidth="1"/>
    <col min="14094" max="14094" width="13.7109375" style="2737" customWidth="1"/>
    <col min="14095" max="14095" width="18.5703125" style="2737" bestFit="1" customWidth="1"/>
    <col min="14096" max="14316" width="9.140625" style="2737"/>
    <col min="14317" max="14317" width="4.140625" style="2737" customWidth="1"/>
    <col min="14318" max="14318" width="19.42578125" style="2737" customWidth="1"/>
    <col min="14319" max="14319" width="54.85546875" style="2737" customWidth="1"/>
    <col min="14320" max="14320" width="19.42578125" style="2737" customWidth="1"/>
    <col min="14321" max="14322" width="18" style="2737" customWidth="1"/>
    <col min="14323" max="14323" width="13.140625" style="2737" customWidth="1"/>
    <col min="14324" max="14349" width="16.140625" style="2737" customWidth="1"/>
    <col min="14350" max="14350" width="13.7109375" style="2737" customWidth="1"/>
    <col min="14351" max="14351" width="18.5703125" style="2737" bestFit="1" customWidth="1"/>
    <col min="14352" max="14572" width="9.140625" style="2737"/>
    <col min="14573" max="14573" width="4.140625" style="2737" customWidth="1"/>
    <col min="14574" max="14574" width="19.42578125" style="2737" customWidth="1"/>
    <col min="14575" max="14575" width="54.85546875" style="2737" customWidth="1"/>
    <col min="14576" max="14576" width="19.42578125" style="2737" customWidth="1"/>
    <col min="14577" max="14578" width="18" style="2737" customWidth="1"/>
    <col min="14579" max="14579" width="13.140625" style="2737" customWidth="1"/>
    <col min="14580" max="14605" width="16.140625" style="2737" customWidth="1"/>
    <col min="14606" max="14606" width="13.7109375" style="2737" customWidth="1"/>
    <col min="14607" max="14607" width="18.5703125" style="2737" bestFit="1" customWidth="1"/>
    <col min="14608" max="14828" width="9.140625" style="2737"/>
    <col min="14829" max="14829" width="4.140625" style="2737" customWidth="1"/>
    <col min="14830" max="14830" width="19.42578125" style="2737" customWidth="1"/>
    <col min="14831" max="14831" width="54.85546875" style="2737" customWidth="1"/>
    <col min="14832" max="14832" width="19.42578125" style="2737" customWidth="1"/>
    <col min="14833" max="14834" width="18" style="2737" customWidth="1"/>
    <col min="14835" max="14835" width="13.140625" style="2737" customWidth="1"/>
    <col min="14836" max="14861" width="16.140625" style="2737" customWidth="1"/>
    <col min="14862" max="14862" width="13.7109375" style="2737" customWidth="1"/>
    <col min="14863" max="14863" width="18.5703125" style="2737" bestFit="1" customWidth="1"/>
    <col min="14864" max="15084" width="9.140625" style="2737"/>
    <col min="15085" max="15085" width="4.140625" style="2737" customWidth="1"/>
    <col min="15086" max="15086" width="19.42578125" style="2737" customWidth="1"/>
    <col min="15087" max="15087" width="54.85546875" style="2737" customWidth="1"/>
    <col min="15088" max="15088" width="19.42578125" style="2737" customWidth="1"/>
    <col min="15089" max="15090" width="18" style="2737" customWidth="1"/>
    <col min="15091" max="15091" width="13.140625" style="2737" customWidth="1"/>
    <col min="15092" max="15117" width="16.140625" style="2737" customWidth="1"/>
    <col min="15118" max="15118" width="13.7109375" style="2737" customWidth="1"/>
    <col min="15119" max="15119" width="18.5703125" style="2737" bestFit="1" customWidth="1"/>
    <col min="15120" max="15340" width="9.140625" style="2737"/>
    <col min="15341" max="15341" width="4.140625" style="2737" customWidth="1"/>
    <col min="15342" max="15342" width="19.42578125" style="2737" customWidth="1"/>
    <col min="15343" max="15343" width="54.85546875" style="2737" customWidth="1"/>
    <col min="15344" max="15344" width="19.42578125" style="2737" customWidth="1"/>
    <col min="15345" max="15346" width="18" style="2737" customWidth="1"/>
    <col min="15347" max="15347" width="13.140625" style="2737" customWidth="1"/>
    <col min="15348" max="15373" width="16.140625" style="2737" customWidth="1"/>
    <col min="15374" max="15374" width="13.7109375" style="2737" customWidth="1"/>
    <col min="15375" max="15375" width="18.5703125" style="2737" bestFit="1" customWidth="1"/>
    <col min="15376" max="15596" width="9.140625" style="2737"/>
    <col min="15597" max="15597" width="4.140625" style="2737" customWidth="1"/>
    <col min="15598" max="15598" width="19.42578125" style="2737" customWidth="1"/>
    <col min="15599" max="15599" width="54.85546875" style="2737" customWidth="1"/>
    <col min="15600" max="15600" width="19.42578125" style="2737" customWidth="1"/>
    <col min="15601" max="15602" width="18" style="2737" customWidth="1"/>
    <col min="15603" max="15603" width="13.140625" style="2737" customWidth="1"/>
    <col min="15604" max="15629" width="16.140625" style="2737" customWidth="1"/>
    <col min="15630" max="15630" width="13.7109375" style="2737" customWidth="1"/>
    <col min="15631" max="15631" width="18.5703125" style="2737" bestFit="1" customWidth="1"/>
    <col min="15632" max="15852" width="9.140625" style="2737"/>
    <col min="15853" max="15853" width="4.140625" style="2737" customWidth="1"/>
    <col min="15854" max="15854" width="19.42578125" style="2737" customWidth="1"/>
    <col min="15855" max="15855" width="54.85546875" style="2737" customWidth="1"/>
    <col min="15856" max="15856" width="19.42578125" style="2737" customWidth="1"/>
    <col min="15857" max="15858" width="18" style="2737" customWidth="1"/>
    <col min="15859" max="15859" width="13.140625" style="2737" customWidth="1"/>
    <col min="15860" max="15885" width="16.140625" style="2737" customWidth="1"/>
    <col min="15886" max="15886" width="13.7109375" style="2737" customWidth="1"/>
    <col min="15887" max="15887" width="18.5703125" style="2737" bestFit="1" customWidth="1"/>
    <col min="15888" max="16108" width="9.140625" style="2737"/>
    <col min="16109" max="16109" width="4.140625" style="2737" customWidth="1"/>
    <col min="16110" max="16110" width="19.42578125" style="2737" customWidth="1"/>
    <col min="16111" max="16111" width="54.85546875" style="2737" customWidth="1"/>
    <col min="16112" max="16112" width="19.42578125" style="2737" customWidth="1"/>
    <col min="16113" max="16114" width="18" style="2737" customWidth="1"/>
    <col min="16115" max="16115" width="13.140625" style="2737" customWidth="1"/>
    <col min="16116" max="16141" width="16.140625" style="2737" customWidth="1"/>
    <col min="16142" max="16142" width="13.7109375" style="2737" customWidth="1"/>
    <col min="16143" max="16143" width="18.5703125" style="2737" bestFit="1" customWidth="1"/>
    <col min="16144" max="16384" width="9.140625" style="2737"/>
  </cols>
  <sheetData>
    <row r="1" spans="1:17" s="2711" customFormat="1" ht="23.25">
      <c r="A1" s="3489" t="s">
        <v>0</v>
      </c>
      <c r="B1" s="3489"/>
      <c r="C1" s="3489"/>
      <c r="D1" s="3489"/>
      <c r="E1" s="3489"/>
      <c r="F1" s="3489"/>
      <c r="G1" s="3489"/>
      <c r="H1" s="3489"/>
      <c r="I1" s="3489"/>
      <c r="J1" s="3489"/>
      <c r="K1" s="3489"/>
      <c r="L1" s="3489"/>
      <c r="M1" s="3489"/>
      <c r="N1" s="3489"/>
      <c r="O1" s="3489"/>
    </row>
    <row r="2" spans="1:17" s="2711" customFormat="1" ht="23.25">
      <c r="A2" s="3489" t="s">
        <v>2287</v>
      </c>
      <c r="B2" s="3489"/>
      <c r="C2" s="3489"/>
      <c r="D2" s="3489"/>
      <c r="E2" s="3489"/>
      <c r="F2" s="3489"/>
      <c r="G2" s="3489"/>
      <c r="H2" s="3489"/>
      <c r="I2" s="3489"/>
      <c r="J2" s="3489"/>
      <c r="K2" s="3489"/>
      <c r="L2" s="3489"/>
      <c r="M2" s="3489"/>
      <c r="N2" s="3489"/>
      <c r="O2" s="3489"/>
    </row>
    <row r="3" spans="1:17" s="2711" customFormat="1" ht="23.25">
      <c r="A3" s="2712"/>
      <c r="B3" s="2713"/>
      <c r="C3" s="2712"/>
      <c r="D3" s="2712"/>
      <c r="E3" s="2712"/>
      <c r="F3" s="2712"/>
      <c r="G3" s="2712"/>
      <c r="H3" s="2712"/>
      <c r="I3" s="2712"/>
      <c r="J3" s="2712"/>
      <c r="K3" s="2712"/>
      <c r="L3" s="2712"/>
      <c r="M3" s="2712"/>
      <c r="N3" s="2712"/>
      <c r="O3" s="2712"/>
    </row>
    <row r="4" spans="1:17" s="2714" customFormat="1" ht="15.75">
      <c r="B4" s="2715" t="s">
        <v>2</v>
      </c>
      <c r="C4" s="2716" t="s">
        <v>2296</v>
      </c>
      <c r="L4" s="2717"/>
      <c r="M4" s="2717"/>
    </row>
    <row r="5" spans="1:17" s="2714" customFormat="1" ht="15.75">
      <c r="B5" s="2715" t="s">
        <v>4</v>
      </c>
      <c r="C5" s="2716" t="s">
        <v>2297</v>
      </c>
      <c r="L5" s="2714" t="s">
        <v>3</v>
      </c>
      <c r="M5" s="2717" t="str">
        <f>'Kas DOK Pernc.'!P5</f>
        <v>: Februari 2016</v>
      </c>
    </row>
    <row r="6" spans="1:17" s="2714" customFormat="1" ht="16.5" thickBot="1">
      <c r="B6" s="2715" t="s">
        <v>6</v>
      </c>
      <c r="C6" s="2716" t="s">
        <v>2298</v>
      </c>
    </row>
    <row r="7" spans="1:17" s="2714" customFormat="1" ht="27" thickBot="1">
      <c r="A7" s="3485" t="s">
        <v>36</v>
      </c>
      <c r="B7" s="2879"/>
      <c r="C7" s="2862"/>
      <c r="D7" s="2862"/>
      <c r="E7" s="3491" t="s">
        <v>10</v>
      </c>
      <c r="F7" s="3491"/>
      <c r="G7" s="3491"/>
      <c r="H7" s="3491" t="s">
        <v>399</v>
      </c>
      <c r="I7" s="3491"/>
      <c r="J7" s="3491"/>
      <c r="K7" s="3491"/>
      <c r="L7" s="3491"/>
      <c r="M7" s="3491"/>
      <c r="N7" s="3491"/>
      <c r="O7" s="3492" t="s">
        <v>12</v>
      </c>
    </row>
    <row r="8" spans="1:17" s="2714" customFormat="1" ht="18.75" thickBot="1">
      <c r="A8" s="3486"/>
      <c r="B8" s="2880"/>
      <c r="C8" s="2863"/>
      <c r="D8" s="2863"/>
      <c r="E8" s="3482" t="s">
        <v>236</v>
      </c>
      <c r="F8" s="3482" t="s">
        <v>63</v>
      </c>
      <c r="G8" s="3485" t="s">
        <v>18</v>
      </c>
      <c r="H8" s="3496" t="s">
        <v>2288</v>
      </c>
      <c r="I8" s="3496"/>
      <c r="J8" s="3496"/>
      <c r="K8" s="3496"/>
      <c r="L8" s="3482" t="s">
        <v>976</v>
      </c>
      <c r="M8" s="3482" t="s">
        <v>2289</v>
      </c>
      <c r="N8" s="3485" t="s">
        <v>28</v>
      </c>
      <c r="O8" s="3493"/>
    </row>
    <row r="9" spans="1:17" s="2714" customFormat="1" ht="15.75">
      <c r="A9" s="3486"/>
      <c r="B9" s="2880" t="s">
        <v>7</v>
      </c>
      <c r="C9" s="2863" t="s">
        <v>8</v>
      </c>
      <c r="D9" s="2863" t="s">
        <v>9</v>
      </c>
      <c r="E9" s="3483"/>
      <c r="F9" s="3483"/>
      <c r="G9" s="3486"/>
      <c r="H9" s="3485" t="s">
        <v>2290</v>
      </c>
      <c r="I9" s="3482" t="s">
        <v>2291</v>
      </c>
      <c r="J9" s="3482" t="s">
        <v>2292</v>
      </c>
      <c r="K9" s="3482" t="s">
        <v>18</v>
      </c>
      <c r="L9" s="3483"/>
      <c r="M9" s="3483"/>
      <c r="N9" s="3486"/>
      <c r="O9" s="3493"/>
    </row>
    <row r="10" spans="1:17" s="2714" customFormat="1" ht="15.75">
      <c r="A10" s="3486"/>
      <c r="B10" s="2880" t="s">
        <v>13</v>
      </c>
      <c r="C10" s="2863" t="s">
        <v>13</v>
      </c>
      <c r="D10" s="2863" t="s">
        <v>13</v>
      </c>
      <c r="E10" s="3483"/>
      <c r="F10" s="3483"/>
      <c r="G10" s="3486"/>
      <c r="H10" s="3486"/>
      <c r="I10" s="3483"/>
      <c r="J10" s="3483"/>
      <c r="K10" s="3483"/>
      <c r="L10" s="3483"/>
      <c r="M10" s="3483"/>
      <c r="N10" s="3486"/>
      <c r="O10" s="3493"/>
    </row>
    <row r="11" spans="1:17" s="2714" customFormat="1" ht="16.5" thickBot="1">
      <c r="A11" s="3490"/>
      <c r="B11" s="2881"/>
      <c r="C11" s="2864"/>
      <c r="D11" s="2864"/>
      <c r="E11" s="3495"/>
      <c r="F11" s="3484"/>
      <c r="G11" s="3487"/>
      <c r="H11" s="3488"/>
      <c r="I11" s="3484"/>
      <c r="J11" s="3484"/>
      <c r="K11" s="3484"/>
      <c r="L11" s="3484"/>
      <c r="M11" s="3484"/>
      <c r="N11" s="3487"/>
      <c r="O11" s="3494"/>
    </row>
    <row r="12" spans="1:17" s="2714" customFormat="1" ht="16.5" thickTop="1">
      <c r="A12" s="2749"/>
      <c r="B12" s="2750"/>
      <c r="C12" s="2882" t="s">
        <v>258</v>
      </c>
      <c r="D12" s="2752"/>
      <c r="E12" s="2883">
        <v>171409884</v>
      </c>
      <c r="F12" s="2883">
        <v>15542700</v>
      </c>
      <c r="G12" s="2883">
        <v>0</v>
      </c>
      <c r="H12" s="2883">
        <v>46776250</v>
      </c>
      <c r="I12" s="2883">
        <v>61008950</v>
      </c>
      <c r="J12" s="2883">
        <v>55160000</v>
      </c>
      <c r="K12" s="2883">
        <v>6226000</v>
      </c>
      <c r="L12" s="2883">
        <v>15442700</v>
      </c>
      <c r="M12" s="2883">
        <v>2200000</v>
      </c>
      <c r="N12" s="2883">
        <v>138684</v>
      </c>
      <c r="O12" s="2884">
        <f>(SUM((E12:G12))-(SUM((H12:N12))))</f>
        <v>0</v>
      </c>
      <c r="Q12" s="2728">
        <f>F12-L12</f>
        <v>100000</v>
      </c>
    </row>
    <row r="13" spans="1:17" s="2719" customFormat="1" ht="16.5" thickBot="1">
      <c r="A13" s="2885"/>
      <c r="B13" s="2886"/>
      <c r="C13" s="2758" t="s">
        <v>539</v>
      </c>
      <c r="D13" s="2885"/>
      <c r="E13" s="2887"/>
      <c r="F13" s="2887"/>
      <c r="G13" s="2887"/>
      <c r="H13" s="2887"/>
      <c r="I13" s="2887"/>
      <c r="J13" s="2887"/>
      <c r="K13" s="2887"/>
      <c r="L13" s="2887"/>
      <c r="M13" s="2887"/>
      <c r="N13" s="2887"/>
      <c r="O13" s="2888">
        <f t="shared" ref="O13:O34" si="0">O12+(SUM((E13:G13))-(SUM((H13:N13))))</f>
        <v>0</v>
      </c>
    </row>
    <row r="14" spans="1:17" s="2720" customFormat="1" ht="15.75">
      <c r="A14" s="2889"/>
      <c r="B14" s="2890"/>
      <c r="C14" s="2891"/>
      <c r="D14" s="2889"/>
      <c r="E14" s="2892"/>
      <c r="F14" s="2892"/>
      <c r="G14" s="2892"/>
      <c r="H14" s="2892"/>
      <c r="I14" s="2892"/>
      <c r="J14" s="2892"/>
      <c r="K14" s="2892"/>
      <c r="L14" s="2892"/>
      <c r="M14" s="2892"/>
      <c r="N14" s="2892"/>
      <c r="O14" s="2893">
        <f t="shared" si="0"/>
        <v>0</v>
      </c>
    </row>
    <row r="15" spans="1:17" s="2719" customFormat="1" ht="15.75">
      <c r="A15" s="2894"/>
      <c r="B15" s="2895"/>
      <c r="C15" s="2769"/>
      <c r="D15" s="2894"/>
      <c r="E15" s="2896"/>
      <c r="F15" s="2896"/>
      <c r="G15" s="2896"/>
      <c r="H15" s="2896"/>
      <c r="I15" s="2896"/>
      <c r="J15" s="2896"/>
      <c r="K15" s="2896"/>
      <c r="L15" s="2896"/>
      <c r="M15" s="2896"/>
      <c r="N15" s="2896"/>
      <c r="O15" s="2897">
        <f t="shared" si="0"/>
        <v>0</v>
      </c>
    </row>
    <row r="16" spans="1:17" s="2721" customFormat="1" ht="15.75">
      <c r="A16" s="2894"/>
      <c r="B16" s="2895"/>
      <c r="C16" s="2769"/>
      <c r="D16" s="2894"/>
      <c r="E16" s="2896"/>
      <c r="F16" s="2896"/>
      <c r="G16" s="2896"/>
      <c r="H16" s="2896"/>
      <c r="I16" s="2896"/>
      <c r="J16" s="2896"/>
      <c r="K16" s="2896"/>
      <c r="L16" s="2896"/>
      <c r="M16" s="2896"/>
      <c r="N16" s="2896"/>
      <c r="O16" s="2897">
        <f t="shared" si="0"/>
        <v>0</v>
      </c>
    </row>
    <row r="17" spans="1:15" s="2721" customFormat="1" ht="15.75">
      <c r="A17" s="2894"/>
      <c r="B17" s="2895"/>
      <c r="C17" s="2769"/>
      <c r="D17" s="2894"/>
      <c r="E17" s="2896"/>
      <c r="F17" s="2896"/>
      <c r="G17" s="2896"/>
      <c r="H17" s="2896"/>
      <c r="I17" s="2896"/>
      <c r="J17" s="2896"/>
      <c r="K17" s="2896"/>
      <c r="L17" s="2896"/>
      <c r="M17" s="2896"/>
      <c r="N17" s="2896"/>
      <c r="O17" s="2897">
        <f t="shared" si="0"/>
        <v>0</v>
      </c>
    </row>
    <row r="18" spans="1:15" s="2721" customFormat="1" ht="15.75">
      <c r="A18" s="2894"/>
      <c r="B18" s="2895"/>
      <c r="C18" s="2769"/>
      <c r="D18" s="2894"/>
      <c r="E18" s="2896"/>
      <c r="F18" s="2896"/>
      <c r="G18" s="2896"/>
      <c r="H18" s="2896"/>
      <c r="I18" s="2896"/>
      <c r="J18" s="2896"/>
      <c r="K18" s="2896"/>
      <c r="L18" s="2896"/>
      <c r="M18" s="2896"/>
      <c r="N18" s="2896"/>
      <c r="O18" s="2897">
        <f t="shared" si="0"/>
        <v>0</v>
      </c>
    </row>
    <row r="19" spans="1:15" s="2721" customFormat="1" ht="15.75">
      <c r="A19" s="2894"/>
      <c r="B19" s="2895"/>
      <c r="C19" s="2769"/>
      <c r="D19" s="2894"/>
      <c r="E19" s="2896"/>
      <c r="F19" s="2896"/>
      <c r="G19" s="2896"/>
      <c r="H19" s="2896"/>
      <c r="I19" s="2896"/>
      <c r="J19" s="2896"/>
      <c r="K19" s="2896"/>
      <c r="L19" s="2896"/>
      <c r="M19" s="2896"/>
      <c r="N19" s="2896"/>
      <c r="O19" s="2897">
        <f t="shared" si="0"/>
        <v>0</v>
      </c>
    </row>
    <row r="20" spans="1:15" s="2721" customFormat="1" ht="15.75">
      <c r="A20" s="2894"/>
      <c r="B20" s="2895"/>
      <c r="C20" s="2769"/>
      <c r="D20" s="2894"/>
      <c r="E20" s="2896"/>
      <c r="F20" s="2896"/>
      <c r="G20" s="2896"/>
      <c r="H20" s="2896"/>
      <c r="I20" s="2896"/>
      <c r="J20" s="2896"/>
      <c r="K20" s="2896"/>
      <c r="L20" s="2896"/>
      <c r="M20" s="2896"/>
      <c r="N20" s="2896"/>
      <c r="O20" s="2897">
        <f t="shared" si="0"/>
        <v>0</v>
      </c>
    </row>
    <row r="21" spans="1:15" s="2721" customFormat="1" ht="15.75">
      <c r="A21" s="2894"/>
      <c r="B21" s="2895"/>
      <c r="C21" s="2769"/>
      <c r="D21" s="2894"/>
      <c r="E21" s="2896"/>
      <c r="F21" s="2896"/>
      <c r="G21" s="2896"/>
      <c r="H21" s="2896"/>
      <c r="I21" s="2896"/>
      <c r="J21" s="2896"/>
      <c r="K21" s="2896"/>
      <c r="L21" s="2896"/>
      <c r="M21" s="2896"/>
      <c r="N21" s="2896"/>
      <c r="O21" s="2897">
        <f t="shared" si="0"/>
        <v>0</v>
      </c>
    </row>
    <row r="22" spans="1:15" s="2721" customFormat="1" ht="15.75">
      <c r="A22" s="2894"/>
      <c r="B22" s="2895"/>
      <c r="C22" s="2769"/>
      <c r="D22" s="2894"/>
      <c r="E22" s="2896"/>
      <c r="F22" s="2896"/>
      <c r="G22" s="2896"/>
      <c r="H22" s="2896"/>
      <c r="I22" s="2896"/>
      <c r="J22" s="2896"/>
      <c r="K22" s="2896"/>
      <c r="L22" s="2896"/>
      <c r="M22" s="2896"/>
      <c r="N22" s="2896"/>
      <c r="O22" s="2897">
        <f t="shared" si="0"/>
        <v>0</v>
      </c>
    </row>
    <row r="23" spans="1:15" s="2721" customFormat="1" ht="15.75">
      <c r="A23" s="2894"/>
      <c r="B23" s="2895"/>
      <c r="C23" s="2769"/>
      <c r="D23" s="2894"/>
      <c r="E23" s="2896"/>
      <c r="F23" s="2896"/>
      <c r="G23" s="2896"/>
      <c r="H23" s="2896"/>
      <c r="I23" s="2896"/>
      <c r="J23" s="2896"/>
      <c r="K23" s="2896"/>
      <c r="L23" s="2896"/>
      <c r="M23" s="2896"/>
      <c r="N23" s="2896"/>
      <c r="O23" s="2897">
        <f t="shared" si="0"/>
        <v>0</v>
      </c>
    </row>
    <row r="24" spans="1:15" s="2721" customFormat="1" ht="15.75">
      <c r="A24" s="2894"/>
      <c r="B24" s="2895"/>
      <c r="C24" s="2769"/>
      <c r="D24" s="2894"/>
      <c r="E24" s="2896"/>
      <c r="F24" s="2896"/>
      <c r="G24" s="2896"/>
      <c r="H24" s="2896"/>
      <c r="I24" s="2896"/>
      <c r="J24" s="2896"/>
      <c r="K24" s="2896"/>
      <c r="L24" s="2896"/>
      <c r="M24" s="2896"/>
      <c r="N24" s="2896"/>
      <c r="O24" s="2897">
        <f t="shared" si="0"/>
        <v>0</v>
      </c>
    </row>
    <row r="25" spans="1:15" s="2721" customFormat="1" ht="15.75">
      <c r="A25" s="2894"/>
      <c r="B25" s="2895"/>
      <c r="C25" s="2769"/>
      <c r="D25" s="2894"/>
      <c r="E25" s="2896"/>
      <c r="F25" s="2896"/>
      <c r="G25" s="2896"/>
      <c r="H25" s="2896"/>
      <c r="I25" s="2896"/>
      <c r="J25" s="2896"/>
      <c r="K25" s="2896"/>
      <c r="L25" s="2896"/>
      <c r="M25" s="2896"/>
      <c r="N25" s="2896"/>
      <c r="O25" s="2897">
        <f t="shared" si="0"/>
        <v>0</v>
      </c>
    </row>
    <row r="26" spans="1:15" s="2721" customFormat="1" ht="15.75">
      <c r="A26" s="2894"/>
      <c r="B26" s="2895"/>
      <c r="C26" s="2769"/>
      <c r="D26" s="2894"/>
      <c r="E26" s="2896"/>
      <c r="F26" s="2896"/>
      <c r="G26" s="2896"/>
      <c r="H26" s="2896"/>
      <c r="I26" s="2896"/>
      <c r="J26" s="2896"/>
      <c r="K26" s="2896"/>
      <c r="L26" s="2896"/>
      <c r="M26" s="2896"/>
      <c r="N26" s="2896"/>
      <c r="O26" s="2897">
        <f t="shared" si="0"/>
        <v>0</v>
      </c>
    </row>
    <row r="27" spans="1:15" s="2721" customFormat="1" ht="15.75">
      <c r="A27" s="2894"/>
      <c r="B27" s="2898"/>
      <c r="C27" s="2769"/>
      <c r="D27" s="2894"/>
      <c r="E27" s="2896"/>
      <c r="F27" s="2896"/>
      <c r="G27" s="2896"/>
      <c r="H27" s="2896"/>
      <c r="I27" s="2896"/>
      <c r="J27" s="2896"/>
      <c r="K27" s="2896"/>
      <c r="L27" s="2896"/>
      <c r="M27" s="2896"/>
      <c r="N27" s="2896"/>
      <c r="O27" s="2897">
        <f t="shared" si="0"/>
        <v>0</v>
      </c>
    </row>
    <row r="28" spans="1:15" s="2721" customFormat="1" ht="15.75">
      <c r="A28" s="2894"/>
      <c r="B28" s="2898"/>
      <c r="C28" s="2769"/>
      <c r="D28" s="2894"/>
      <c r="E28" s="2896"/>
      <c r="F28" s="2896"/>
      <c r="G28" s="2896"/>
      <c r="H28" s="2896"/>
      <c r="I28" s="2896"/>
      <c r="J28" s="2896"/>
      <c r="K28" s="2896"/>
      <c r="L28" s="2896"/>
      <c r="M28" s="2896"/>
      <c r="N28" s="2896"/>
      <c r="O28" s="2897">
        <f t="shared" si="0"/>
        <v>0</v>
      </c>
    </row>
    <row r="29" spans="1:15" s="2721" customFormat="1" ht="15.75">
      <c r="A29" s="2894"/>
      <c r="B29" s="2898"/>
      <c r="C29" s="2769"/>
      <c r="D29" s="2894"/>
      <c r="E29" s="2896"/>
      <c r="F29" s="2896"/>
      <c r="G29" s="2896"/>
      <c r="H29" s="2896"/>
      <c r="I29" s="2896"/>
      <c r="J29" s="2896"/>
      <c r="K29" s="2896"/>
      <c r="L29" s="2896"/>
      <c r="M29" s="2896"/>
      <c r="N29" s="2896"/>
      <c r="O29" s="2897">
        <f t="shared" si="0"/>
        <v>0</v>
      </c>
    </row>
    <row r="30" spans="1:15" s="2721" customFormat="1" ht="15.75">
      <c r="A30" s="2894"/>
      <c r="B30" s="2898"/>
      <c r="C30" s="2769"/>
      <c r="D30" s="2894"/>
      <c r="E30" s="2896"/>
      <c r="F30" s="2896"/>
      <c r="G30" s="2896"/>
      <c r="H30" s="2896"/>
      <c r="I30" s="2896"/>
      <c r="J30" s="2896"/>
      <c r="K30" s="2896"/>
      <c r="L30" s="2896"/>
      <c r="M30" s="2896"/>
      <c r="N30" s="2896"/>
      <c r="O30" s="2897">
        <f t="shared" si="0"/>
        <v>0</v>
      </c>
    </row>
    <row r="31" spans="1:15" s="2721" customFormat="1" ht="15.75">
      <c r="A31" s="2894"/>
      <c r="B31" s="2898"/>
      <c r="C31" s="2769"/>
      <c r="D31" s="2894"/>
      <c r="E31" s="2896"/>
      <c r="F31" s="2896"/>
      <c r="G31" s="2896"/>
      <c r="H31" s="2896"/>
      <c r="I31" s="2896"/>
      <c r="J31" s="2896"/>
      <c r="K31" s="2896"/>
      <c r="L31" s="2896"/>
      <c r="M31" s="2896"/>
      <c r="N31" s="2896"/>
      <c r="O31" s="2897">
        <f t="shared" si="0"/>
        <v>0</v>
      </c>
    </row>
    <row r="32" spans="1:15" s="2721" customFormat="1" ht="15.75">
      <c r="A32" s="2894"/>
      <c r="B32" s="2898"/>
      <c r="C32" s="2769"/>
      <c r="D32" s="2894"/>
      <c r="E32" s="2896"/>
      <c r="F32" s="2896"/>
      <c r="G32" s="2896"/>
      <c r="H32" s="2896"/>
      <c r="I32" s="2896"/>
      <c r="J32" s="2896"/>
      <c r="K32" s="2896"/>
      <c r="L32" s="2896"/>
      <c r="M32" s="2896"/>
      <c r="N32" s="2896"/>
      <c r="O32" s="2897">
        <f t="shared" si="0"/>
        <v>0</v>
      </c>
    </row>
    <row r="33" spans="1:15" s="2721" customFormat="1" ht="15.75">
      <c r="A33" s="2894"/>
      <c r="B33" s="2898"/>
      <c r="C33" s="2769"/>
      <c r="D33" s="2894"/>
      <c r="E33" s="2896"/>
      <c r="F33" s="2896"/>
      <c r="G33" s="2896"/>
      <c r="H33" s="2896"/>
      <c r="I33" s="2896"/>
      <c r="J33" s="2896"/>
      <c r="K33" s="2896"/>
      <c r="L33" s="2896"/>
      <c r="M33" s="2896"/>
      <c r="N33" s="2896"/>
      <c r="O33" s="2897">
        <f t="shared" si="0"/>
        <v>0</v>
      </c>
    </row>
    <row r="34" spans="1:15" s="2721" customFormat="1" ht="15.75">
      <c r="A34" s="2894"/>
      <c r="B34" s="2898"/>
      <c r="C34" s="2769"/>
      <c r="D34" s="2894"/>
      <c r="E34" s="2896"/>
      <c r="F34" s="2896"/>
      <c r="G34" s="2896"/>
      <c r="H34" s="2896"/>
      <c r="I34" s="2896"/>
      <c r="J34" s="2896"/>
      <c r="K34" s="2896"/>
      <c r="L34" s="2896"/>
      <c r="M34" s="2896"/>
      <c r="N34" s="2896"/>
      <c r="O34" s="2897">
        <f t="shared" si="0"/>
        <v>0</v>
      </c>
    </row>
    <row r="35" spans="1:15" s="2721" customFormat="1" ht="15.75">
      <c r="A35" s="2894"/>
      <c r="B35" s="2898"/>
      <c r="C35" s="2769"/>
      <c r="D35" s="2894"/>
      <c r="E35" s="2896"/>
      <c r="F35" s="2896"/>
      <c r="G35" s="2896"/>
      <c r="H35" s="2896"/>
      <c r="I35" s="2896"/>
      <c r="J35" s="2896"/>
      <c r="K35" s="2896"/>
      <c r="L35" s="2896"/>
      <c r="M35" s="2896"/>
      <c r="N35" s="2896"/>
      <c r="O35" s="2897">
        <f>O29+(SUM((E35:G35))-(SUM((H35:N35))))</f>
        <v>0</v>
      </c>
    </row>
    <row r="36" spans="1:15" s="2721" customFormat="1" ht="15.75">
      <c r="A36" s="2894"/>
      <c r="B36" s="2898"/>
      <c r="C36" s="2769"/>
      <c r="D36" s="2894"/>
      <c r="E36" s="2896"/>
      <c r="F36" s="2896"/>
      <c r="G36" s="2896"/>
      <c r="H36" s="2896"/>
      <c r="I36" s="2896"/>
      <c r="J36" s="2896"/>
      <c r="K36" s="2896"/>
      <c r="L36" s="2896"/>
      <c r="M36" s="2896"/>
      <c r="N36" s="2896"/>
      <c r="O36" s="2897">
        <f>O30+(SUM((E36:G36))-(SUM((H36:N36))))</f>
        <v>0</v>
      </c>
    </row>
    <row r="37" spans="1:15" s="2721" customFormat="1" ht="15.75">
      <c r="A37" s="2894"/>
      <c r="B37" s="2898"/>
      <c r="C37" s="2769"/>
      <c r="D37" s="2894"/>
      <c r="E37" s="2896"/>
      <c r="F37" s="2896"/>
      <c r="G37" s="2896"/>
      <c r="H37" s="2896"/>
      <c r="I37" s="2896"/>
      <c r="J37" s="2896"/>
      <c r="K37" s="2896"/>
      <c r="L37" s="2896"/>
      <c r="M37" s="2896"/>
      <c r="N37" s="2896"/>
      <c r="O37" s="2897">
        <f>O31+(SUM((E37:G37))-(SUM((H37:N37))))</f>
        <v>0</v>
      </c>
    </row>
    <row r="38" spans="1:15" s="2719" customFormat="1" ht="15.75">
      <c r="A38" s="2899"/>
      <c r="B38" s="2900"/>
      <c r="C38" s="2901"/>
      <c r="D38" s="2899"/>
      <c r="E38" s="2902"/>
      <c r="F38" s="2902"/>
      <c r="G38" s="2902"/>
      <c r="H38" s="2902"/>
      <c r="I38" s="2902"/>
      <c r="J38" s="2902"/>
      <c r="K38" s="2902"/>
      <c r="L38" s="2902"/>
      <c r="M38" s="2902"/>
      <c r="N38" s="2902"/>
      <c r="O38" s="2897">
        <f>O32+(SUM((E38:G38))-(SUM((H38:N38))))</f>
        <v>0</v>
      </c>
    </row>
    <row r="39" spans="1:15" s="2719" customFormat="1" ht="15.75">
      <c r="A39" s="2899"/>
      <c r="B39" s="2900"/>
      <c r="C39" s="2901"/>
      <c r="D39" s="2899"/>
      <c r="E39" s="2902"/>
      <c r="F39" s="2902"/>
      <c r="G39" s="2902"/>
      <c r="H39" s="2902"/>
      <c r="I39" s="2902"/>
      <c r="J39" s="2902"/>
      <c r="K39" s="2902"/>
      <c r="L39" s="2902"/>
      <c r="M39" s="2902"/>
      <c r="N39" s="2902"/>
      <c r="O39" s="2903">
        <f>O38+(SUM((E39:G39))-(SUM((H39:N39))))</f>
        <v>0</v>
      </c>
    </row>
    <row r="40" spans="1:15" s="2719" customFormat="1" ht="16.5" thickBot="1">
      <c r="A40" s="2899"/>
      <c r="B40" s="2900"/>
      <c r="C40" s="2901"/>
      <c r="D40" s="2899"/>
      <c r="E40" s="2902"/>
      <c r="F40" s="2902"/>
      <c r="G40" s="2902"/>
      <c r="H40" s="2902"/>
      <c r="I40" s="2902"/>
      <c r="J40" s="2902"/>
      <c r="K40" s="2902"/>
      <c r="L40" s="2902"/>
      <c r="M40" s="2902"/>
      <c r="N40" s="2902"/>
      <c r="O40" s="2904">
        <f>O39+(SUM((E40:G40))-(SUM((H40:N40))))</f>
        <v>0</v>
      </c>
    </row>
    <row r="41" spans="1:15" s="2714" customFormat="1" ht="17.25" thickTop="1" thickBot="1">
      <c r="A41" s="2905"/>
      <c r="B41" s="2906"/>
      <c r="C41" s="2907" t="s">
        <v>19</v>
      </c>
      <c r="D41" s="2908"/>
      <c r="E41" s="2909">
        <f t="shared" ref="E41:N41" si="1">SUM(E14:E40)</f>
        <v>0</v>
      </c>
      <c r="F41" s="2909">
        <f t="shared" si="1"/>
        <v>0</v>
      </c>
      <c r="G41" s="2909">
        <f t="shared" si="1"/>
        <v>0</v>
      </c>
      <c r="H41" s="2909">
        <f t="shared" si="1"/>
        <v>0</v>
      </c>
      <c r="I41" s="2909">
        <f t="shared" si="1"/>
        <v>0</v>
      </c>
      <c r="J41" s="2909">
        <f t="shared" si="1"/>
        <v>0</v>
      </c>
      <c r="K41" s="2909">
        <f t="shared" si="1"/>
        <v>0</v>
      </c>
      <c r="L41" s="2909">
        <f t="shared" si="1"/>
        <v>0</v>
      </c>
      <c r="M41" s="2909">
        <f t="shared" si="1"/>
        <v>0</v>
      </c>
      <c r="N41" s="2909">
        <f t="shared" si="1"/>
        <v>0</v>
      </c>
      <c r="O41" s="2909">
        <f>(SUM((E41:G41))-(SUM((H41:N41))))</f>
        <v>0</v>
      </c>
    </row>
    <row r="42" spans="1:15" s="2719" customFormat="1" ht="17.25" thickTop="1" thickBot="1">
      <c r="A42" s="2905"/>
      <c r="B42" s="2906"/>
      <c r="C42" s="2907" t="s">
        <v>257</v>
      </c>
      <c r="D42" s="2908"/>
      <c r="E42" s="2909">
        <f t="shared" ref="E42:N42" si="2">E13+E41</f>
        <v>0</v>
      </c>
      <c r="F42" s="2909">
        <f t="shared" si="2"/>
        <v>0</v>
      </c>
      <c r="G42" s="2909">
        <f t="shared" si="2"/>
        <v>0</v>
      </c>
      <c r="H42" s="2909">
        <f t="shared" si="2"/>
        <v>0</v>
      </c>
      <c r="I42" s="2909">
        <f t="shared" si="2"/>
        <v>0</v>
      </c>
      <c r="J42" s="2909">
        <f t="shared" si="2"/>
        <v>0</v>
      </c>
      <c r="K42" s="2909">
        <f t="shared" si="2"/>
        <v>0</v>
      </c>
      <c r="L42" s="2909">
        <f t="shared" si="2"/>
        <v>0</v>
      </c>
      <c r="M42" s="2909">
        <f t="shared" si="2"/>
        <v>0</v>
      </c>
      <c r="N42" s="3006">
        <f t="shared" si="2"/>
        <v>0</v>
      </c>
      <c r="O42" s="2909">
        <f>(SUM((E42:G42))-(SUM((H42:N42))))</f>
        <v>0</v>
      </c>
    </row>
    <row r="43" spans="1:15" s="2719" customFormat="1" ht="17.25" thickTop="1" thickBot="1">
      <c r="A43" s="2910"/>
      <c r="B43" s="2911"/>
      <c r="C43" s="2912" t="s">
        <v>20</v>
      </c>
      <c r="D43" s="2913"/>
      <c r="E43" s="2914">
        <f t="shared" ref="E43:N43" si="3">E12+E42</f>
        <v>171409884</v>
      </c>
      <c r="F43" s="2914">
        <f t="shared" si="3"/>
        <v>15542700</v>
      </c>
      <c r="G43" s="2914">
        <f t="shared" si="3"/>
        <v>0</v>
      </c>
      <c r="H43" s="2914">
        <f t="shared" si="3"/>
        <v>46776250</v>
      </c>
      <c r="I43" s="2914">
        <f t="shared" si="3"/>
        <v>61008950</v>
      </c>
      <c r="J43" s="2914">
        <f t="shared" si="3"/>
        <v>55160000</v>
      </c>
      <c r="K43" s="2914">
        <f t="shared" si="3"/>
        <v>6226000</v>
      </c>
      <c r="L43" s="2914">
        <f t="shared" si="3"/>
        <v>15442700</v>
      </c>
      <c r="M43" s="2914">
        <f t="shared" si="3"/>
        <v>2200000</v>
      </c>
      <c r="N43" s="3007">
        <f t="shared" si="3"/>
        <v>138684</v>
      </c>
      <c r="O43" s="2914">
        <f>(SUM((E43:G43))-(SUM((H43:N43))))</f>
        <v>0</v>
      </c>
    </row>
    <row r="44" spans="1:15" s="2719" customFormat="1" ht="15.75">
      <c r="A44" s="2714"/>
      <c r="B44" s="2726"/>
      <c r="C44" s="2714"/>
      <c r="D44" s="2714"/>
      <c r="E44" s="2714"/>
      <c r="F44" s="2714"/>
      <c r="G44" s="2714"/>
      <c r="H44" s="2714"/>
      <c r="I44" s="2714"/>
      <c r="J44" s="2714"/>
      <c r="K44" s="2714"/>
      <c r="L44" s="2714"/>
      <c r="M44" s="2714"/>
      <c r="N44" s="2714"/>
      <c r="O44" s="2714"/>
    </row>
    <row r="45" spans="1:15" s="2714" customFormat="1" ht="15.75">
      <c r="A45" s="2727"/>
      <c r="B45" s="2726"/>
      <c r="I45" s="2728"/>
      <c r="J45" s="2728"/>
      <c r="K45" s="2728"/>
      <c r="L45" s="2729"/>
      <c r="M45" s="2729"/>
    </row>
    <row r="46" spans="1:15" s="2714" customFormat="1" ht="15.75">
      <c r="A46" s="2727"/>
      <c r="B46" s="2726"/>
      <c r="I46" s="2728"/>
      <c r="J46" s="2728"/>
      <c r="K46" s="2728"/>
      <c r="L46" s="2730"/>
      <c r="M46" s="2730"/>
      <c r="N46" s="2729" t="str">
        <f>'Kas SPP'!L369</f>
        <v>Nagrak, 29 Februari 2016 2016</v>
      </c>
    </row>
    <row r="47" spans="1:15" s="2714" customFormat="1" ht="15.75">
      <c r="B47" s="2726"/>
      <c r="C47" s="3481" t="s">
        <v>2293</v>
      </c>
      <c r="D47" s="3481"/>
      <c r="E47" s="3481"/>
      <c r="F47" s="3481"/>
      <c r="G47" s="3481"/>
      <c r="H47" s="3481"/>
      <c r="I47" s="2728"/>
      <c r="J47" s="2728"/>
      <c r="K47" s="2731" t="s">
        <v>21</v>
      </c>
      <c r="L47" s="2732"/>
      <c r="M47" s="2732"/>
      <c r="N47" s="2730" t="s">
        <v>22</v>
      </c>
    </row>
    <row r="48" spans="1:15" s="2714" customFormat="1" ht="15.75">
      <c r="B48" s="2726"/>
      <c r="C48" s="2731" t="s">
        <v>211</v>
      </c>
      <c r="D48" s="2731"/>
      <c r="E48" s="2731"/>
      <c r="F48" s="2731" t="s">
        <v>2294</v>
      </c>
      <c r="G48" s="2731"/>
      <c r="I48" s="2728"/>
      <c r="J48" s="2728"/>
      <c r="K48" s="2731" t="s">
        <v>23</v>
      </c>
      <c r="L48" s="2730"/>
      <c r="M48" s="2730"/>
      <c r="N48" s="2732" t="s">
        <v>24</v>
      </c>
    </row>
    <row r="49" spans="1:15" s="2714" customFormat="1" ht="15.75">
      <c r="B49" s="2726"/>
      <c r="C49" s="2731"/>
      <c r="D49" s="2731"/>
      <c r="E49" s="2731"/>
      <c r="F49" s="2731"/>
      <c r="G49" s="2731"/>
      <c r="I49" s="2728"/>
      <c r="J49" s="2728"/>
      <c r="K49" s="2733"/>
      <c r="L49" s="2734"/>
      <c r="M49" s="2734"/>
    </row>
    <row r="50" spans="1:15" s="2714" customFormat="1" ht="15.75">
      <c r="A50" s="2735"/>
      <c r="B50" s="2726"/>
      <c r="C50" s="2731"/>
      <c r="D50" s="2731"/>
      <c r="E50" s="2731"/>
      <c r="F50" s="2731"/>
      <c r="G50" s="2731"/>
      <c r="I50" s="2728"/>
      <c r="J50" s="2728"/>
      <c r="K50" s="2733"/>
      <c r="L50" s="2732"/>
      <c r="M50" s="2732"/>
      <c r="N50" s="2735"/>
      <c r="O50" s="2735"/>
    </row>
    <row r="51" spans="1:15" ht="15">
      <c r="B51" s="2726"/>
      <c r="C51" s="2736"/>
      <c r="D51" s="2731"/>
      <c r="E51" s="2731"/>
      <c r="F51" s="2731"/>
      <c r="G51" s="2731"/>
      <c r="H51" s="2714"/>
      <c r="I51" s="2728"/>
      <c r="J51" s="2728"/>
      <c r="K51" s="2733"/>
    </row>
    <row r="52" spans="1:15" ht="15.75">
      <c r="B52" s="2726"/>
      <c r="C52" s="2738" t="s">
        <v>2295</v>
      </c>
      <c r="D52" s="2731"/>
      <c r="E52" s="2731"/>
      <c r="F52" s="2738" t="s">
        <v>2642</v>
      </c>
      <c r="G52" s="2731"/>
      <c r="H52" s="2714"/>
      <c r="I52" s="2728"/>
      <c r="J52" s="2728"/>
      <c r="K52" s="2738" t="s">
        <v>1861</v>
      </c>
      <c r="N52" s="2738" t="s">
        <v>2641</v>
      </c>
    </row>
  </sheetData>
  <mergeCells count="18">
    <mergeCell ref="A1:O1"/>
    <mergeCell ref="A2:O2"/>
    <mergeCell ref="A7:A11"/>
    <mergeCell ref="E7:G7"/>
    <mergeCell ref="H7:N7"/>
    <mergeCell ref="O7:O11"/>
    <mergeCell ref="E8:E11"/>
    <mergeCell ref="F8:F11"/>
    <mergeCell ref="G8:G11"/>
    <mergeCell ref="H8:K8"/>
    <mergeCell ref="C47:H47"/>
    <mergeCell ref="L8:L11"/>
    <mergeCell ref="M8:M11"/>
    <mergeCell ref="N8:N11"/>
    <mergeCell ref="H9:H11"/>
    <mergeCell ref="I9:I11"/>
    <mergeCell ref="J9:J11"/>
    <mergeCell ref="K9:K11"/>
  </mergeCells>
  <pageMargins left="0.47" right="0.70866141732283472" top="0.87" bottom="0.4" header="0.31496062992125984" footer="0.31496062992125984"/>
  <pageSetup paperSize="5" scale="60" orientation="landscape" horizontalDpi="4294967293" vertic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sheetPr>
  <dimension ref="A1:Z53"/>
  <sheetViews>
    <sheetView topLeftCell="G16" zoomScale="70" zoomScaleNormal="70" zoomScaleSheetLayoutView="55" workbookViewId="0">
      <selection activeCell="Q17" sqref="Q17"/>
    </sheetView>
  </sheetViews>
  <sheetFormatPr defaultColWidth="9.140625" defaultRowHeight="12.75"/>
  <cols>
    <col min="1" max="1" width="3.5703125" style="40" customWidth="1"/>
    <col min="2" max="2" width="17.42578125" style="75" customWidth="1"/>
    <col min="3" max="3" width="43.140625" style="40" customWidth="1"/>
    <col min="4" max="4" width="10.5703125" style="40" customWidth="1"/>
    <col min="5" max="6" width="15.7109375" style="40" customWidth="1"/>
    <col min="7" max="7" width="12" style="40" customWidth="1"/>
    <col min="8" max="9" width="15" style="40" customWidth="1"/>
    <col min="10" max="10" width="14.140625" style="40" customWidth="1"/>
    <col min="11" max="11" width="15" style="40" customWidth="1"/>
    <col min="12" max="12" width="14.7109375" style="40" customWidth="1"/>
    <col min="13" max="13" width="15" style="40" customWidth="1"/>
    <col min="14" max="14" width="15.42578125" style="40" customWidth="1"/>
    <col min="15" max="18" width="15" style="40" customWidth="1"/>
    <col min="19" max="19" width="14.42578125" style="40" customWidth="1"/>
    <col min="20" max="20" width="13.28515625" style="40" customWidth="1"/>
    <col min="21" max="21" width="15.140625" style="40" customWidth="1"/>
    <col min="22" max="23" width="9.140625" style="22"/>
    <col min="24" max="26" width="12.85546875" style="22" bestFit="1" customWidth="1"/>
    <col min="27" max="16384" width="9.140625" style="22"/>
  </cols>
  <sheetData>
    <row r="1" spans="1:26" s="120" customFormat="1" ht="25.5">
      <c r="A1" s="3501" t="s">
        <v>0</v>
      </c>
      <c r="B1" s="3501"/>
      <c r="C1" s="3501"/>
      <c r="D1" s="3501"/>
      <c r="E1" s="3501"/>
      <c r="F1" s="3501"/>
      <c r="G1" s="3501"/>
      <c r="H1" s="3501"/>
      <c r="I1" s="3501"/>
      <c r="J1" s="3501"/>
      <c r="K1" s="3501"/>
      <c r="L1" s="3501"/>
      <c r="M1" s="3501"/>
      <c r="N1" s="3501"/>
      <c r="O1" s="3501"/>
      <c r="P1" s="3501"/>
      <c r="Q1" s="3501"/>
      <c r="R1" s="3501"/>
      <c r="S1" s="3501"/>
      <c r="T1" s="3501"/>
      <c r="U1" s="3501"/>
    </row>
    <row r="2" spans="1:26" s="120" customFormat="1" ht="25.5">
      <c r="A2" s="3501" t="s">
        <v>35</v>
      </c>
      <c r="B2" s="3501"/>
      <c r="C2" s="3501"/>
      <c r="D2" s="3501"/>
      <c r="E2" s="3501"/>
      <c r="F2" s="3501"/>
      <c r="G2" s="3501"/>
      <c r="H2" s="3501"/>
      <c r="I2" s="3501"/>
      <c r="J2" s="3501"/>
      <c r="K2" s="3501"/>
      <c r="L2" s="3501"/>
      <c r="M2" s="3501"/>
      <c r="N2" s="3501"/>
      <c r="O2" s="3501"/>
      <c r="P2" s="3501"/>
      <c r="Q2" s="3501"/>
      <c r="R2" s="3501"/>
      <c r="S2" s="3501"/>
      <c r="T2" s="3501"/>
      <c r="U2" s="3501"/>
    </row>
    <row r="3" spans="1:26" s="120" customFormat="1" ht="25.5">
      <c r="A3" s="3501" t="s">
        <v>252</v>
      </c>
      <c r="B3" s="3501"/>
      <c r="C3" s="3501"/>
      <c r="D3" s="3501"/>
      <c r="E3" s="3501"/>
      <c r="F3" s="3501"/>
      <c r="G3" s="3501"/>
      <c r="H3" s="3501"/>
      <c r="I3" s="3501"/>
      <c r="J3" s="3501"/>
      <c r="K3" s="3501"/>
      <c r="L3" s="3501"/>
      <c r="M3" s="3501"/>
      <c r="N3" s="3501"/>
      <c r="O3" s="3501"/>
      <c r="P3" s="3501"/>
      <c r="Q3" s="3501"/>
      <c r="R3" s="3501"/>
      <c r="S3" s="3501"/>
      <c r="T3" s="3501"/>
      <c r="U3" s="3501"/>
    </row>
    <row r="4" spans="1:26" s="123" customFormat="1" ht="15.75">
      <c r="A4" s="121"/>
      <c r="B4" s="122"/>
      <c r="C4" s="121"/>
      <c r="D4" s="121"/>
      <c r="E4" s="121"/>
      <c r="F4" s="121"/>
      <c r="G4" s="121"/>
      <c r="H4" s="121"/>
      <c r="I4" s="121"/>
      <c r="J4" s="121"/>
      <c r="K4" s="121"/>
      <c r="L4" s="121"/>
      <c r="M4" s="121"/>
      <c r="N4" s="121"/>
      <c r="O4" s="121"/>
      <c r="P4" s="121"/>
      <c r="Q4" s="121"/>
      <c r="R4" s="121"/>
      <c r="S4" s="121"/>
      <c r="T4" s="121"/>
      <c r="U4" s="121"/>
    </row>
    <row r="5" spans="1:26" s="123" customFormat="1" ht="15.75">
      <c r="B5" s="74" t="s">
        <v>2</v>
      </c>
      <c r="C5" s="4" t="str">
        <f>": "&amp;DT!D3</f>
        <v>: Nagrak</v>
      </c>
      <c r="O5" s="74" t="s">
        <v>3</v>
      </c>
      <c r="P5" s="6" t="str">
        <f>": "&amp;DT!D25</f>
        <v>: Februari 2016</v>
      </c>
      <c r="Q5" s="6"/>
      <c r="R5" s="6"/>
    </row>
    <row r="6" spans="1:26" s="123" customFormat="1" ht="15.75">
      <c r="B6" s="74" t="s">
        <v>4</v>
      </c>
      <c r="C6" s="4" t="str">
        <f>": "&amp;DT!D4</f>
        <v>: Sukabumi</v>
      </c>
    </row>
    <row r="7" spans="1:26" s="123" customFormat="1" ht="16.5" thickBot="1">
      <c r="B7" s="74" t="s">
        <v>6</v>
      </c>
      <c r="C7" s="4" t="str">
        <f>": "&amp;DT!D5</f>
        <v>: Jawa Barat</v>
      </c>
    </row>
    <row r="8" spans="1:26" s="123" customFormat="1" ht="15.75" customHeight="1">
      <c r="A8" s="3502" t="s">
        <v>36</v>
      </c>
      <c r="B8" s="3500" t="s">
        <v>7</v>
      </c>
      <c r="C8" s="3500" t="s">
        <v>535</v>
      </c>
      <c r="D8" s="3500" t="s">
        <v>9</v>
      </c>
      <c r="E8" s="3500" t="s">
        <v>10</v>
      </c>
      <c r="F8" s="3500"/>
      <c r="G8" s="3500"/>
      <c r="H8" s="3500" t="s">
        <v>399</v>
      </c>
      <c r="I8" s="3500"/>
      <c r="J8" s="3500"/>
      <c r="K8" s="3500"/>
      <c r="L8" s="3500"/>
      <c r="M8" s="3500"/>
      <c r="N8" s="3500"/>
      <c r="O8" s="3500"/>
      <c r="P8" s="3500"/>
      <c r="Q8" s="3500"/>
      <c r="R8" s="3500"/>
      <c r="S8" s="3500"/>
      <c r="T8" s="3500"/>
      <c r="U8" s="3497" t="s">
        <v>12</v>
      </c>
    </row>
    <row r="9" spans="1:26" s="123" customFormat="1" ht="15.75">
      <c r="A9" s="3503"/>
      <c r="B9" s="3499"/>
      <c r="C9" s="3499"/>
      <c r="D9" s="3499"/>
      <c r="E9" s="3499" t="s">
        <v>236</v>
      </c>
      <c r="F9" s="3499" t="s">
        <v>63</v>
      </c>
      <c r="G9" s="3499" t="s">
        <v>18</v>
      </c>
      <c r="H9" s="3499" t="s">
        <v>398</v>
      </c>
      <c r="I9" s="3499"/>
      <c r="J9" s="3499"/>
      <c r="K9" s="3499"/>
      <c r="L9" s="3499"/>
      <c r="M9" s="3499"/>
      <c r="N9" s="3499"/>
      <c r="O9" s="3499"/>
      <c r="P9" s="3499"/>
      <c r="Q9" s="3499"/>
      <c r="R9" s="3499" t="s">
        <v>976</v>
      </c>
      <c r="S9" s="3499" t="s">
        <v>235</v>
      </c>
      <c r="T9" s="3499" t="s">
        <v>28</v>
      </c>
      <c r="U9" s="3498"/>
    </row>
    <row r="10" spans="1:26" s="123" customFormat="1" ht="17.25" customHeight="1">
      <c r="A10" s="3503"/>
      <c r="B10" s="3499"/>
      <c r="C10" s="3499"/>
      <c r="D10" s="3499"/>
      <c r="E10" s="3499"/>
      <c r="F10" s="3499"/>
      <c r="G10" s="3499"/>
      <c r="H10" s="2203" t="s">
        <v>32</v>
      </c>
      <c r="I10" s="3499" t="s">
        <v>40</v>
      </c>
      <c r="J10" s="2203" t="s">
        <v>526</v>
      </c>
      <c r="K10" s="2203" t="s">
        <v>37</v>
      </c>
      <c r="L10" s="2203" t="s">
        <v>395</v>
      </c>
      <c r="M10" s="2203" t="s">
        <v>38</v>
      </c>
      <c r="N10" s="2203" t="s">
        <v>39</v>
      </c>
      <c r="O10" s="2203" t="s">
        <v>39</v>
      </c>
      <c r="P10" s="2203" t="s">
        <v>396</v>
      </c>
      <c r="Q10" s="2203" t="s">
        <v>37</v>
      </c>
      <c r="R10" s="3499"/>
      <c r="S10" s="3499"/>
      <c r="T10" s="3499"/>
      <c r="U10" s="3498"/>
    </row>
    <row r="11" spans="1:26" s="123" customFormat="1" ht="15.75">
      <c r="A11" s="3503"/>
      <c r="B11" s="3499"/>
      <c r="C11" s="3499"/>
      <c r="D11" s="3499"/>
      <c r="E11" s="3499"/>
      <c r="F11" s="3499"/>
      <c r="G11" s="3499"/>
      <c r="H11" s="3499" t="s">
        <v>217</v>
      </c>
      <c r="I11" s="3499"/>
      <c r="J11" s="2203"/>
      <c r="K11" s="3499" t="s">
        <v>41</v>
      </c>
      <c r="L11" s="3499" t="s">
        <v>42</v>
      </c>
      <c r="M11" s="2203" t="s">
        <v>43</v>
      </c>
      <c r="N11" s="3499" t="s">
        <v>240</v>
      </c>
      <c r="O11" s="3499" t="s">
        <v>241</v>
      </c>
      <c r="P11" s="3499" t="s">
        <v>241</v>
      </c>
      <c r="Q11" s="3499" t="s">
        <v>397</v>
      </c>
      <c r="R11" s="3499"/>
      <c r="S11" s="3499"/>
      <c r="T11" s="3499"/>
      <c r="U11" s="3498"/>
    </row>
    <row r="12" spans="1:26" s="123" customFormat="1" ht="15.75">
      <c r="A12" s="3503"/>
      <c r="B12" s="3499"/>
      <c r="C12" s="3499"/>
      <c r="D12" s="3499"/>
      <c r="E12" s="3499"/>
      <c r="F12" s="3499"/>
      <c r="G12" s="3499"/>
      <c r="H12" s="3499"/>
      <c r="I12" s="3499"/>
      <c r="J12" s="2203"/>
      <c r="K12" s="3499"/>
      <c r="L12" s="3499"/>
      <c r="M12" s="2203" t="s">
        <v>44</v>
      </c>
      <c r="N12" s="3499"/>
      <c r="O12" s="3499"/>
      <c r="P12" s="3499"/>
      <c r="Q12" s="3499"/>
      <c r="R12" s="3499"/>
      <c r="S12" s="3499"/>
      <c r="T12" s="3499"/>
      <c r="U12" s="3498"/>
    </row>
    <row r="13" spans="1:26" s="1" customFormat="1" ht="24" customHeight="1" thickBot="1">
      <c r="A13" s="2219"/>
      <c r="B13" s="2220"/>
      <c r="C13" s="2220" t="s">
        <v>258</v>
      </c>
      <c r="D13" s="2220"/>
      <c r="E13" s="2220">
        <v>205470761</v>
      </c>
      <c r="F13" s="2220">
        <v>6220000</v>
      </c>
      <c r="G13" s="2220">
        <v>0</v>
      </c>
      <c r="H13" s="2220">
        <v>3450000</v>
      </c>
      <c r="I13" s="2220">
        <v>28558600</v>
      </c>
      <c r="J13" s="2220">
        <v>1800000</v>
      </c>
      <c r="K13" s="2220">
        <v>20440600</v>
      </c>
      <c r="L13" s="2220">
        <v>2800000</v>
      </c>
      <c r="M13" s="2220">
        <v>5391000</v>
      </c>
      <c r="N13" s="2220">
        <v>17900000</v>
      </c>
      <c r="O13" s="2220">
        <v>106000000</v>
      </c>
      <c r="P13" s="2220">
        <v>3600000</v>
      </c>
      <c r="Q13" s="2220">
        <v>17930561</v>
      </c>
      <c r="R13" s="2220">
        <v>3220000</v>
      </c>
      <c r="S13" s="2220">
        <v>500000</v>
      </c>
      <c r="T13" s="2220">
        <v>100000</v>
      </c>
      <c r="U13" s="2221">
        <f>(SUM((E13:G13))-(SUM((H13:T13))))</f>
        <v>0</v>
      </c>
      <c r="X13" s="7">
        <f>F13</f>
        <v>6220000</v>
      </c>
      <c r="Y13" s="7">
        <f>R13</f>
        <v>3220000</v>
      </c>
      <c r="Z13" s="2971">
        <f>X13-Y13</f>
        <v>3000000</v>
      </c>
    </row>
    <row r="14" spans="1:26" s="74" customFormat="1" ht="24" customHeight="1" thickBot="1">
      <c r="A14" s="2211"/>
      <c r="B14" s="2212"/>
      <c r="C14" s="2149" t="s">
        <v>539</v>
      </c>
      <c r="D14" s="2213"/>
      <c r="E14" s="2214">
        <v>0</v>
      </c>
      <c r="F14" s="2215">
        <v>0</v>
      </c>
      <c r="G14" s="2216">
        <v>0</v>
      </c>
      <c r="H14" s="2217">
        <v>0</v>
      </c>
      <c r="I14" s="2214">
        <v>0</v>
      </c>
      <c r="J14" s="2214">
        <v>0</v>
      </c>
      <c r="K14" s="2214">
        <v>0</v>
      </c>
      <c r="L14" s="2214">
        <v>0</v>
      </c>
      <c r="M14" s="2214">
        <v>0</v>
      </c>
      <c r="N14" s="2214">
        <v>0</v>
      </c>
      <c r="O14" s="2214">
        <v>0</v>
      </c>
      <c r="P14" s="2214">
        <v>0</v>
      </c>
      <c r="Q14" s="2214">
        <v>0</v>
      </c>
      <c r="R14" s="2214">
        <v>0</v>
      </c>
      <c r="S14" s="2214">
        <v>0</v>
      </c>
      <c r="T14" s="2214">
        <v>0</v>
      </c>
      <c r="U14" s="2218">
        <f>U13+(SUM((E14:G14))-(SUM((H14:T14))))</f>
        <v>0</v>
      </c>
    </row>
    <row r="15" spans="1:26" s="123" customFormat="1" ht="17.25" customHeight="1">
      <c r="A15" s="500"/>
      <c r="B15" s="437"/>
      <c r="C15" s="2142"/>
      <c r="D15" s="501"/>
      <c r="E15" s="502"/>
      <c r="F15" s="505"/>
      <c r="G15" s="503"/>
      <c r="H15" s="504"/>
      <c r="I15" s="502"/>
      <c r="J15" s="505"/>
      <c r="K15" s="505"/>
      <c r="L15" s="505"/>
      <c r="M15" s="505"/>
      <c r="N15" s="505"/>
      <c r="O15" s="505"/>
      <c r="P15" s="505"/>
      <c r="Q15" s="505"/>
      <c r="R15" s="505"/>
      <c r="S15" s="505"/>
      <c r="T15" s="505"/>
      <c r="U15" s="972">
        <f>U14+(SUM((E15:G15))-(SUM((H15:T15))))</f>
        <v>0</v>
      </c>
    </row>
    <row r="16" spans="1:26" s="499" customFormat="1" ht="17.25" customHeight="1">
      <c r="A16" s="485"/>
      <c r="B16" s="437"/>
      <c r="C16" s="2143"/>
      <c r="D16" s="486"/>
      <c r="E16" s="442"/>
      <c r="F16" s="450"/>
      <c r="G16" s="448"/>
      <c r="H16" s="487"/>
      <c r="I16" s="442"/>
      <c r="J16" s="450"/>
      <c r="K16" s="450"/>
      <c r="L16" s="450"/>
      <c r="M16" s="450"/>
      <c r="N16" s="450"/>
      <c r="O16" s="450"/>
      <c r="P16" s="450"/>
      <c r="Q16" s="450"/>
      <c r="R16" s="450"/>
      <c r="S16" s="450"/>
      <c r="T16" s="450"/>
      <c r="U16" s="973">
        <f t="shared" ref="U16:U43" si="0">U15+(SUM((E16:G16))-(SUM((H16:T16))))</f>
        <v>0</v>
      </c>
    </row>
    <row r="17" spans="1:21" s="499" customFormat="1" ht="17.25" customHeight="1">
      <c r="A17" s="485"/>
      <c r="B17" s="437"/>
      <c r="C17" s="2143"/>
      <c r="D17" s="486"/>
      <c r="E17" s="442"/>
      <c r="F17" s="450"/>
      <c r="G17" s="448"/>
      <c r="H17" s="487"/>
      <c r="I17" s="442"/>
      <c r="J17" s="450"/>
      <c r="K17" s="450"/>
      <c r="L17" s="450"/>
      <c r="M17" s="450"/>
      <c r="N17" s="450"/>
      <c r="O17" s="450"/>
      <c r="P17" s="450"/>
      <c r="Q17" s="450"/>
      <c r="R17" s="450"/>
      <c r="S17" s="450"/>
      <c r="T17" s="450"/>
      <c r="U17" s="973">
        <f t="shared" si="0"/>
        <v>0</v>
      </c>
    </row>
    <row r="18" spans="1:21" s="499" customFormat="1" ht="17.25" customHeight="1">
      <c r="A18" s="485"/>
      <c r="B18" s="437"/>
      <c r="C18" s="2143"/>
      <c r="D18" s="486"/>
      <c r="E18" s="442"/>
      <c r="F18" s="450"/>
      <c r="G18" s="448"/>
      <c r="H18" s="487"/>
      <c r="I18" s="442"/>
      <c r="J18" s="450"/>
      <c r="K18" s="450"/>
      <c r="L18" s="450"/>
      <c r="M18" s="450"/>
      <c r="N18" s="450"/>
      <c r="O18" s="450"/>
      <c r="P18" s="450"/>
      <c r="Q18" s="450"/>
      <c r="R18" s="450"/>
      <c r="S18" s="450"/>
      <c r="T18" s="450"/>
      <c r="U18" s="973">
        <f t="shared" si="0"/>
        <v>0</v>
      </c>
    </row>
    <row r="19" spans="1:21" s="499" customFormat="1" ht="17.25" customHeight="1">
      <c r="A19" s="485"/>
      <c r="B19" s="437"/>
      <c r="C19" s="2143"/>
      <c r="D19" s="486"/>
      <c r="E19" s="442"/>
      <c r="F19" s="450"/>
      <c r="G19" s="448"/>
      <c r="H19" s="487"/>
      <c r="I19" s="442"/>
      <c r="J19" s="450"/>
      <c r="K19" s="450"/>
      <c r="L19" s="450"/>
      <c r="M19" s="450"/>
      <c r="N19" s="450"/>
      <c r="O19" s="450"/>
      <c r="P19" s="450"/>
      <c r="Q19" s="450"/>
      <c r="R19" s="450"/>
      <c r="S19" s="450"/>
      <c r="T19" s="450"/>
      <c r="U19" s="973">
        <f t="shared" si="0"/>
        <v>0</v>
      </c>
    </row>
    <row r="20" spans="1:21" s="499" customFormat="1" ht="17.25" customHeight="1">
      <c r="A20" s="485"/>
      <c r="B20" s="437"/>
      <c r="C20" s="2143"/>
      <c r="D20" s="486"/>
      <c r="E20" s="442"/>
      <c r="F20" s="450"/>
      <c r="G20" s="448"/>
      <c r="H20" s="487"/>
      <c r="I20" s="442"/>
      <c r="J20" s="450"/>
      <c r="K20" s="450"/>
      <c r="L20" s="450"/>
      <c r="M20" s="450"/>
      <c r="N20" s="450"/>
      <c r="O20" s="450"/>
      <c r="P20" s="450"/>
      <c r="Q20" s="450"/>
      <c r="R20" s="450"/>
      <c r="S20" s="450"/>
      <c r="T20" s="450"/>
      <c r="U20" s="973">
        <f t="shared" si="0"/>
        <v>0</v>
      </c>
    </row>
    <row r="21" spans="1:21" s="499" customFormat="1" ht="17.25" customHeight="1">
      <c r="A21" s="485"/>
      <c r="B21" s="437"/>
      <c r="C21" s="2143"/>
      <c r="D21" s="486"/>
      <c r="E21" s="442"/>
      <c r="F21" s="450"/>
      <c r="G21" s="448"/>
      <c r="H21" s="487"/>
      <c r="I21" s="442"/>
      <c r="J21" s="450"/>
      <c r="K21" s="450"/>
      <c r="L21" s="450"/>
      <c r="M21" s="450"/>
      <c r="N21" s="450"/>
      <c r="O21" s="450"/>
      <c r="P21" s="450"/>
      <c r="Q21" s="450"/>
      <c r="R21" s="450"/>
      <c r="S21" s="450"/>
      <c r="T21" s="450"/>
      <c r="U21" s="973">
        <f t="shared" si="0"/>
        <v>0</v>
      </c>
    </row>
    <row r="22" spans="1:21" s="499" customFormat="1" ht="17.25" customHeight="1">
      <c r="A22" s="485"/>
      <c r="B22" s="437"/>
      <c r="C22" s="2143"/>
      <c r="D22" s="486"/>
      <c r="E22" s="442"/>
      <c r="F22" s="450"/>
      <c r="G22" s="448"/>
      <c r="H22" s="487"/>
      <c r="I22" s="442"/>
      <c r="J22" s="450"/>
      <c r="K22" s="450"/>
      <c r="L22" s="450"/>
      <c r="M22" s="450"/>
      <c r="N22" s="450"/>
      <c r="O22" s="450"/>
      <c r="P22" s="450"/>
      <c r="Q22" s="450"/>
      <c r="R22" s="450"/>
      <c r="S22" s="450"/>
      <c r="T22" s="450"/>
      <c r="U22" s="973">
        <f>U19+(SUM((E22:G22))-(SUM((H22:T22))))</f>
        <v>0</v>
      </c>
    </row>
    <row r="23" spans="1:21" s="499" customFormat="1" ht="17.25" customHeight="1">
      <c r="A23" s="485"/>
      <c r="B23" s="437"/>
      <c r="C23" s="2143"/>
      <c r="D23" s="486"/>
      <c r="E23" s="442"/>
      <c r="F23" s="450"/>
      <c r="G23" s="448"/>
      <c r="H23" s="487"/>
      <c r="I23" s="442"/>
      <c r="J23" s="450"/>
      <c r="K23" s="450"/>
      <c r="L23" s="450"/>
      <c r="M23" s="450"/>
      <c r="N23" s="450"/>
      <c r="O23" s="450"/>
      <c r="P23" s="450"/>
      <c r="Q23" s="450"/>
      <c r="R23" s="450"/>
      <c r="S23" s="450"/>
      <c r="T23" s="450"/>
      <c r="U23" s="973">
        <f t="shared" si="0"/>
        <v>0</v>
      </c>
    </row>
    <row r="24" spans="1:21" s="499" customFormat="1" ht="17.25" customHeight="1">
      <c r="A24" s="485"/>
      <c r="B24" s="437"/>
      <c r="C24" s="2143"/>
      <c r="D24" s="486"/>
      <c r="E24" s="442"/>
      <c r="F24" s="450"/>
      <c r="G24" s="448"/>
      <c r="H24" s="487"/>
      <c r="I24" s="442"/>
      <c r="J24" s="450"/>
      <c r="K24" s="450"/>
      <c r="L24" s="450"/>
      <c r="M24" s="450"/>
      <c r="N24" s="450"/>
      <c r="O24" s="450"/>
      <c r="P24" s="450"/>
      <c r="Q24" s="450"/>
      <c r="R24" s="450"/>
      <c r="S24" s="450"/>
      <c r="T24" s="450"/>
      <c r="U24" s="973">
        <f t="shared" si="0"/>
        <v>0</v>
      </c>
    </row>
    <row r="25" spans="1:21" s="499" customFormat="1" ht="17.25" customHeight="1">
      <c r="A25" s="485"/>
      <c r="B25" s="437"/>
      <c r="C25" s="2143"/>
      <c r="D25" s="486"/>
      <c r="E25" s="442"/>
      <c r="F25" s="450"/>
      <c r="G25" s="448"/>
      <c r="H25" s="487"/>
      <c r="I25" s="442"/>
      <c r="J25" s="450"/>
      <c r="K25" s="450"/>
      <c r="L25" s="450"/>
      <c r="M25" s="450"/>
      <c r="N25" s="450"/>
      <c r="O25" s="450"/>
      <c r="P25" s="450"/>
      <c r="Q25" s="450"/>
      <c r="R25" s="450"/>
      <c r="S25" s="450"/>
      <c r="T25" s="450"/>
      <c r="U25" s="973">
        <f t="shared" si="0"/>
        <v>0</v>
      </c>
    </row>
    <row r="26" spans="1:21" s="499" customFormat="1" ht="17.25" customHeight="1">
      <c r="A26" s="485"/>
      <c r="B26" s="437"/>
      <c r="C26" s="2143"/>
      <c r="D26" s="486"/>
      <c r="E26" s="442"/>
      <c r="F26" s="450"/>
      <c r="G26" s="448"/>
      <c r="H26" s="487"/>
      <c r="I26" s="442"/>
      <c r="J26" s="450"/>
      <c r="K26" s="450"/>
      <c r="L26" s="450"/>
      <c r="M26" s="450"/>
      <c r="N26" s="450"/>
      <c r="O26" s="450"/>
      <c r="P26" s="450"/>
      <c r="Q26" s="450"/>
      <c r="R26" s="450"/>
      <c r="S26" s="450"/>
      <c r="T26" s="450"/>
      <c r="U26" s="973">
        <f t="shared" si="0"/>
        <v>0</v>
      </c>
    </row>
    <row r="27" spans="1:21" s="499" customFormat="1" ht="17.25" customHeight="1">
      <c r="A27" s="485"/>
      <c r="B27" s="437"/>
      <c r="C27" s="2143"/>
      <c r="D27" s="486"/>
      <c r="E27" s="442"/>
      <c r="F27" s="450"/>
      <c r="G27" s="448"/>
      <c r="H27" s="487"/>
      <c r="I27" s="442"/>
      <c r="J27" s="450"/>
      <c r="K27" s="450"/>
      <c r="L27" s="450"/>
      <c r="M27" s="450"/>
      <c r="N27" s="450"/>
      <c r="O27" s="450"/>
      <c r="P27" s="450"/>
      <c r="Q27" s="450"/>
      <c r="R27" s="450"/>
      <c r="S27" s="450"/>
      <c r="T27" s="450"/>
      <c r="U27" s="973">
        <f t="shared" si="0"/>
        <v>0</v>
      </c>
    </row>
    <row r="28" spans="1:21" s="499" customFormat="1" ht="17.25" customHeight="1">
      <c r="A28" s="485"/>
      <c r="B28" s="437"/>
      <c r="C28" s="2143"/>
      <c r="D28" s="486"/>
      <c r="E28" s="442"/>
      <c r="F28" s="450"/>
      <c r="G28" s="448"/>
      <c r="H28" s="487"/>
      <c r="I28" s="442"/>
      <c r="J28" s="450"/>
      <c r="K28" s="450"/>
      <c r="L28" s="450"/>
      <c r="M28" s="450"/>
      <c r="N28" s="450"/>
      <c r="O28" s="450"/>
      <c r="P28" s="450"/>
      <c r="Q28" s="450"/>
      <c r="R28" s="450"/>
      <c r="S28" s="450"/>
      <c r="T28" s="450"/>
      <c r="U28" s="973">
        <f t="shared" si="0"/>
        <v>0</v>
      </c>
    </row>
    <row r="29" spans="1:21" s="499" customFormat="1" ht="17.25" customHeight="1">
      <c r="A29" s="485"/>
      <c r="B29" s="437"/>
      <c r="C29" s="2143"/>
      <c r="D29" s="486"/>
      <c r="E29" s="442"/>
      <c r="F29" s="450"/>
      <c r="G29" s="448"/>
      <c r="H29" s="487"/>
      <c r="I29" s="442"/>
      <c r="J29" s="450"/>
      <c r="K29" s="450"/>
      <c r="L29" s="450"/>
      <c r="M29" s="450"/>
      <c r="N29" s="450"/>
      <c r="O29" s="450"/>
      <c r="P29" s="450"/>
      <c r="Q29" s="450"/>
      <c r="R29" s="450"/>
      <c r="S29" s="450"/>
      <c r="T29" s="450"/>
      <c r="U29" s="973">
        <f t="shared" si="0"/>
        <v>0</v>
      </c>
    </row>
    <row r="30" spans="1:21" s="499" customFormat="1" ht="17.25" customHeight="1">
      <c r="A30" s="485"/>
      <c r="B30" s="437"/>
      <c r="C30" s="441"/>
      <c r="D30" s="486"/>
      <c r="E30" s="442"/>
      <c r="F30" s="450"/>
      <c r="G30" s="448"/>
      <c r="H30" s="487"/>
      <c r="I30" s="442"/>
      <c r="J30" s="450"/>
      <c r="K30" s="450"/>
      <c r="L30" s="450"/>
      <c r="M30" s="450"/>
      <c r="N30" s="450"/>
      <c r="O30" s="450"/>
      <c r="P30" s="450"/>
      <c r="Q30" s="450"/>
      <c r="R30" s="450"/>
      <c r="S30" s="450"/>
      <c r="T30" s="450"/>
      <c r="U30" s="973">
        <f t="shared" si="0"/>
        <v>0</v>
      </c>
    </row>
    <row r="31" spans="1:21" s="499" customFormat="1" ht="17.25" customHeight="1">
      <c r="A31" s="485"/>
      <c r="B31" s="437"/>
      <c r="C31" s="441"/>
      <c r="D31" s="486"/>
      <c r="E31" s="442"/>
      <c r="F31" s="450"/>
      <c r="G31" s="448"/>
      <c r="H31" s="487"/>
      <c r="I31" s="442"/>
      <c r="J31" s="450"/>
      <c r="K31" s="450"/>
      <c r="L31" s="450"/>
      <c r="M31" s="450"/>
      <c r="N31" s="450"/>
      <c r="O31" s="450"/>
      <c r="P31" s="450"/>
      <c r="Q31" s="450"/>
      <c r="R31" s="450"/>
      <c r="S31" s="450"/>
      <c r="T31" s="450"/>
      <c r="U31" s="973">
        <f t="shared" si="0"/>
        <v>0</v>
      </c>
    </row>
    <row r="32" spans="1:21" s="499" customFormat="1" ht="17.25" customHeight="1">
      <c r="A32" s="485"/>
      <c r="B32" s="437"/>
      <c r="C32" s="441"/>
      <c r="D32" s="486"/>
      <c r="E32" s="442"/>
      <c r="F32" s="450"/>
      <c r="G32" s="448"/>
      <c r="H32" s="487"/>
      <c r="I32" s="442"/>
      <c r="J32" s="450"/>
      <c r="K32" s="450"/>
      <c r="L32" s="450"/>
      <c r="M32" s="450"/>
      <c r="N32" s="450"/>
      <c r="O32" s="450"/>
      <c r="P32" s="450"/>
      <c r="Q32" s="450"/>
      <c r="R32" s="450"/>
      <c r="S32" s="450"/>
      <c r="T32" s="450"/>
      <c r="U32" s="973">
        <f t="shared" si="0"/>
        <v>0</v>
      </c>
    </row>
    <row r="33" spans="1:21" s="499" customFormat="1" ht="17.25" customHeight="1">
      <c r="A33" s="485"/>
      <c r="B33" s="437"/>
      <c r="C33" s="441"/>
      <c r="D33" s="486"/>
      <c r="E33" s="442"/>
      <c r="F33" s="450"/>
      <c r="G33" s="448"/>
      <c r="H33" s="487"/>
      <c r="I33" s="442"/>
      <c r="J33" s="450"/>
      <c r="K33" s="450"/>
      <c r="L33" s="450"/>
      <c r="M33" s="450"/>
      <c r="N33" s="450"/>
      <c r="O33" s="450"/>
      <c r="P33" s="450"/>
      <c r="Q33" s="450"/>
      <c r="R33" s="450"/>
      <c r="S33" s="450"/>
      <c r="T33" s="450"/>
      <c r="U33" s="973">
        <f t="shared" si="0"/>
        <v>0</v>
      </c>
    </row>
    <row r="34" spans="1:21" s="499" customFormat="1" ht="17.25" customHeight="1">
      <c r="A34" s="485"/>
      <c r="B34" s="437"/>
      <c r="C34" s="441"/>
      <c r="D34" s="486"/>
      <c r="E34" s="442"/>
      <c r="F34" s="450"/>
      <c r="G34" s="448"/>
      <c r="H34" s="487"/>
      <c r="I34" s="442"/>
      <c r="J34" s="450"/>
      <c r="K34" s="450"/>
      <c r="L34" s="450"/>
      <c r="M34" s="450"/>
      <c r="N34" s="450"/>
      <c r="O34" s="450"/>
      <c r="P34" s="450"/>
      <c r="Q34" s="450"/>
      <c r="R34" s="450"/>
      <c r="S34" s="450"/>
      <c r="T34" s="450"/>
      <c r="U34" s="973">
        <f t="shared" si="0"/>
        <v>0</v>
      </c>
    </row>
    <row r="35" spans="1:21" s="499" customFormat="1" ht="17.25" customHeight="1">
      <c r="A35" s="485"/>
      <c r="B35" s="437"/>
      <c r="C35" s="441"/>
      <c r="D35" s="486"/>
      <c r="E35" s="442"/>
      <c r="F35" s="450"/>
      <c r="G35" s="448"/>
      <c r="H35" s="487"/>
      <c r="I35" s="442"/>
      <c r="J35" s="450"/>
      <c r="K35" s="450"/>
      <c r="L35" s="450"/>
      <c r="M35" s="450"/>
      <c r="N35" s="450"/>
      <c r="O35" s="450"/>
      <c r="P35" s="450"/>
      <c r="Q35" s="450"/>
      <c r="R35" s="450"/>
      <c r="S35" s="450"/>
      <c r="T35" s="450"/>
      <c r="U35" s="973">
        <f t="shared" si="0"/>
        <v>0</v>
      </c>
    </row>
    <row r="36" spans="1:21" s="123" customFormat="1" ht="17.25" customHeight="1">
      <c r="A36" s="485"/>
      <c r="B36" s="437"/>
      <c r="C36" s="441"/>
      <c r="D36" s="486"/>
      <c r="E36" s="442"/>
      <c r="F36" s="450"/>
      <c r="G36" s="448"/>
      <c r="H36" s="487"/>
      <c r="I36" s="442"/>
      <c r="J36" s="450"/>
      <c r="K36" s="450"/>
      <c r="L36" s="450"/>
      <c r="M36" s="450"/>
      <c r="N36" s="450"/>
      <c r="O36" s="450"/>
      <c r="P36" s="450"/>
      <c r="Q36" s="450"/>
      <c r="R36" s="450"/>
      <c r="S36" s="450"/>
      <c r="T36" s="450"/>
      <c r="U36" s="973">
        <f t="shared" si="0"/>
        <v>0</v>
      </c>
    </row>
    <row r="37" spans="1:21" s="123" customFormat="1" ht="17.25" customHeight="1">
      <c r="A37" s="485"/>
      <c r="B37" s="437"/>
      <c r="C37" s="441"/>
      <c r="D37" s="486"/>
      <c r="E37" s="442"/>
      <c r="F37" s="450"/>
      <c r="G37" s="448"/>
      <c r="H37" s="487"/>
      <c r="I37" s="442"/>
      <c r="J37" s="450"/>
      <c r="K37" s="450"/>
      <c r="L37" s="450"/>
      <c r="M37" s="450"/>
      <c r="N37" s="450"/>
      <c r="O37" s="450"/>
      <c r="P37" s="450"/>
      <c r="Q37" s="450"/>
      <c r="R37" s="450"/>
      <c r="S37" s="450"/>
      <c r="T37" s="450"/>
      <c r="U37" s="973">
        <f t="shared" si="0"/>
        <v>0</v>
      </c>
    </row>
    <row r="38" spans="1:21" s="123" customFormat="1" ht="17.25" customHeight="1">
      <c r="A38" s="440"/>
      <c r="B38" s="438"/>
      <c r="C38" s="411"/>
      <c r="D38" s="453"/>
      <c r="E38" s="445"/>
      <c r="F38" s="446"/>
      <c r="G38" s="443"/>
      <c r="H38" s="454"/>
      <c r="I38" s="445"/>
      <c r="J38" s="446"/>
      <c r="K38" s="446"/>
      <c r="L38" s="446"/>
      <c r="M38" s="446"/>
      <c r="N38" s="446"/>
      <c r="O38" s="446"/>
      <c r="P38" s="446"/>
      <c r="Q38" s="446"/>
      <c r="R38" s="446"/>
      <c r="S38" s="446"/>
      <c r="T38" s="446"/>
      <c r="U38" s="974">
        <f t="shared" si="0"/>
        <v>0</v>
      </c>
    </row>
    <row r="39" spans="1:21" s="123" customFormat="1" ht="17.25" customHeight="1">
      <c r="A39" s="440"/>
      <c r="B39" s="438"/>
      <c r="C39" s="411"/>
      <c r="D39" s="453"/>
      <c r="E39" s="445"/>
      <c r="F39" s="446"/>
      <c r="G39" s="443"/>
      <c r="H39" s="454"/>
      <c r="I39" s="445"/>
      <c r="J39" s="446"/>
      <c r="K39" s="446"/>
      <c r="L39" s="446"/>
      <c r="M39" s="446"/>
      <c r="N39" s="446"/>
      <c r="O39" s="446"/>
      <c r="P39" s="446"/>
      <c r="Q39" s="446"/>
      <c r="R39" s="446"/>
      <c r="S39" s="446"/>
      <c r="T39" s="446"/>
      <c r="U39" s="974">
        <f t="shared" si="0"/>
        <v>0</v>
      </c>
    </row>
    <row r="40" spans="1:21" s="123" customFormat="1" ht="17.25" customHeight="1">
      <c r="A40" s="440"/>
      <c r="B40" s="438"/>
      <c r="C40" s="411"/>
      <c r="D40" s="453"/>
      <c r="E40" s="445"/>
      <c r="F40" s="446"/>
      <c r="G40" s="443"/>
      <c r="H40" s="454"/>
      <c r="I40" s="445"/>
      <c r="J40" s="446"/>
      <c r="K40" s="446"/>
      <c r="L40" s="446"/>
      <c r="M40" s="446"/>
      <c r="N40" s="446"/>
      <c r="O40" s="446"/>
      <c r="P40" s="446"/>
      <c r="Q40" s="446"/>
      <c r="R40" s="446"/>
      <c r="S40" s="446"/>
      <c r="T40" s="446"/>
      <c r="U40" s="974">
        <f t="shared" si="0"/>
        <v>0</v>
      </c>
    </row>
    <row r="41" spans="1:21" s="123" customFormat="1" ht="17.25" customHeight="1">
      <c r="A41" s="440"/>
      <c r="B41" s="438"/>
      <c r="C41" s="411"/>
      <c r="D41" s="453"/>
      <c r="E41" s="445"/>
      <c r="F41" s="446"/>
      <c r="G41" s="443"/>
      <c r="H41" s="454"/>
      <c r="I41" s="445"/>
      <c r="J41" s="446"/>
      <c r="K41" s="446"/>
      <c r="L41" s="446"/>
      <c r="M41" s="446"/>
      <c r="N41" s="446"/>
      <c r="O41" s="446"/>
      <c r="P41" s="446"/>
      <c r="Q41" s="446"/>
      <c r="R41" s="446"/>
      <c r="S41" s="446"/>
      <c r="T41" s="446"/>
      <c r="U41" s="974">
        <f t="shared" si="0"/>
        <v>0</v>
      </c>
    </row>
    <row r="42" spans="1:21" s="123" customFormat="1" ht="17.25" customHeight="1">
      <c r="A42" s="440"/>
      <c r="B42" s="438"/>
      <c r="C42" s="411"/>
      <c r="D42" s="453"/>
      <c r="E42" s="445"/>
      <c r="F42" s="446"/>
      <c r="G42" s="443"/>
      <c r="H42" s="454"/>
      <c r="I42" s="445"/>
      <c r="J42" s="446"/>
      <c r="K42" s="446"/>
      <c r="L42" s="446"/>
      <c r="M42" s="446"/>
      <c r="N42" s="446"/>
      <c r="O42" s="446"/>
      <c r="P42" s="446"/>
      <c r="Q42" s="446"/>
      <c r="R42" s="446"/>
      <c r="S42" s="446"/>
      <c r="T42" s="446"/>
      <c r="U42" s="974">
        <f>U41+(SUM((E42:G42))-(SUM((H42:T42))))</f>
        <v>0</v>
      </c>
    </row>
    <row r="43" spans="1:21" s="123" customFormat="1" ht="17.25" customHeight="1" thickBot="1">
      <c r="A43" s="440"/>
      <c r="B43" s="438"/>
      <c r="C43" s="411"/>
      <c r="D43" s="453"/>
      <c r="E43" s="445"/>
      <c r="F43" s="446"/>
      <c r="G43" s="443"/>
      <c r="H43" s="454"/>
      <c r="I43" s="445"/>
      <c r="J43" s="446"/>
      <c r="K43" s="446"/>
      <c r="L43" s="446"/>
      <c r="M43" s="446"/>
      <c r="N43" s="446"/>
      <c r="O43" s="446"/>
      <c r="P43" s="446"/>
      <c r="Q43" s="446"/>
      <c r="R43" s="446"/>
      <c r="S43" s="446"/>
      <c r="T43" s="446"/>
      <c r="U43" s="975">
        <f t="shared" si="0"/>
        <v>0</v>
      </c>
    </row>
    <row r="44" spans="1:21" s="1" customFormat="1" ht="26.25" customHeight="1" thickTop="1" thickBot="1">
      <c r="A44" s="214"/>
      <c r="B44" s="218"/>
      <c r="C44" s="433" t="s">
        <v>19</v>
      </c>
      <c r="D44" s="434"/>
      <c r="E44" s="976">
        <f>SUM(E15:E43)</f>
        <v>0</v>
      </c>
      <c r="F44" s="976">
        <f>SUM(F15:F43)</f>
        <v>0</v>
      </c>
      <c r="G44" s="978">
        <f t="shared" ref="G44:T44" si="1">SUM(G15:G43)</f>
        <v>0</v>
      </c>
      <c r="H44" s="979">
        <f t="shared" si="1"/>
        <v>0</v>
      </c>
      <c r="I44" s="976">
        <f t="shared" si="1"/>
        <v>0</v>
      </c>
      <c r="J44" s="976">
        <f t="shared" si="1"/>
        <v>0</v>
      </c>
      <c r="K44" s="976">
        <f t="shared" si="1"/>
        <v>0</v>
      </c>
      <c r="L44" s="976">
        <f t="shared" si="1"/>
        <v>0</v>
      </c>
      <c r="M44" s="976">
        <f t="shared" si="1"/>
        <v>0</v>
      </c>
      <c r="N44" s="976">
        <f t="shared" si="1"/>
        <v>0</v>
      </c>
      <c r="O44" s="976">
        <f t="shared" si="1"/>
        <v>0</v>
      </c>
      <c r="P44" s="976">
        <f t="shared" si="1"/>
        <v>0</v>
      </c>
      <c r="Q44" s="976">
        <f t="shared" si="1"/>
        <v>0</v>
      </c>
      <c r="R44" s="976">
        <f>SUM(R15:R43)</f>
        <v>0</v>
      </c>
      <c r="S44" s="976">
        <f t="shared" si="1"/>
        <v>0</v>
      </c>
      <c r="T44" s="976">
        <f t="shared" si="1"/>
        <v>0</v>
      </c>
      <c r="U44" s="976">
        <f>(SUM((E44:G44))-(SUM((H44:T44))))</f>
        <v>0</v>
      </c>
    </row>
    <row r="45" spans="1:21" s="1" customFormat="1" ht="26.25" customHeight="1" thickTop="1" thickBot="1">
      <c r="A45" s="214"/>
      <c r="B45" s="218"/>
      <c r="C45" s="433" t="s">
        <v>257</v>
      </c>
      <c r="D45" s="434"/>
      <c r="E45" s="976">
        <f>E14+E44</f>
        <v>0</v>
      </c>
      <c r="F45" s="976">
        <f>F14+F44</f>
        <v>0</v>
      </c>
      <c r="G45" s="978">
        <f t="shared" ref="G45:T45" si="2">G14+G44</f>
        <v>0</v>
      </c>
      <c r="H45" s="979">
        <f t="shared" si="2"/>
        <v>0</v>
      </c>
      <c r="I45" s="976">
        <f t="shared" si="2"/>
        <v>0</v>
      </c>
      <c r="J45" s="976">
        <f t="shared" si="2"/>
        <v>0</v>
      </c>
      <c r="K45" s="976">
        <f t="shared" si="2"/>
        <v>0</v>
      </c>
      <c r="L45" s="976">
        <f t="shared" si="2"/>
        <v>0</v>
      </c>
      <c r="M45" s="976">
        <f t="shared" si="2"/>
        <v>0</v>
      </c>
      <c r="N45" s="976">
        <f t="shared" si="2"/>
        <v>0</v>
      </c>
      <c r="O45" s="976">
        <f t="shared" si="2"/>
        <v>0</v>
      </c>
      <c r="P45" s="976">
        <f t="shared" si="2"/>
        <v>0</v>
      </c>
      <c r="Q45" s="976">
        <f t="shared" si="2"/>
        <v>0</v>
      </c>
      <c r="R45" s="976">
        <f>R14+R44</f>
        <v>0</v>
      </c>
      <c r="S45" s="976">
        <f t="shared" si="2"/>
        <v>0</v>
      </c>
      <c r="T45" s="976">
        <f t="shared" si="2"/>
        <v>0</v>
      </c>
      <c r="U45" s="976">
        <f>(SUM((E45:G45))-(SUM((H45:T45))))</f>
        <v>0</v>
      </c>
    </row>
    <row r="46" spans="1:21" s="1" customFormat="1" ht="26.25" customHeight="1" thickTop="1" thickBot="1">
      <c r="A46" s="215"/>
      <c r="B46" s="219"/>
      <c r="C46" s="435" t="s">
        <v>20</v>
      </c>
      <c r="D46" s="436"/>
      <c r="E46" s="977">
        <f>E13+E45</f>
        <v>205470761</v>
      </c>
      <c r="F46" s="977">
        <f>F13+F45</f>
        <v>6220000</v>
      </c>
      <c r="G46" s="980">
        <f t="shared" ref="G46:T46" si="3">G13+G45</f>
        <v>0</v>
      </c>
      <c r="H46" s="981">
        <f t="shared" si="3"/>
        <v>3450000</v>
      </c>
      <c r="I46" s="977">
        <f t="shared" si="3"/>
        <v>28558600</v>
      </c>
      <c r="J46" s="977">
        <f t="shared" si="3"/>
        <v>1800000</v>
      </c>
      <c r="K46" s="977">
        <f t="shared" si="3"/>
        <v>20440600</v>
      </c>
      <c r="L46" s="977">
        <f t="shared" si="3"/>
        <v>2800000</v>
      </c>
      <c r="M46" s="977">
        <f t="shared" si="3"/>
        <v>5391000</v>
      </c>
      <c r="N46" s="977">
        <f t="shared" si="3"/>
        <v>17900000</v>
      </c>
      <c r="O46" s="977">
        <f t="shared" si="3"/>
        <v>106000000</v>
      </c>
      <c r="P46" s="977">
        <f t="shared" si="3"/>
        <v>3600000</v>
      </c>
      <c r="Q46" s="977">
        <f t="shared" si="3"/>
        <v>17930561</v>
      </c>
      <c r="R46" s="977">
        <f>R13+R45</f>
        <v>3220000</v>
      </c>
      <c r="S46" s="977">
        <f t="shared" si="3"/>
        <v>500000</v>
      </c>
      <c r="T46" s="977">
        <f t="shared" si="3"/>
        <v>100000</v>
      </c>
      <c r="U46" s="977">
        <f>(SUM((E46:G46))-(SUM((H46:T46))))</f>
        <v>0</v>
      </c>
    </row>
    <row r="47" spans="1:21" s="123" customFormat="1" ht="15">
      <c r="B47" s="138"/>
    </row>
    <row r="48" spans="1:21" s="123" customFormat="1" ht="15.75">
      <c r="A48" s="139"/>
      <c r="B48" s="138"/>
      <c r="I48" s="140"/>
      <c r="J48" s="140"/>
      <c r="K48" s="140"/>
      <c r="L48" s="140"/>
      <c r="M48" s="140"/>
      <c r="P48" s="455" t="str">
        <f>DT!D28</f>
        <v>Nagrak, 29 Februari 2016 2016</v>
      </c>
      <c r="Q48" s="148"/>
      <c r="R48" s="148"/>
    </row>
    <row r="49" spans="1:18" s="123" customFormat="1" ht="15.75">
      <c r="A49" s="139"/>
      <c r="B49" s="138"/>
      <c r="C49" s="148" t="s">
        <v>21</v>
      </c>
      <c r="I49" s="140"/>
      <c r="J49" s="140"/>
      <c r="K49" s="140"/>
      <c r="L49" s="140"/>
      <c r="P49" s="11" t="s">
        <v>22</v>
      </c>
      <c r="Q49" s="148"/>
      <c r="R49" s="148"/>
    </row>
    <row r="50" spans="1:18" s="123" customFormat="1" ht="15.75">
      <c r="B50" s="138"/>
      <c r="C50" s="148" t="s">
        <v>23</v>
      </c>
      <c r="I50" s="140"/>
      <c r="J50" s="140"/>
      <c r="K50" s="140"/>
      <c r="L50" s="140"/>
      <c r="P50" s="14" t="s">
        <v>24</v>
      </c>
      <c r="Q50" s="149"/>
      <c r="R50" s="149"/>
    </row>
    <row r="51" spans="1:18" s="123" customFormat="1" ht="57.75" customHeight="1">
      <c r="B51" s="138"/>
      <c r="C51" s="150"/>
      <c r="I51" s="140"/>
      <c r="J51" s="140"/>
      <c r="K51" s="140"/>
      <c r="L51" s="140"/>
      <c r="P51" s="11"/>
      <c r="Q51" s="151"/>
      <c r="R51" s="151"/>
    </row>
    <row r="52" spans="1:18" s="123" customFormat="1" ht="15.75">
      <c r="B52" s="138"/>
      <c r="C52" s="11" t="str">
        <f>DT!D14</f>
        <v>Endang Taryana</v>
      </c>
      <c r="I52" s="140"/>
      <c r="J52" s="140"/>
      <c r="K52" s="140"/>
      <c r="L52" s="140"/>
      <c r="P52" s="13"/>
      <c r="Q52" s="149"/>
      <c r="R52" s="149"/>
    </row>
    <row r="53" spans="1:18" ht="15.75">
      <c r="C53" s="15"/>
      <c r="D53" s="15"/>
      <c r="E53" s="20"/>
      <c r="F53" s="20"/>
      <c r="G53" s="20"/>
      <c r="H53" s="20"/>
      <c r="I53" s="20"/>
      <c r="J53" s="20"/>
      <c r="K53" s="20"/>
      <c r="L53" s="20"/>
      <c r="M53" s="20"/>
      <c r="N53" s="20"/>
      <c r="P53" s="14" t="str">
        <f>DT!D15</f>
        <v>Arin Yustini, SE</v>
      </c>
    </row>
  </sheetData>
  <customSheetViews>
    <customSheetView guid="{4567A2CF-35AA-4E08-B7D1-F029A2641346}" scale="90" showPageBreaks="1" view="pageBreakPreview" topLeftCell="D10">
      <selection activeCell="H28" sqref="H28"/>
      <pageMargins left="0.19685039370078741" right="0.19685039370078741" top="0.51181102362204722" bottom="0.23622047244094491" header="0.6692913385826772" footer="0.51181102362204722"/>
      <printOptions horizontalCentered="1" verticalCentered="1"/>
      <pageSetup paperSize="9" scale="63" orientation="landscape" horizontalDpi="4294967293" r:id="rId1"/>
      <headerFooter alignWithMargins="0"/>
    </customSheetView>
  </customSheetViews>
  <mergeCells count="25">
    <mergeCell ref="A1:U1"/>
    <mergeCell ref="A2:U2"/>
    <mergeCell ref="A8:A12"/>
    <mergeCell ref="E8:G8"/>
    <mergeCell ref="H8:T8"/>
    <mergeCell ref="D8:D12"/>
    <mergeCell ref="I10:I12"/>
    <mergeCell ref="K11:K12"/>
    <mergeCell ref="E9:E12"/>
    <mergeCell ref="L11:L12"/>
    <mergeCell ref="A3:U3"/>
    <mergeCell ref="P11:P12"/>
    <mergeCell ref="Q11:Q12"/>
    <mergeCell ref="O11:O12"/>
    <mergeCell ref="H9:Q9"/>
    <mergeCell ref="B8:B12"/>
    <mergeCell ref="U8:U12"/>
    <mergeCell ref="T9:T12"/>
    <mergeCell ref="G9:G12"/>
    <mergeCell ref="C8:C12"/>
    <mergeCell ref="R9:R12"/>
    <mergeCell ref="S9:S12"/>
    <mergeCell ref="N11:N12"/>
    <mergeCell ref="H11:H12"/>
    <mergeCell ref="F9:F12"/>
  </mergeCells>
  <phoneticPr fontId="0" type="noConversion"/>
  <pageMargins left="0.49" right="0" top="0.59055118110236227" bottom="0.23622047244094491" header="0.6692913385826772" footer="0.51181102362204722"/>
  <pageSetup paperSize="5" scale="45" orientation="landscape" horizontalDpi="4294967293" verticalDpi="4294967293" r:id="rId2"/>
  <headerFooter alignWithMargins="0"/>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sheetPr>
  <dimension ref="A1:W83"/>
  <sheetViews>
    <sheetView topLeftCell="A7" zoomScale="70" zoomScaleNormal="70" zoomScaleSheetLayoutView="55" workbookViewId="0">
      <pane xSplit="4" ySplit="5" topLeftCell="K12" activePane="bottomRight" state="frozen"/>
      <selection activeCell="A7" sqref="A7"/>
      <selection pane="topRight" activeCell="E7" sqref="E7"/>
      <selection pane="bottomLeft" activeCell="A12" sqref="A12"/>
      <selection pane="bottomRight" activeCell="B13" sqref="B13:V22"/>
    </sheetView>
  </sheetViews>
  <sheetFormatPr defaultColWidth="9.140625" defaultRowHeight="12.75"/>
  <cols>
    <col min="1" max="1" width="4.140625" style="40" customWidth="1"/>
    <col min="2" max="2" width="12.7109375" style="75" customWidth="1"/>
    <col min="3" max="3" width="43.42578125" style="40" customWidth="1"/>
    <col min="4" max="4" width="16.7109375" style="40" customWidth="1"/>
    <col min="5" max="5" width="17" style="40" customWidth="1"/>
    <col min="6" max="6" width="15.28515625" style="40" customWidth="1"/>
    <col min="7" max="7" width="13.28515625" style="40" customWidth="1"/>
    <col min="8" max="8" width="15.5703125" style="40" customWidth="1"/>
    <col min="9" max="9" width="14.42578125" style="40" customWidth="1"/>
    <col min="10" max="20" width="15.5703125" style="40" customWidth="1"/>
    <col min="21" max="21" width="14.28515625" style="40" customWidth="1"/>
    <col min="22" max="22" width="11.28515625" style="40" bestFit="1" customWidth="1"/>
    <col min="23" max="23" width="15" style="40" customWidth="1"/>
    <col min="24" max="16384" width="9.140625" style="22"/>
  </cols>
  <sheetData>
    <row r="1" spans="1:23" ht="20.25">
      <c r="A1" s="3504" t="s">
        <v>0</v>
      </c>
      <c r="B1" s="3504"/>
      <c r="C1" s="3504"/>
      <c r="D1" s="3504"/>
      <c r="E1" s="3504"/>
      <c r="F1" s="3504"/>
      <c r="G1" s="3504"/>
      <c r="H1" s="3504"/>
      <c r="I1" s="3504"/>
      <c r="J1" s="3504"/>
      <c r="K1" s="3504"/>
      <c r="L1" s="3504"/>
      <c r="M1" s="3504"/>
      <c r="N1" s="3504"/>
      <c r="O1" s="3504"/>
      <c r="P1" s="3504"/>
      <c r="Q1" s="3504"/>
      <c r="R1" s="3504"/>
      <c r="S1" s="3504"/>
      <c r="T1" s="3504"/>
      <c r="U1" s="3504"/>
      <c r="V1" s="3504"/>
      <c r="W1" s="3504"/>
    </row>
    <row r="2" spans="1:23" ht="20.25">
      <c r="A2" s="3504" t="s">
        <v>35</v>
      </c>
      <c r="B2" s="3504"/>
      <c r="C2" s="3504"/>
      <c r="D2" s="3504"/>
      <c r="E2" s="3504"/>
      <c r="F2" s="3504"/>
      <c r="G2" s="3504"/>
      <c r="H2" s="3504"/>
      <c r="I2" s="3504"/>
      <c r="J2" s="3504"/>
      <c r="K2" s="3504"/>
      <c r="L2" s="3504"/>
      <c r="M2" s="3504"/>
      <c r="N2" s="3504"/>
      <c r="O2" s="3504"/>
      <c r="P2" s="3504"/>
      <c r="Q2" s="3504"/>
      <c r="R2" s="3504"/>
      <c r="S2" s="3504"/>
      <c r="T2" s="3504"/>
      <c r="U2" s="3504"/>
      <c r="V2" s="3504"/>
      <c r="W2" s="3504"/>
    </row>
    <row r="3" spans="1:23" ht="20.25">
      <c r="A3" s="3504" t="s">
        <v>238</v>
      </c>
      <c r="B3" s="3504"/>
      <c r="C3" s="3504"/>
      <c r="D3" s="3504"/>
      <c r="E3" s="3504"/>
      <c r="F3" s="3504"/>
      <c r="G3" s="3504"/>
      <c r="H3" s="3504"/>
      <c r="I3" s="3504"/>
      <c r="J3" s="3504"/>
      <c r="K3" s="3504"/>
      <c r="L3" s="3504"/>
      <c r="M3" s="3504"/>
      <c r="N3" s="3504"/>
      <c r="O3" s="3504"/>
      <c r="P3" s="3504"/>
      <c r="Q3" s="3504"/>
      <c r="R3" s="3504"/>
      <c r="S3" s="3504"/>
      <c r="T3" s="3504"/>
      <c r="U3" s="3504"/>
      <c r="V3" s="3504"/>
      <c r="W3" s="3504"/>
    </row>
    <row r="4" spans="1:23" s="123" customFormat="1" ht="15.75">
      <c r="B4" s="74" t="s">
        <v>2</v>
      </c>
      <c r="C4" s="4" t="str">
        <f>": "&amp;DT!$D$3</f>
        <v>: Nagrak</v>
      </c>
      <c r="O4" s="74"/>
      <c r="P4" s="74"/>
      <c r="Q4" s="74"/>
      <c r="R4" s="541" t="s">
        <v>3</v>
      </c>
      <c r="S4" s="6" t="str">
        <f>": "&amp;DT!D25</f>
        <v>: Februari 2016</v>
      </c>
      <c r="T4" s="6"/>
    </row>
    <row r="5" spans="1:23" s="123" customFormat="1" ht="15.75">
      <c r="B5" s="74" t="s">
        <v>4</v>
      </c>
      <c r="C5" s="4" t="str">
        <f>": "&amp;DT!$D$4</f>
        <v>: Sukabumi</v>
      </c>
    </row>
    <row r="6" spans="1:23" s="123" customFormat="1" ht="16.5" thickBot="1">
      <c r="B6" s="74" t="s">
        <v>6</v>
      </c>
      <c r="C6" s="4" t="str">
        <f>": "&amp;DT!$D$5</f>
        <v>: Jawa Barat</v>
      </c>
    </row>
    <row r="7" spans="1:23" s="123" customFormat="1" ht="25.5" customHeight="1">
      <c r="A7" s="3502" t="s">
        <v>36</v>
      </c>
      <c r="B7" s="3500" t="s">
        <v>7</v>
      </c>
      <c r="C7" s="3500" t="s">
        <v>8</v>
      </c>
      <c r="D7" s="3500" t="s">
        <v>537</v>
      </c>
      <c r="E7" s="3500" t="s">
        <v>10</v>
      </c>
      <c r="F7" s="3500"/>
      <c r="G7" s="3497"/>
      <c r="H7" s="3506" t="s">
        <v>394</v>
      </c>
      <c r="I7" s="3500"/>
      <c r="J7" s="3500"/>
      <c r="K7" s="3500"/>
      <c r="L7" s="3500"/>
      <c r="M7" s="3500"/>
      <c r="N7" s="3500"/>
      <c r="O7" s="3500"/>
      <c r="P7" s="3500"/>
      <c r="Q7" s="3500"/>
      <c r="R7" s="3500"/>
      <c r="S7" s="3500"/>
      <c r="T7" s="3500"/>
      <c r="U7" s="3500"/>
      <c r="V7" s="3507"/>
      <c r="W7" s="3508" t="s">
        <v>12</v>
      </c>
    </row>
    <row r="8" spans="1:23" s="123" customFormat="1" ht="20.25" customHeight="1">
      <c r="A8" s="3503"/>
      <c r="B8" s="3499"/>
      <c r="C8" s="3499"/>
      <c r="D8" s="3499"/>
      <c r="E8" s="3499" t="s">
        <v>236</v>
      </c>
      <c r="F8" s="3499" t="s">
        <v>63</v>
      </c>
      <c r="G8" s="2222"/>
      <c r="H8" s="3511" t="s">
        <v>251</v>
      </c>
      <c r="I8" s="3499"/>
      <c r="J8" s="3499"/>
      <c r="K8" s="3499"/>
      <c r="L8" s="3499"/>
      <c r="M8" s="3499"/>
      <c r="N8" s="3499"/>
      <c r="O8" s="3499"/>
      <c r="P8" s="3499"/>
      <c r="Q8" s="3499"/>
      <c r="R8" s="3499"/>
      <c r="S8" s="3499"/>
      <c r="T8" s="3499" t="s">
        <v>976</v>
      </c>
      <c r="U8" s="3499" t="s">
        <v>235</v>
      </c>
      <c r="V8" s="3505" t="s">
        <v>28</v>
      </c>
      <c r="W8" s="3509"/>
    </row>
    <row r="9" spans="1:23" s="123" customFormat="1" ht="15.75">
      <c r="A9" s="3503"/>
      <c r="B9" s="3499"/>
      <c r="C9" s="3499"/>
      <c r="D9" s="3499"/>
      <c r="E9" s="3499"/>
      <c r="F9" s="3499"/>
      <c r="G9" s="3498" t="s">
        <v>18</v>
      </c>
      <c r="H9" s="3511" t="s">
        <v>239</v>
      </c>
      <c r="I9" s="3499" t="s">
        <v>240</v>
      </c>
      <c r="J9" s="3499" t="s">
        <v>241</v>
      </c>
      <c r="K9" s="2203" t="s">
        <v>242</v>
      </c>
      <c r="L9" s="2203" t="s">
        <v>244</v>
      </c>
      <c r="M9" s="2203" t="s">
        <v>245</v>
      </c>
      <c r="N9" s="3499" t="s">
        <v>67</v>
      </c>
      <c r="O9" s="3499" t="s">
        <v>247</v>
      </c>
      <c r="P9" s="3499" t="s">
        <v>248</v>
      </c>
      <c r="Q9" s="2203" t="s">
        <v>245</v>
      </c>
      <c r="R9" s="2203" t="s">
        <v>245</v>
      </c>
      <c r="S9" s="2203" t="s">
        <v>392</v>
      </c>
      <c r="T9" s="3499"/>
      <c r="U9" s="3499"/>
      <c r="V9" s="3505"/>
      <c r="W9" s="3509"/>
    </row>
    <row r="10" spans="1:23" s="123" customFormat="1" ht="27" customHeight="1">
      <c r="A10" s="3503"/>
      <c r="B10" s="3499"/>
      <c r="C10" s="3499"/>
      <c r="D10" s="3499"/>
      <c r="E10" s="3499"/>
      <c r="F10" s="3499"/>
      <c r="G10" s="3498"/>
      <c r="H10" s="3511"/>
      <c r="I10" s="3499"/>
      <c r="J10" s="3499"/>
      <c r="K10" s="2203" t="s">
        <v>243</v>
      </c>
      <c r="L10" s="2203"/>
      <c r="M10" s="2203" t="s">
        <v>246</v>
      </c>
      <c r="N10" s="3499"/>
      <c r="O10" s="3499"/>
      <c r="P10" s="3499"/>
      <c r="Q10" s="2203" t="s">
        <v>249</v>
      </c>
      <c r="R10" s="2203" t="s">
        <v>250</v>
      </c>
      <c r="S10" s="2203" t="s">
        <v>393</v>
      </c>
      <c r="T10" s="3499"/>
      <c r="U10" s="3499"/>
      <c r="V10" s="3505"/>
      <c r="W10" s="3510"/>
    </row>
    <row r="11" spans="1:23" s="1" customFormat="1" ht="28.5" customHeight="1">
      <c r="A11" s="2224"/>
      <c r="B11" s="2223"/>
      <c r="C11" s="2223" t="s">
        <v>258</v>
      </c>
      <c r="D11" s="2223"/>
      <c r="E11" s="2225">
        <v>107166000</v>
      </c>
      <c r="F11" s="2225">
        <v>13546000</v>
      </c>
      <c r="G11" s="2226">
        <v>2100000</v>
      </c>
      <c r="H11" s="2227">
        <v>4311000</v>
      </c>
      <c r="I11" s="2225">
        <v>1200000</v>
      </c>
      <c r="J11" s="2225">
        <v>21422150</v>
      </c>
      <c r="K11" s="2225">
        <v>12500000</v>
      </c>
      <c r="L11" s="2225">
        <v>7337900</v>
      </c>
      <c r="M11" s="2225">
        <v>2293400</v>
      </c>
      <c r="N11" s="2225">
        <v>5431250</v>
      </c>
      <c r="O11" s="2225">
        <v>2687250</v>
      </c>
      <c r="P11" s="2225">
        <v>14647200</v>
      </c>
      <c r="Q11" s="2225">
        <v>5141350</v>
      </c>
      <c r="R11" s="2225">
        <v>7399000</v>
      </c>
      <c r="S11" s="2225">
        <v>20294000</v>
      </c>
      <c r="T11" s="2225">
        <v>13546000</v>
      </c>
      <c r="U11" s="2225">
        <v>4601500</v>
      </c>
      <c r="V11" s="2233">
        <v>0</v>
      </c>
      <c r="W11" s="2235">
        <f>(SUM((E11:G11))-(SUM((H11:V11))))</f>
        <v>0</v>
      </c>
    </row>
    <row r="12" spans="1:23" s="74" customFormat="1" ht="28.5" customHeight="1" thickBot="1">
      <c r="A12" s="2228"/>
      <c r="B12" s="2229"/>
      <c r="C12" s="2229" t="s">
        <v>539</v>
      </c>
      <c r="D12" s="2229"/>
      <c r="E12" s="2230">
        <v>10304082</v>
      </c>
      <c r="F12" s="2230">
        <v>0</v>
      </c>
      <c r="G12" s="2231">
        <v>0</v>
      </c>
      <c r="H12" s="2232">
        <v>0</v>
      </c>
      <c r="I12" s="2230">
        <v>0</v>
      </c>
      <c r="J12" s="2230">
        <v>0</v>
      </c>
      <c r="K12" s="2230">
        <v>0</v>
      </c>
      <c r="L12" s="2230">
        <v>0</v>
      </c>
      <c r="M12" s="2230">
        <v>0</v>
      </c>
      <c r="N12" s="2230">
        <v>0</v>
      </c>
      <c r="O12" s="2230">
        <v>0</v>
      </c>
      <c r="P12" s="2230">
        <v>0</v>
      </c>
      <c r="Q12" s="2230">
        <v>0</v>
      </c>
      <c r="R12" s="2230">
        <v>0</v>
      </c>
      <c r="S12" s="2230">
        <v>10304082</v>
      </c>
      <c r="T12" s="2230">
        <v>0</v>
      </c>
      <c r="U12" s="2230">
        <v>0</v>
      </c>
      <c r="V12" s="2234">
        <v>0</v>
      </c>
      <c r="W12" s="2236">
        <f>W11+(SUM((E12:G12))-(SUM((H12:V12))))</f>
        <v>0</v>
      </c>
    </row>
    <row r="13" spans="1:23" s="123" customFormat="1" ht="18" customHeight="1">
      <c r="A13" s="2158"/>
      <c r="B13" s="2381"/>
      <c r="C13" s="2377"/>
      <c r="D13" s="2158"/>
      <c r="E13" s="2661"/>
      <c r="F13" s="2661"/>
      <c r="G13" s="2662"/>
      <c r="H13" s="2663"/>
      <c r="I13" s="2661"/>
      <c r="J13" s="2661"/>
      <c r="K13" s="2661"/>
      <c r="L13" s="2661"/>
      <c r="M13" s="2661"/>
      <c r="N13" s="2661"/>
      <c r="O13" s="2661"/>
      <c r="P13" s="2661"/>
      <c r="Q13" s="2661"/>
      <c r="R13" s="2661"/>
      <c r="S13" s="2661"/>
      <c r="T13" s="2664"/>
      <c r="U13" s="2664"/>
      <c r="V13" s="2665"/>
      <c r="W13" s="2237">
        <f t="shared" ref="W13:W44" si="0">W12+(SUM((E13:G13))-(SUM((H13:V13))))</f>
        <v>0</v>
      </c>
    </row>
    <row r="14" spans="1:23" s="123" customFormat="1" ht="18" customHeight="1">
      <c r="A14" s="2155"/>
      <c r="B14" s="2381"/>
      <c r="C14" s="2378"/>
      <c r="D14" s="2155"/>
      <c r="E14" s="2666"/>
      <c r="F14" s="2666"/>
      <c r="G14" s="2667"/>
      <c r="H14" s="2668"/>
      <c r="I14" s="2666"/>
      <c r="J14" s="2666"/>
      <c r="K14" s="2666"/>
      <c r="L14" s="2666"/>
      <c r="M14" s="2666"/>
      <c r="N14" s="2661"/>
      <c r="O14" s="2666"/>
      <c r="P14" s="2666"/>
      <c r="Q14" s="2666"/>
      <c r="R14" s="2666"/>
      <c r="S14" s="2666"/>
      <c r="T14" s="2669"/>
      <c r="U14" s="2669"/>
      <c r="V14" s="2670"/>
      <c r="W14" s="2237">
        <f t="shared" si="0"/>
        <v>0</v>
      </c>
    </row>
    <row r="15" spans="1:23" s="123" customFormat="1" ht="18" customHeight="1">
      <c r="A15" s="2449"/>
      <c r="B15" s="2476"/>
      <c r="C15" s="2378"/>
      <c r="D15" s="2449"/>
      <c r="E15" s="2661"/>
      <c r="F15" s="2666"/>
      <c r="G15" s="2667"/>
      <c r="H15" s="2668"/>
      <c r="I15" s="2666"/>
      <c r="J15" s="2666"/>
      <c r="K15" s="2666"/>
      <c r="L15" s="2666"/>
      <c r="M15" s="2666"/>
      <c r="N15" s="2661"/>
      <c r="O15" s="2666"/>
      <c r="P15" s="2666"/>
      <c r="Q15" s="2666"/>
      <c r="R15" s="2666"/>
      <c r="S15" s="2666"/>
      <c r="T15" s="2669"/>
      <c r="U15" s="2669"/>
      <c r="V15" s="2670"/>
      <c r="W15" s="2237">
        <f t="shared" si="0"/>
        <v>0</v>
      </c>
    </row>
    <row r="16" spans="1:23" s="123" customFormat="1" ht="18" customHeight="1">
      <c r="A16" s="2449"/>
      <c r="B16" s="2476"/>
      <c r="C16" s="2378"/>
      <c r="D16" s="2449"/>
      <c r="E16" s="2661"/>
      <c r="F16" s="2666"/>
      <c r="G16" s="2667"/>
      <c r="H16" s="2668"/>
      <c r="I16" s="2666"/>
      <c r="J16" s="2666"/>
      <c r="K16" s="2666"/>
      <c r="L16" s="2666"/>
      <c r="M16" s="2666"/>
      <c r="N16" s="2661"/>
      <c r="O16" s="2666"/>
      <c r="P16" s="2666"/>
      <c r="Q16" s="2666"/>
      <c r="R16" s="2666"/>
      <c r="S16" s="2666"/>
      <c r="T16" s="2669"/>
      <c r="U16" s="2669"/>
      <c r="V16" s="2670"/>
      <c r="W16" s="2237">
        <f t="shared" si="0"/>
        <v>0</v>
      </c>
    </row>
    <row r="17" spans="1:23" s="123" customFormat="1" ht="18" customHeight="1">
      <c r="A17" s="2155"/>
      <c r="B17" s="2381"/>
      <c r="C17" s="2378"/>
      <c r="D17" s="2155"/>
      <c r="E17" s="2661"/>
      <c r="F17" s="2666"/>
      <c r="G17" s="2667"/>
      <c r="H17" s="2668"/>
      <c r="I17" s="2666"/>
      <c r="J17" s="2666"/>
      <c r="K17" s="2666"/>
      <c r="L17" s="2666"/>
      <c r="M17" s="2666"/>
      <c r="N17" s="2666"/>
      <c r="O17" s="2666"/>
      <c r="P17" s="2666"/>
      <c r="Q17" s="2666"/>
      <c r="R17" s="2666"/>
      <c r="S17" s="2666"/>
      <c r="T17" s="2669"/>
      <c r="U17" s="2669"/>
      <c r="V17" s="2670"/>
      <c r="W17" s="2237">
        <f t="shared" si="0"/>
        <v>0</v>
      </c>
    </row>
    <row r="18" spans="1:23" s="123" customFormat="1" ht="18" customHeight="1">
      <c r="A18" s="2155"/>
      <c r="B18" s="2381"/>
      <c r="C18" s="2378"/>
      <c r="D18" s="2155"/>
      <c r="E18" s="2666"/>
      <c r="F18" s="2666"/>
      <c r="G18" s="2667"/>
      <c r="H18" s="2668"/>
      <c r="I18" s="2666"/>
      <c r="J18" s="2666"/>
      <c r="K18" s="2666"/>
      <c r="L18" s="2666"/>
      <c r="M18" s="2666"/>
      <c r="N18" s="2661"/>
      <c r="O18" s="2666"/>
      <c r="P18" s="2666"/>
      <c r="Q18" s="2666"/>
      <c r="R18" s="2666"/>
      <c r="S18" s="2666"/>
      <c r="T18" s="2669"/>
      <c r="U18" s="2669"/>
      <c r="V18" s="2670"/>
      <c r="W18" s="2237">
        <f t="shared" si="0"/>
        <v>0</v>
      </c>
    </row>
    <row r="19" spans="1:23" s="123" customFormat="1" ht="18" customHeight="1">
      <c r="A19" s="2155"/>
      <c r="B19" s="2381"/>
      <c r="C19" s="2378"/>
      <c r="D19" s="2155"/>
      <c r="E19" s="2666"/>
      <c r="F19" s="2666"/>
      <c r="G19" s="2667"/>
      <c r="H19" s="2668"/>
      <c r="I19" s="2666"/>
      <c r="J19" s="2666"/>
      <c r="K19" s="2666"/>
      <c r="L19" s="2666"/>
      <c r="M19" s="2666"/>
      <c r="N19" s="2666"/>
      <c r="O19" s="2666"/>
      <c r="P19" s="2666"/>
      <c r="Q19" s="2666"/>
      <c r="R19" s="2666"/>
      <c r="S19" s="2666"/>
      <c r="T19" s="2669"/>
      <c r="U19" s="2669"/>
      <c r="V19" s="2670"/>
      <c r="W19" s="2237">
        <f t="shared" si="0"/>
        <v>0</v>
      </c>
    </row>
    <row r="20" spans="1:23" s="123" customFormat="1" ht="18" customHeight="1">
      <c r="A20" s="2155"/>
      <c r="B20" s="2448"/>
      <c r="C20" s="2378"/>
      <c r="D20" s="2155"/>
      <c r="E20" s="2666"/>
      <c r="F20" s="2666"/>
      <c r="G20" s="2667"/>
      <c r="H20" s="2668"/>
      <c r="I20" s="2666"/>
      <c r="J20" s="2666"/>
      <c r="K20" s="2666"/>
      <c r="L20" s="2666"/>
      <c r="M20" s="2666"/>
      <c r="N20" s="2666"/>
      <c r="O20" s="2666"/>
      <c r="P20" s="2666"/>
      <c r="Q20" s="2666"/>
      <c r="R20" s="2666"/>
      <c r="S20" s="2666"/>
      <c r="T20" s="2669"/>
      <c r="U20" s="2669"/>
      <c r="V20" s="2670"/>
      <c r="W20" s="2237">
        <f t="shared" si="0"/>
        <v>0</v>
      </c>
    </row>
    <row r="21" spans="1:23" s="123" customFormat="1" ht="18" customHeight="1">
      <c r="A21" s="2155"/>
      <c r="B21" s="2448"/>
      <c r="C21" s="2378"/>
      <c r="D21" s="2155"/>
      <c r="E21" s="2666"/>
      <c r="F21" s="2666"/>
      <c r="G21" s="2667"/>
      <c r="H21" s="2668"/>
      <c r="I21" s="2666"/>
      <c r="J21" s="2666"/>
      <c r="K21" s="2666"/>
      <c r="L21" s="2666"/>
      <c r="M21" s="2666"/>
      <c r="N21" s="2666"/>
      <c r="O21" s="2666"/>
      <c r="P21" s="2666"/>
      <c r="Q21" s="2666"/>
      <c r="R21" s="2666"/>
      <c r="S21" s="2666"/>
      <c r="T21" s="2669"/>
      <c r="U21" s="2669"/>
      <c r="V21" s="2670"/>
      <c r="W21" s="2237">
        <f t="shared" si="0"/>
        <v>0</v>
      </c>
    </row>
    <row r="22" spans="1:23" s="123" customFormat="1" ht="18" customHeight="1">
      <c r="A22" s="2155"/>
      <c r="B22" s="2381"/>
      <c r="C22" s="2442"/>
      <c r="D22" s="2155"/>
      <c r="E22" s="2666"/>
      <c r="F22" s="2666"/>
      <c r="G22" s="2667"/>
      <c r="H22" s="2668"/>
      <c r="I22" s="2666"/>
      <c r="J22" s="2666"/>
      <c r="K22" s="2666"/>
      <c r="L22" s="2666"/>
      <c r="M22" s="2666"/>
      <c r="N22" s="2666"/>
      <c r="O22" s="2666"/>
      <c r="P22" s="2666"/>
      <c r="Q22" s="2666"/>
      <c r="R22" s="2666"/>
      <c r="S22" s="2666"/>
      <c r="T22" s="2666"/>
      <c r="U22" s="2666"/>
      <c r="V22" s="2671"/>
      <c r="W22" s="2237">
        <f t="shared" si="0"/>
        <v>0</v>
      </c>
    </row>
    <row r="23" spans="1:23" s="123" customFormat="1" ht="18" customHeight="1">
      <c r="A23" s="2155"/>
      <c r="B23" s="2381"/>
      <c r="C23" s="2378"/>
      <c r="D23" s="2155"/>
      <c r="E23" s="2666"/>
      <c r="F23" s="2666"/>
      <c r="G23" s="2667"/>
      <c r="H23" s="2668"/>
      <c r="I23" s="2666"/>
      <c r="J23" s="2666"/>
      <c r="K23" s="2666"/>
      <c r="L23" s="2666"/>
      <c r="M23" s="2666"/>
      <c r="N23" s="2666"/>
      <c r="O23" s="2666"/>
      <c r="P23" s="2666"/>
      <c r="Q23" s="2666"/>
      <c r="R23" s="2666"/>
      <c r="S23" s="2666"/>
      <c r="T23" s="2666"/>
      <c r="U23" s="2666"/>
      <c r="V23" s="2671"/>
      <c r="W23" s="2237">
        <f t="shared" si="0"/>
        <v>0</v>
      </c>
    </row>
    <row r="24" spans="1:23" s="123" customFormat="1" ht="18" customHeight="1">
      <c r="A24" s="2155"/>
      <c r="B24" s="2381"/>
      <c r="C24" s="2378"/>
      <c r="D24" s="2155"/>
      <c r="E24" s="2666"/>
      <c r="F24" s="2666"/>
      <c r="G24" s="2667"/>
      <c r="H24" s="2668"/>
      <c r="I24" s="2666"/>
      <c r="J24" s="2666"/>
      <c r="K24" s="2666"/>
      <c r="L24" s="2666"/>
      <c r="M24" s="2666"/>
      <c r="N24" s="2666"/>
      <c r="O24" s="2666"/>
      <c r="P24" s="2666"/>
      <c r="Q24" s="2666"/>
      <c r="R24" s="2666"/>
      <c r="S24" s="2666"/>
      <c r="T24" s="2666"/>
      <c r="U24" s="2666"/>
      <c r="V24" s="2671"/>
      <c r="W24" s="2237">
        <f t="shared" si="0"/>
        <v>0</v>
      </c>
    </row>
    <row r="25" spans="1:23" s="123" customFormat="1" ht="18" customHeight="1">
      <c r="A25" s="2155"/>
      <c r="B25" s="2381"/>
      <c r="C25" s="2378"/>
      <c r="D25" s="2155"/>
      <c r="E25" s="2666"/>
      <c r="F25" s="2666"/>
      <c r="G25" s="2667"/>
      <c r="H25" s="2668"/>
      <c r="I25" s="2666"/>
      <c r="J25" s="2666"/>
      <c r="K25" s="2666"/>
      <c r="L25" s="2666"/>
      <c r="M25" s="2666"/>
      <c r="N25" s="2666"/>
      <c r="O25" s="2666"/>
      <c r="P25" s="2666"/>
      <c r="Q25" s="2666"/>
      <c r="R25" s="2666"/>
      <c r="S25" s="2666"/>
      <c r="T25" s="2666"/>
      <c r="U25" s="2666"/>
      <c r="V25" s="2671"/>
      <c r="W25" s="2237">
        <f t="shared" si="0"/>
        <v>0</v>
      </c>
    </row>
    <row r="26" spans="1:23" s="123" customFormat="1" ht="18" customHeight="1">
      <c r="A26" s="2155"/>
      <c r="B26" s="2381"/>
      <c r="C26" s="2378"/>
      <c r="D26" s="2155"/>
      <c r="E26" s="2666"/>
      <c r="F26" s="2666"/>
      <c r="G26" s="2667"/>
      <c r="H26" s="2668"/>
      <c r="I26" s="2666"/>
      <c r="J26" s="2666"/>
      <c r="K26" s="2666"/>
      <c r="L26" s="2666"/>
      <c r="M26" s="2666"/>
      <c r="N26" s="2666"/>
      <c r="O26" s="2666"/>
      <c r="P26" s="2666"/>
      <c r="Q26" s="2666"/>
      <c r="R26" s="2666"/>
      <c r="S26" s="2666"/>
      <c r="T26" s="2666"/>
      <c r="U26" s="2666"/>
      <c r="V26" s="2671"/>
      <c r="W26" s="2237">
        <f t="shared" si="0"/>
        <v>0</v>
      </c>
    </row>
    <row r="27" spans="1:23" s="123" customFormat="1" ht="18" customHeight="1">
      <c r="A27" s="486"/>
      <c r="B27" s="437"/>
      <c r="C27" s="441"/>
      <c r="D27" s="441"/>
      <c r="E27" s="2672"/>
      <c r="F27" s="2672"/>
      <c r="G27" s="2673"/>
      <c r="H27" s="2674"/>
      <c r="I27" s="2672"/>
      <c r="J27" s="2672"/>
      <c r="K27" s="2672"/>
      <c r="L27" s="2672"/>
      <c r="M27" s="2672"/>
      <c r="N27" s="2672"/>
      <c r="O27" s="2672"/>
      <c r="P27" s="2672"/>
      <c r="Q27" s="2672"/>
      <c r="R27" s="2672"/>
      <c r="S27" s="2672"/>
      <c r="T27" s="2672"/>
      <c r="U27" s="2672"/>
      <c r="V27" s="2675"/>
      <c r="W27" s="2237">
        <f t="shared" si="0"/>
        <v>0</v>
      </c>
    </row>
    <row r="28" spans="1:23" s="123" customFormat="1" ht="18" customHeight="1">
      <c r="A28" s="440"/>
      <c r="B28" s="438"/>
      <c r="C28" s="411"/>
      <c r="D28" s="411"/>
      <c r="E28" s="2676"/>
      <c r="F28" s="2677"/>
      <c r="G28" s="2678"/>
      <c r="H28" s="2679"/>
      <c r="I28" s="2676"/>
      <c r="J28" s="2677"/>
      <c r="K28" s="2677"/>
      <c r="L28" s="2677"/>
      <c r="M28" s="2677"/>
      <c r="N28" s="2677"/>
      <c r="O28" s="2677"/>
      <c r="P28" s="2677"/>
      <c r="Q28" s="2677"/>
      <c r="R28" s="2677"/>
      <c r="S28" s="2677"/>
      <c r="T28" s="2677"/>
      <c r="U28" s="2677"/>
      <c r="V28" s="2677"/>
      <c r="W28" s="2238">
        <f t="shared" si="0"/>
        <v>0</v>
      </c>
    </row>
    <row r="29" spans="1:23" s="123" customFormat="1" ht="18" customHeight="1">
      <c r="A29" s="440"/>
      <c r="B29" s="438"/>
      <c r="C29" s="411"/>
      <c r="D29" s="411"/>
      <c r="E29" s="2672"/>
      <c r="F29" s="2675"/>
      <c r="G29" s="2673"/>
      <c r="H29" s="2679"/>
      <c r="I29" s="2676"/>
      <c r="J29" s="2677"/>
      <c r="K29" s="2677"/>
      <c r="L29" s="2677"/>
      <c r="M29" s="2677"/>
      <c r="N29" s="2677"/>
      <c r="O29" s="2677"/>
      <c r="P29" s="2677"/>
      <c r="Q29" s="2677"/>
      <c r="R29" s="2677"/>
      <c r="S29" s="2677"/>
      <c r="T29" s="2677"/>
      <c r="U29" s="2677"/>
      <c r="V29" s="2677"/>
      <c r="W29" s="2238">
        <f t="shared" si="0"/>
        <v>0</v>
      </c>
    </row>
    <row r="30" spans="1:23" s="123" customFormat="1" ht="18" customHeight="1">
      <c r="A30" s="440"/>
      <c r="B30" s="438"/>
      <c r="C30" s="411"/>
      <c r="D30" s="411"/>
      <c r="E30" s="2676"/>
      <c r="F30" s="2677"/>
      <c r="G30" s="2680"/>
      <c r="H30" s="2681"/>
      <c r="I30" s="2676"/>
      <c r="J30" s="2677"/>
      <c r="K30" s="2677"/>
      <c r="L30" s="2677"/>
      <c r="M30" s="2677"/>
      <c r="N30" s="2677"/>
      <c r="O30" s="2677"/>
      <c r="P30" s="2677"/>
      <c r="Q30" s="2677"/>
      <c r="R30" s="2677"/>
      <c r="S30" s="2677"/>
      <c r="T30" s="2677"/>
      <c r="U30" s="2677"/>
      <c r="V30" s="2677"/>
      <c r="W30" s="2238">
        <f t="shared" si="0"/>
        <v>0</v>
      </c>
    </row>
    <row r="31" spans="1:23" s="123" customFormat="1" ht="18" customHeight="1">
      <c r="A31" s="440"/>
      <c r="B31" s="438"/>
      <c r="C31" s="411"/>
      <c r="D31" s="411"/>
      <c r="E31" s="445"/>
      <c r="F31" s="446"/>
      <c r="G31" s="443"/>
      <c r="H31" s="444"/>
      <c r="I31" s="445"/>
      <c r="J31" s="446"/>
      <c r="K31" s="446"/>
      <c r="L31" s="446"/>
      <c r="M31" s="446"/>
      <c r="N31" s="446"/>
      <c r="O31" s="446"/>
      <c r="P31" s="446"/>
      <c r="Q31" s="446"/>
      <c r="R31" s="446"/>
      <c r="S31" s="2411"/>
      <c r="T31" s="446"/>
      <c r="U31" s="446"/>
      <c r="V31" s="446"/>
      <c r="W31" s="2238">
        <f t="shared" si="0"/>
        <v>0</v>
      </c>
    </row>
    <row r="32" spans="1:23" s="123" customFormat="1" ht="18" customHeight="1">
      <c r="A32" s="440"/>
      <c r="B32" s="438"/>
      <c r="C32" s="411"/>
      <c r="D32" s="411"/>
      <c r="E32" s="445"/>
      <c r="F32" s="446"/>
      <c r="G32" s="443"/>
      <c r="H32" s="444"/>
      <c r="I32" s="445"/>
      <c r="J32" s="446"/>
      <c r="K32" s="446"/>
      <c r="L32" s="446"/>
      <c r="M32" s="446"/>
      <c r="N32" s="446"/>
      <c r="O32" s="446"/>
      <c r="P32" s="446"/>
      <c r="Q32" s="446"/>
      <c r="R32" s="446"/>
      <c r="S32" s="446"/>
      <c r="T32" s="446"/>
      <c r="U32" s="446"/>
      <c r="V32" s="447"/>
      <c r="W32" s="982">
        <f t="shared" si="0"/>
        <v>0</v>
      </c>
    </row>
    <row r="33" spans="1:23" s="123" customFormat="1" ht="18" customHeight="1">
      <c r="A33" s="440"/>
      <c r="B33" s="438"/>
      <c r="C33" s="411"/>
      <c r="D33" s="411"/>
      <c r="E33" s="445"/>
      <c r="F33" s="446"/>
      <c r="G33" s="443"/>
      <c r="H33" s="444"/>
      <c r="I33" s="445"/>
      <c r="J33" s="446"/>
      <c r="K33" s="446"/>
      <c r="L33" s="446"/>
      <c r="M33" s="446"/>
      <c r="N33" s="446"/>
      <c r="O33" s="446"/>
      <c r="P33" s="446"/>
      <c r="Q33" s="446"/>
      <c r="R33" s="446"/>
      <c r="S33" s="446"/>
      <c r="T33" s="446"/>
      <c r="U33" s="446"/>
      <c r="V33" s="447"/>
      <c r="W33" s="982">
        <f t="shared" si="0"/>
        <v>0</v>
      </c>
    </row>
    <row r="34" spans="1:23" s="123" customFormat="1" ht="18" customHeight="1">
      <c r="A34" s="440"/>
      <c r="B34" s="438"/>
      <c r="C34" s="411"/>
      <c r="D34" s="411"/>
      <c r="E34" s="445"/>
      <c r="F34" s="446"/>
      <c r="G34" s="443"/>
      <c r="H34" s="444"/>
      <c r="I34" s="445"/>
      <c r="J34" s="446"/>
      <c r="K34" s="446"/>
      <c r="L34" s="446"/>
      <c r="M34" s="446"/>
      <c r="N34" s="446"/>
      <c r="O34" s="446"/>
      <c r="P34" s="446"/>
      <c r="Q34" s="446"/>
      <c r="R34" s="446"/>
      <c r="S34" s="446"/>
      <c r="T34" s="446"/>
      <c r="U34" s="446"/>
      <c r="V34" s="447"/>
      <c r="W34" s="982">
        <f t="shared" si="0"/>
        <v>0</v>
      </c>
    </row>
    <row r="35" spans="1:23" s="123" customFormat="1" ht="18" customHeight="1">
      <c r="A35" s="440"/>
      <c r="B35" s="438"/>
      <c r="C35" s="411"/>
      <c r="D35" s="411"/>
      <c r="E35" s="445"/>
      <c r="F35" s="446"/>
      <c r="G35" s="443"/>
      <c r="H35" s="444"/>
      <c r="I35" s="445"/>
      <c r="J35" s="446"/>
      <c r="K35" s="446"/>
      <c r="L35" s="446"/>
      <c r="M35" s="446"/>
      <c r="N35" s="446"/>
      <c r="O35" s="446"/>
      <c r="P35" s="446"/>
      <c r="Q35" s="446"/>
      <c r="R35" s="446"/>
      <c r="S35" s="446"/>
      <c r="T35" s="446"/>
      <c r="U35" s="446"/>
      <c r="V35" s="447"/>
      <c r="W35" s="982">
        <f t="shared" si="0"/>
        <v>0</v>
      </c>
    </row>
    <row r="36" spans="1:23" s="123" customFormat="1" ht="18" customHeight="1">
      <c r="A36" s="440"/>
      <c r="B36" s="438"/>
      <c r="C36" s="411"/>
      <c r="D36" s="411"/>
      <c r="E36" s="445"/>
      <c r="F36" s="446"/>
      <c r="G36" s="443"/>
      <c r="H36" s="444"/>
      <c r="I36" s="445"/>
      <c r="J36" s="446"/>
      <c r="K36" s="446"/>
      <c r="L36" s="446"/>
      <c r="M36" s="446"/>
      <c r="N36" s="446"/>
      <c r="O36" s="446"/>
      <c r="P36" s="446"/>
      <c r="Q36" s="446"/>
      <c r="R36" s="446"/>
      <c r="S36" s="446"/>
      <c r="T36" s="446"/>
      <c r="U36" s="446"/>
      <c r="V36" s="447"/>
      <c r="W36" s="982">
        <f t="shared" si="0"/>
        <v>0</v>
      </c>
    </row>
    <row r="37" spans="1:23" s="123" customFormat="1" ht="18" customHeight="1">
      <c r="A37" s="440"/>
      <c r="B37" s="438"/>
      <c r="C37" s="411"/>
      <c r="D37" s="411"/>
      <c r="E37" s="445"/>
      <c r="F37" s="446"/>
      <c r="G37" s="443"/>
      <c r="H37" s="444"/>
      <c r="I37" s="445"/>
      <c r="J37" s="446"/>
      <c r="K37" s="446"/>
      <c r="L37" s="446"/>
      <c r="M37" s="446"/>
      <c r="N37" s="446"/>
      <c r="O37" s="446"/>
      <c r="P37" s="446"/>
      <c r="Q37" s="446"/>
      <c r="R37" s="446"/>
      <c r="S37" s="446"/>
      <c r="T37" s="446"/>
      <c r="U37" s="446"/>
      <c r="V37" s="447"/>
      <c r="W37" s="982">
        <f t="shared" si="0"/>
        <v>0</v>
      </c>
    </row>
    <row r="38" spans="1:23" s="123" customFormat="1" ht="18" customHeight="1">
      <c r="A38" s="440"/>
      <c r="B38" s="438"/>
      <c r="C38" s="441"/>
      <c r="D38" s="411"/>
      <c r="E38" s="445"/>
      <c r="F38" s="446"/>
      <c r="G38" s="443"/>
      <c r="H38" s="444"/>
      <c r="I38" s="445"/>
      <c r="J38" s="446"/>
      <c r="K38" s="446"/>
      <c r="L38" s="446"/>
      <c r="M38" s="446"/>
      <c r="N38" s="446"/>
      <c r="O38" s="446"/>
      <c r="P38" s="446"/>
      <c r="Q38" s="446"/>
      <c r="R38" s="446"/>
      <c r="S38" s="446"/>
      <c r="T38" s="446"/>
      <c r="U38" s="446"/>
      <c r="V38" s="447"/>
      <c r="W38" s="982">
        <f t="shared" si="0"/>
        <v>0</v>
      </c>
    </row>
    <row r="39" spans="1:23" s="123" customFormat="1" ht="18" customHeight="1">
      <c r="A39" s="440"/>
      <c r="B39" s="438"/>
      <c r="C39" s="441"/>
      <c r="D39" s="441"/>
      <c r="E39" s="442"/>
      <c r="F39" s="450"/>
      <c r="G39" s="448"/>
      <c r="H39" s="449"/>
      <c r="I39" s="442"/>
      <c r="J39" s="450"/>
      <c r="K39" s="450"/>
      <c r="L39" s="450"/>
      <c r="M39" s="450"/>
      <c r="N39" s="450"/>
      <c r="O39" s="450"/>
      <c r="P39" s="446"/>
      <c r="Q39" s="446"/>
      <c r="R39" s="446"/>
      <c r="S39" s="446"/>
      <c r="T39" s="446"/>
      <c r="U39" s="446"/>
      <c r="V39" s="447"/>
      <c r="W39" s="982">
        <f t="shared" si="0"/>
        <v>0</v>
      </c>
    </row>
    <row r="40" spans="1:23" s="123" customFormat="1" ht="18" customHeight="1">
      <c r="A40" s="440"/>
      <c r="B40" s="438"/>
      <c r="C40" s="441"/>
      <c r="D40" s="441"/>
      <c r="E40" s="442"/>
      <c r="F40" s="450"/>
      <c r="G40" s="448"/>
      <c r="H40" s="449"/>
      <c r="I40" s="442"/>
      <c r="J40" s="450"/>
      <c r="K40" s="450"/>
      <c r="L40" s="450"/>
      <c r="M40" s="450"/>
      <c r="N40" s="450"/>
      <c r="O40" s="450"/>
      <c r="P40" s="446"/>
      <c r="Q40" s="446"/>
      <c r="R40" s="446"/>
      <c r="S40" s="446"/>
      <c r="T40" s="446"/>
      <c r="U40" s="446"/>
      <c r="V40" s="447"/>
      <c r="W40" s="982">
        <f t="shared" si="0"/>
        <v>0</v>
      </c>
    </row>
    <row r="41" spans="1:23" s="123" customFormat="1" ht="18" customHeight="1">
      <c r="A41" s="440"/>
      <c r="B41" s="438"/>
      <c r="C41" s="411"/>
      <c r="D41" s="411"/>
      <c r="E41" s="445"/>
      <c r="F41" s="446"/>
      <c r="G41" s="443"/>
      <c r="H41" s="444"/>
      <c r="I41" s="445"/>
      <c r="J41" s="446"/>
      <c r="K41" s="446"/>
      <c r="L41" s="446"/>
      <c r="M41" s="446"/>
      <c r="N41" s="446"/>
      <c r="O41" s="446"/>
      <c r="P41" s="446"/>
      <c r="Q41" s="446"/>
      <c r="R41" s="446"/>
      <c r="S41" s="446"/>
      <c r="T41" s="446"/>
      <c r="U41" s="446"/>
      <c r="V41" s="447"/>
      <c r="W41" s="982">
        <f t="shared" si="0"/>
        <v>0</v>
      </c>
    </row>
    <row r="42" spans="1:23" s="123" customFormat="1" ht="18" customHeight="1">
      <c r="A42" s="440"/>
      <c r="B42" s="438"/>
      <c r="C42" s="411"/>
      <c r="D42" s="411"/>
      <c r="E42" s="445"/>
      <c r="F42" s="446"/>
      <c r="G42" s="443"/>
      <c r="H42" s="444"/>
      <c r="I42" s="445"/>
      <c r="J42" s="446"/>
      <c r="K42" s="446"/>
      <c r="L42" s="446"/>
      <c r="M42" s="446"/>
      <c r="N42" s="446"/>
      <c r="O42" s="446"/>
      <c r="P42" s="446"/>
      <c r="Q42" s="446"/>
      <c r="R42" s="446"/>
      <c r="S42" s="446"/>
      <c r="T42" s="446"/>
      <c r="U42" s="446"/>
      <c r="V42" s="447"/>
      <c r="W42" s="982">
        <f t="shared" si="0"/>
        <v>0</v>
      </c>
    </row>
    <row r="43" spans="1:23" s="123" customFormat="1" ht="18" customHeight="1">
      <c r="A43" s="440"/>
      <c r="B43" s="438"/>
      <c r="C43" s="411"/>
      <c r="D43" s="411"/>
      <c r="E43" s="445"/>
      <c r="F43" s="446"/>
      <c r="G43" s="443"/>
      <c r="H43" s="444"/>
      <c r="I43" s="445"/>
      <c r="J43" s="446"/>
      <c r="K43" s="446"/>
      <c r="L43" s="446"/>
      <c r="M43" s="446"/>
      <c r="N43" s="446"/>
      <c r="O43" s="446"/>
      <c r="P43" s="446"/>
      <c r="Q43" s="446"/>
      <c r="R43" s="446"/>
      <c r="S43" s="446"/>
      <c r="T43" s="446"/>
      <c r="U43" s="446"/>
      <c r="V43" s="451"/>
      <c r="W43" s="982">
        <f t="shared" si="0"/>
        <v>0</v>
      </c>
    </row>
    <row r="44" spans="1:23" s="123" customFormat="1" ht="18" customHeight="1" thickBot="1">
      <c r="A44" s="440"/>
      <c r="B44" s="438"/>
      <c r="C44" s="411"/>
      <c r="D44" s="411"/>
      <c r="E44" s="445"/>
      <c r="F44" s="446"/>
      <c r="G44" s="443"/>
      <c r="H44" s="444"/>
      <c r="I44" s="445"/>
      <c r="J44" s="446"/>
      <c r="K44" s="446"/>
      <c r="L44" s="446"/>
      <c r="M44" s="446"/>
      <c r="N44" s="446"/>
      <c r="O44" s="446"/>
      <c r="P44" s="446"/>
      <c r="Q44" s="446"/>
      <c r="R44" s="446"/>
      <c r="S44" s="446"/>
      <c r="T44" s="446"/>
      <c r="U44" s="452"/>
      <c r="V44" s="40"/>
      <c r="W44" s="983">
        <f t="shared" si="0"/>
        <v>0</v>
      </c>
    </row>
    <row r="45" spans="1:23" s="1" customFormat="1" ht="26.25" customHeight="1" thickTop="1" thickBot="1">
      <c r="A45" s="214"/>
      <c r="B45" s="218"/>
      <c r="C45" s="433" t="s">
        <v>19</v>
      </c>
      <c r="D45" s="434"/>
      <c r="E45" s="976">
        <f>SUM(E13:E44)</f>
        <v>0</v>
      </c>
      <c r="F45" s="976">
        <f>SUM(F13:F44)</f>
        <v>0</v>
      </c>
      <c r="G45" s="978">
        <f t="shared" ref="G45:V45" si="1">SUM(G13:G44)</f>
        <v>0</v>
      </c>
      <c r="H45" s="979">
        <f t="shared" si="1"/>
        <v>0</v>
      </c>
      <c r="I45" s="976">
        <f t="shared" si="1"/>
        <v>0</v>
      </c>
      <c r="J45" s="976">
        <f t="shared" si="1"/>
        <v>0</v>
      </c>
      <c r="K45" s="976">
        <f t="shared" si="1"/>
        <v>0</v>
      </c>
      <c r="L45" s="976">
        <f t="shared" si="1"/>
        <v>0</v>
      </c>
      <c r="M45" s="976">
        <f t="shared" si="1"/>
        <v>0</v>
      </c>
      <c r="N45" s="976">
        <f t="shared" si="1"/>
        <v>0</v>
      </c>
      <c r="O45" s="976">
        <f t="shared" si="1"/>
        <v>0</v>
      </c>
      <c r="P45" s="976">
        <f t="shared" si="1"/>
        <v>0</v>
      </c>
      <c r="Q45" s="976">
        <f t="shared" si="1"/>
        <v>0</v>
      </c>
      <c r="R45" s="976">
        <f t="shared" si="1"/>
        <v>0</v>
      </c>
      <c r="S45" s="976">
        <f t="shared" si="1"/>
        <v>0</v>
      </c>
      <c r="T45" s="976">
        <f>SUM(T13:T44)</f>
        <v>0</v>
      </c>
      <c r="U45" s="976">
        <f t="shared" si="1"/>
        <v>0</v>
      </c>
      <c r="V45" s="976">
        <f t="shared" si="1"/>
        <v>0</v>
      </c>
      <c r="W45" s="984">
        <f>(SUM((E45:G45))-(SUM((H45:V45))))</f>
        <v>0</v>
      </c>
    </row>
    <row r="46" spans="1:23" s="1" customFormat="1" ht="26.25" customHeight="1" thickTop="1" thickBot="1">
      <c r="A46" s="214"/>
      <c r="B46" s="218"/>
      <c r="C46" s="433" t="s">
        <v>257</v>
      </c>
      <c r="D46" s="434"/>
      <c r="E46" s="976">
        <f>E12+E45</f>
        <v>10304082</v>
      </c>
      <c r="F46" s="976">
        <f>F12+F45</f>
        <v>0</v>
      </c>
      <c r="G46" s="978">
        <f t="shared" ref="G46:V46" si="2">G12+G45</f>
        <v>0</v>
      </c>
      <c r="H46" s="979">
        <f t="shared" si="2"/>
        <v>0</v>
      </c>
      <c r="I46" s="976">
        <f t="shared" si="2"/>
        <v>0</v>
      </c>
      <c r="J46" s="976">
        <f t="shared" si="2"/>
        <v>0</v>
      </c>
      <c r="K46" s="976">
        <f t="shared" si="2"/>
        <v>0</v>
      </c>
      <c r="L46" s="976">
        <f t="shared" si="2"/>
        <v>0</v>
      </c>
      <c r="M46" s="976">
        <f t="shared" si="2"/>
        <v>0</v>
      </c>
      <c r="N46" s="976">
        <f t="shared" si="2"/>
        <v>0</v>
      </c>
      <c r="O46" s="976">
        <f t="shared" si="2"/>
        <v>0</v>
      </c>
      <c r="P46" s="976">
        <f t="shared" si="2"/>
        <v>0</v>
      </c>
      <c r="Q46" s="976">
        <f t="shared" si="2"/>
        <v>0</v>
      </c>
      <c r="R46" s="976">
        <f t="shared" si="2"/>
        <v>0</v>
      </c>
      <c r="S46" s="976">
        <f t="shared" si="2"/>
        <v>10304082</v>
      </c>
      <c r="T46" s="976">
        <f>T12+T45</f>
        <v>0</v>
      </c>
      <c r="U46" s="976">
        <f t="shared" si="2"/>
        <v>0</v>
      </c>
      <c r="V46" s="976">
        <f t="shared" si="2"/>
        <v>0</v>
      </c>
      <c r="W46" s="985">
        <f>(SUM((E46:G46))-(SUM((H46:V46))))</f>
        <v>0</v>
      </c>
    </row>
    <row r="47" spans="1:23" s="1" customFormat="1" ht="26.25" customHeight="1" thickTop="1" thickBot="1">
      <c r="A47" s="215"/>
      <c r="B47" s="219"/>
      <c r="C47" s="435" t="s">
        <v>20</v>
      </c>
      <c r="D47" s="436"/>
      <c r="E47" s="977">
        <f>E11+E46</f>
        <v>117470082</v>
      </c>
      <c r="F47" s="977">
        <f>F11+F46</f>
        <v>13546000</v>
      </c>
      <c r="G47" s="980">
        <f t="shared" ref="G47:V47" si="3">G11+G46</f>
        <v>2100000</v>
      </c>
      <c r="H47" s="981">
        <f t="shared" si="3"/>
        <v>4311000</v>
      </c>
      <c r="I47" s="977">
        <f t="shared" si="3"/>
        <v>1200000</v>
      </c>
      <c r="J47" s="977">
        <f t="shared" si="3"/>
        <v>21422150</v>
      </c>
      <c r="K47" s="977">
        <f t="shared" si="3"/>
        <v>12500000</v>
      </c>
      <c r="L47" s="977">
        <f t="shared" si="3"/>
        <v>7337900</v>
      </c>
      <c r="M47" s="977">
        <f t="shared" si="3"/>
        <v>2293400</v>
      </c>
      <c r="N47" s="977">
        <f t="shared" si="3"/>
        <v>5431250</v>
      </c>
      <c r="O47" s="977">
        <f t="shared" si="3"/>
        <v>2687250</v>
      </c>
      <c r="P47" s="977">
        <f t="shared" si="3"/>
        <v>14647200</v>
      </c>
      <c r="Q47" s="977">
        <f t="shared" si="3"/>
        <v>5141350</v>
      </c>
      <c r="R47" s="977">
        <f t="shared" si="3"/>
        <v>7399000</v>
      </c>
      <c r="S47" s="977">
        <f t="shared" si="3"/>
        <v>30598082</v>
      </c>
      <c r="T47" s="977">
        <f>T11+T46</f>
        <v>13546000</v>
      </c>
      <c r="U47" s="977">
        <f t="shared" si="3"/>
        <v>4601500</v>
      </c>
      <c r="V47" s="977">
        <f t="shared" si="3"/>
        <v>0</v>
      </c>
      <c r="W47" s="986">
        <f>(SUM((E47:G47))-(SUM((H47:V47))))</f>
        <v>0</v>
      </c>
    </row>
    <row r="48" spans="1:23" s="123" customFormat="1" ht="15">
      <c r="B48" s="138"/>
    </row>
    <row r="49" spans="1:20" s="123" customFormat="1" ht="15.75">
      <c r="A49" s="139"/>
      <c r="B49" s="138"/>
      <c r="C49" s="1"/>
      <c r="D49" s="1"/>
      <c r="E49" s="1"/>
      <c r="F49" s="1"/>
      <c r="G49" s="1"/>
      <c r="H49" s="1"/>
      <c r="I49" s="7"/>
      <c r="J49" s="7"/>
      <c r="K49" s="7"/>
      <c r="L49" s="7"/>
      <c r="M49" s="140"/>
      <c r="Q49" s="11"/>
      <c r="R49" s="455" t="str">
        <f>DT!D28</f>
        <v>Nagrak, 29 Februari 2016 2016</v>
      </c>
      <c r="S49" s="11"/>
      <c r="T49" s="11"/>
    </row>
    <row r="50" spans="1:20" s="123" customFormat="1" ht="15.75">
      <c r="A50" s="139"/>
      <c r="B50" s="138"/>
      <c r="C50" s="148" t="s">
        <v>21</v>
      </c>
      <c r="D50" s="1"/>
      <c r="E50" s="1"/>
      <c r="F50" s="1"/>
      <c r="G50" s="1"/>
      <c r="H50" s="1"/>
      <c r="I50" s="7"/>
      <c r="J50" s="7"/>
      <c r="K50" s="7"/>
      <c r="L50" s="7"/>
      <c r="Q50" s="11"/>
      <c r="R50" s="11" t="s">
        <v>22</v>
      </c>
      <c r="S50" s="11"/>
      <c r="T50" s="11"/>
    </row>
    <row r="51" spans="1:20" s="123" customFormat="1" ht="15.75">
      <c r="B51" s="138"/>
      <c r="C51" s="148" t="s">
        <v>23</v>
      </c>
      <c r="D51" s="1"/>
      <c r="E51" s="1"/>
      <c r="F51" s="1"/>
      <c r="G51" s="1"/>
      <c r="H51" s="1"/>
      <c r="I51" s="7"/>
      <c r="J51" s="7"/>
      <c r="K51" s="7"/>
      <c r="L51" s="7"/>
      <c r="Q51" s="14"/>
      <c r="R51" s="14" t="s">
        <v>24</v>
      </c>
      <c r="S51" s="14"/>
      <c r="T51" s="14"/>
    </row>
    <row r="52" spans="1:20" ht="15.75">
      <c r="C52" s="15"/>
      <c r="D52" s="15"/>
      <c r="E52" s="20"/>
      <c r="F52" s="20"/>
      <c r="G52" s="20"/>
      <c r="H52" s="20"/>
      <c r="I52" s="20"/>
      <c r="J52" s="20"/>
      <c r="K52" s="20"/>
      <c r="L52" s="20"/>
      <c r="M52" s="20"/>
      <c r="N52" s="20"/>
      <c r="R52" s="11"/>
    </row>
    <row r="53" spans="1:20" ht="15.75">
      <c r="C53" s="15"/>
      <c r="D53" s="15"/>
      <c r="E53" s="20"/>
      <c r="F53" s="20"/>
      <c r="G53" s="20"/>
      <c r="H53" s="20"/>
      <c r="I53" s="20"/>
      <c r="J53" s="20"/>
      <c r="K53" s="20"/>
      <c r="L53" s="20"/>
      <c r="M53" s="20"/>
      <c r="N53" s="20"/>
      <c r="R53" s="11"/>
    </row>
    <row r="54" spans="1:20" ht="15.75">
      <c r="C54" s="15"/>
      <c r="D54" s="15"/>
      <c r="E54" s="20"/>
      <c r="F54" s="20"/>
      <c r="G54" s="20"/>
      <c r="H54" s="20"/>
      <c r="I54" s="20"/>
      <c r="J54" s="20"/>
      <c r="K54" s="20"/>
      <c r="L54" s="20"/>
      <c r="M54" s="20"/>
      <c r="N54" s="20"/>
      <c r="R54" s="11"/>
    </row>
    <row r="55" spans="1:20" s="120" customFormat="1" ht="23.25">
      <c r="R55" s="13"/>
    </row>
    <row r="56" spans="1:20" s="120" customFormat="1" ht="23.25"/>
    <row r="57" spans="1:20" s="120" customFormat="1" ht="23.25">
      <c r="C57" s="11" t="str">
        <f>DT!D14</f>
        <v>Endang Taryana</v>
      </c>
      <c r="R57" s="14" t="str">
        <f>DT!D15</f>
        <v>Arin Yustini, SE</v>
      </c>
    </row>
    <row r="58" spans="1:20" s="123" customFormat="1" ht="15"/>
    <row r="59" spans="1:20" s="123" customFormat="1" ht="15"/>
    <row r="60" spans="1:20" s="123" customFormat="1" ht="15"/>
    <row r="61" spans="1:20" s="123" customFormat="1" ht="15"/>
    <row r="62" spans="1:20" s="123" customFormat="1" ht="18.75" customHeight="1"/>
    <row r="63" spans="1:20" s="123" customFormat="1" ht="17.25" customHeight="1"/>
    <row r="64" spans="1:20" s="123" customFormat="1" ht="15"/>
    <row r="65" s="123" customFormat="1" ht="15"/>
    <row r="66" s="1" customFormat="1" ht="24" customHeight="1"/>
    <row r="67" s="74" customFormat="1" ht="24" customHeight="1"/>
    <row r="68" s="123" customFormat="1" ht="17.25" customHeight="1"/>
    <row r="69" s="123" customFormat="1" ht="17.25" customHeight="1"/>
    <row r="70" s="123" customFormat="1" ht="17.25" customHeight="1"/>
    <row r="71" s="123" customFormat="1" ht="17.25" customHeight="1"/>
    <row r="72" s="123" customFormat="1" ht="17.25" customHeight="1"/>
    <row r="73" s="123" customFormat="1" ht="17.25" customHeight="1"/>
    <row r="74" s="123" customFormat="1" ht="17.25" customHeight="1"/>
    <row r="75" s="123" customFormat="1" ht="17.25" customHeight="1"/>
    <row r="76" s="123" customFormat="1" ht="17.25" customHeight="1"/>
    <row r="77" s="1" customFormat="1" ht="26.25" customHeight="1"/>
    <row r="78" s="1" customFormat="1" ht="26.25" customHeight="1"/>
    <row r="79" s="1" customFormat="1" ht="26.25" customHeight="1"/>
    <row r="80" s="123" customFormat="1" ht="15"/>
    <row r="81" s="123" customFormat="1" ht="15"/>
    <row r="82" s="123" customFormat="1" ht="15"/>
    <row r="83" s="123" customFormat="1" ht="15"/>
  </sheetData>
  <mergeCells count="23">
    <mergeCell ref="O9:O10"/>
    <mergeCell ref="U8:U10"/>
    <mergeCell ref="H9:H10"/>
    <mergeCell ref="D7:D10"/>
    <mergeCell ref="N9:N10"/>
    <mergeCell ref="I9:I10"/>
    <mergeCell ref="J9:J10"/>
    <mergeCell ref="A1:W1"/>
    <mergeCell ref="V8:V10"/>
    <mergeCell ref="A2:W2"/>
    <mergeCell ref="A7:A10"/>
    <mergeCell ref="E7:G7"/>
    <mergeCell ref="H7:V7"/>
    <mergeCell ref="W7:W10"/>
    <mergeCell ref="T8:T10"/>
    <mergeCell ref="A3:W3"/>
    <mergeCell ref="H8:S8"/>
    <mergeCell ref="B7:B10"/>
    <mergeCell ref="P9:P10"/>
    <mergeCell ref="E8:E10"/>
    <mergeCell ref="C7:C10"/>
    <mergeCell ref="G9:G10"/>
    <mergeCell ref="F8:F10"/>
  </mergeCells>
  <phoneticPr fontId="0" type="noConversion"/>
  <printOptions horizontalCentered="1" verticalCentered="1"/>
  <pageMargins left="0.19685039370078741" right="0.19685039370078741" top="0.59055118110236227" bottom="0.23622047244094491" header="0.6692913385826772" footer="0.51181102362204722"/>
  <pageSetup paperSize="9" scale="40" orientation="landscape" horizontalDpi="4294967293" verticalDpi="4294967293" r:id="rId1"/>
  <headerFooter alignWithMargins="0"/>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sheetPr>
  <dimension ref="A1:S79"/>
  <sheetViews>
    <sheetView topLeftCell="A4" zoomScale="70" zoomScaleNormal="70" zoomScaleSheetLayoutView="55" zoomScalePageLayoutView="55" workbookViewId="0">
      <selection activeCell="E25" sqref="E25"/>
    </sheetView>
  </sheetViews>
  <sheetFormatPr defaultColWidth="9.140625" defaultRowHeight="12.75"/>
  <cols>
    <col min="1" max="1" width="4.140625" style="40" customWidth="1"/>
    <col min="2" max="2" width="17.7109375" style="75" customWidth="1"/>
    <col min="3" max="3" width="54.7109375" style="40" customWidth="1"/>
    <col min="4" max="4" width="13" style="40" customWidth="1"/>
    <col min="5" max="6" width="17.5703125" style="40" customWidth="1"/>
    <col min="7" max="7" width="13.42578125" style="40" customWidth="1"/>
    <col min="8" max="14" width="16.42578125" style="40" customWidth="1"/>
    <col min="15" max="15" width="14.7109375" style="40" bestFit="1" customWidth="1"/>
    <col min="16" max="16" width="16.42578125" style="40" customWidth="1"/>
    <col min="17" max="17" width="13.42578125" style="40" customWidth="1"/>
    <col min="18" max="18" width="17.140625" style="40" customWidth="1"/>
    <col min="19" max="19" width="18" style="40" bestFit="1" customWidth="1"/>
    <col min="20" max="16384" width="9.140625" style="22"/>
  </cols>
  <sheetData>
    <row r="1" spans="1:19">
      <c r="A1" s="3514" t="s">
        <v>0</v>
      </c>
      <c r="B1" s="3514"/>
      <c r="C1" s="3514"/>
      <c r="D1" s="3514"/>
      <c r="E1" s="3514"/>
      <c r="F1" s="3514"/>
      <c r="G1" s="3514"/>
      <c r="H1" s="3514"/>
      <c r="I1" s="3514"/>
      <c r="J1" s="3514"/>
      <c r="K1" s="3514"/>
      <c r="L1" s="3514"/>
      <c r="M1" s="3514"/>
      <c r="N1" s="3514"/>
      <c r="O1" s="3514"/>
      <c r="P1" s="3514"/>
      <c r="Q1" s="3514"/>
      <c r="R1" s="3514"/>
      <c r="S1" s="3514"/>
    </row>
    <row r="2" spans="1:19">
      <c r="A2" s="3514" t="s">
        <v>35</v>
      </c>
      <c r="B2" s="3514"/>
      <c r="C2" s="3514"/>
      <c r="D2" s="3514"/>
      <c r="E2" s="3514"/>
      <c r="F2" s="3514"/>
      <c r="G2" s="3514"/>
      <c r="H2" s="3514"/>
      <c r="I2" s="3514"/>
      <c r="J2" s="3514"/>
      <c r="K2" s="3514"/>
      <c r="L2" s="3514"/>
      <c r="M2" s="3514"/>
      <c r="N2" s="3514"/>
      <c r="O2" s="3514"/>
      <c r="P2" s="3514"/>
      <c r="Q2" s="3514"/>
      <c r="R2" s="3514"/>
      <c r="S2" s="3514"/>
    </row>
    <row r="3" spans="1:19">
      <c r="A3" s="3515" t="s">
        <v>2440</v>
      </c>
      <c r="B3" s="3514"/>
      <c r="C3" s="3514"/>
      <c r="D3" s="3514"/>
      <c r="E3" s="3514"/>
      <c r="F3" s="3514"/>
      <c r="G3" s="3514"/>
      <c r="H3" s="3514"/>
      <c r="I3" s="3514"/>
      <c r="J3" s="3514"/>
      <c r="K3" s="3514"/>
      <c r="L3" s="3514"/>
      <c r="M3" s="3514"/>
      <c r="N3" s="3514"/>
      <c r="O3" s="3514"/>
      <c r="P3" s="3514"/>
      <c r="Q3" s="3514"/>
      <c r="R3" s="3514"/>
      <c r="S3" s="3514"/>
    </row>
    <row r="4" spans="1:19" s="123" customFormat="1" ht="15.75">
      <c r="B4" s="74" t="s">
        <v>2</v>
      </c>
      <c r="C4" s="4" t="str">
        <f>": "&amp;DT!$D$3</f>
        <v>: Nagrak</v>
      </c>
      <c r="K4" s="74"/>
      <c r="L4" s="74"/>
      <c r="M4" s="74"/>
      <c r="N4" s="541" t="s">
        <v>3</v>
      </c>
      <c r="O4" s="6" t="str">
        <f>": "&amp;DT!D25</f>
        <v>: Februari 2016</v>
      </c>
      <c r="P4" s="6"/>
    </row>
    <row r="5" spans="1:19" s="123" customFormat="1" ht="15.75">
      <c r="B5" s="74" t="s">
        <v>4</v>
      </c>
      <c r="C5" s="4" t="str">
        <f>": "&amp;DT!$D$4</f>
        <v>: Sukabumi</v>
      </c>
    </row>
    <row r="6" spans="1:19" s="123" customFormat="1" ht="16.5" thickBot="1">
      <c r="B6" s="74" t="s">
        <v>6</v>
      </c>
      <c r="C6" s="4" t="str">
        <f>": "&amp;DT!$D$5</f>
        <v>: Jawa Barat</v>
      </c>
    </row>
    <row r="7" spans="1:19" s="123" customFormat="1" ht="25.5" customHeight="1">
      <c r="A7" s="3516" t="s">
        <v>36</v>
      </c>
      <c r="B7" s="2991"/>
      <c r="C7" s="124"/>
      <c r="D7" s="124"/>
      <c r="E7" s="3519" t="s">
        <v>10</v>
      </c>
      <c r="F7" s="3519"/>
      <c r="G7" s="3519"/>
      <c r="H7" s="3519" t="s">
        <v>394</v>
      </c>
      <c r="I7" s="3519"/>
      <c r="J7" s="3519"/>
      <c r="K7" s="3519"/>
      <c r="L7" s="3519"/>
      <c r="M7" s="3519"/>
      <c r="N7" s="3519"/>
      <c r="O7" s="3519"/>
      <c r="P7" s="3519"/>
      <c r="Q7" s="3519"/>
      <c r="R7" s="3519"/>
      <c r="S7" s="3520" t="s">
        <v>12</v>
      </c>
    </row>
    <row r="8" spans="1:19" s="123" customFormat="1" ht="20.25" customHeight="1">
      <c r="A8" s="3517"/>
      <c r="B8" s="2992" t="s">
        <v>7</v>
      </c>
      <c r="C8" s="127" t="s">
        <v>8</v>
      </c>
      <c r="D8" s="127" t="s">
        <v>9</v>
      </c>
      <c r="E8" s="3512" t="s">
        <v>236</v>
      </c>
      <c r="F8" s="3512" t="s">
        <v>63</v>
      </c>
      <c r="G8" s="2995"/>
      <c r="H8" s="3512" t="s">
        <v>890</v>
      </c>
      <c r="I8" s="3512"/>
      <c r="J8" s="3512"/>
      <c r="K8" s="3512"/>
      <c r="L8" s="3512"/>
      <c r="M8" s="3512"/>
      <c r="N8" s="3512"/>
      <c r="O8" s="3512"/>
      <c r="P8" s="3512" t="s">
        <v>976</v>
      </c>
      <c r="Q8" s="3512" t="s">
        <v>235</v>
      </c>
      <c r="R8" s="2995"/>
      <c r="S8" s="3521"/>
    </row>
    <row r="9" spans="1:19" s="123" customFormat="1" ht="15.75">
      <c r="A9" s="3517"/>
      <c r="B9" s="2992" t="s">
        <v>13</v>
      </c>
      <c r="C9" s="127" t="s">
        <v>13</v>
      </c>
      <c r="D9" s="127" t="s">
        <v>13</v>
      </c>
      <c r="E9" s="3512"/>
      <c r="F9" s="3512"/>
      <c r="G9" s="2995" t="s">
        <v>18</v>
      </c>
      <c r="H9" s="3512" t="s">
        <v>2292</v>
      </c>
      <c r="I9" s="3512" t="s">
        <v>32</v>
      </c>
      <c r="J9" s="3512"/>
      <c r="K9" s="3512"/>
      <c r="L9" s="3512"/>
      <c r="M9" s="3512"/>
      <c r="N9" s="3512"/>
      <c r="O9" s="3512" t="s">
        <v>569</v>
      </c>
      <c r="P9" s="3512"/>
      <c r="Q9" s="3512"/>
      <c r="R9" s="2995" t="s">
        <v>28</v>
      </c>
      <c r="S9" s="3521"/>
    </row>
    <row r="10" spans="1:19" s="123" customFormat="1" ht="16.5" thickBot="1">
      <c r="A10" s="3518"/>
      <c r="B10" s="2993"/>
      <c r="C10" s="2994"/>
      <c r="D10" s="2994"/>
      <c r="E10" s="3513"/>
      <c r="F10" s="3513"/>
      <c r="G10" s="2996"/>
      <c r="H10" s="3513"/>
      <c r="I10" s="3513"/>
      <c r="J10" s="3513"/>
      <c r="K10" s="3513"/>
      <c r="L10" s="3513"/>
      <c r="M10" s="3513"/>
      <c r="N10" s="3513"/>
      <c r="O10" s="3513"/>
      <c r="P10" s="3513"/>
      <c r="Q10" s="3513"/>
      <c r="R10" s="2996"/>
      <c r="S10" s="3522"/>
    </row>
    <row r="11" spans="1:19" s="1" customFormat="1" ht="28.5" customHeight="1" thickTop="1">
      <c r="A11" s="506"/>
      <c r="B11" s="513"/>
      <c r="C11" s="514" t="s">
        <v>258</v>
      </c>
      <c r="D11" s="515"/>
      <c r="E11" s="515">
        <v>12039943</v>
      </c>
      <c r="F11" s="1335">
        <v>2200000</v>
      </c>
      <c r="G11" s="516">
        <v>0</v>
      </c>
      <c r="H11" s="517">
        <v>5500000</v>
      </c>
      <c r="I11" s="515">
        <v>5500000</v>
      </c>
      <c r="J11" s="515">
        <v>0</v>
      </c>
      <c r="K11" s="515">
        <v>0</v>
      </c>
      <c r="L11" s="515">
        <v>0</v>
      </c>
      <c r="M11" s="515">
        <v>0</v>
      </c>
      <c r="N11" s="515">
        <v>0</v>
      </c>
      <c r="O11" s="515">
        <v>0</v>
      </c>
      <c r="P11" s="515">
        <v>0</v>
      </c>
      <c r="Q11" s="515">
        <v>200000</v>
      </c>
      <c r="R11" s="515">
        <v>3039943</v>
      </c>
      <c r="S11" s="518">
        <v>0</v>
      </c>
    </row>
    <row r="12" spans="1:19" s="74" customFormat="1" ht="28.5" customHeight="1" thickBot="1">
      <c r="A12" s="965"/>
      <c r="B12" s="966"/>
      <c r="C12" s="937" t="s">
        <v>539</v>
      </c>
      <c r="D12" s="967"/>
      <c r="E12" s="968"/>
      <c r="F12" s="1334"/>
      <c r="G12" s="969"/>
      <c r="H12" s="970"/>
      <c r="I12" s="968"/>
      <c r="J12" s="968"/>
      <c r="K12" s="968"/>
      <c r="L12" s="968"/>
      <c r="M12" s="968"/>
      <c r="N12" s="968"/>
      <c r="O12" s="968"/>
      <c r="P12" s="968"/>
      <c r="Q12" s="968"/>
      <c r="R12" s="968"/>
      <c r="S12" s="971">
        <f t="shared" ref="S12:S42" si="0">S11+(SUM((E12:G12))-(SUM((H12:R12))))</f>
        <v>0</v>
      </c>
    </row>
    <row r="13" spans="1:19" s="123" customFormat="1" ht="18" customHeight="1">
      <c r="A13" s="439"/>
      <c r="B13" s="3026"/>
      <c r="C13" s="2392"/>
      <c r="D13" s="411"/>
      <c r="E13" s="445"/>
      <c r="F13" s="446"/>
      <c r="G13" s="443"/>
      <c r="H13" s="444"/>
      <c r="I13" s="445"/>
      <c r="J13" s="446"/>
      <c r="K13" s="446"/>
      <c r="L13" s="446"/>
      <c r="M13" s="446"/>
      <c r="N13" s="446"/>
      <c r="O13" s="446"/>
      <c r="P13" s="446"/>
      <c r="Q13" s="446"/>
      <c r="R13" s="447"/>
      <c r="S13" s="982">
        <f>S12+(SUM((E13:G13))-(SUM((H13:R13))))</f>
        <v>0</v>
      </c>
    </row>
    <row r="14" spans="1:19" s="123" customFormat="1" ht="18" customHeight="1">
      <c r="A14" s="440"/>
      <c r="B14" s="3027"/>
      <c r="C14" s="2392"/>
      <c r="D14" s="411"/>
      <c r="E14" s="445"/>
      <c r="F14" s="446"/>
      <c r="G14" s="443"/>
      <c r="H14" s="444"/>
      <c r="I14" s="445"/>
      <c r="J14" s="446"/>
      <c r="K14" s="446"/>
      <c r="L14" s="446"/>
      <c r="M14" s="446"/>
      <c r="N14" s="446"/>
      <c r="O14" s="446"/>
      <c r="P14" s="446"/>
      <c r="Q14" s="446"/>
      <c r="R14" s="447"/>
      <c r="S14" s="982">
        <f>S13+(SUM((E14:G14))-(SUM((H14:R14))))</f>
        <v>0</v>
      </c>
    </row>
    <row r="15" spans="1:19" s="123" customFormat="1" ht="18" customHeight="1">
      <c r="A15" s="440"/>
      <c r="B15" s="3027"/>
      <c r="C15" s="2392"/>
      <c r="D15" s="441"/>
      <c r="E15" s="445"/>
      <c r="F15" s="446"/>
      <c r="G15" s="443"/>
      <c r="H15" s="444"/>
      <c r="I15" s="445"/>
      <c r="J15" s="450"/>
      <c r="K15" s="446"/>
      <c r="L15" s="446"/>
      <c r="M15" s="446"/>
      <c r="N15" s="446"/>
      <c r="O15" s="446"/>
      <c r="P15" s="446"/>
      <c r="Q15" s="446"/>
      <c r="R15" s="447"/>
      <c r="S15" s="982">
        <f>S14+(SUM((E15:G15))-(SUM((H15:R15))))</f>
        <v>0</v>
      </c>
    </row>
    <row r="16" spans="1:19" s="123" customFormat="1" ht="18" customHeight="1">
      <c r="A16" s="440"/>
      <c r="B16" s="438"/>
      <c r="C16" s="411"/>
      <c r="D16" s="411"/>
      <c r="E16" s="445"/>
      <c r="F16" s="446"/>
      <c r="G16" s="443"/>
      <c r="H16" s="444"/>
      <c r="I16" s="445"/>
      <c r="J16" s="446"/>
      <c r="K16" s="446"/>
      <c r="L16" s="446"/>
      <c r="M16" s="446"/>
      <c r="N16" s="446"/>
      <c r="O16" s="446"/>
      <c r="P16" s="446"/>
      <c r="Q16" s="446"/>
      <c r="R16" s="447"/>
      <c r="S16" s="982">
        <f t="shared" si="0"/>
        <v>0</v>
      </c>
    </row>
    <row r="17" spans="1:19" s="123" customFormat="1" ht="18" customHeight="1">
      <c r="A17" s="440"/>
      <c r="B17" s="438"/>
      <c r="C17" s="411"/>
      <c r="D17" s="411"/>
      <c r="E17" s="445"/>
      <c r="F17" s="446"/>
      <c r="G17" s="443"/>
      <c r="H17" s="444"/>
      <c r="I17" s="445"/>
      <c r="J17" s="446"/>
      <c r="K17" s="446"/>
      <c r="L17" s="446"/>
      <c r="M17" s="446"/>
      <c r="N17" s="446"/>
      <c r="O17" s="446"/>
      <c r="P17" s="446"/>
      <c r="Q17" s="446"/>
      <c r="R17" s="447"/>
      <c r="S17" s="982">
        <f t="shared" si="0"/>
        <v>0</v>
      </c>
    </row>
    <row r="18" spans="1:19" s="123" customFormat="1" ht="18" customHeight="1">
      <c r="A18" s="440"/>
      <c r="B18" s="438"/>
      <c r="C18" s="411"/>
      <c r="D18" s="411"/>
      <c r="E18" s="445"/>
      <c r="F18" s="446"/>
      <c r="G18" s="443"/>
      <c r="H18" s="444"/>
      <c r="I18" s="445"/>
      <c r="J18" s="446"/>
      <c r="K18" s="446"/>
      <c r="L18" s="446"/>
      <c r="M18" s="446"/>
      <c r="N18" s="446"/>
      <c r="O18" s="446"/>
      <c r="P18" s="446"/>
      <c r="Q18" s="446"/>
      <c r="R18" s="447"/>
      <c r="S18" s="982">
        <f t="shared" si="0"/>
        <v>0</v>
      </c>
    </row>
    <row r="19" spans="1:19" s="123" customFormat="1" ht="18" customHeight="1">
      <c r="A19" s="440"/>
      <c r="B19" s="438"/>
      <c r="C19" s="411"/>
      <c r="D19" s="411"/>
      <c r="E19" s="445"/>
      <c r="F19" s="446"/>
      <c r="G19" s="443"/>
      <c r="H19" s="444"/>
      <c r="I19" s="445"/>
      <c r="J19" s="446"/>
      <c r="K19" s="446"/>
      <c r="L19" s="446"/>
      <c r="M19" s="446"/>
      <c r="N19" s="446"/>
      <c r="O19" s="446"/>
      <c r="P19" s="446"/>
      <c r="Q19" s="446"/>
      <c r="R19" s="447"/>
      <c r="S19" s="982">
        <f t="shared" si="0"/>
        <v>0</v>
      </c>
    </row>
    <row r="20" spans="1:19" s="123" customFormat="1" ht="18" customHeight="1">
      <c r="A20" s="440"/>
      <c r="B20" s="438"/>
      <c r="C20" s="411"/>
      <c r="D20" s="411"/>
      <c r="E20" s="445"/>
      <c r="F20" s="446"/>
      <c r="G20" s="443"/>
      <c r="H20" s="444"/>
      <c r="I20" s="445"/>
      <c r="J20" s="446"/>
      <c r="K20" s="446"/>
      <c r="L20" s="446"/>
      <c r="M20" s="446"/>
      <c r="N20" s="446"/>
      <c r="O20" s="446"/>
      <c r="P20" s="446"/>
      <c r="Q20" s="446"/>
      <c r="R20" s="447"/>
      <c r="S20" s="982">
        <f t="shared" si="0"/>
        <v>0</v>
      </c>
    </row>
    <row r="21" spans="1:19" s="123" customFormat="1" ht="18" customHeight="1">
      <c r="A21" s="440"/>
      <c r="B21" s="438"/>
      <c r="C21" s="411"/>
      <c r="D21" s="411"/>
      <c r="E21" s="445"/>
      <c r="F21" s="446"/>
      <c r="G21" s="443"/>
      <c r="H21" s="444"/>
      <c r="I21" s="445"/>
      <c r="J21" s="446"/>
      <c r="K21" s="446"/>
      <c r="L21" s="446"/>
      <c r="M21" s="446"/>
      <c r="N21" s="446"/>
      <c r="O21" s="446"/>
      <c r="P21" s="446"/>
      <c r="Q21" s="446"/>
      <c r="R21" s="447"/>
      <c r="S21" s="982">
        <f t="shared" si="0"/>
        <v>0</v>
      </c>
    </row>
    <row r="22" spans="1:19" s="123" customFormat="1" ht="18" customHeight="1">
      <c r="A22" s="440"/>
      <c r="B22" s="438"/>
      <c r="C22" s="411"/>
      <c r="D22" s="411"/>
      <c r="E22" s="445"/>
      <c r="F22" s="446"/>
      <c r="G22" s="443"/>
      <c r="H22" s="444"/>
      <c r="I22" s="445"/>
      <c r="J22" s="446"/>
      <c r="K22" s="446"/>
      <c r="L22" s="446"/>
      <c r="M22" s="446"/>
      <c r="N22" s="446"/>
      <c r="O22" s="446"/>
      <c r="P22" s="446"/>
      <c r="Q22" s="446"/>
      <c r="R22" s="447"/>
      <c r="S22" s="982">
        <f t="shared" si="0"/>
        <v>0</v>
      </c>
    </row>
    <row r="23" spans="1:19" s="123" customFormat="1" ht="18" customHeight="1">
      <c r="A23" s="440"/>
      <c r="B23" s="438"/>
      <c r="C23" s="411"/>
      <c r="D23" s="411"/>
      <c r="E23" s="445"/>
      <c r="F23" s="446"/>
      <c r="G23" s="443"/>
      <c r="H23" s="444"/>
      <c r="I23" s="445"/>
      <c r="J23" s="446"/>
      <c r="K23" s="446"/>
      <c r="L23" s="446"/>
      <c r="M23" s="446"/>
      <c r="N23" s="446"/>
      <c r="O23" s="446"/>
      <c r="P23" s="446"/>
      <c r="Q23" s="446"/>
      <c r="R23" s="447"/>
      <c r="S23" s="982">
        <f t="shared" si="0"/>
        <v>0</v>
      </c>
    </row>
    <row r="24" spans="1:19" s="123" customFormat="1" ht="18" customHeight="1">
      <c r="A24" s="440"/>
      <c r="B24" s="438"/>
      <c r="C24" s="411"/>
      <c r="D24" s="411"/>
      <c r="E24" s="445"/>
      <c r="F24" s="446"/>
      <c r="G24" s="443"/>
      <c r="H24" s="444"/>
      <c r="I24" s="445"/>
      <c r="J24" s="446"/>
      <c r="K24" s="446"/>
      <c r="L24" s="446"/>
      <c r="M24" s="446"/>
      <c r="N24" s="446"/>
      <c r="O24" s="446"/>
      <c r="P24" s="446"/>
      <c r="Q24" s="446"/>
      <c r="R24" s="447"/>
      <c r="S24" s="982">
        <f t="shared" si="0"/>
        <v>0</v>
      </c>
    </row>
    <row r="25" spans="1:19" s="123" customFormat="1" ht="18" customHeight="1">
      <c r="A25" s="440"/>
      <c r="B25" s="438"/>
      <c r="C25" s="411"/>
      <c r="D25" s="411"/>
      <c r="E25" s="445"/>
      <c r="F25" s="446"/>
      <c r="G25" s="443"/>
      <c r="H25" s="444"/>
      <c r="I25" s="445"/>
      <c r="J25" s="446"/>
      <c r="K25" s="446"/>
      <c r="L25" s="446"/>
      <c r="M25" s="446"/>
      <c r="N25" s="446"/>
      <c r="O25" s="446"/>
      <c r="P25" s="446"/>
      <c r="Q25" s="446"/>
      <c r="R25" s="447"/>
      <c r="S25" s="982">
        <f t="shared" si="0"/>
        <v>0</v>
      </c>
    </row>
    <row r="26" spans="1:19" s="123" customFormat="1" ht="18" customHeight="1">
      <c r="A26" s="440"/>
      <c r="B26" s="438"/>
      <c r="C26" s="411"/>
      <c r="D26" s="411"/>
      <c r="E26" s="445"/>
      <c r="F26" s="446"/>
      <c r="G26" s="443"/>
      <c r="H26" s="444"/>
      <c r="I26" s="445"/>
      <c r="J26" s="446"/>
      <c r="K26" s="446"/>
      <c r="L26" s="446"/>
      <c r="M26" s="446"/>
      <c r="N26" s="446"/>
      <c r="O26" s="446"/>
      <c r="P26" s="446"/>
      <c r="Q26" s="446"/>
      <c r="R26" s="447"/>
      <c r="S26" s="982">
        <f t="shared" si="0"/>
        <v>0</v>
      </c>
    </row>
    <row r="27" spans="1:19" s="123" customFormat="1" ht="18" customHeight="1">
      <c r="A27" s="440"/>
      <c r="B27" s="438"/>
      <c r="C27" s="411"/>
      <c r="D27" s="411"/>
      <c r="E27" s="445"/>
      <c r="F27" s="446"/>
      <c r="G27" s="443"/>
      <c r="H27" s="444"/>
      <c r="I27" s="445"/>
      <c r="J27" s="446"/>
      <c r="K27" s="446"/>
      <c r="L27" s="446"/>
      <c r="M27" s="446"/>
      <c r="N27" s="446"/>
      <c r="O27" s="446"/>
      <c r="P27" s="446"/>
      <c r="Q27" s="446"/>
      <c r="R27" s="447"/>
      <c r="S27" s="982">
        <f t="shared" si="0"/>
        <v>0</v>
      </c>
    </row>
    <row r="28" spans="1:19" s="123" customFormat="1" ht="18" customHeight="1">
      <c r="A28" s="440"/>
      <c r="B28" s="438"/>
      <c r="C28" s="411"/>
      <c r="D28" s="411"/>
      <c r="E28" s="445"/>
      <c r="F28" s="446"/>
      <c r="G28" s="443"/>
      <c r="H28" s="444"/>
      <c r="I28" s="445"/>
      <c r="J28" s="446"/>
      <c r="K28" s="446"/>
      <c r="L28" s="446"/>
      <c r="M28" s="446"/>
      <c r="N28" s="446"/>
      <c r="O28" s="446"/>
      <c r="P28" s="446"/>
      <c r="Q28" s="446"/>
      <c r="R28" s="447"/>
      <c r="S28" s="982">
        <f t="shared" si="0"/>
        <v>0</v>
      </c>
    </row>
    <row r="29" spans="1:19" s="123" customFormat="1" ht="18" customHeight="1">
      <c r="A29" s="440"/>
      <c r="B29" s="438"/>
      <c r="C29" s="411"/>
      <c r="D29" s="411"/>
      <c r="E29" s="445"/>
      <c r="F29" s="446"/>
      <c r="G29" s="443"/>
      <c r="H29" s="444"/>
      <c r="I29" s="445"/>
      <c r="J29" s="446"/>
      <c r="K29" s="446"/>
      <c r="L29" s="446"/>
      <c r="M29" s="446"/>
      <c r="N29" s="446"/>
      <c r="O29" s="446"/>
      <c r="P29" s="446"/>
      <c r="Q29" s="446"/>
      <c r="R29" s="447"/>
      <c r="S29" s="982">
        <f t="shared" si="0"/>
        <v>0</v>
      </c>
    </row>
    <row r="30" spans="1:19" s="123" customFormat="1" ht="18" customHeight="1">
      <c r="A30" s="440"/>
      <c r="B30" s="438"/>
      <c r="C30" s="411"/>
      <c r="D30" s="411"/>
      <c r="E30" s="445"/>
      <c r="F30" s="446"/>
      <c r="G30" s="443"/>
      <c r="H30" s="444"/>
      <c r="I30" s="445"/>
      <c r="J30" s="446"/>
      <c r="K30" s="446"/>
      <c r="L30" s="446"/>
      <c r="M30" s="446"/>
      <c r="N30" s="446"/>
      <c r="O30" s="446"/>
      <c r="P30" s="446"/>
      <c r="Q30" s="446"/>
      <c r="R30" s="447"/>
      <c r="S30" s="982">
        <f t="shared" si="0"/>
        <v>0</v>
      </c>
    </row>
    <row r="31" spans="1:19" s="123" customFormat="1" ht="18" customHeight="1">
      <c r="A31" s="440"/>
      <c r="B31" s="438"/>
      <c r="C31" s="411"/>
      <c r="D31" s="411"/>
      <c r="E31" s="445"/>
      <c r="F31" s="446"/>
      <c r="G31" s="443"/>
      <c r="H31" s="444"/>
      <c r="I31" s="445"/>
      <c r="J31" s="446"/>
      <c r="K31" s="446"/>
      <c r="L31" s="446"/>
      <c r="M31" s="446"/>
      <c r="N31" s="446"/>
      <c r="O31" s="446"/>
      <c r="P31" s="446"/>
      <c r="Q31" s="446"/>
      <c r="R31" s="447"/>
      <c r="S31" s="982">
        <f t="shared" si="0"/>
        <v>0</v>
      </c>
    </row>
    <row r="32" spans="1:19" s="123" customFormat="1" ht="18" customHeight="1">
      <c r="A32" s="440"/>
      <c r="B32" s="438"/>
      <c r="C32" s="411"/>
      <c r="D32" s="411"/>
      <c r="E32" s="445"/>
      <c r="F32" s="446"/>
      <c r="G32" s="443"/>
      <c r="H32" s="444"/>
      <c r="I32" s="445"/>
      <c r="J32" s="446"/>
      <c r="K32" s="446"/>
      <c r="L32" s="446"/>
      <c r="M32" s="446"/>
      <c r="N32" s="446"/>
      <c r="O32" s="446"/>
      <c r="P32" s="446"/>
      <c r="Q32" s="446"/>
      <c r="R32" s="447"/>
      <c r="S32" s="982">
        <f t="shared" si="0"/>
        <v>0</v>
      </c>
    </row>
    <row r="33" spans="1:19" s="123" customFormat="1" ht="18" customHeight="1">
      <c r="A33" s="440"/>
      <c r="B33" s="438"/>
      <c r="C33" s="411"/>
      <c r="D33" s="411"/>
      <c r="E33" s="445"/>
      <c r="F33" s="446"/>
      <c r="G33" s="443"/>
      <c r="H33" s="444"/>
      <c r="I33" s="445"/>
      <c r="J33" s="446"/>
      <c r="K33" s="446"/>
      <c r="L33" s="446"/>
      <c r="M33" s="446"/>
      <c r="N33" s="446"/>
      <c r="O33" s="446"/>
      <c r="P33" s="446"/>
      <c r="Q33" s="446"/>
      <c r="R33" s="447"/>
      <c r="S33" s="982">
        <f t="shared" si="0"/>
        <v>0</v>
      </c>
    </row>
    <row r="34" spans="1:19" s="123" customFormat="1" ht="18" customHeight="1">
      <c r="A34" s="440"/>
      <c r="B34" s="438"/>
      <c r="C34" s="411"/>
      <c r="D34" s="411"/>
      <c r="E34" s="445"/>
      <c r="F34" s="446"/>
      <c r="G34" s="443"/>
      <c r="H34" s="444"/>
      <c r="I34" s="445"/>
      <c r="J34" s="446"/>
      <c r="K34" s="446"/>
      <c r="L34" s="446"/>
      <c r="M34" s="446"/>
      <c r="N34" s="446"/>
      <c r="O34" s="446"/>
      <c r="P34" s="446"/>
      <c r="Q34" s="446"/>
      <c r="R34" s="447"/>
      <c r="S34" s="982">
        <f t="shared" si="0"/>
        <v>0</v>
      </c>
    </row>
    <row r="35" spans="1:19" s="123" customFormat="1" ht="18" customHeight="1">
      <c r="A35" s="440"/>
      <c r="B35" s="438"/>
      <c r="C35" s="411"/>
      <c r="D35" s="411"/>
      <c r="E35" s="445"/>
      <c r="F35" s="446"/>
      <c r="G35" s="443"/>
      <c r="H35" s="444"/>
      <c r="I35" s="445"/>
      <c r="J35" s="446"/>
      <c r="K35" s="446"/>
      <c r="L35" s="446"/>
      <c r="M35" s="446"/>
      <c r="N35" s="446"/>
      <c r="O35" s="446"/>
      <c r="P35" s="446"/>
      <c r="Q35" s="446"/>
      <c r="R35" s="447"/>
      <c r="S35" s="982">
        <f t="shared" si="0"/>
        <v>0</v>
      </c>
    </row>
    <row r="36" spans="1:19" s="123" customFormat="1" ht="18" customHeight="1">
      <c r="A36" s="440"/>
      <c r="B36" s="438"/>
      <c r="C36" s="441"/>
      <c r="D36" s="411"/>
      <c r="E36" s="445"/>
      <c r="F36" s="446"/>
      <c r="G36" s="443"/>
      <c r="H36" s="444"/>
      <c r="I36" s="445"/>
      <c r="J36" s="446"/>
      <c r="K36" s="446"/>
      <c r="L36" s="446"/>
      <c r="M36" s="446"/>
      <c r="N36" s="446"/>
      <c r="O36" s="446"/>
      <c r="P36" s="446"/>
      <c r="Q36" s="446"/>
      <c r="R36" s="447"/>
      <c r="S36" s="982">
        <f t="shared" si="0"/>
        <v>0</v>
      </c>
    </row>
    <row r="37" spans="1:19" s="123" customFormat="1" ht="18" customHeight="1">
      <c r="A37" s="440"/>
      <c r="B37" s="438"/>
      <c r="C37" s="441"/>
      <c r="D37" s="441"/>
      <c r="E37" s="442"/>
      <c r="F37" s="450"/>
      <c r="G37" s="448"/>
      <c r="H37" s="449"/>
      <c r="I37" s="442"/>
      <c r="J37" s="450"/>
      <c r="K37" s="450"/>
      <c r="L37" s="446"/>
      <c r="M37" s="446"/>
      <c r="N37" s="446"/>
      <c r="O37" s="446"/>
      <c r="P37" s="446"/>
      <c r="Q37" s="446"/>
      <c r="R37" s="447"/>
      <c r="S37" s="982">
        <f t="shared" si="0"/>
        <v>0</v>
      </c>
    </row>
    <row r="38" spans="1:19" s="123" customFormat="1" ht="18" customHeight="1">
      <c r="A38" s="440"/>
      <c r="B38" s="438"/>
      <c r="C38" s="441"/>
      <c r="D38" s="441"/>
      <c r="E38" s="442"/>
      <c r="F38" s="450"/>
      <c r="G38" s="448"/>
      <c r="H38" s="449"/>
      <c r="I38" s="442"/>
      <c r="J38" s="450"/>
      <c r="K38" s="450"/>
      <c r="L38" s="446"/>
      <c r="M38" s="446"/>
      <c r="N38" s="446"/>
      <c r="O38" s="446"/>
      <c r="P38" s="446"/>
      <c r="Q38" s="446"/>
      <c r="R38" s="447"/>
      <c r="S38" s="982">
        <f t="shared" si="0"/>
        <v>0</v>
      </c>
    </row>
    <row r="39" spans="1:19" s="123" customFormat="1" ht="18" customHeight="1">
      <c r="A39" s="440"/>
      <c r="B39" s="438"/>
      <c r="C39" s="411"/>
      <c r="D39" s="411"/>
      <c r="E39" s="445"/>
      <c r="F39" s="446"/>
      <c r="G39" s="443"/>
      <c r="H39" s="444"/>
      <c r="I39" s="445"/>
      <c r="J39" s="446"/>
      <c r="K39" s="446"/>
      <c r="L39" s="446"/>
      <c r="M39" s="446"/>
      <c r="N39" s="446"/>
      <c r="O39" s="446"/>
      <c r="P39" s="446"/>
      <c r="Q39" s="446"/>
      <c r="R39" s="447"/>
      <c r="S39" s="982">
        <f t="shared" si="0"/>
        <v>0</v>
      </c>
    </row>
    <row r="40" spans="1:19" s="123" customFormat="1" ht="18" customHeight="1">
      <c r="A40" s="440"/>
      <c r="B40" s="438"/>
      <c r="C40" s="411"/>
      <c r="D40" s="411"/>
      <c r="E40" s="445"/>
      <c r="F40" s="446"/>
      <c r="G40" s="443"/>
      <c r="H40" s="444"/>
      <c r="I40" s="445"/>
      <c r="J40" s="446"/>
      <c r="K40" s="446"/>
      <c r="L40" s="446"/>
      <c r="M40" s="446"/>
      <c r="N40" s="446"/>
      <c r="O40" s="446"/>
      <c r="P40" s="446"/>
      <c r="Q40" s="446"/>
      <c r="R40" s="447"/>
      <c r="S40" s="982">
        <f t="shared" si="0"/>
        <v>0</v>
      </c>
    </row>
    <row r="41" spans="1:19" s="123" customFormat="1" ht="18" customHeight="1">
      <c r="A41" s="440"/>
      <c r="B41" s="438"/>
      <c r="C41" s="411"/>
      <c r="D41" s="411"/>
      <c r="E41" s="445"/>
      <c r="F41" s="446"/>
      <c r="G41" s="443"/>
      <c r="H41" s="444"/>
      <c r="I41" s="445"/>
      <c r="J41" s="446"/>
      <c r="K41" s="446"/>
      <c r="L41" s="446"/>
      <c r="M41" s="446"/>
      <c r="N41" s="446"/>
      <c r="O41" s="446"/>
      <c r="P41" s="446"/>
      <c r="Q41" s="446"/>
      <c r="R41" s="451"/>
      <c r="S41" s="982">
        <f t="shared" si="0"/>
        <v>0</v>
      </c>
    </row>
    <row r="42" spans="1:19" s="123" customFormat="1" ht="18" customHeight="1" thickBot="1">
      <c r="A42" s="440"/>
      <c r="B42" s="438"/>
      <c r="C42" s="411"/>
      <c r="D42" s="411"/>
      <c r="E42" s="445"/>
      <c r="F42" s="446"/>
      <c r="G42" s="443"/>
      <c r="H42" s="444"/>
      <c r="I42" s="445"/>
      <c r="J42" s="446"/>
      <c r="K42" s="446"/>
      <c r="L42" s="446"/>
      <c r="M42" s="446"/>
      <c r="N42" s="446"/>
      <c r="O42" s="446"/>
      <c r="P42" s="446"/>
      <c r="Q42" s="452"/>
      <c r="R42" s="40"/>
      <c r="S42" s="983">
        <f t="shared" si="0"/>
        <v>0</v>
      </c>
    </row>
    <row r="43" spans="1:19" s="1" customFormat="1" ht="26.25" customHeight="1" thickTop="1" thickBot="1">
      <c r="A43" s="214"/>
      <c r="B43" s="218"/>
      <c r="C43" s="433" t="s">
        <v>19</v>
      </c>
      <c r="D43" s="434"/>
      <c r="E43" s="976">
        <f>SUM(E13:E42)</f>
        <v>0</v>
      </c>
      <c r="F43" s="976">
        <f>SUM(F13:F42)</f>
        <v>0</v>
      </c>
      <c r="G43" s="978">
        <f t="shared" ref="G43:R43" si="1">SUM(G13:G42)</f>
        <v>0</v>
      </c>
      <c r="H43" s="979">
        <f t="shared" si="1"/>
        <v>0</v>
      </c>
      <c r="I43" s="976">
        <f t="shared" si="1"/>
        <v>0</v>
      </c>
      <c r="J43" s="976">
        <f t="shared" si="1"/>
        <v>0</v>
      </c>
      <c r="K43" s="976">
        <f t="shared" si="1"/>
        <v>0</v>
      </c>
      <c r="L43" s="976">
        <f t="shared" si="1"/>
        <v>0</v>
      </c>
      <c r="M43" s="976">
        <f t="shared" si="1"/>
        <v>0</v>
      </c>
      <c r="N43" s="976">
        <f t="shared" si="1"/>
        <v>0</v>
      </c>
      <c r="O43" s="976">
        <f t="shared" si="1"/>
        <v>0</v>
      </c>
      <c r="P43" s="976">
        <f t="shared" si="1"/>
        <v>0</v>
      </c>
      <c r="Q43" s="976">
        <f t="shared" si="1"/>
        <v>0</v>
      </c>
      <c r="R43" s="976">
        <f t="shared" si="1"/>
        <v>0</v>
      </c>
      <c r="S43" s="984">
        <f>(SUM((E43:G43))-(SUM((H43:R43))))</f>
        <v>0</v>
      </c>
    </row>
    <row r="44" spans="1:19" s="1" customFormat="1" ht="26.25" customHeight="1" thickTop="1" thickBot="1">
      <c r="A44" s="214"/>
      <c r="B44" s="218"/>
      <c r="C44" s="433" t="s">
        <v>257</v>
      </c>
      <c r="D44" s="434"/>
      <c r="E44" s="976">
        <f>E12+E43</f>
        <v>0</v>
      </c>
      <c r="F44" s="976">
        <f>F12+F43</f>
        <v>0</v>
      </c>
      <c r="G44" s="978">
        <f t="shared" ref="G44:R44" si="2">G12+G43</f>
        <v>0</v>
      </c>
      <c r="H44" s="979">
        <f t="shared" si="2"/>
        <v>0</v>
      </c>
      <c r="I44" s="976">
        <f t="shared" si="2"/>
        <v>0</v>
      </c>
      <c r="J44" s="976">
        <f t="shared" si="2"/>
        <v>0</v>
      </c>
      <c r="K44" s="976">
        <f t="shared" si="2"/>
        <v>0</v>
      </c>
      <c r="L44" s="976">
        <f t="shared" si="2"/>
        <v>0</v>
      </c>
      <c r="M44" s="976">
        <f t="shared" si="2"/>
        <v>0</v>
      </c>
      <c r="N44" s="976">
        <f t="shared" si="2"/>
        <v>0</v>
      </c>
      <c r="O44" s="976">
        <f t="shared" si="2"/>
        <v>0</v>
      </c>
      <c r="P44" s="976">
        <f t="shared" si="2"/>
        <v>0</v>
      </c>
      <c r="Q44" s="976">
        <f t="shared" si="2"/>
        <v>0</v>
      </c>
      <c r="R44" s="976">
        <f t="shared" si="2"/>
        <v>0</v>
      </c>
      <c r="S44" s="985">
        <f>(SUM((E44:G44))-(SUM((H44:R44))))</f>
        <v>0</v>
      </c>
    </row>
    <row r="45" spans="1:19" s="1" customFormat="1" ht="26.25" customHeight="1" thickTop="1" thickBot="1">
      <c r="A45" s="215"/>
      <c r="B45" s="219"/>
      <c r="C45" s="435" t="s">
        <v>20</v>
      </c>
      <c r="D45" s="436"/>
      <c r="E45" s="977">
        <f>E11+E44</f>
        <v>12039943</v>
      </c>
      <c r="F45" s="977">
        <f>F11+F44</f>
        <v>2200000</v>
      </c>
      <c r="G45" s="980">
        <f t="shared" ref="G45:R45" si="3">G11+G44</f>
        <v>0</v>
      </c>
      <c r="H45" s="981">
        <f t="shared" si="3"/>
        <v>5500000</v>
      </c>
      <c r="I45" s="977">
        <f t="shared" si="3"/>
        <v>5500000</v>
      </c>
      <c r="J45" s="977">
        <f t="shared" si="3"/>
        <v>0</v>
      </c>
      <c r="K45" s="977">
        <f t="shared" si="3"/>
        <v>0</v>
      </c>
      <c r="L45" s="977">
        <f t="shared" si="3"/>
        <v>0</v>
      </c>
      <c r="M45" s="977">
        <f t="shared" si="3"/>
        <v>0</v>
      </c>
      <c r="N45" s="977">
        <f t="shared" si="3"/>
        <v>0</v>
      </c>
      <c r="O45" s="977">
        <f t="shared" si="3"/>
        <v>0</v>
      </c>
      <c r="P45" s="977">
        <f t="shared" si="3"/>
        <v>0</v>
      </c>
      <c r="Q45" s="977">
        <f t="shared" si="3"/>
        <v>200000</v>
      </c>
      <c r="R45" s="977">
        <f t="shared" si="3"/>
        <v>3039943</v>
      </c>
      <c r="S45" s="986">
        <f>(SUM((E45:G45))-(SUM((H45:R45))))</f>
        <v>0</v>
      </c>
    </row>
    <row r="46" spans="1:19" s="123" customFormat="1" ht="15">
      <c r="B46" s="138"/>
    </row>
    <row r="47" spans="1:19" s="123" customFormat="1" ht="15.75">
      <c r="A47" s="139"/>
      <c r="B47" s="138"/>
      <c r="C47" s="1"/>
      <c r="D47" s="1"/>
      <c r="E47" s="1"/>
      <c r="F47" s="1"/>
      <c r="G47" s="1"/>
      <c r="H47" s="1"/>
      <c r="I47" s="7"/>
      <c r="J47" s="7"/>
      <c r="M47" s="11"/>
      <c r="N47" s="455" t="str">
        <f>DT!D28</f>
        <v>Nagrak, 29 Februari 2016 2016</v>
      </c>
      <c r="O47" s="11"/>
      <c r="P47" s="11"/>
    </row>
    <row r="48" spans="1:19" s="123" customFormat="1" ht="15.75">
      <c r="A48" s="139"/>
      <c r="B48" s="138"/>
      <c r="C48" s="148" t="s">
        <v>21</v>
      </c>
      <c r="D48" s="1"/>
      <c r="E48" s="1"/>
      <c r="F48" s="1"/>
      <c r="G48" s="1"/>
      <c r="H48" s="1"/>
      <c r="I48" s="7"/>
      <c r="J48" s="7"/>
      <c r="M48" s="11"/>
      <c r="N48" s="11" t="s">
        <v>22</v>
      </c>
      <c r="O48" s="11"/>
      <c r="P48" s="11"/>
    </row>
    <row r="49" spans="2:16" s="123" customFormat="1" ht="15.75">
      <c r="B49" s="138"/>
      <c r="C49" s="148" t="s">
        <v>23</v>
      </c>
      <c r="D49" s="1"/>
      <c r="E49" s="1"/>
      <c r="F49" s="1"/>
      <c r="G49" s="1"/>
      <c r="H49" s="1"/>
      <c r="I49" s="7"/>
      <c r="J49" s="7"/>
      <c r="M49" s="14"/>
      <c r="N49" s="14" t="s">
        <v>24</v>
      </c>
      <c r="O49" s="14"/>
      <c r="P49" s="14"/>
    </row>
    <row r="50" spans="2:16" ht="15.75">
      <c r="C50" s="15"/>
      <c r="D50" s="15"/>
      <c r="E50" s="20"/>
      <c r="F50" s="20"/>
      <c r="G50" s="20"/>
      <c r="H50" s="20"/>
      <c r="I50" s="20"/>
      <c r="J50" s="20"/>
      <c r="N50" s="11"/>
    </row>
    <row r="51" spans="2:16" s="120" customFormat="1" ht="23.25">
      <c r="N51" s="13"/>
    </row>
    <row r="52" spans="2:16" s="120" customFormat="1" ht="23.25"/>
    <row r="53" spans="2:16" s="120" customFormat="1" ht="23.25">
      <c r="C53" s="11" t="str">
        <f>DT!D14</f>
        <v>Endang Taryana</v>
      </c>
      <c r="N53" s="14" t="str">
        <f>DT!D15</f>
        <v>Arin Yustini, SE</v>
      </c>
    </row>
    <row r="54" spans="2:16" s="123" customFormat="1" ht="15"/>
    <row r="55" spans="2:16" s="123" customFormat="1" ht="15"/>
    <row r="56" spans="2:16" s="123" customFormat="1" ht="15"/>
    <row r="57" spans="2:16" s="123" customFormat="1" ht="15"/>
    <row r="58" spans="2:16" s="123" customFormat="1" ht="18.75" customHeight="1"/>
    <row r="59" spans="2:16" s="123" customFormat="1" ht="17.25" customHeight="1"/>
    <row r="60" spans="2:16" s="123" customFormat="1" ht="15"/>
    <row r="61" spans="2:16" s="123" customFormat="1" ht="15"/>
    <row r="62" spans="2:16" s="1" customFormat="1" ht="24" customHeight="1"/>
    <row r="63" spans="2:16" s="74" customFormat="1" ht="24" customHeight="1"/>
    <row r="64" spans="2:16" s="123" customFormat="1" ht="17.25" customHeight="1"/>
    <row r="65" s="123" customFormat="1" ht="17.25" customHeight="1"/>
    <row r="66" s="123" customFormat="1" ht="17.25" customHeight="1"/>
    <row r="67" s="123" customFormat="1" ht="17.25" customHeight="1"/>
    <row r="68" s="123" customFormat="1" ht="17.25" customHeight="1"/>
    <row r="69" s="123" customFormat="1" ht="17.25" customHeight="1"/>
    <row r="70" s="123" customFormat="1" ht="17.25" customHeight="1"/>
    <row r="71" s="123" customFormat="1" ht="17.25" customHeight="1"/>
    <row r="72" s="123" customFormat="1" ht="17.25" customHeight="1"/>
    <row r="73" s="1" customFormat="1" ht="26.25" customHeight="1"/>
    <row r="74" s="1" customFormat="1" ht="26.25" customHeight="1"/>
    <row r="75" s="1" customFormat="1" ht="26.25" customHeight="1"/>
    <row r="76" s="123" customFormat="1" ht="15"/>
    <row r="77" s="123" customFormat="1" ht="15"/>
    <row r="78" s="123" customFormat="1" ht="15"/>
    <row r="79" s="123" customFormat="1" ht="15"/>
  </sheetData>
  <mergeCells count="20">
    <mergeCell ref="H8:O8"/>
    <mergeCell ref="K9:K10"/>
    <mergeCell ref="L9:L10"/>
    <mergeCell ref="M9:M10"/>
    <mergeCell ref="N9:N10"/>
    <mergeCell ref="O9:O10"/>
    <mergeCell ref="Q8:Q10"/>
    <mergeCell ref="P8:P10"/>
    <mergeCell ref="A1:S1"/>
    <mergeCell ref="A2:S2"/>
    <mergeCell ref="A3:S3"/>
    <mergeCell ref="A7:A10"/>
    <mergeCell ref="E7:G7"/>
    <mergeCell ref="H7:R7"/>
    <mergeCell ref="S7:S10"/>
    <mergeCell ref="E8:E10"/>
    <mergeCell ref="F8:F10"/>
    <mergeCell ref="H9:H10"/>
    <mergeCell ref="I9:I10"/>
    <mergeCell ref="J9:J10"/>
  </mergeCells>
  <printOptions horizontalCentered="1" verticalCentered="1"/>
  <pageMargins left="0.19685039370078741" right="0.19685039370078741" top="0.59055118110236227" bottom="0.23622047244094491" header="0.6692913385826772" footer="0.51181102362204722"/>
  <pageSetup paperSize="9" scale="47" orientation="landscape" horizontalDpi="4294967293" verticalDpi="4294967293" r:id="rId1"/>
  <headerFooter alignWithMargins="0"/>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sheetPr>
  <dimension ref="A1:W79"/>
  <sheetViews>
    <sheetView topLeftCell="A22" zoomScale="50" zoomScaleNormal="50" zoomScaleSheetLayoutView="55" workbookViewId="0">
      <selection activeCell="A13" sqref="A13"/>
    </sheetView>
  </sheetViews>
  <sheetFormatPr defaultColWidth="9.140625" defaultRowHeight="12.75"/>
  <cols>
    <col min="1" max="1" width="4.140625" style="40" customWidth="1"/>
    <col min="2" max="2" width="17.140625" style="75" customWidth="1"/>
    <col min="3" max="3" width="54.7109375" style="40" customWidth="1"/>
    <col min="4" max="4" width="13" style="40" customWidth="1"/>
    <col min="5" max="5" width="18" style="40" customWidth="1"/>
    <col min="6" max="6" width="17.5703125" style="40" customWidth="1"/>
    <col min="7" max="7" width="13.42578125" style="40" customWidth="1"/>
    <col min="8" max="8" width="18" style="40" customWidth="1"/>
    <col min="9" max="20" width="16.42578125" style="40" customWidth="1"/>
    <col min="21" max="21" width="13.42578125" style="40" customWidth="1"/>
    <col min="22" max="22" width="11.28515625" style="40" bestFit="1" customWidth="1"/>
    <col min="23" max="23" width="12.7109375" style="40" customWidth="1"/>
    <col min="24" max="16384" width="9.140625" style="22"/>
  </cols>
  <sheetData>
    <row r="1" spans="1:23">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row>
    <row r="2" spans="1:23">
      <c r="A2" s="3410" t="s">
        <v>35</v>
      </c>
      <c r="B2" s="3410"/>
      <c r="C2" s="3410"/>
      <c r="D2" s="3410"/>
      <c r="E2" s="3410"/>
      <c r="F2" s="3410"/>
      <c r="G2" s="3410"/>
      <c r="H2" s="3410"/>
      <c r="I2" s="3410"/>
      <c r="J2" s="3410"/>
      <c r="K2" s="3410"/>
      <c r="L2" s="3410"/>
      <c r="M2" s="3410"/>
      <c r="N2" s="3410"/>
      <c r="O2" s="3410"/>
      <c r="P2" s="3410"/>
      <c r="Q2" s="3410"/>
      <c r="R2" s="3410"/>
      <c r="S2" s="3410"/>
      <c r="T2" s="3410"/>
      <c r="U2" s="3410"/>
      <c r="V2" s="3410"/>
      <c r="W2" s="3410"/>
    </row>
    <row r="3" spans="1:23" ht="30">
      <c r="A3" s="3410" t="s">
        <v>565</v>
      </c>
      <c r="B3" s="3410"/>
      <c r="C3" s="3410"/>
      <c r="D3" s="3410"/>
      <c r="E3" s="3410"/>
      <c r="F3" s="3410"/>
      <c r="G3" s="3410"/>
      <c r="H3" s="3410"/>
      <c r="I3" s="3410"/>
      <c r="J3" s="3410"/>
      <c r="K3" s="3410"/>
      <c r="L3" s="3410"/>
      <c r="M3" s="3410"/>
      <c r="N3" s="3410"/>
      <c r="O3" s="3410"/>
      <c r="P3" s="3410"/>
      <c r="Q3" s="3410"/>
      <c r="R3" s="3410"/>
      <c r="S3" s="3410"/>
      <c r="T3" s="3410"/>
      <c r="U3" s="3410"/>
      <c r="V3" s="3410"/>
      <c r="W3" s="3410"/>
    </row>
    <row r="4" spans="1:23" s="123" customFormat="1" ht="15.75">
      <c r="B4" s="74" t="s">
        <v>2</v>
      </c>
      <c r="C4" s="4" t="str">
        <f>": "&amp;DT!$D$3</f>
        <v>: Nagrak</v>
      </c>
      <c r="O4" s="74"/>
      <c r="P4" s="74"/>
      <c r="Q4" s="74"/>
      <c r="R4" s="541" t="s">
        <v>3</v>
      </c>
      <c r="S4" s="6" t="str">
        <f>": "&amp;DT!D25</f>
        <v>: Februari 2016</v>
      </c>
      <c r="T4" s="6"/>
    </row>
    <row r="5" spans="1:23" s="123" customFormat="1" ht="15.75">
      <c r="B5" s="74" t="s">
        <v>4</v>
      </c>
      <c r="C5" s="4" t="str">
        <f>": "&amp;DT!$D$4</f>
        <v>: Sukabumi</v>
      </c>
    </row>
    <row r="6" spans="1:23" s="123" customFormat="1" ht="16.5" thickBot="1">
      <c r="B6" s="74" t="s">
        <v>6</v>
      </c>
      <c r="C6" s="4" t="str">
        <f>": "&amp;DT!$D$5</f>
        <v>: Jawa Barat</v>
      </c>
    </row>
    <row r="7" spans="1:23" s="123" customFormat="1" ht="25.5" customHeight="1" thickBot="1">
      <c r="A7" s="3410" t="s">
        <v>36</v>
      </c>
      <c r="B7" s="125"/>
      <c r="C7" s="124"/>
      <c r="D7" s="126"/>
      <c r="E7" s="3410" t="s">
        <v>10</v>
      </c>
      <c r="F7" s="3410"/>
      <c r="G7" s="3410"/>
      <c r="H7" s="3410" t="s">
        <v>394</v>
      </c>
      <c r="I7" s="3410"/>
      <c r="J7" s="3410"/>
      <c r="K7" s="3410"/>
      <c r="L7" s="3410"/>
      <c r="M7" s="3410"/>
      <c r="N7" s="3410"/>
      <c r="O7" s="3410"/>
      <c r="P7" s="3410"/>
      <c r="Q7" s="3410"/>
      <c r="R7" s="3410"/>
      <c r="S7" s="3410"/>
      <c r="T7" s="3410"/>
      <c r="U7" s="3410"/>
      <c r="V7" s="3410"/>
      <c r="W7" s="3410" t="s">
        <v>12</v>
      </c>
    </row>
    <row r="8" spans="1:23" s="123" customFormat="1" ht="30">
      <c r="A8" s="3410"/>
      <c r="B8" s="128" t="s">
        <v>7</v>
      </c>
      <c r="C8" s="127" t="s">
        <v>8</v>
      </c>
      <c r="D8" s="129" t="s">
        <v>9</v>
      </c>
      <c r="E8" s="3410" t="s">
        <v>236</v>
      </c>
      <c r="F8" s="3410" t="s">
        <v>63</v>
      </c>
      <c r="G8" s="130"/>
      <c r="H8" s="3410" t="s">
        <v>566</v>
      </c>
      <c r="I8" s="3410"/>
      <c r="J8" s="3410"/>
      <c r="K8" s="3410"/>
      <c r="L8" s="3410"/>
      <c r="M8" s="3410"/>
      <c r="N8" s="3410"/>
      <c r="O8" s="3410"/>
      <c r="P8" s="3410"/>
      <c r="Q8" s="3410"/>
      <c r="R8" s="3410"/>
      <c r="S8" s="3410"/>
      <c r="T8" s="3410" t="s">
        <v>976</v>
      </c>
      <c r="U8" s="3410" t="s">
        <v>235</v>
      </c>
      <c r="V8" s="127"/>
      <c r="W8" s="3410"/>
    </row>
    <row r="9" spans="1:23" s="123" customFormat="1" ht="15.75">
      <c r="A9" s="3410"/>
      <c r="B9" s="128" t="s">
        <v>13</v>
      </c>
      <c r="C9" s="127" t="s">
        <v>13</v>
      </c>
      <c r="D9" s="129" t="s">
        <v>13</v>
      </c>
      <c r="E9" s="3410"/>
      <c r="F9" s="3410"/>
      <c r="G9" s="131" t="s">
        <v>18</v>
      </c>
      <c r="H9" s="3410"/>
      <c r="I9" s="3410"/>
      <c r="J9" s="3410"/>
      <c r="K9" s="3410"/>
      <c r="L9" s="3410"/>
      <c r="M9" s="3410"/>
      <c r="N9" s="3410"/>
      <c r="O9" s="3410"/>
      <c r="P9" s="3410"/>
      <c r="Q9" s="3410"/>
      <c r="R9" s="3410"/>
      <c r="S9" s="3410" t="s">
        <v>569</v>
      </c>
      <c r="T9" s="3410"/>
      <c r="U9" s="3410"/>
      <c r="V9" s="127" t="s">
        <v>28</v>
      </c>
      <c r="W9" s="3410"/>
    </row>
    <row r="10" spans="1:23" s="123" customFormat="1" ht="16.5" thickBot="1">
      <c r="A10" s="3410"/>
      <c r="B10" s="132"/>
      <c r="C10" s="133"/>
      <c r="D10" s="134"/>
      <c r="E10" s="3410"/>
      <c r="F10" s="3410"/>
      <c r="G10" s="135"/>
      <c r="H10" s="3410"/>
      <c r="I10" s="3410"/>
      <c r="J10" s="3410"/>
      <c r="K10" s="3410"/>
      <c r="L10" s="3410"/>
      <c r="M10" s="3410"/>
      <c r="N10" s="3410"/>
      <c r="O10" s="3410"/>
      <c r="P10" s="3410"/>
      <c r="Q10" s="3410"/>
      <c r="R10" s="3410"/>
      <c r="S10" s="3410"/>
      <c r="T10" s="3410"/>
      <c r="U10" s="3410"/>
      <c r="V10" s="133"/>
      <c r="W10" s="3410"/>
    </row>
    <row r="11" spans="1:23" s="1" customFormat="1" ht="28.5" customHeight="1" thickTop="1">
      <c r="A11" s="506"/>
      <c r="B11" s="513"/>
      <c r="C11" s="514" t="s">
        <v>258</v>
      </c>
      <c r="D11" s="515"/>
      <c r="E11" s="515"/>
      <c r="F11" s="1335"/>
      <c r="G11" s="516"/>
      <c r="H11" s="517"/>
      <c r="I11" s="515"/>
      <c r="J11" s="515"/>
      <c r="K11" s="515"/>
      <c r="L11" s="515"/>
      <c r="M11" s="515"/>
      <c r="N11" s="515"/>
      <c r="O11" s="515"/>
      <c r="P11" s="515"/>
      <c r="Q11" s="515"/>
      <c r="R11" s="515"/>
      <c r="S11" s="515"/>
      <c r="T11" s="515"/>
      <c r="U11" s="515"/>
      <c r="V11" s="515"/>
      <c r="W11" s="518">
        <f>(SUM((E11:G11))-(SUM((H11:V11))))</f>
        <v>0</v>
      </c>
    </row>
    <row r="12" spans="1:23" s="74" customFormat="1" ht="28.5" customHeight="1" thickBot="1">
      <c r="A12" s="965"/>
      <c r="B12" s="966"/>
      <c r="C12" s="937" t="s">
        <v>539</v>
      </c>
      <c r="D12" s="967"/>
      <c r="E12" s="968"/>
      <c r="F12" s="1334"/>
      <c r="G12" s="969"/>
      <c r="H12" s="970"/>
      <c r="I12" s="968"/>
      <c r="J12" s="968"/>
      <c r="K12" s="968"/>
      <c r="L12" s="968"/>
      <c r="M12" s="968"/>
      <c r="N12" s="968"/>
      <c r="O12" s="968"/>
      <c r="P12" s="968"/>
      <c r="Q12" s="968"/>
      <c r="R12" s="968"/>
      <c r="S12" s="968"/>
      <c r="T12" s="968"/>
      <c r="U12" s="968"/>
      <c r="V12" s="968"/>
      <c r="W12" s="971">
        <f>W11+(SUM((E12:G12))-(SUM((H12:V12))))</f>
        <v>0</v>
      </c>
    </row>
    <row r="13" spans="1:23" s="123" customFormat="1" ht="18" customHeight="1">
      <c r="A13" s="439"/>
      <c r="B13" s="437"/>
      <c r="C13" s="411"/>
      <c r="D13" s="411"/>
      <c r="E13" s="445"/>
      <c r="F13" s="446"/>
      <c r="G13" s="443"/>
      <c r="H13" s="444"/>
      <c r="I13" s="445"/>
      <c r="J13" s="446"/>
      <c r="K13" s="446"/>
      <c r="L13" s="446"/>
      <c r="M13" s="446"/>
      <c r="N13" s="446"/>
      <c r="O13" s="446"/>
      <c r="P13" s="446"/>
      <c r="Q13" s="446"/>
      <c r="R13" s="446"/>
      <c r="S13" s="446"/>
      <c r="T13" s="446"/>
      <c r="U13" s="446"/>
      <c r="V13" s="447"/>
      <c r="W13" s="982">
        <f t="shared" ref="W13:W42" si="0">W12+(SUM((E13:G13))-(SUM((H13:V13))))</f>
        <v>0</v>
      </c>
    </row>
    <row r="14" spans="1:23" s="123" customFormat="1" ht="18" customHeight="1">
      <c r="A14" s="440"/>
      <c r="B14" s="438"/>
      <c r="C14" s="411"/>
      <c r="D14" s="411"/>
      <c r="E14" s="445"/>
      <c r="F14" s="446"/>
      <c r="G14" s="443"/>
      <c r="H14" s="444"/>
      <c r="I14" s="445"/>
      <c r="J14" s="446"/>
      <c r="K14" s="446"/>
      <c r="L14" s="446"/>
      <c r="M14" s="446"/>
      <c r="N14" s="446"/>
      <c r="O14" s="446"/>
      <c r="P14" s="446"/>
      <c r="Q14" s="446"/>
      <c r="R14" s="446"/>
      <c r="S14" s="446"/>
      <c r="T14" s="446"/>
      <c r="U14" s="446"/>
      <c r="V14" s="447"/>
      <c r="W14" s="982">
        <f t="shared" si="0"/>
        <v>0</v>
      </c>
    </row>
    <row r="15" spans="1:23" s="123" customFormat="1" ht="18" customHeight="1">
      <c r="A15" s="440"/>
      <c r="B15" s="438"/>
      <c r="C15" s="411"/>
      <c r="D15" s="441"/>
      <c r="E15" s="445"/>
      <c r="F15" s="446"/>
      <c r="G15" s="443"/>
      <c r="H15" s="444"/>
      <c r="I15" s="445"/>
      <c r="J15" s="450"/>
      <c r="K15" s="446"/>
      <c r="L15" s="446"/>
      <c r="M15" s="446"/>
      <c r="N15" s="446"/>
      <c r="O15" s="446"/>
      <c r="P15" s="446"/>
      <c r="Q15" s="446"/>
      <c r="R15" s="446"/>
      <c r="S15" s="446"/>
      <c r="T15" s="446"/>
      <c r="U15" s="446"/>
      <c r="V15" s="447"/>
      <c r="W15" s="982">
        <f t="shared" si="0"/>
        <v>0</v>
      </c>
    </row>
    <row r="16" spans="1:23" s="123" customFormat="1" ht="18" customHeight="1">
      <c r="A16" s="440"/>
      <c r="B16" s="438"/>
      <c r="C16" s="411"/>
      <c r="D16" s="411"/>
      <c r="E16" s="445"/>
      <c r="F16" s="446"/>
      <c r="G16" s="443"/>
      <c r="H16" s="444"/>
      <c r="I16" s="445"/>
      <c r="J16" s="446"/>
      <c r="K16" s="446"/>
      <c r="L16" s="446"/>
      <c r="M16" s="446"/>
      <c r="N16" s="446"/>
      <c r="O16" s="446"/>
      <c r="P16" s="446"/>
      <c r="Q16" s="446"/>
      <c r="R16" s="446"/>
      <c r="S16" s="446"/>
      <c r="T16" s="446"/>
      <c r="U16" s="446"/>
      <c r="V16" s="447"/>
      <c r="W16" s="982">
        <f t="shared" si="0"/>
        <v>0</v>
      </c>
    </row>
    <row r="17" spans="1:23" s="123" customFormat="1" ht="18" customHeight="1">
      <c r="A17" s="440"/>
      <c r="B17" s="438"/>
      <c r="C17" s="411"/>
      <c r="D17" s="411"/>
      <c r="E17" s="445"/>
      <c r="F17" s="446"/>
      <c r="G17" s="443"/>
      <c r="H17" s="444"/>
      <c r="I17" s="445"/>
      <c r="J17" s="446"/>
      <c r="K17" s="446"/>
      <c r="L17" s="446"/>
      <c r="M17" s="446"/>
      <c r="N17" s="446"/>
      <c r="O17" s="446"/>
      <c r="P17" s="446"/>
      <c r="Q17" s="446"/>
      <c r="R17" s="446"/>
      <c r="S17" s="446"/>
      <c r="T17" s="446"/>
      <c r="U17" s="446"/>
      <c r="V17" s="447"/>
      <c r="W17" s="982">
        <f t="shared" si="0"/>
        <v>0</v>
      </c>
    </row>
    <row r="18" spans="1:23" s="123" customFormat="1" ht="18" customHeight="1">
      <c r="A18" s="440"/>
      <c r="B18" s="438"/>
      <c r="C18" s="411"/>
      <c r="D18" s="411"/>
      <c r="E18" s="445"/>
      <c r="F18" s="446"/>
      <c r="G18" s="443"/>
      <c r="H18" s="444"/>
      <c r="I18" s="445"/>
      <c r="J18" s="446"/>
      <c r="K18" s="446"/>
      <c r="L18" s="446"/>
      <c r="M18" s="446"/>
      <c r="N18" s="446"/>
      <c r="O18" s="446"/>
      <c r="P18" s="446"/>
      <c r="Q18" s="446"/>
      <c r="R18" s="446"/>
      <c r="S18" s="446"/>
      <c r="T18" s="446"/>
      <c r="U18" s="446"/>
      <c r="V18" s="447"/>
      <c r="W18" s="982">
        <f t="shared" si="0"/>
        <v>0</v>
      </c>
    </row>
    <row r="19" spans="1:23" s="123" customFormat="1" ht="18" customHeight="1">
      <c r="A19" s="440"/>
      <c r="B19" s="438"/>
      <c r="C19" s="411"/>
      <c r="D19" s="411"/>
      <c r="E19" s="445"/>
      <c r="F19" s="446"/>
      <c r="G19" s="443"/>
      <c r="H19" s="444"/>
      <c r="I19" s="445"/>
      <c r="J19" s="446"/>
      <c r="K19" s="446"/>
      <c r="L19" s="446"/>
      <c r="M19" s="446"/>
      <c r="N19" s="446"/>
      <c r="O19" s="446"/>
      <c r="P19" s="446"/>
      <c r="Q19" s="446"/>
      <c r="R19" s="446"/>
      <c r="S19" s="446"/>
      <c r="T19" s="446"/>
      <c r="U19" s="446"/>
      <c r="V19" s="447"/>
      <c r="W19" s="982">
        <f t="shared" si="0"/>
        <v>0</v>
      </c>
    </row>
    <row r="20" spans="1:23" s="123" customFormat="1" ht="18" customHeight="1">
      <c r="A20" s="440"/>
      <c r="B20" s="438"/>
      <c r="C20" s="411"/>
      <c r="D20" s="411"/>
      <c r="E20" s="445"/>
      <c r="F20" s="446"/>
      <c r="G20" s="443"/>
      <c r="H20" s="444"/>
      <c r="I20" s="445"/>
      <c r="J20" s="446"/>
      <c r="K20" s="446"/>
      <c r="L20" s="446"/>
      <c r="M20" s="446"/>
      <c r="N20" s="446"/>
      <c r="O20" s="446"/>
      <c r="P20" s="446"/>
      <c r="Q20" s="446"/>
      <c r="R20" s="446"/>
      <c r="S20" s="446"/>
      <c r="T20" s="446"/>
      <c r="U20" s="446"/>
      <c r="V20" s="447"/>
      <c r="W20" s="982">
        <f t="shared" si="0"/>
        <v>0</v>
      </c>
    </row>
    <row r="21" spans="1:23" s="123" customFormat="1" ht="18" customHeight="1">
      <c r="A21" s="440"/>
      <c r="B21" s="438"/>
      <c r="C21" s="411"/>
      <c r="D21" s="411"/>
      <c r="E21" s="445"/>
      <c r="F21" s="446"/>
      <c r="G21" s="443"/>
      <c r="H21" s="444"/>
      <c r="I21" s="445"/>
      <c r="J21" s="446"/>
      <c r="K21" s="446"/>
      <c r="L21" s="446"/>
      <c r="M21" s="446"/>
      <c r="N21" s="446"/>
      <c r="O21" s="446"/>
      <c r="P21" s="446"/>
      <c r="Q21" s="446"/>
      <c r="R21" s="446"/>
      <c r="S21" s="446"/>
      <c r="T21" s="446"/>
      <c r="U21" s="446"/>
      <c r="V21" s="447"/>
      <c r="W21" s="982">
        <f t="shared" si="0"/>
        <v>0</v>
      </c>
    </row>
    <row r="22" spans="1:23" s="123" customFormat="1" ht="18" customHeight="1">
      <c r="A22" s="440"/>
      <c r="B22" s="438"/>
      <c r="C22" s="411"/>
      <c r="D22" s="411"/>
      <c r="E22" s="445"/>
      <c r="F22" s="446"/>
      <c r="G22" s="443"/>
      <c r="H22" s="444"/>
      <c r="I22" s="445"/>
      <c r="J22" s="446"/>
      <c r="K22" s="446"/>
      <c r="L22" s="446"/>
      <c r="M22" s="446"/>
      <c r="N22" s="446"/>
      <c r="O22" s="446"/>
      <c r="P22" s="446"/>
      <c r="Q22" s="446"/>
      <c r="R22" s="446"/>
      <c r="S22" s="446"/>
      <c r="T22" s="446"/>
      <c r="U22" s="446"/>
      <c r="V22" s="447"/>
      <c r="W22" s="982">
        <f t="shared" si="0"/>
        <v>0</v>
      </c>
    </row>
    <row r="23" spans="1:23" s="123" customFormat="1" ht="18" customHeight="1">
      <c r="A23" s="440"/>
      <c r="B23" s="438"/>
      <c r="C23" s="411"/>
      <c r="D23" s="411"/>
      <c r="E23" s="445"/>
      <c r="F23" s="446"/>
      <c r="G23" s="443"/>
      <c r="H23" s="444"/>
      <c r="I23" s="445"/>
      <c r="J23" s="446"/>
      <c r="K23" s="446"/>
      <c r="L23" s="446"/>
      <c r="M23" s="446"/>
      <c r="N23" s="446"/>
      <c r="O23" s="446"/>
      <c r="P23" s="446"/>
      <c r="Q23" s="446"/>
      <c r="R23" s="446"/>
      <c r="S23" s="446"/>
      <c r="T23" s="446"/>
      <c r="U23" s="446"/>
      <c r="V23" s="447"/>
      <c r="W23" s="982">
        <f t="shared" si="0"/>
        <v>0</v>
      </c>
    </row>
    <row r="24" spans="1:23" s="123" customFormat="1" ht="18" customHeight="1">
      <c r="A24" s="440"/>
      <c r="B24" s="438"/>
      <c r="C24" s="411"/>
      <c r="D24" s="411"/>
      <c r="E24" s="445"/>
      <c r="F24" s="446"/>
      <c r="G24" s="443"/>
      <c r="H24" s="444"/>
      <c r="I24" s="445"/>
      <c r="J24" s="446"/>
      <c r="K24" s="446"/>
      <c r="L24" s="446"/>
      <c r="M24" s="446"/>
      <c r="N24" s="446"/>
      <c r="O24" s="446"/>
      <c r="P24" s="446"/>
      <c r="Q24" s="446"/>
      <c r="R24" s="446"/>
      <c r="S24" s="446"/>
      <c r="T24" s="446"/>
      <c r="U24" s="446"/>
      <c r="V24" s="447"/>
      <c r="W24" s="982">
        <f t="shared" si="0"/>
        <v>0</v>
      </c>
    </row>
    <row r="25" spans="1:23" s="123" customFormat="1" ht="18" customHeight="1">
      <c r="A25" s="440"/>
      <c r="B25" s="438"/>
      <c r="C25" s="411"/>
      <c r="D25" s="411"/>
      <c r="E25" s="445"/>
      <c r="F25" s="446"/>
      <c r="G25" s="443"/>
      <c r="H25" s="444"/>
      <c r="I25" s="445"/>
      <c r="J25" s="446"/>
      <c r="K25" s="446"/>
      <c r="L25" s="446"/>
      <c r="M25" s="446"/>
      <c r="N25" s="446"/>
      <c r="O25" s="446"/>
      <c r="P25" s="446"/>
      <c r="Q25" s="446"/>
      <c r="R25" s="446"/>
      <c r="S25" s="446"/>
      <c r="T25" s="446"/>
      <c r="U25" s="446"/>
      <c r="V25" s="447"/>
      <c r="W25" s="982">
        <f t="shared" si="0"/>
        <v>0</v>
      </c>
    </row>
    <row r="26" spans="1:23" s="123" customFormat="1" ht="18" customHeight="1">
      <c r="A26" s="440"/>
      <c r="B26" s="438"/>
      <c r="C26" s="411"/>
      <c r="D26" s="411"/>
      <c r="E26" s="445"/>
      <c r="F26" s="446"/>
      <c r="G26" s="443"/>
      <c r="H26" s="444"/>
      <c r="I26" s="445"/>
      <c r="J26" s="446"/>
      <c r="K26" s="446"/>
      <c r="L26" s="446"/>
      <c r="M26" s="446"/>
      <c r="N26" s="446"/>
      <c r="O26" s="446"/>
      <c r="P26" s="446"/>
      <c r="Q26" s="446"/>
      <c r="R26" s="446"/>
      <c r="S26" s="446"/>
      <c r="T26" s="446"/>
      <c r="U26" s="446"/>
      <c r="V26" s="447"/>
      <c r="W26" s="982">
        <f t="shared" si="0"/>
        <v>0</v>
      </c>
    </row>
    <row r="27" spans="1:23" s="123" customFormat="1" ht="18" customHeight="1">
      <c r="A27" s="440"/>
      <c r="B27" s="438"/>
      <c r="C27" s="411"/>
      <c r="D27" s="411"/>
      <c r="E27" s="445"/>
      <c r="F27" s="446"/>
      <c r="G27" s="443"/>
      <c r="H27" s="444"/>
      <c r="I27" s="445"/>
      <c r="J27" s="446"/>
      <c r="K27" s="446"/>
      <c r="L27" s="446"/>
      <c r="M27" s="446"/>
      <c r="N27" s="446"/>
      <c r="O27" s="446"/>
      <c r="P27" s="446"/>
      <c r="Q27" s="446"/>
      <c r="R27" s="446"/>
      <c r="S27" s="446"/>
      <c r="T27" s="446"/>
      <c r="U27" s="446"/>
      <c r="V27" s="447"/>
      <c r="W27" s="982">
        <f t="shared" si="0"/>
        <v>0</v>
      </c>
    </row>
    <row r="28" spans="1:23" s="123" customFormat="1" ht="18" customHeight="1">
      <c r="A28" s="440"/>
      <c r="B28" s="438"/>
      <c r="C28" s="411"/>
      <c r="D28" s="411"/>
      <c r="E28" s="445"/>
      <c r="F28" s="446"/>
      <c r="G28" s="443"/>
      <c r="H28" s="444"/>
      <c r="I28" s="445"/>
      <c r="J28" s="446"/>
      <c r="K28" s="446"/>
      <c r="L28" s="446"/>
      <c r="M28" s="446"/>
      <c r="N28" s="446"/>
      <c r="O28" s="446"/>
      <c r="P28" s="446"/>
      <c r="Q28" s="446"/>
      <c r="R28" s="446"/>
      <c r="S28" s="446"/>
      <c r="T28" s="446"/>
      <c r="U28" s="446"/>
      <c r="V28" s="447"/>
      <c r="W28" s="982">
        <f t="shared" si="0"/>
        <v>0</v>
      </c>
    </row>
    <row r="29" spans="1:23" s="123" customFormat="1" ht="18" customHeight="1">
      <c r="A29" s="440"/>
      <c r="B29" s="438"/>
      <c r="C29" s="411"/>
      <c r="D29" s="411"/>
      <c r="E29" s="445"/>
      <c r="F29" s="446"/>
      <c r="G29" s="443"/>
      <c r="H29" s="444"/>
      <c r="I29" s="445"/>
      <c r="J29" s="446"/>
      <c r="K29" s="446"/>
      <c r="L29" s="446"/>
      <c r="M29" s="446"/>
      <c r="N29" s="446"/>
      <c r="O29" s="446"/>
      <c r="P29" s="446"/>
      <c r="Q29" s="446"/>
      <c r="R29" s="446"/>
      <c r="S29" s="446"/>
      <c r="T29" s="446"/>
      <c r="U29" s="446"/>
      <c r="V29" s="447"/>
      <c r="W29" s="982">
        <f t="shared" si="0"/>
        <v>0</v>
      </c>
    </row>
    <row r="30" spans="1:23" s="123" customFormat="1" ht="18" customHeight="1">
      <c r="A30" s="440"/>
      <c r="B30" s="438"/>
      <c r="C30" s="411"/>
      <c r="D30" s="411"/>
      <c r="E30" s="445"/>
      <c r="F30" s="446"/>
      <c r="G30" s="443"/>
      <c r="H30" s="444"/>
      <c r="I30" s="445"/>
      <c r="J30" s="446"/>
      <c r="K30" s="446"/>
      <c r="L30" s="446"/>
      <c r="M30" s="446"/>
      <c r="N30" s="446"/>
      <c r="O30" s="446"/>
      <c r="P30" s="446"/>
      <c r="Q30" s="446"/>
      <c r="R30" s="446"/>
      <c r="S30" s="446"/>
      <c r="T30" s="446"/>
      <c r="U30" s="446"/>
      <c r="V30" s="447"/>
      <c r="W30" s="982">
        <f t="shared" si="0"/>
        <v>0</v>
      </c>
    </row>
    <row r="31" spans="1:23" s="123" customFormat="1" ht="18" customHeight="1">
      <c r="A31" s="440"/>
      <c r="B31" s="438"/>
      <c r="C31" s="411"/>
      <c r="D31" s="411"/>
      <c r="E31" s="445"/>
      <c r="F31" s="446"/>
      <c r="G31" s="443"/>
      <c r="H31" s="444"/>
      <c r="I31" s="445"/>
      <c r="J31" s="446"/>
      <c r="K31" s="446"/>
      <c r="L31" s="446"/>
      <c r="M31" s="446"/>
      <c r="N31" s="446"/>
      <c r="O31" s="446"/>
      <c r="P31" s="446"/>
      <c r="Q31" s="446"/>
      <c r="R31" s="446"/>
      <c r="S31" s="446"/>
      <c r="T31" s="446"/>
      <c r="U31" s="446"/>
      <c r="V31" s="447"/>
      <c r="W31" s="982">
        <f t="shared" si="0"/>
        <v>0</v>
      </c>
    </row>
    <row r="32" spans="1:23" s="123" customFormat="1" ht="18" customHeight="1">
      <c r="A32" s="440"/>
      <c r="B32" s="438"/>
      <c r="C32" s="411"/>
      <c r="D32" s="411"/>
      <c r="E32" s="445"/>
      <c r="F32" s="446"/>
      <c r="G32" s="443"/>
      <c r="H32" s="444"/>
      <c r="I32" s="445"/>
      <c r="J32" s="446"/>
      <c r="K32" s="446"/>
      <c r="L32" s="446"/>
      <c r="M32" s="446"/>
      <c r="N32" s="446"/>
      <c r="O32" s="446"/>
      <c r="P32" s="446"/>
      <c r="Q32" s="446"/>
      <c r="R32" s="446"/>
      <c r="S32" s="446"/>
      <c r="T32" s="446"/>
      <c r="U32" s="446"/>
      <c r="V32" s="447"/>
      <c r="W32" s="982">
        <f t="shared" si="0"/>
        <v>0</v>
      </c>
    </row>
    <row r="33" spans="1:23" s="123" customFormat="1" ht="18" customHeight="1">
      <c r="A33" s="440"/>
      <c r="B33" s="438"/>
      <c r="C33" s="411"/>
      <c r="D33" s="411"/>
      <c r="E33" s="445"/>
      <c r="F33" s="446"/>
      <c r="G33" s="443"/>
      <c r="H33" s="444"/>
      <c r="I33" s="445"/>
      <c r="J33" s="446"/>
      <c r="K33" s="446"/>
      <c r="L33" s="446"/>
      <c r="M33" s="446"/>
      <c r="N33" s="446"/>
      <c r="O33" s="446"/>
      <c r="P33" s="446"/>
      <c r="Q33" s="446"/>
      <c r="R33" s="446"/>
      <c r="S33" s="446"/>
      <c r="T33" s="446"/>
      <c r="U33" s="446"/>
      <c r="V33" s="447"/>
      <c r="W33" s="982">
        <f t="shared" si="0"/>
        <v>0</v>
      </c>
    </row>
    <row r="34" spans="1:23" s="123" customFormat="1" ht="18" customHeight="1">
      <c r="A34" s="440"/>
      <c r="B34" s="438"/>
      <c r="C34" s="411"/>
      <c r="D34" s="411"/>
      <c r="E34" s="445"/>
      <c r="F34" s="446"/>
      <c r="G34" s="443"/>
      <c r="H34" s="444"/>
      <c r="I34" s="445"/>
      <c r="J34" s="446"/>
      <c r="K34" s="446"/>
      <c r="L34" s="446"/>
      <c r="M34" s="446"/>
      <c r="N34" s="446"/>
      <c r="O34" s="446"/>
      <c r="P34" s="446"/>
      <c r="Q34" s="446"/>
      <c r="R34" s="446"/>
      <c r="S34" s="446"/>
      <c r="T34" s="446"/>
      <c r="U34" s="446"/>
      <c r="V34" s="447"/>
      <c r="W34" s="982">
        <f t="shared" si="0"/>
        <v>0</v>
      </c>
    </row>
    <row r="35" spans="1:23" s="123" customFormat="1" ht="18" customHeight="1">
      <c r="A35" s="440"/>
      <c r="B35" s="438"/>
      <c r="C35" s="411"/>
      <c r="D35" s="411"/>
      <c r="E35" s="445"/>
      <c r="F35" s="446"/>
      <c r="G35" s="443"/>
      <c r="H35" s="444"/>
      <c r="I35" s="445"/>
      <c r="J35" s="446"/>
      <c r="K35" s="446"/>
      <c r="L35" s="446"/>
      <c r="M35" s="446"/>
      <c r="N35" s="446"/>
      <c r="O35" s="446"/>
      <c r="P35" s="446"/>
      <c r="Q35" s="446"/>
      <c r="R35" s="446"/>
      <c r="S35" s="446"/>
      <c r="T35" s="446"/>
      <c r="U35" s="446"/>
      <c r="V35" s="447"/>
      <c r="W35" s="982">
        <f t="shared" si="0"/>
        <v>0</v>
      </c>
    </row>
    <row r="36" spans="1:23" s="123" customFormat="1" ht="18" customHeight="1">
      <c r="A36" s="440"/>
      <c r="B36" s="438"/>
      <c r="C36" s="441"/>
      <c r="D36" s="411"/>
      <c r="E36" s="445"/>
      <c r="F36" s="446"/>
      <c r="G36" s="443"/>
      <c r="H36" s="444"/>
      <c r="I36" s="445"/>
      <c r="J36" s="446"/>
      <c r="K36" s="446"/>
      <c r="L36" s="446"/>
      <c r="M36" s="446"/>
      <c r="N36" s="446"/>
      <c r="O36" s="446"/>
      <c r="P36" s="446"/>
      <c r="Q36" s="446"/>
      <c r="R36" s="446"/>
      <c r="S36" s="446"/>
      <c r="T36" s="446"/>
      <c r="U36" s="446"/>
      <c r="V36" s="447"/>
      <c r="W36" s="982">
        <f t="shared" si="0"/>
        <v>0</v>
      </c>
    </row>
    <row r="37" spans="1:23" s="123" customFormat="1" ht="18" customHeight="1">
      <c r="A37" s="440"/>
      <c r="B37" s="438"/>
      <c r="C37" s="441"/>
      <c r="D37" s="441"/>
      <c r="E37" s="442"/>
      <c r="F37" s="450"/>
      <c r="G37" s="448"/>
      <c r="H37" s="449"/>
      <c r="I37" s="442"/>
      <c r="J37" s="450"/>
      <c r="K37" s="450"/>
      <c r="L37" s="450"/>
      <c r="M37" s="450"/>
      <c r="N37" s="450"/>
      <c r="O37" s="450"/>
      <c r="P37" s="446"/>
      <c r="Q37" s="446"/>
      <c r="R37" s="446"/>
      <c r="S37" s="446"/>
      <c r="T37" s="446"/>
      <c r="U37" s="446"/>
      <c r="V37" s="447"/>
      <c r="W37" s="982">
        <f t="shared" si="0"/>
        <v>0</v>
      </c>
    </row>
    <row r="38" spans="1:23" s="123" customFormat="1" ht="18" customHeight="1">
      <c r="A38" s="440"/>
      <c r="B38" s="438"/>
      <c r="C38" s="441"/>
      <c r="D38" s="441"/>
      <c r="E38" s="442"/>
      <c r="F38" s="450"/>
      <c r="G38" s="448"/>
      <c r="H38" s="449"/>
      <c r="I38" s="442"/>
      <c r="J38" s="450"/>
      <c r="K38" s="450"/>
      <c r="L38" s="450"/>
      <c r="M38" s="450"/>
      <c r="N38" s="450"/>
      <c r="O38" s="450"/>
      <c r="P38" s="446"/>
      <c r="Q38" s="446"/>
      <c r="R38" s="446"/>
      <c r="S38" s="446"/>
      <c r="T38" s="446"/>
      <c r="U38" s="446"/>
      <c r="V38" s="447"/>
      <c r="W38" s="982">
        <f t="shared" si="0"/>
        <v>0</v>
      </c>
    </row>
    <row r="39" spans="1:23" s="123" customFormat="1" ht="18" customHeight="1">
      <c r="A39" s="440"/>
      <c r="B39" s="438"/>
      <c r="C39" s="411"/>
      <c r="D39" s="411"/>
      <c r="E39" s="445"/>
      <c r="F39" s="446"/>
      <c r="G39" s="443"/>
      <c r="H39" s="444"/>
      <c r="I39" s="445"/>
      <c r="J39" s="446"/>
      <c r="K39" s="446"/>
      <c r="L39" s="446"/>
      <c r="M39" s="446"/>
      <c r="N39" s="446"/>
      <c r="O39" s="446"/>
      <c r="P39" s="446"/>
      <c r="Q39" s="446"/>
      <c r="R39" s="446"/>
      <c r="S39" s="446"/>
      <c r="T39" s="446"/>
      <c r="U39" s="446"/>
      <c r="V39" s="447"/>
      <c r="W39" s="982">
        <f t="shared" si="0"/>
        <v>0</v>
      </c>
    </row>
    <row r="40" spans="1:23" s="123" customFormat="1" ht="18" customHeight="1">
      <c r="A40" s="440"/>
      <c r="B40" s="438"/>
      <c r="C40" s="411"/>
      <c r="D40" s="411"/>
      <c r="E40" s="445"/>
      <c r="F40" s="446"/>
      <c r="G40" s="443"/>
      <c r="H40" s="444"/>
      <c r="I40" s="445"/>
      <c r="J40" s="446"/>
      <c r="K40" s="446"/>
      <c r="L40" s="446"/>
      <c r="M40" s="446"/>
      <c r="N40" s="446"/>
      <c r="O40" s="446"/>
      <c r="P40" s="446"/>
      <c r="Q40" s="446"/>
      <c r="R40" s="446"/>
      <c r="S40" s="446"/>
      <c r="T40" s="446"/>
      <c r="U40" s="446"/>
      <c r="V40" s="447"/>
      <c r="W40" s="982">
        <f t="shared" si="0"/>
        <v>0</v>
      </c>
    </row>
    <row r="41" spans="1:23" s="123" customFormat="1" ht="18" customHeight="1">
      <c r="A41" s="440"/>
      <c r="B41" s="438"/>
      <c r="C41" s="411"/>
      <c r="D41" s="411"/>
      <c r="E41" s="445"/>
      <c r="F41" s="446"/>
      <c r="G41" s="443"/>
      <c r="H41" s="444"/>
      <c r="I41" s="445"/>
      <c r="J41" s="446"/>
      <c r="K41" s="446"/>
      <c r="L41" s="446"/>
      <c r="M41" s="446"/>
      <c r="N41" s="446"/>
      <c r="O41" s="446"/>
      <c r="P41" s="446"/>
      <c r="Q41" s="446"/>
      <c r="R41" s="446"/>
      <c r="S41" s="446"/>
      <c r="T41" s="446"/>
      <c r="U41" s="446"/>
      <c r="V41" s="451"/>
      <c r="W41" s="982">
        <f t="shared" si="0"/>
        <v>0</v>
      </c>
    </row>
    <row r="42" spans="1:23" s="123" customFormat="1" ht="18" customHeight="1" thickBot="1">
      <c r="A42" s="440"/>
      <c r="B42" s="438"/>
      <c r="C42" s="411"/>
      <c r="D42" s="411"/>
      <c r="E42" s="445"/>
      <c r="F42" s="446"/>
      <c r="G42" s="443"/>
      <c r="H42" s="444"/>
      <c r="I42" s="445"/>
      <c r="J42" s="446"/>
      <c r="K42" s="446"/>
      <c r="L42" s="446"/>
      <c r="M42" s="446"/>
      <c r="N42" s="446"/>
      <c r="O42" s="446"/>
      <c r="P42" s="446"/>
      <c r="Q42" s="446"/>
      <c r="R42" s="446"/>
      <c r="S42" s="446"/>
      <c r="T42" s="446"/>
      <c r="U42" s="452"/>
      <c r="V42" s="40"/>
      <c r="W42" s="983">
        <f t="shared" si="0"/>
        <v>0</v>
      </c>
    </row>
    <row r="43" spans="1:23" s="1" customFormat="1" ht="26.25" customHeight="1" thickTop="1" thickBot="1">
      <c r="A43" s="214"/>
      <c r="B43" s="218"/>
      <c r="C43" s="433" t="s">
        <v>19</v>
      </c>
      <c r="D43" s="434"/>
      <c r="E43" s="976">
        <f>SUM(E13:E42)</f>
        <v>0</v>
      </c>
      <c r="F43" s="976">
        <f>SUM(F13:F42)</f>
        <v>0</v>
      </c>
      <c r="G43" s="978">
        <f t="shared" ref="G43:V43" si="1">SUM(G13:G42)</f>
        <v>0</v>
      </c>
      <c r="H43" s="979">
        <f t="shared" si="1"/>
        <v>0</v>
      </c>
      <c r="I43" s="976">
        <f t="shared" si="1"/>
        <v>0</v>
      </c>
      <c r="J43" s="976">
        <f t="shared" si="1"/>
        <v>0</v>
      </c>
      <c r="K43" s="976">
        <f t="shared" si="1"/>
        <v>0</v>
      </c>
      <c r="L43" s="976">
        <f t="shared" si="1"/>
        <v>0</v>
      </c>
      <c r="M43" s="976">
        <f t="shared" si="1"/>
        <v>0</v>
      </c>
      <c r="N43" s="976">
        <f t="shared" si="1"/>
        <v>0</v>
      </c>
      <c r="O43" s="976">
        <f t="shared" si="1"/>
        <v>0</v>
      </c>
      <c r="P43" s="976">
        <f t="shared" si="1"/>
        <v>0</v>
      </c>
      <c r="Q43" s="976">
        <f t="shared" si="1"/>
        <v>0</v>
      </c>
      <c r="R43" s="976">
        <f t="shared" si="1"/>
        <v>0</v>
      </c>
      <c r="S43" s="976">
        <f t="shared" si="1"/>
        <v>0</v>
      </c>
      <c r="T43" s="976">
        <f t="shared" si="1"/>
        <v>0</v>
      </c>
      <c r="U43" s="976">
        <f t="shared" si="1"/>
        <v>0</v>
      </c>
      <c r="V43" s="976">
        <f t="shared" si="1"/>
        <v>0</v>
      </c>
      <c r="W43" s="984">
        <f>(SUM((E43:G43))-(SUM((H43:V43))))</f>
        <v>0</v>
      </c>
    </row>
    <row r="44" spans="1:23" s="1" customFormat="1" ht="26.25" customHeight="1" thickTop="1" thickBot="1">
      <c r="A44" s="214"/>
      <c r="B44" s="218"/>
      <c r="C44" s="433" t="s">
        <v>257</v>
      </c>
      <c r="D44" s="434"/>
      <c r="E44" s="976">
        <f>E12+E43</f>
        <v>0</v>
      </c>
      <c r="F44" s="976">
        <f>F12+F43</f>
        <v>0</v>
      </c>
      <c r="G44" s="978">
        <f t="shared" ref="G44:V44" si="2">G12+G43</f>
        <v>0</v>
      </c>
      <c r="H44" s="979">
        <f t="shared" si="2"/>
        <v>0</v>
      </c>
      <c r="I44" s="976">
        <f t="shared" si="2"/>
        <v>0</v>
      </c>
      <c r="J44" s="976">
        <f t="shared" si="2"/>
        <v>0</v>
      </c>
      <c r="K44" s="976">
        <f t="shared" si="2"/>
        <v>0</v>
      </c>
      <c r="L44" s="976">
        <f t="shared" si="2"/>
        <v>0</v>
      </c>
      <c r="M44" s="976">
        <f t="shared" si="2"/>
        <v>0</v>
      </c>
      <c r="N44" s="976">
        <f t="shared" si="2"/>
        <v>0</v>
      </c>
      <c r="O44" s="976">
        <f t="shared" si="2"/>
        <v>0</v>
      </c>
      <c r="P44" s="976">
        <f t="shared" si="2"/>
        <v>0</v>
      </c>
      <c r="Q44" s="976">
        <f t="shared" si="2"/>
        <v>0</v>
      </c>
      <c r="R44" s="976">
        <f t="shared" si="2"/>
        <v>0</v>
      </c>
      <c r="S44" s="976">
        <f t="shared" si="2"/>
        <v>0</v>
      </c>
      <c r="T44" s="976">
        <f t="shared" si="2"/>
        <v>0</v>
      </c>
      <c r="U44" s="976">
        <f t="shared" si="2"/>
        <v>0</v>
      </c>
      <c r="V44" s="976">
        <f t="shared" si="2"/>
        <v>0</v>
      </c>
      <c r="W44" s="985">
        <f>(SUM((E44:G44))-(SUM((H44:V44))))</f>
        <v>0</v>
      </c>
    </row>
    <row r="45" spans="1:23" s="1" customFormat="1" ht="26.25" customHeight="1" thickTop="1" thickBot="1">
      <c r="A45" s="215"/>
      <c r="B45" s="219"/>
      <c r="C45" s="435" t="s">
        <v>20</v>
      </c>
      <c r="D45" s="436"/>
      <c r="E45" s="977">
        <f>E11+E44</f>
        <v>0</v>
      </c>
      <c r="F45" s="977">
        <f>F11+F44</f>
        <v>0</v>
      </c>
      <c r="G45" s="980">
        <f t="shared" ref="G45:V45" si="3">G11+G44</f>
        <v>0</v>
      </c>
      <c r="H45" s="981">
        <f t="shared" si="3"/>
        <v>0</v>
      </c>
      <c r="I45" s="977">
        <f t="shared" si="3"/>
        <v>0</v>
      </c>
      <c r="J45" s="977">
        <f t="shared" si="3"/>
        <v>0</v>
      </c>
      <c r="K45" s="977">
        <f t="shared" si="3"/>
        <v>0</v>
      </c>
      <c r="L45" s="977">
        <f t="shared" si="3"/>
        <v>0</v>
      </c>
      <c r="M45" s="977">
        <f t="shared" si="3"/>
        <v>0</v>
      </c>
      <c r="N45" s="977">
        <f t="shared" si="3"/>
        <v>0</v>
      </c>
      <c r="O45" s="977">
        <f t="shared" si="3"/>
        <v>0</v>
      </c>
      <c r="P45" s="977">
        <f t="shared" si="3"/>
        <v>0</v>
      </c>
      <c r="Q45" s="977">
        <f t="shared" si="3"/>
        <v>0</v>
      </c>
      <c r="R45" s="977">
        <f t="shared" si="3"/>
        <v>0</v>
      </c>
      <c r="S45" s="977">
        <f t="shared" si="3"/>
        <v>0</v>
      </c>
      <c r="T45" s="977">
        <f t="shared" si="3"/>
        <v>0</v>
      </c>
      <c r="U45" s="977">
        <f t="shared" si="3"/>
        <v>0</v>
      </c>
      <c r="V45" s="977">
        <f t="shared" si="3"/>
        <v>0</v>
      </c>
      <c r="W45" s="986">
        <f>(SUM((E45:G45))-(SUM((H45:V45))))</f>
        <v>0</v>
      </c>
    </row>
    <row r="46" spans="1:23" s="123" customFormat="1" ht="15">
      <c r="B46" s="138"/>
    </row>
    <row r="47" spans="1:23" s="123" customFormat="1" ht="15.75">
      <c r="A47" s="139"/>
      <c r="B47" s="138"/>
      <c r="C47" s="1"/>
      <c r="D47" s="1"/>
      <c r="E47" s="1"/>
      <c r="F47" s="1"/>
      <c r="G47" s="1"/>
      <c r="H47" s="1"/>
      <c r="I47" s="7"/>
      <c r="J47" s="7"/>
      <c r="K47" s="7"/>
      <c r="L47" s="7"/>
      <c r="M47" s="140"/>
      <c r="Q47" s="11"/>
      <c r="R47" s="455" t="str">
        <f>DT!D28</f>
        <v>Nagrak, 29 Februari 2016 2016</v>
      </c>
      <c r="S47" s="11"/>
      <c r="T47" s="11"/>
    </row>
    <row r="48" spans="1:23" s="123" customFormat="1" ht="15.75">
      <c r="A48" s="139"/>
      <c r="B48" s="138"/>
      <c r="C48" s="148" t="s">
        <v>21</v>
      </c>
      <c r="D48" s="1"/>
      <c r="E48" s="1"/>
      <c r="F48" s="1"/>
      <c r="G48" s="1"/>
      <c r="H48" s="1"/>
      <c r="I48" s="7"/>
      <c r="J48" s="7"/>
      <c r="K48" s="7"/>
      <c r="L48" s="7"/>
      <c r="Q48" s="11"/>
      <c r="R48" s="11" t="s">
        <v>22</v>
      </c>
      <c r="S48" s="11"/>
      <c r="T48" s="11"/>
    </row>
    <row r="49" spans="2:20" s="123" customFormat="1" ht="15.75">
      <c r="B49" s="138"/>
      <c r="C49" s="148" t="s">
        <v>23</v>
      </c>
      <c r="D49" s="1"/>
      <c r="E49" s="1"/>
      <c r="F49" s="1"/>
      <c r="G49" s="1"/>
      <c r="H49" s="1"/>
      <c r="I49" s="7"/>
      <c r="J49" s="7"/>
      <c r="K49" s="7"/>
      <c r="L49" s="7"/>
      <c r="Q49" s="14"/>
      <c r="R49" s="14" t="s">
        <v>24</v>
      </c>
      <c r="S49" s="14"/>
      <c r="T49" s="14"/>
    </row>
    <row r="50" spans="2:20" ht="15.75">
      <c r="C50" s="15"/>
      <c r="D50" s="15"/>
      <c r="E50" s="20"/>
      <c r="F50" s="20"/>
      <c r="G50" s="20"/>
      <c r="H50" s="20"/>
      <c r="I50" s="20"/>
      <c r="J50" s="20"/>
      <c r="K50" s="20"/>
      <c r="L50" s="20"/>
      <c r="M50" s="20"/>
      <c r="N50" s="20"/>
      <c r="R50" s="11"/>
    </row>
    <row r="51" spans="2:20" s="120" customFormat="1" ht="23.25">
      <c r="R51" s="13"/>
    </row>
    <row r="52" spans="2:20" s="120" customFormat="1" ht="23.25"/>
    <row r="53" spans="2:20" s="120" customFormat="1" ht="23.25">
      <c r="C53" s="11" t="str">
        <f>DT!D14</f>
        <v>Endang Taryana</v>
      </c>
      <c r="R53" s="14" t="str">
        <f>DT!D15</f>
        <v>Arin Yustini, SE</v>
      </c>
    </row>
    <row r="54" spans="2:20" s="123" customFormat="1" ht="15"/>
    <row r="55" spans="2:20" s="123" customFormat="1" ht="15"/>
    <row r="56" spans="2:20" s="123" customFormat="1" ht="15"/>
    <row r="57" spans="2:20" s="123" customFormat="1" ht="15"/>
    <row r="58" spans="2:20" s="123" customFormat="1" ht="18.75" customHeight="1"/>
    <row r="59" spans="2:20" s="123" customFormat="1" ht="17.25" customHeight="1"/>
    <row r="60" spans="2:20" s="123" customFormat="1" ht="15"/>
    <row r="61" spans="2:20" s="123" customFormat="1" ht="15"/>
    <row r="62" spans="2:20" s="1" customFormat="1" ht="24" customHeight="1"/>
    <row r="63" spans="2:20" s="74" customFormat="1" ht="24" customHeight="1"/>
    <row r="64" spans="2:20" s="123" customFormat="1" ht="17.25" customHeight="1"/>
    <row r="65" s="123" customFormat="1" ht="17.25" customHeight="1"/>
    <row r="66" s="123" customFormat="1" ht="17.25" customHeight="1"/>
    <row r="67" s="123" customFormat="1" ht="17.25" customHeight="1"/>
    <row r="68" s="123" customFormat="1" ht="17.25" customHeight="1"/>
    <row r="69" s="123" customFormat="1" ht="17.25" customHeight="1"/>
    <row r="70" s="123" customFormat="1" ht="17.25" customHeight="1"/>
    <row r="71" s="123" customFormat="1" ht="17.25" customHeight="1"/>
    <row r="72" s="123" customFormat="1" ht="17.25" customHeight="1"/>
    <row r="73" s="1" customFormat="1" ht="26.25" customHeight="1"/>
    <row r="74" s="1" customFormat="1" ht="26.25" customHeight="1"/>
    <row r="75" s="1" customFormat="1" ht="26.25" customHeight="1"/>
    <row r="76" s="123" customFormat="1" ht="15"/>
    <row r="77" s="123" customFormat="1" ht="15"/>
    <row r="78" s="123" customFormat="1" ht="15"/>
    <row r="79" s="123" customFormat="1" ht="15"/>
  </sheetData>
  <mergeCells count="24">
    <mergeCell ref="A1:W1"/>
    <mergeCell ref="A2:W2"/>
    <mergeCell ref="A3:W3"/>
    <mergeCell ref="A7:A10"/>
    <mergeCell ref="E7:G7"/>
    <mergeCell ref="F8:F10"/>
    <mergeCell ref="W7:W10"/>
    <mergeCell ref="H8:S8"/>
    <mergeCell ref="R9:R10"/>
    <mergeCell ref="K9:K10"/>
    <mergeCell ref="E8:E10"/>
    <mergeCell ref="I9:I10"/>
    <mergeCell ref="H9:H10"/>
    <mergeCell ref="L9:L10"/>
    <mergeCell ref="M9:M10"/>
    <mergeCell ref="O9:O10"/>
    <mergeCell ref="P9:P10"/>
    <mergeCell ref="H7:V7"/>
    <mergeCell ref="T8:T10"/>
    <mergeCell ref="U8:U10"/>
    <mergeCell ref="S9:S10"/>
    <mergeCell ref="Q9:Q10"/>
    <mergeCell ref="J9:J10"/>
    <mergeCell ref="N9:N10"/>
  </mergeCells>
  <printOptions horizontalCentered="1" verticalCentered="1"/>
  <pageMargins left="0.19685039370078741" right="0.19685039370078741" top="0.59055118110236227" bottom="0.23622047244094491" header="0.6692913385826772" footer="0.51181102362204722"/>
  <pageSetup paperSize="9" scale="47" orientation="landscape" horizontalDpi="300" verticalDpi="300" r:id="rId1"/>
  <headerFooter alignWithMargins="0"/>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5"/>
  </sheetPr>
  <dimension ref="A1:W79"/>
  <sheetViews>
    <sheetView topLeftCell="C10" zoomScale="50" zoomScaleNormal="50" zoomScaleSheetLayoutView="55" workbookViewId="0">
      <selection sqref="A1:W1"/>
    </sheetView>
  </sheetViews>
  <sheetFormatPr defaultColWidth="9.140625" defaultRowHeight="12.75"/>
  <cols>
    <col min="1" max="1" width="4.140625" style="40" customWidth="1"/>
    <col min="2" max="2" width="17.140625" style="75" customWidth="1"/>
    <col min="3" max="3" width="54.7109375" style="40" customWidth="1"/>
    <col min="4" max="4" width="13" style="40" customWidth="1"/>
    <col min="5" max="5" width="17.85546875" style="40" customWidth="1"/>
    <col min="6" max="6" width="17.5703125" style="40" customWidth="1"/>
    <col min="7" max="7" width="13.140625" style="40" customWidth="1"/>
    <col min="8" max="8" width="17.85546875" style="40" customWidth="1"/>
    <col min="9" max="18" width="16.42578125" style="40" customWidth="1"/>
    <col min="19" max="19" width="14.7109375" style="40" bestFit="1" customWidth="1"/>
    <col min="20" max="20" width="16.42578125" style="40" customWidth="1"/>
    <col min="21" max="21" width="13.140625" style="40" customWidth="1"/>
    <col min="22" max="22" width="11.28515625" style="40" bestFit="1" customWidth="1"/>
    <col min="23" max="23" width="12.7109375" style="40" customWidth="1"/>
    <col min="24" max="16384" width="9.140625" style="22"/>
  </cols>
  <sheetData>
    <row r="1" spans="1:23">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row>
    <row r="2" spans="1:23">
      <c r="A2" s="3410" t="s">
        <v>35</v>
      </c>
      <c r="B2" s="3410"/>
      <c r="C2" s="3410"/>
      <c r="D2" s="3410"/>
      <c r="E2" s="3410"/>
      <c r="F2" s="3410"/>
      <c r="G2" s="3410"/>
      <c r="H2" s="3410"/>
      <c r="I2" s="3410"/>
      <c r="J2" s="3410"/>
      <c r="K2" s="3410"/>
      <c r="L2" s="3410"/>
      <c r="M2" s="3410"/>
      <c r="N2" s="3410"/>
      <c r="O2" s="3410"/>
      <c r="P2" s="3410"/>
      <c r="Q2" s="3410"/>
      <c r="R2" s="3410"/>
      <c r="S2" s="3410"/>
      <c r="T2" s="3410"/>
      <c r="U2" s="3410"/>
      <c r="V2" s="3410"/>
      <c r="W2" s="3410"/>
    </row>
    <row r="3" spans="1:23" ht="30">
      <c r="A3" s="3410" t="s">
        <v>889</v>
      </c>
      <c r="B3" s="3410"/>
      <c r="C3" s="3410"/>
      <c r="D3" s="3410"/>
      <c r="E3" s="3410"/>
      <c r="F3" s="3410"/>
      <c r="G3" s="3410"/>
      <c r="H3" s="3410"/>
      <c r="I3" s="3410"/>
      <c r="J3" s="3410"/>
      <c r="K3" s="3410"/>
      <c r="L3" s="3410"/>
      <c r="M3" s="3410"/>
      <c r="N3" s="3410"/>
      <c r="O3" s="3410"/>
      <c r="P3" s="3410"/>
      <c r="Q3" s="3410"/>
      <c r="R3" s="3410"/>
      <c r="S3" s="3410"/>
      <c r="T3" s="3410"/>
      <c r="U3" s="3410"/>
      <c r="V3" s="3410"/>
      <c r="W3" s="3410"/>
    </row>
    <row r="4" spans="1:23" s="123" customFormat="1" ht="15.75">
      <c r="B4" s="74" t="s">
        <v>2</v>
      </c>
      <c r="C4" s="4" t="str">
        <f>": "&amp;DT!$D$3</f>
        <v>: Nagrak</v>
      </c>
      <c r="O4" s="74"/>
      <c r="P4" s="74"/>
      <c r="Q4" s="74"/>
      <c r="R4" s="541" t="s">
        <v>3</v>
      </c>
      <c r="S4" s="6" t="str">
        <f>": "&amp;DT!D25</f>
        <v>: Februari 2016</v>
      </c>
      <c r="T4" s="6"/>
    </row>
    <row r="5" spans="1:23" s="123" customFormat="1" ht="15.75">
      <c r="B5" s="74" t="s">
        <v>4</v>
      </c>
      <c r="C5" s="4" t="str">
        <f>": "&amp;DT!$D$4</f>
        <v>: Sukabumi</v>
      </c>
    </row>
    <row r="6" spans="1:23" s="123" customFormat="1" ht="16.5" thickBot="1">
      <c r="B6" s="74" t="s">
        <v>6</v>
      </c>
      <c r="C6" s="4" t="str">
        <f>": "&amp;DT!$D$5</f>
        <v>: Jawa Barat</v>
      </c>
    </row>
    <row r="7" spans="1:23" s="123" customFormat="1" ht="25.5" customHeight="1" thickBot="1">
      <c r="A7" s="3410" t="s">
        <v>36</v>
      </c>
      <c r="B7" s="125"/>
      <c r="C7" s="124"/>
      <c r="D7" s="126"/>
      <c r="E7" s="3410" t="s">
        <v>10</v>
      </c>
      <c r="F7" s="3410"/>
      <c r="G7" s="3410"/>
      <c r="H7" s="3410" t="s">
        <v>394</v>
      </c>
      <c r="I7" s="3410"/>
      <c r="J7" s="3410"/>
      <c r="K7" s="3410"/>
      <c r="L7" s="3410"/>
      <c r="M7" s="3410"/>
      <c r="N7" s="3410"/>
      <c r="O7" s="3410"/>
      <c r="P7" s="3410"/>
      <c r="Q7" s="3410"/>
      <c r="R7" s="3410"/>
      <c r="S7" s="3410"/>
      <c r="T7" s="3410"/>
      <c r="U7" s="3410"/>
      <c r="V7" s="3410"/>
      <c r="W7" s="3410" t="s">
        <v>12</v>
      </c>
    </row>
    <row r="8" spans="1:23" s="123" customFormat="1" ht="30">
      <c r="A8" s="3410"/>
      <c r="B8" s="128" t="s">
        <v>7</v>
      </c>
      <c r="C8" s="127" t="s">
        <v>8</v>
      </c>
      <c r="D8" s="129" t="s">
        <v>9</v>
      </c>
      <c r="E8" s="3410" t="s">
        <v>236</v>
      </c>
      <c r="F8" s="3410" t="s">
        <v>63</v>
      </c>
      <c r="G8" s="130"/>
      <c r="H8" s="3410" t="s">
        <v>888</v>
      </c>
      <c r="I8" s="3410"/>
      <c r="J8" s="3410"/>
      <c r="K8" s="3410"/>
      <c r="L8" s="3410"/>
      <c r="M8" s="3410"/>
      <c r="N8" s="3410"/>
      <c r="O8" s="3410"/>
      <c r="P8" s="3410"/>
      <c r="Q8" s="3410"/>
      <c r="R8" s="3410"/>
      <c r="S8" s="3410"/>
      <c r="T8" s="3410" t="s">
        <v>976</v>
      </c>
      <c r="U8" s="3410" t="s">
        <v>235</v>
      </c>
      <c r="V8" s="127"/>
      <c r="W8" s="3410"/>
    </row>
    <row r="9" spans="1:23" s="123" customFormat="1" ht="15.75">
      <c r="A9" s="3410"/>
      <c r="B9" s="128" t="s">
        <v>13</v>
      </c>
      <c r="C9" s="127" t="s">
        <v>13</v>
      </c>
      <c r="D9" s="129" t="s">
        <v>13</v>
      </c>
      <c r="E9" s="3410"/>
      <c r="F9" s="3410"/>
      <c r="G9" s="131" t="s">
        <v>18</v>
      </c>
      <c r="H9" s="3410"/>
      <c r="I9" s="3410"/>
      <c r="J9" s="3410"/>
      <c r="K9" s="3410"/>
      <c r="L9" s="3410"/>
      <c r="M9" s="3410"/>
      <c r="N9" s="3410"/>
      <c r="O9" s="3410"/>
      <c r="P9" s="3410"/>
      <c r="Q9" s="3410"/>
      <c r="R9" s="3410"/>
      <c r="S9" s="3410" t="s">
        <v>569</v>
      </c>
      <c r="T9" s="3410"/>
      <c r="U9" s="3410"/>
      <c r="V9" s="127" t="s">
        <v>28</v>
      </c>
      <c r="W9" s="3410"/>
    </row>
    <row r="10" spans="1:23" s="123" customFormat="1" ht="16.5" thickBot="1">
      <c r="A10" s="3410"/>
      <c r="B10" s="132"/>
      <c r="C10" s="133"/>
      <c r="D10" s="134"/>
      <c r="E10" s="3410"/>
      <c r="F10" s="3410"/>
      <c r="G10" s="135"/>
      <c r="H10" s="3410"/>
      <c r="I10" s="3410"/>
      <c r="J10" s="3410"/>
      <c r="K10" s="3410"/>
      <c r="L10" s="3410"/>
      <c r="M10" s="3410"/>
      <c r="N10" s="3410"/>
      <c r="O10" s="3410"/>
      <c r="P10" s="3410"/>
      <c r="Q10" s="3410"/>
      <c r="R10" s="3410"/>
      <c r="S10" s="3410"/>
      <c r="T10" s="3410"/>
      <c r="U10" s="3410"/>
      <c r="V10" s="133"/>
      <c r="W10" s="3410"/>
    </row>
    <row r="11" spans="1:23" s="1" customFormat="1" ht="28.5" customHeight="1" thickTop="1">
      <c r="A11" s="506"/>
      <c r="B11" s="513"/>
      <c r="C11" s="514" t="s">
        <v>258</v>
      </c>
      <c r="D11" s="515"/>
      <c r="E11" s="515"/>
      <c r="F11" s="1335"/>
      <c r="G11" s="516"/>
      <c r="H11" s="517"/>
      <c r="I11" s="515"/>
      <c r="J11" s="515"/>
      <c r="K11" s="515"/>
      <c r="L11" s="515"/>
      <c r="M11" s="515"/>
      <c r="N11" s="515"/>
      <c r="O11" s="515"/>
      <c r="P11" s="515"/>
      <c r="Q11" s="515"/>
      <c r="R11" s="515"/>
      <c r="S11" s="515"/>
      <c r="T11" s="515"/>
      <c r="U11" s="515"/>
      <c r="V11" s="515"/>
      <c r="W11" s="518">
        <f>(SUM((E11:G11))-(SUM((H11:V11))))</f>
        <v>0</v>
      </c>
    </row>
    <row r="12" spans="1:23" s="74" customFormat="1" ht="28.5" customHeight="1" thickBot="1">
      <c r="A12" s="965"/>
      <c r="B12" s="966"/>
      <c r="C12" s="937" t="s">
        <v>539</v>
      </c>
      <c r="D12" s="967"/>
      <c r="E12" s="968"/>
      <c r="F12" s="1334"/>
      <c r="G12" s="969"/>
      <c r="H12" s="970"/>
      <c r="I12" s="968"/>
      <c r="J12" s="968"/>
      <c r="K12" s="968"/>
      <c r="L12" s="968"/>
      <c r="M12" s="968"/>
      <c r="N12" s="968"/>
      <c r="O12" s="968"/>
      <c r="P12" s="968"/>
      <c r="Q12" s="968"/>
      <c r="R12" s="968"/>
      <c r="S12" s="968"/>
      <c r="T12" s="968"/>
      <c r="U12" s="968"/>
      <c r="V12" s="968"/>
      <c r="W12" s="971">
        <f>W11+(SUM((E12:G12))-(SUM((H12:V12))))</f>
        <v>0</v>
      </c>
    </row>
    <row r="13" spans="1:23" s="123" customFormat="1" ht="18" customHeight="1">
      <c r="A13" s="439"/>
      <c r="B13" s="437"/>
      <c r="C13" s="411"/>
      <c r="D13" s="411"/>
      <c r="E13" s="445"/>
      <c r="F13" s="446"/>
      <c r="G13" s="443"/>
      <c r="H13" s="444"/>
      <c r="I13" s="445"/>
      <c r="J13" s="446"/>
      <c r="K13" s="446"/>
      <c r="L13" s="446"/>
      <c r="M13" s="446"/>
      <c r="N13" s="446"/>
      <c r="O13" s="446"/>
      <c r="P13" s="446"/>
      <c r="Q13" s="446"/>
      <c r="R13" s="446"/>
      <c r="S13" s="446"/>
      <c r="T13" s="446"/>
      <c r="U13" s="446"/>
      <c r="V13" s="447"/>
      <c r="W13" s="982">
        <f t="shared" ref="W13:W42" si="0">W12+(SUM((E13:G13))-(SUM((H13:V13))))</f>
        <v>0</v>
      </c>
    </row>
    <row r="14" spans="1:23" s="123" customFormat="1" ht="18" customHeight="1">
      <c r="A14" s="440"/>
      <c r="B14" s="438"/>
      <c r="C14" s="411"/>
      <c r="D14" s="411"/>
      <c r="E14" s="445"/>
      <c r="F14" s="446"/>
      <c r="G14" s="443"/>
      <c r="H14" s="444"/>
      <c r="I14" s="445"/>
      <c r="J14" s="446"/>
      <c r="K14" s="446"/>
      <c r="L14" s="446"/>
      <c r="M14" s="446"/>
      <c r="N14" s="446"/>
      <c r="O14" s="446"/>
      <c r="P14" s="446"/>
      <c r="Q14" s="446"/>
      <c r="R14" s="446"/>
      <c r="S14" s="446"/>
      <c r="T14" s="446"/>
      <c r="U14" s="446"/>
      <c r="V14" s="447"/>
      <c r="W14" s="982">
        <f t="shared" si="0"/>
        <v>0</v>
      </c>
    </row>
    <row r="15" spans="1:23" s="123" customFormat="1" ht="18" customHeight="1">
      <c r="A15" s="440"/>
      <c r="B15" s="438"/>
      <c r="C15" s="411"/>
      <c r="D15" s="441"/>
      <c r="E15" s="445"/>
      <c r="F15" s="446"/>
      <c r="G15" s="443"/>
      <c r="H15" s="444"/>
      <c r="I15" s="445"/>
      <c r="J15" s="450"/>
      <c r="K15" s="446"/>
      <c r="L15" s="446"/>
      <c r="M15" s="446"/>
      <c r="N15" s="446"/>
      <c r="O15" s="446"/>
      <c r="P15" s="446"/>
      <c r="Q15" s="446"/>
      <c r="R15" s="446"/>
      <c r="S15" s="446"/>
      <c r="T15" s="446"/>
      <c r="U15" s="446"/>
      <c r="V15" s="447"/>
      <c r="W15" s="982">
        <f t="shared" si="0"/>
        <v>0</v>
      </c>
    </row>
    <row r="16" spans="1:23" s="123" customFormat="1" ht="18" customHeight="1">
      <c r="A16" s="440"/>
      <c r="B16" s="438"/>
      <c r="C16" s="411"/>
      <c r="D16" s="411"/>
      <c r="E16" s="445"/>
      <c r="F16" s="446"/>
      <c r="G16" s="443"/>
      <c r="H16" s="444"/>
      <c r="I16" s="445"/>
      <c r="J16" s="446"/>
      <c r="K16" s="446"/>
      <c r="L16" s="446"/>
      <c r="M16" s="446"/>
      <c r="N16" s="446"/>
      <c r="O16" s="446"/>
      <c r="P16" s="446"/>
      <c r="Q16" s="446"/>
      <c r="R16" s="446"/>
      <c r="S16" s="446"/>
      <c r="T16" s="446"/>
      <c r="U16" s="446"/>
      <c r="V16" s="447"/>
      <c r="W16" s="982">
        <f t="shared" si="0"/>
        <v>0</v>
      </c>
    </row>
    <row r="17" spans="1:23" s="123" customFormat="1" ht="18" customHeight="1">
      <c r="A17" s="440"/>
      <c r="B17" s="438"/>
      <c r="C17" s="411"/>
      <c r="D17" s="411"/>
      <c r="E17" s="445"/>
      <c r="F17" s="446"/>
      <c r="G17" s="443"/>
      <c r="H17" s="444"/>
      <c r="I17" s="445"/>
      <c r="J17" s="446"/>
      <c r="K17" s="446"/>
      <c r="L17" s="446"/>
      <c r="M17" s="446"/>
      <c r="N17" s="446"/>
      <c r="O17" s="446"/>
      <c r="P17" s="446"/>
      <c r="Q17" s="446"/>
      <c r="R17" s="446"/>
      <c r="S17" s="446"/>
      <c r="T17" s="446"/>
      <c r="U17" s="446"/>
      <c r="V17" s="447"/>
      <c r="W17" s="982">
        <f t="shared" si="0"/>
        <v>0</v>
      </c>
    </row>
    <row r="18" spans="1:23" s="123" customFormat="1" ht="18" customHeight="1">
      <c r="A18" s="440"/>
      <c r="B18" s="438"/>
      <c r="C18" s="411"/>
      <c r="D18" s="411"/>
      <c r="E18" s="445"/>
      <c r="F18" s="446"/>
      <c r="G18" s="443"/>
      <c r="H18" s="444"/>
      <c r="I18" s="445"/>
      <c r="J18" s="446"/>
      <c r="K18" s="446"/>
      <c r="L18" s="446"/>
      <c r="M18" s="446"/>
      <c r="N18" s="446"/>
      <c r="O18" s="446"/>
      <c r="P18" s="446"/>
      <c r="Q18" s="446"/>
      <c r="R18" s="446"/>
      <c r="S18" s="446"/>
      <c r="T18" s="446"/>
      <c r="U18" s="446"/>
      <c r="V18" s="447"/>
      <c r="W18" s="982">
        <f t="shared" si="0"/>
        <v>0</v>
      </c>
    </row>
    <row r="19" spans="1:23" s="123" customFormat="1" ht="18" customHeight="1">
      <c r="A19" s="440"/>
      <c r="B19" s="438"/>
      <c r="C19" s="411"/>
      <c r="D19" s="411"/>
      <c r="E19" s="445"/>
      <c r="F19" s="446"/>
      <c r="G19" s="443"/>
      <c r="H19" s="444"/>
      <c r="I19" s="445"/>
      <c r="J19" s="446"/>
      <c r="K19" s="446"/>
      <c r="L19" s="446"/>
      <c r="M19" s="446"/>
      <c r="N19" s="446"/>
      <c r="O19" s="446"/>
      <c r="P19" s="446"/>
      <c r="Q19" s="446"/>
      <c r="R19" s="446"/>
      <c r="S19" s="446"/>
      <c r="T19" s="446"/>
      <c r="U19" s="446"/>
      <c r="V19" s="447"/>
      <c r="W19" s="982">
        <f t="shared" si="0"/>
        <v>0</v>
      </c>
    </row>
    <row r="20" spans="1:23" s="123" customFormat="1" ht="18" customHeight="1">
      <c r="A20" s="440"/>
      <c r="B20" s="438"/>
      <c r="C20" s="411"/>
      <c r="D20" s="411"/>
      <c r="E20" s="445"/>
      <c r="F20" s="446"/>
      <c r="G20" s="443"/>
      <c r="H20" s="444"/>
      <c r="I20" s="445"/>
      <c r="J20" s="446"/>
      <c r="K20" s="446"/>
      <c r="L20" s="446"/>
      <c r="M20" s="446"/>
      <c r="N20" s="446"/>
      <c r="O20" s="446"/>
      <c r="P20" s="446"/>
      <c r="Q20" s="446"/>
      <c r="R20" s="446"/>
      <c r="S20" s="446"/>
      <c r="T20" s="446"/>
      <c r="U20" s="446"/>
      <c r="V20" s="447"/>
      <c r="W20" s="982">
        <f t="shared" si="0"/>
        <v>0</v>
      </c>
    </row>
    <row r="21" spans="1:23" s="123" customFormat="1" ht="18" customHeight="1">
      <c r="A21" s="440"/>
      <c r="B21" s="438"/>
      <c r="C21" s="411"/>
      <c r="D21" s="411"/>
      <c r="E21" s="445"/>
      <c r="F21" s="446"/>
      <c r="G21" s="443"/>
      <c r="H21" s="444"/>
      <c r="I21" s="445"/>
      <c r="J21" s="446"/>
      <c r="K21" s="446"/>
      <c r="L21" s="446"/>
      <c r="M21" s="446"/>
      <c r="N21" s="446"/>
      <c r="O21" s="446"/>
      <c r="P21" s="446"/>
      <c r="Q21" s="446"/>
      <c r="R21" s="446"/>
      <c r="S21" s="446"/>
      <c r="T21" s="446"/>
      <c r="U21" s="446"/>
      <c r="V21" s="447"/>
      <c r="W21" s="982">
        <f t="shared" si="0"/>
        <v>0</v>
      </c>
    </row>
    <row r="22" spans="1:23" s="123" customFormat="1" ht="18" customHeight="1">
      <c r="A22" s="440"/>
      <c r="B22" s="438"/>
      <c r="C22" s="411"/>
      <c r="D22" s="411"/>
      <c r="E22" s="445"/>
      <c r="F22" s="446"/>
      <c r="G22" s="443"/>
      <c r="H22" s="444"/>
      <c r="I22" s="445"/>
      <c r="J22" s="446"/>
      <c r="K22" s="446"/>
      <c r="L22" s="446"/>
      <c r="M22" s="446"/>
      <c r="N22" s="446"/>
      <c r="O22" s="446"/>
      <c r="P22" s="446"/>
      <c r="Q22" s="446"/>
      <c r="R22" s="446"/>
      <c r="S22" s="446"/>
      <c r="T22" s="446"/>
      <c r="U22" s="446"/>
      <c r="V22" s="447"/>
      <c r="W22" s="982">
        <f t="shared" si="0"/>
        <v>0</v>
      </c>
    </row>
    <row r="23" spans="1:23" s="123" customFormat="1" ht="18" customHeight="1">
      <c r="A23" s="440"/>
      <c r="B23" s="438"/>
      <c r="C23" s="411"/>
      <c r="D23" s="411"/>
      <c r="E23" s="445"/>
      <c r="F23" s="446"/>
      <c r="G23" s="443"/>
      <c r="H23" s="444"/>
      <c r="I23" s="445"/>
      <c r="J23" s="446"/>
      <c r="K23" s="446"/>
      <c r="L23" s="446"/>
      <c r="M23" s="446"/>
      <c r="N23" s="446"/>
      <c r="O23" s="446"/>
      <c r="P23" s="446"/>
      <c r="Q23" s="446"/>
      <c r="R23" s="446"/>
      <c r="S23" s="446"/>
      <c r="T23" s="446"/>
      <c r="U23" s="446"/>
      <c r="V23" s="447"/>
      <c r="W23" s="982">
        <f t="shared" si="0"/>
        <v>0</v>
      </c>
    </row>
    <row r="24" spans="1:23" s="123" customFormat="1" ht="18" customHeight="1">
      <c r="A24" s="440"/>
      <c r="B24" s="438"/>
      <c r="C24" s="411"/>
      <c r="D24" s="411"/>
      <c r="E24" s="445"/>
      <c r="F24" s="446"/>
      <c r="G24" s="443"/>
      <c r="H24" s="444"/>
      <c r="I24" s="445"/>
      <c r="J24" s="446"/>
      <c r="K24" s="446"/>
      <c r="L24" s="446"/>
      <c r="M24" s="446"/>
      <c r="N24" s="446"/>
      <c r="O24" s="446"/>
      <c r="P24" s="446"/>
      <c r="Q24" s="446"/>
      <c r="R24" s="446"/>
      <c r="S24" s="446"/>
      <c r="T24" s="446"/>
      <c r="U24" s="446"/>
      <c r="V24" s="447"/>
      <c r="W24" s="982">
        <f t="shared" si="0"/>
        <v>0</v>
      </c>
    </row>
    <row r="25" spans="1:23" s="123" customFormat="1" ht="18" customHeight="1">
      <c r="A25" s="440"/>
      <c r="B25" s="438"/>
      <c r="C25" s="411"/>
      <c r="D25" s="411"/>
      <c r="E25" s="445"/>
      <c r="F25" s="446"/>
      <c r="G25" s="443"/>
      <c r="H25" s="444"/>
      <c r="I25" s="445"/>
      <c r="J25" s="446"/>
      <c r="K25" s="446"/>
      <c r="L25" s="446"/>
      <c r="M25" s="446"/>
      <c r="N25" s="446"/>
      <c r="O25" s="446"/>
      <c r="P25" s="446"/>
      <c r="Q25" s="446"/>
      <c r="R25" s="446"/>
      <c r="S25" s="446"/>
      <c r="T25" s="446"/>
      <c r="U25" s="446"/>
      <c r="V25" s="447"/>
      <c r="W25" s="982">
        <f t="shared" si="0"/>
        <v>0</v>
      </c>
    </row>
    <row r="26" spans="1:23" s="123" customFormat="1" ht="18" customHeight="1">
      <c r="A26" s="440"/>
      <c r="B26" s="438"/>
      <c r="C26" s="411"/>
      <c r="D26" s="411"/>
      <c r="E26" s="445"/>
      <c r="F26" s="446"/>
      <c r="G26" s="443"/>
      <c r="H26" s="444"/>
      <c r="I26" s="445"/>
      <c r="J26" s="446"/>
      <c r="K26" s="446"/>
      <c r="L26" s="446"/>
      <c r="M26" s="446"/>
      <c r="N26" s="446"/>
      <c r="O26" s="446"/>
      <c r="P26" s="446"/>
      <c r="Q26" s="446"/>
      <c r="R26" s="446"/>
      <c r="S26" s="446"/>
      <c r="T26" s="446"/>
      <c r="U26" s="446"/>
      <c r="V26" s="447"/>
      <c r="W26" s="982">
        <f t="shared" si="0"/>
        <v>0</v>
      </c>
    </row>
    <row r="27" spans="1:23" s="123" customFormat="1" ht="18" customHeight="1">
      <c r="A27" s="440"/>
      <c r="B27" s="438"/>
      <c r="C27" s="411"/>
      <c r="D27" s="411"/>
      <c r="E27" s="445"/>
      <c r="F27" s="446"/>
      <c r="G27" s="443"/>
      <c r="H27" s="444"/>
      <c r="I27" s="445"/>
      <c r="J27" s="446"/>
      <c r="K27" s="446"/>
      <c r="L27" s="446"/>
      <c r="M27" s="446"/>
      <c r="N27" s="446"/>
      <c r="O27" s="446"/>
      <c r="P27" s="446"/>
      <c r="Q27" s="446"/>
      <c r="R27" s="446"/>
      <c r="S27" s="446"/>
      <c r="T27" s="446"/>
      <c r="U27" s="446"/>
      <c r="V27" s="447"/>
      <c r="W27" s="982">
        <f t="shared" si="0"/>
        <v>0</v>
      </c>
    </row>
    <row r="28" spans="1:23" s="123" customFormat="1" ht="18" customHeight="1">
      <c r="A28" s="440"/>
      <c r="B28" s="438"/>
      <c r="C28" s="411"/>
      <c r="D28" s="411"/>
      <c r="E28" s="445"/>
      <c r="F28" s="446"/>
      <c r="G28" s="443"/>
      <c r="H28" s="444"/>
      <c r="I28" s="445"/>
      <c r="J28" s="446"/>
      <c r="K28" s="446"/>
      <c r="L28" s="446"/>
      <c r="M28" s="446"/>
      <c r="N28" s="446"/>
      <c r="O28" s="446"/>
      <c r="P28" s="446"/>
      <c r="Q28" s="446"/>
      <c r="R28" s="446"/>
      <c r="S28" s="446"/>
      <c r="T28" s="446"/>
      <c r="U28" s="446"/>
      <c r="V28" s="447"/>
      <c r="W28" s="982">
        <f t="shared" si="0"/>
        <v>0</v>
      </c>
    </row>
    <row r="29" spans="1:23" s="123" customFormat="1" ht="18" customHeight="1">
      <c r="A29" s="440"/>
      <c r="B29" s="438"/>
      <c r="C29" s="411"/>
      <c r="D29" s="411"/>
      <c r="E29" s="445"/>
      <c r="F29" s="446"/>
      <c r="G29" s="443"/>
      <c r="H29" s="444"/>
      <c r="I29" s="445"/>
      <c r="J29" s="446"/>
      <c r="K29" s="446"/>
      <c r="L29" s="446"/>
      <c r="M29" s="446"/>
      <c r="N29" s="446"/>
      <c r="O29" s="446"/>
      <c r="P29" s="446"/>
      <c r="Q29" s="446"/>
      <c r="R29" s="446"/>
      <c r="S29" s="446"/>
      <c r="T29" s="446"/>
      <c r="U29" s="446"/>
      <c r="V29" s="447"/>
      <c r="W29" s="982">
        <f t="shared" si="0"/>
        <v>0</v>
      </c>
    </row>
    <row r="30" spans="1:23" s="123" customFormat="1" ht="18" customHeight="1">
      <c r="A30" s="440"/>
      <c r="B30" s="438"/>
      <c r="C30" s="411"/>
      <c r="D30" s="411"/>
      <c r="E30" s="445"/>
      <c r="F30" s="446"/>
      <c r="G30" s="443"/>
      <c r="H30" s="444"/>
      <c r="I30" s="445"/>
      <c r="J30" s="446"/>
      <c r="K30" s="446"/>
      <c r="L30" s="446"/>
      <c r="M30" s="446"/>
      <c r="N30" s="446"/>
      <c r="O30" s="446"/>
      <c r="P30" s="446"/>
      <c r="Q30" s="446"/>
      <c r="R30" s="446"/>
      <c r="S30" s="446"/>
      <c r="T30" s="446"/>
      <c r="U30" s="446"/>
      <c r="V30" s="447"/>
      <c r="W30" s="982">
        <f t="shared" si="0"/>
        <v>0</v>
      </c>
    </row>
    <row r="31" spans="1:23" s="123" customFormat="1" ht="18" customHeight="1">
      <c r="A31" s="440"/>
      <c r="B31" s="438"/>
      <c r="C31" s="411"/>
      <c r="D31" s="411"/>
      <c r="E31" s="445"/>
      <c r="F31" s="446"/>
      <c r="G31" s="443"/>
      <c r="H31" s="444"/>
      <c r="I31" s="445"/>
      <c r="J31" s="446"/>
      <c r="K31" s="446"/>
      <c r="L31" s="446"/>
      <c r="M31" s="446"/>
      <c r="N31" s="446"/>
      <c r="O31" s="446"/>
      <c r="P31" s="446"/>
      <c r="Q31" s="446"/>
      <c r="R31" s="446"/>
      <c r="S31" s="446"/>
      <c r="T31" s="446"/>
      <c r="U31" s="446"/>
      <c r="V31" s="447"/>
      <c r="W31" s="982">
        <f t="shared" si="0"/>
        <v>0</v>
      </c>
    </row>
    <row r="32" spans="1:23" s="123" customFormat="1" ht="18" customHeight="1">
      <c r="A32" s="440"/>
      <c r="B32" s="438"/>
      <c r="C32" s="411"/>
      <c r="D32" s="411"/>
      <c r="E32" s="445"/>
      <c r="F32" s="446"/>
      <c r="G32" s="443"/>
      <c r="H32" s="444"/>
      <c r="I32" s="445"/>
      <c r="J32" s="446"/>
      <c r="K32" s="446"/>
      <c r="L32" s="446"/>
      <c r="M32" s="446"/>
      <c r="N32" s="446"/>
      <c r="O32" s="446"/>
      <c r="P32" s="446"/>
      <c r="Q32" s="446"/>
      <c r="R32" s="446"/>
      <c r="S32" s="446"/>
      <c r="T32" s="446"/>
      <c r="U32" s="446"/>
      <c r="V32" s="447"/>
      <c r="W32" s="982">
        <f t="shared" si="0"/>
        <v>0</v>
      </c>
    </row>
    <row r="33" spans="1:23" s="123" customFormat="1" ht="18" customHeight="1">
      <c r="A33" s="440"/>
      <c r="B33" s="438"/>
      <c r="C33" s="411"/>
      <c r="D33" s="411"/>
      <c r="E33" s="445"/>
      <c r="F33" s="446"/>
      <c r="G33" s="443"/>
      <c r="H33" s="444"/>
      <c r="I33" s="445"/>
      <c r="J33" s="446"/>
      <c r="K33" s="446"/>
      <c r="L33" s="446"/>
      <c r="M33" s="446"/>
      <c r="N33" s="446"/>
      <c r="O33" s="446"/>
      <c r="P33" s="446"/>
      <c r="Q33" s="446"/>
      <c r="R33" s="446"/>
      <c r="S33" s="446"/>
      <c r="T33" s="446"/>
      <c r="U33" s="446"/>
      <c r="V33" s="447"/>
      <c r="W33" s="982">
        <f t="shared" si="0"/>
        <v>0</v>
      </c>
    </row>
    <row r="34" spans="1:23" s="123" customFormat="1" ht="18" customHeight="1">
      <c r="A34" s="440"/>
      <c r="B34" s="438"/>
      <c r="C34" s="411"/>
      <c r="D34" s="411"/>
      <c r="E34" s="445"/>
      <c r="F34" s="446"/>
      <c r="G34" s="443"/>
      <c r="H34" s="444"/>
      <c r="I34" s="445"/>
      <c r="J34" s="446"/>
      <c r="K34" s="446"/>
      <c r="L34" s="446"/>
      <c r="M34" s="446"/>
      <c r="N34" s="446"/>
      <c r="O34" s="446"/>
      <c r="P34" s="446"/>
      <c r="Q34" s="446"/>
      <c r="R34" s="446"/>
      <c r="S34" s="446"/>
      <c r="T34" s="446"/>
      <c r="U34" s="446"/>
      <c r="V34" s="447"/>
      <c r="W34" s="982">
        <f t="shared" si="0"/>
        <v>0</v>
      </c>
    </row>
    <row r="35" spans="1:23" s="123" customFormat="1" ht="18" customHeight="1">
      <c r="A35" s="440"/>
      <c r="B35" s="438"/>
      <c r="C35" s="411"/>
      <c r="D35" s="411"/>
      <c r="E35" s="445"/>
      <c r="F35" s="446"/>
      <c r="G35" s="443"/>
      <c r="H35" s="444"/>
      <c r="I35" s="445"/>
      <c r="J35" s="446"/>
      <c r="K35" s="446"/>
      <c r="L35" s="446"/>
      <c r="M35" s="446"/>
      <c r="N35" s="446"/>
      <c r="O35" s="446"/>
      <c r="P35" s="446"/>
      <c r="Q35" s="446"/>
      <c r="R35" s="446"/>
      <c r="S35" s="446"/>
      <c r="T35" s="446"/>
      <c r="U35" s="446"/>
      <c r="V35" s="447"/>
      <c r="W35" s="982">
        <f t="shared" si="0"/>
        <v>0</v>
      </c>
    </row>
    <row r="36" spans="1:23" s="123" customFormat="1" ht="18" customHeight="1">
      <c r="A36" s="440"/>
      <c r="B36" s="438"/>
      <c r="C36" s="441"/>
      <c r="D36" s="411"/>
      <c r="E36" s="445"/>
      <c r="F36" s="446"/>
      <c r="G36" s="443"/>
      <c r="H36" s="444"/>
      <c r="I36" s="445"/>
      <c r="J36" s="446"/>
      <c r="K36" s="446"/>
      <c r="L36" s="446"/>
      <c r="M36" s="446"/>
      <c r="N36" s="446"/>
      <c r="O36" s="446"/>
      <c r="P36" s="446"/>
      <c r="Q36" s="446"/>
      <c r="R36" s="446"/>
      <c r="S36" s="446"/>
      <c r="T36" s="446"/>
      <c r="U36" s="446"/>
      <c r="V36" s="447"/>
      <c r="W36" s="982">
        <f t="shared" si="0"/>
        <v>0</v>
      </c>
    </row>
    <row r="37" spans="1:23" s="123" customFormat="1" ht="18" customHeight="1">
      <c r="A37" s="440"/>
      <c r="B37" s="438"/>
      <c r="C37" s="441"/>
      <c r="D37" s="441"/>
      <c r="E37" s="442"/>
      <c r="F37" s="450"/>
      <c r="G37" s="448"/>
      <c r="H37" s="449"/>
      <c r="I37" s="442"/>
      <c r="J37" s="450"/>
      <c r="K37" s="450"/>
      <c r="L37" s="450"/>
      <c r="M37" s="450"/>
      <c r="N37" s="450"/>
      <c r="O37" s="450"/>
      <c r="P37" s="446"/>
      <c r="Q37" s="446"/>
      <c r="R37" s="446"/>
      <c r="S37" s="446"/>
      <c r="T37" s="446"/>
      <c r="U37" s="446"/>
      <c r="V37" s="447"/>
      <c r="W37" s="982">
        <f t="shared" si="0"/>
        <v>0</v>
      </c>
    </row>
    <row r="38" spans="1:23" s="123" customFormat="1" ht="18" customHeight="1">
      <c r="A38" s="440"/>
      <c r="B38" s="438"/>
      <c r="C38" s="441"/>
      <c r="D38" s="441"/>
      <c r="E38" s="442"/>
      <c r="F38" s="450"/>
      <c r="G38" s="448"/>
      <c r="H38" s="449"/>
      <c r="I38" s="442"/>
      <c r="J38" s="450"/>
      <c r="K38" s="450"/>
      <c r="L38" s="450"/>
      <c r="M38" s="450"/>
      <c r="N38" s="450"/>
      <c r="O38" s="450"/>
      <c r="P38" s="446"/>
      <c r="Q38" s="446"/>
      <c r="R38" s="446"/>
      <c r="S38" s="446"/>
      <c r="T38" s="446"/>
      <c r="U38" s="446"/>
      <c r="V38" s="447"/>
      <c r="W38" s="982">
        <f t="shared" si="0"/>
        <v>0</v>
      </c>
    </row>
    <row r="39" spans="1:23" s="123" customFormat="1" ht="18" customHeight="1">
      <c r="A39" s="440"/>
      <c r="B39" s="438"/>
      <c r="C39" s="411"/>
      <c r="D39" s="411"/>
      <c r="E39" s="445"/>
      <c r="F39" s="446"/>
      <c r="G39" s="443"/>
      <c r="H39" s="444"/>
      <c r="I39" s="445"/>
      <c r="J39" s="446"/>
      <c r="K39" s="446"/>
      <c r="L39" s="446"/>
      <c r="M39" s="446"/>
      <c r="N39" s="446"/>
      <c r="O39" s="446"/>
      <c r="P39" s="446"/>
      <c r="Q39" s="446"/>
      <c r="R39" s="446"/>
      <c r="S39" s="446"/>
      <c r="T39" s="446"/>
      <c r="U39" s="446"/>
      <c r="V39" s="447"/>
      <c r="W39" s="982">
        <f t="shared" si="0"/>
        <v>0</v>
      </c>
    </row>
    <row r="40" spans="1:23" s="123" customFormat="1" ht="18" customHeight="1">
      <c r="A40" s="440"/>
      <c r="B40" s="438"/>
      <c r="C40" s="411"/>
      <c r="D40" s="411"/>
      <c r="E40" s="445"/>
      <c r="F40" s="446"/>
      <c r="G40" s="443"/>
      <c r="H40" s="444"/>
      <c r="I40" s="445"/>
      <c r="J40" s="446"/>
      <c r="K40" s="446"/>
      <c r="L40" s="446"/>
      <c r="M40" s="446"/>
      <c r="N40" s="446"/>
      <c r="O40" s="446"/>
      <c r="P40" s="446"/>
      <c r="Q40" s="446"/>
      <c r="R40" s="446"/>
      <c r="S40" s="446"/>
      <c r="T40" s="446"/>
      <c r="U40" s="446"/>
      <c r="V40" s="447"/>
      <c r="W40" s="982">
        <f t="shared" si="0"/>
        <v>0</v>
      </c>
    </row>
    <row r="41" spans="1:23" s="123" customFormat="1" ht="18" customHeight="1">
      <c r="A41" s="440"/>
      <c r="B41" s="438"/>
      <c r="C41" s="411"/>
      <c r="D41" s="411"/>
      <c r="E41" s="445"/>
      <c r="F41" s="446"/>
      <c r="G41" s="443"/>
      <c r="H41" s="444"/>
      <c r="I41" s="445"/>
      <c r="J41" s="446"/>
      <c r="K41" s="446"/>
      <c r="L41" s="446"/>
      <c r="M41" s="446"/>
      <c r="N41" s="446"/>
      <c r="O41" s="446"/>
      <c r="P41" s="446"/>
      <c r="Q41" s="446"/>
      <c r="R41" s="446"/>
      <c r="S41" s="446"/>
      <c r="T41" s="446"/>
      <c r="U41" s="446"/>
      <c r="V41" s="451"/>
      <c r="W41" s="982">
        <f t="shared" si="0"/>
        <v>0</v>
      </c>
    </row>
    <row r="42" spans="1:23" s="123" customFormat="1" ht="18" customHeight="1" thickBot="1">
      <c r="A42" s="440"/>
      <c r="B42" s="438"/>
      <c r="C42" s="411"/>
      <c r="D42" s="411"/>
      <c r="E42" s="445"/>
      <c r="F42" s="446"/>
      <c r="G42" s="443"/>
      <c r="H42" s="444"/>
      <c r="I42" s="445"/>
      <c r="J42" s="446"/>
      <c r="K42" s="446"/>
      <c r="L42" s="446"/>
      <c r="M42" s="446"/>
      <c r="N42" s="446"/>
      <c r="O42" s="446"/>
      <c r="P42" s="446"/>
      <c r="Q42" s="446"/>
      <c r="R42" s="446"/>
      <c r="S42" s="446"/>
      <c r="T42" s="446"/>
      <c r="U42" s="452"/>
      <c r="V42" s="40"/>
      <c r="W42" s="983">
        <f t="shared" si="0"/>
        <v>0</v>
      </c>
    </row>
    <row r="43" spans="1:23" s="1" customFormat="1" ht="26.25" customHeight="1" thickTop="1" thickBot="1">
      <c r="A43" s="214"/>
      <c r="B43" s="218"/>
      <c r="C43" s="433" t="s">
        <v>19</v>
      </c>
      <c r="D43" s="434"/>
      <c r="E43" s="976">
        <f>SUM(E13:E42)</f>
        <v>0</v>
      </c>
      <c r="F43" s="976">
        <f>SUM(F13:F42)</f>
        <v>0</v>
      </c>
      <c r="G43" s="978">
        <f t="shared" ref="G43:V43" si="1">SUM(G13:G42)</f>
        <v>0</v>
      </c>
      <c r="H43" s="979">
        <f t="shared" si="1"/>
        <v>0</v>
      </c>
      <c r="I43" s="976">
        <f t="shared" si="1"/>
        <v>0</v>
      </c>
      <c r="J43" s="976">
        <f t="shared" si="1"/>
        <v>0</v>
      </c>
      <c r="K43" s="976">
        <f t="shared" si="1"/>
        <v>0</v>
      </c>
      <c r="L43" s="976">
        <f t="shared" si="1"/>
        <v>0</v>
      </c>
      <c r="M43" s="976">
        <f t="shared" si="1"/>
        <v>0</v>
      </c>
      <c r="N43" s="976">
        <f t="shared" si="1"/>
        <v>0</v>
      </c>
      <c r="O43" s="976">
        <f t="shared" si="1"/>
        <v>0</v>
      </c>
      <c r="P43" s="976">
        <f t="shared" si="1"/>
        <v>0</v>
      </c>
      <c r="Q43" s="976">
        <f t="shared" si="1"/>
        <v>0</v>
      </c>
      <c r="R43" s="976">
        <f t="shared" si="1"/>
        <v>0</v>
      </c>
      <c r="S43" s="976">
        <f t="shared" si="1"/>
        <v>0</v>
      </c>
      <c r="T43" s="976">
        <f t="shared" si="1"/>
        <v>0</v>
      </c>
      <c r="U43" s="976">
        <f t="shared" si="1"/>
        <v>0</v>
      </c>
      <c r="V43" s="976">
        <f t="shared" si="1"/>
        <v>0</v>
      </c>
      <c r="W43" s="984">
        <f>(SUM((E43:G43))-(SUM((H43:V43))))</f>
        <v>0</v>
      </c>
    </row>
    <row r="44" spans="1:23" s="1" customFormat="1" ht="26.25" customHeight="1" thickTop="1" thickBot="1">
      <c r="A44" s="214"/>
      <c r="B44" s="218"/>
      <c r="C44" s="433" t="s">
        <v>257</v>
      </c>
      <c r="D44" s="434"/>
      <c r="E44" s="976">
        <f>E12+E43</f>
        <v>0</v>
      </c>
      <c r="F44" s="976">
        <f>F12+F43</f>
        <v>0</v>
      </c>
      <c r="G44" s="978">
        <f t="shared" ref="G44:V44" si="2">G12+G43</f>
        <v>0</v>
      </c>
      <c r="H44" s="979">
        <f t="shared" si="2"/>
        <v>0</v>
      </c>
      <c r="I44" s="976">
        <f t="shared" si="2"/>
        <v>0</v>
      </c>
      <c r="J44" s="976">
        <f t="shared" si="2"/>
        <v>0</v>
      </c>
      <c r="K44" s="976">
        <f t="shared" si="2"/>
        <v>0</v>
      </c>
      <c r="L44" s="976">
        <f t="shared" si="2"/>
        <v>0</v>
      </c>
      <c r="M44" s="976">
        <f t="shared" si="2"/>
        <v>0</v>
      </c>
      <c r="N44" s="976">
        <f t="shared" si="2"/>
        <v>0</v>
      </c>
      <c r="O44" s="976">
        <f t="shared" si="2"/>
        <v>0</v>
      </c>
      <c r="P44" s="976">
        <f t="shared" si="2"/>
        <v>0</v>
      </c>
      <c r="Q44" s="976">
        <f t="shared" si="2"/>
        <v>0</v>
      </c>
      <c r="R44" s="976">
        <f t="shared" si="2"/>
        <v>0</v>
      </c>
      <c r="S44" s="976">
        <f t="shared" si="2"/>
        <v>0</v>
      </c>
      <c r="T44" s="976">
        <f t="shared" si="2"/>
        <v>0</v>
      </c>
      <c r="U44" s="976">
        <f t="shared" si="2"/>
        <v>0</v>
      </c>
      <c r="V44" s="976">
        <f t="shared" si="2"/>
        <v>0</v>
      </c>
      <c r="W44" s="985">
        <f>(SUM((E44:G44))-(SUM((H44:V44))))</f>
        <v>0</v>
      </c>
    </row>
    <row r="45" spans="1:23" s="1" customFormat="1" ht="26.25" customHeight="1" thickTop="1" thickBot="1">
      <c r="A45" s="215"/>
      <c r="B45" s="219"/>
      <c r="C45" s="435" t="s">
        <v>20</v>
      </c>
      <c r="D45" s="436"/>
      <c r="E45" s="977">
        <f>E11+E44</f>
        <v>0</v>
      </c>
      <c r="F45" s="977">
        <f>F11+F44</f>
        <v>0</v>
      </c>
      <c r="G45" s="980">
        <f t="shared" ref="G45:V45" si="3">G11+G44</f>
        <v>0</v>
      </c>
      <c r="H45" s="981">
        <f t="shared" si="3"/>
        <v>0</v>
      </c>
      <c r="I45" s="977">
        <f t="shared" si="3"/>
        <v>0</v>
      </c>
      <c r="J45" s="977">
        <f t="shared" si="3"/>
        <v>0</v>
      </c>
      <c r="K45" s="977">
        <f t="shared" si="3"/>
        <v>0</v>
      </c>
      <c r="L45" s="977">
        <f t="shared" si="3"/>
        <v>0</v>
      </c>
      <c r="M45" s="977">
        <f t="shared" si="3"/>
        <v>0</v>
      </c>
      <c r="N45" s="977">
        <f t="shared" si="3"/>
        <v>0</v>
      </c>
      <c r="O45" s="977">
        <f t="shared" si="3"/>
        <v>0</v>
      </c>
      <c r="P45" s="977">
        <f t="shared" si="3"/>
        <v>0</v>
      </c>
      <c r="Q45" s="977">
        <f t="shared" si="3"/>
        <v>0</v>
      </c>
      <c r="R45" s="977">
        <f t="shared" si="3"/>
        <v>0</v>
      </c>
      <c r="S45" s="977">
        <f t="shared" si="3"/>
        <v>0</v>
      </c>
      <c r="T45" s="977">
        <f t="shared" si="3"/>
        <v>0</v>
      </c>
      <c r="U45" s="977">
        <f t="shared" si="3"/>
        <v>0</v>
      </c>
      <c r="V45" s="977">
        <f t="shared" si="3"/>
        <v>0</v>
      </c>
      <c r="W45" s="986">
        <f>(SUM((E45:G45))-(SUM((H45:V45))))</f>
        <v>0</v>
      </c>
    </row>
    <row r="46" spans="1:23" s="123" customFormat="1" ht="15">
      <c r="B46" s="138"/>
    </row>
    <row r="47" spans="1:23" s="123" customFormat="1" ht="15.75">
      <c r="A47" s="139"/>
      <c r="B47" s="138"/>
      <c r="C47" s="1"/>
      <c r="D47" s="1"/>
      <c r="E47" s="1"/>
      <c r="F47" s="1"/>
      <c r="G47" s="1"/>
      <c r="H47" s="1"/>
      <c r="I47" s="7"/>
      <c r="J47" s="7"/>
      <c r="K47" s="7"/>
      <c r="L47" s="7"/>
      <c r="M47" s="140"/>
      <c r="Q47" s="11"/>
      <c r="R47" s="455" t="str">
        <f>DT!D28</f>
        <v>Nagrak, 29 Februari 2016 2016</v>
      </c>
      <c r="S47" s="11"/>
      <c r="T47" s="11"/>
    </row>
    <row r="48" spans="1:23" s="123" customFormat="1" ht="15.75">
      <c r="A48" s="139"/>
      <c r="B48" s="138"/>
      <c r="C48" s="148" t="s">
        <v>21</v>
      </c>
      <c r="D48" s="1"/>
      <c r="E48" s="1"/>
      <c r="F48" s="1"/>
      <c r="G48" s="1"/>
      <c r="H48" s="1"/>
      <c r="I48" s="7"/>
      <c r="J48" s="7"/>
      <c r="K48" s="7"/>
      <c r="L48" s="7"/>
      <c r="Q48" s="11"/>
      <c r="R48" s="11" t="s">
        <v>22</v>
      </c>
      <c r="S48" s="11"/>
      <c r="T48" s="11"/>
    </row>
    <row r="49" spans="2:20" s="123" customFormat="1" ht="15.75">
      <c r="B49" s="138"/>
      <c r="C49" s="148" t="s">
        <v>23</v>
      </c>
      <c r="D49" s="1"/>
      <c r="E49" s="1"/>
      <c r="F49" s="1"/>
      <c r="G49" s="1"/>
      <c r="H49" s="1"/>
      <c r="I49" s="7"/>
      <c r="J49" s="7"/>
      <c r="K49" s="7"/>
      <c r="L49" s="7"/>
      <c r="Q49" s="14"/>
      <c r="R49" s="14" t="s">
        <v>24</v>
      </c>
      <c r="S49" s="14"/>
      <c r="T49" s="14"/>
    </row>
    <row r="50" spans="2:20" ht="15.75">
      <c r="C50" s="15"/>
      <c r="D50" s="15"/>
      <c r="E50" s="20"/>
      <c r="F50" s="20"/>
      <c r="G50" s="20"/>
      <c r="H50" s="20"/>
      <c r="I50" s="20"/>
      <c r="J50" s="20"/>
      <c r="K50" s="20"/>
      <c r="L50" s="20"/>
      <c r="M50" s="20"/>
      <c r="N50" s="20"/>
      <c r="R50" s="11"/>
    </row>
    <row r="51" spans="2:20" s="120" customFormat="1" ht="23.25">
      <c r="R51" s="13"/>
    </row>
    <row r="52" spans="2:20" s="120" customFormat="1" ht="23.25"/>
    <row r="53" spans="2:20" s="120" customFormat="1" ht="23.25">
      <c r="C53" s="11" t="str">
        <f>DT!D14</f>
        <v>Endang Taryana</v>
      </c>
      <c r="R53" s="14" t="str">
        <f>DT!D15</f>
        <v>Arin Yustini, SE</v>
      </c>
    </row>
    <row r="54" spans="2:20" s="123" customFormat="1" ht="15"/>
    <row r="55" spans="2:20" s="123" customFormat="1" ht="15"/>
    <row r="56" spans="2:20" s="123" customFormat="1" ht="15"/>
    <row r="57" spans="2:20" s="123" customFormat="1" ht="15"/>
    <row r="58" spans="2:20" s="123" customFormat="1" ht="18.75" customHeight="1"/>
    <row r="59" spans="2:20" s="123" customFormat="1" ht="17.25" customHeight="1"/>
    <row r="60" spans="2:20" s="123" customFormat="1" ht="15"/>
    <row r="61" spans="2:20" s="123" customFormat="1" ht="15"/>
    <row r="62" spans="2:20" s="1" customFormat="1" ht="24" customHeight="1"/>
    <row r="63" spans="2:20" s="74" customFormat="1" ht="24" customHeight="1"/>
    <row r="64" spans="2:20" s="123" customFormat="1" ht="17.25" customHeight="1"/>
    <row r="65" s="123" customFormat="1" ht="17.25" customHeight="1"/>
    <row r="66" s="123" customFormat="1" ht="17.25" customHeight="1"/>
    <row r="67" s="123" customFormat="1" ht="17.25" customHeight="1"/>
    <row r="68" s="123" customFormat="1" ht="17.25" customHeight="1"/>
    <row r="69" s="123" customFormat="1" ht="17.25" customHeight="1"/>
    <row r="70" s="123" customFormat="1" ht="17.25" customHeight="1"/>
    <row r="71" s="123" customFormat="1" ht="17.25" customHeight="1"/>
    <row r="72" s="123" customFormat="1" ht="17.25" customHeight="1"/>
    <row r="73" s="1" customFormat="1" ht="26.25" customHeight="1"/>
    <row r="74" s="1" customFormat="1" ht="26.25" customHeight="1"/>
    <row r="75" s="1" customFormat="1" ht="26.25" customHeight="1"/>
    <row r="76" s="123" customFormat="1" ht="15"/>
    <row r="77" s="123" customFormat="1" ht="15"/>
    <row r="78" s="123" customFormat="1" ht="15"/>
    <row r="79" s="123" customFormat="1" ht="15"/>
  </sheetData>
  <mergeCells count="24">
    <mergeCell ref="A1:W1"/>
    <mergeCell ref="A2:W2"/>
    <mergeCell ref="A3:W3"/>
    <mergeCell ref="A7:A10"/>
    <mergeCell ref="E7:G7"/>
    <mergeCell ref="R9:R10"/>
    <mergeCell ref="I9:I10"/>
    <mergeCell ref="U8:U10"/>
    <mergeCell ref="S9:S10"/>
    <mergeCell ref="W7:W10"/>
    <mergeCell ref="E8:E10"/>
    <mergeCell ref="H9:H10"/>
    <mergeCell ref="Q9:Q10"/>
    <mergeCell ref="J9:J10"/>
    <mergeCell ref="K9:K10"/>
    <mergeCell ref="F8:F10"/>
    <mergeCell ref="H7:V7"/>
    <mergeCell ref="T8:T10"/>
    <mergeCell ref="N9:N10"/>
    <mergeCell ref="O9:O10"/>
    <mergeCell ref="H8:S8"/>
    <mergeCell ref="L9:L10"/>
    <mergeCell ref="M9:M10"/>
    <mergeCell ref="P9:P10"/>
  </mergeCells>
  <printOptions horizontalCentered="1" verticalCentered="1"/>
  <pageMargins left="0.19685039370078741" right="0.19685039370078741" top="0.59055118110236227" bottom="0.23622047244094491" header="0.6692913385826772" footer="0.51181102362204722"/>
  <pageSetup paperSize="9" scale="47" orientation="landscape" horizontalDpi="300" verticalDpi="300" r:id="rId1"/>
  <headerFooter alignWithMargins="0"/>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5"/>
  </sheetPr>
  <dimension ref="A1:W79"/>
  <sheetViews>
    <sheetView topLeftCell="A16" zoomScale="60" zoomScaleNormal="60" zoomScaleSheetLayoutView="55" workbookViewId="0">
      <selection sqref="A1:W1"/>
    </sheetView>
  </sheetViews>
  <sheetFormatPr defaultColWidth="9.140625" defaultRowHeight="12.75"/>
  <cols>
    <col min="1" max="1" width="4.140625" style="40" customWidth="1"/>
    <col min="2" max="2" width="17.140625" style="75" customWidth="1"/>
    <col min="3" max="3" width="49.7109375" style="40" customWidth="1"/>
    <col min="4" max="4" width="13" style="40" customWidth="1"/>
    <col min="5" max="5" width="16.85546875" style="40" customWidth="1"/>
    <col min="6" max="6" width="15.85546875" style="40" customWidth="1"/>
    <col min="7" max="7" width="13.42578125" style="40" customWidth="1"/>
    <col min="8" max="10" width="16.28515625" style="40" customWidth="1"/>
    <col min="11" max="11" width="16.140625" style="40" customWidth="1"/>
    <col min="12" max="18" width="13.7109375" style="40" customWidth="1"/>
    <col min="19" max="19" width="13.85546875" style="40" customWidth="1"/>
    <col min="20" max="20" width="16.42578125" style="40" customWidth="1"/>
    <col min="21" max="21" width="13.42578125" style="40" customWidth="1"/>
    <col min="22" max="22" width="11.28515625" style="40" bestFit="1" customWidth="1"/>
    <col min="23" max="23" width="12.7109375" style="40" customWidth="1"/>
    <col min="24" max="16384" width="9.140625" style="22"/>
  </cols>
  <sheetData>
    <row r="1" spans="1:23" ht="26.25">
      <c r="A1" s="3525" t="s">
        <v>0</v>
      </c>
      <c r="B1" s="3525"/>
      <c r="C1" s="3525"/>
      <c r="D1" s="3525"/>
      <c r="E1" s="3525"/>
      <c r="F1" s="3525"/>
      <c r="G1" s="3525"/>
      <c r="H1" s="3525"/>
      <c r="I1" s="3525"/>
      <c r="J1" s="3525"/>
      <c r="K1" s="3525"/>
      <c r="L1" s="3525"/>
      <c r="M1" s="3525"/>
      <c r="N1" s="3525"/>
      <c r="O1" s="3525"/>
      <c r="P1" s="3525"/>
      <c r="Q1" s="3525"/>
      <c r="R1" s="3525"/>
      <c r="S1" s="3525"/>
      <c r="T1" s="3525"/>
      <c r="U1" s="3525"/>
      <c r="V1" s="3525"/>
      <c r="W1" s="3525"/>
    </row>
    <row r="2" spans="1:23" ht="26.25">
      <c r="A2" s="3525" t="s">
        <v>35</v>
      </c>
      <c r="B2" s="3525"/>
      <c r="C2" s="3525"/>
      <c r="D2" s="3525"/>
      <c r="E2" s="3525"/>
      <c r="F2" s="3525"/>
      <c r="G2" s="3525"/>
      <c r="H2" s="3525"/>
      <c r="I2" s="3525"/>
      <c r="J2" s="3525"/>
      <c r="K2" s="3525"/>
      <c r="L2" s="3525"/>
      <c r="M2" s="3525"/>
      <c r="N2" s="3525"/>
      <c r="O2" s="3525"/>
      <c r="P2" s="3525"/>
      <c r="Q2" s="3525"/>
      <c r="R2" s="3525"/>
      <c r="S2" s="3525"/>
      <c r="T2" s="3525"/>
      <c r="U2" s="3525"/>
      <c r="V2" s="3525"/>
      <c r="W2" s="3525"/>
    </row>
    <row r="3" spans="1:23" ht="26.25">
      <c r="A3" s="3525" t="s">
        <v>567</v>
      </c>
      <c r="B3" s="3525"/>
      <c r="C3" s="3525"/>
      <c r="D3" s="3525"/>
      <c r="E3" s="3525"/>
      <c r="F3" s="3525"/>
      <c r="G3" s="3525"/>
      <c r="H3" s="3525"/>
      <c r="I3" s="3525"/>
      <c r="J3" s="3525"/>
      <c r="K3" s="3525"/>
      <c r="L3" s="3525"/>
      <c r="M3" s="3525"/>
      <c r="N3" s="3525"/>
      <c r="O3" s="3525"/>
      <c r="P3" s="3525"/>
      <c r="Q3" s="3525"/>
      <c r="R3" s="3525"/>
      <c r="S3" s="3525"/>
      <c r="T3" s="3525"/>
      <c r="U3" s="3525"/>
      <c r="V3" s="3525"/>
      <c r="W3" s="3525"/>
    </row>
    <row r="4" spans="1:23" s="123" customFormat="1" ht="15.75">
      <c r="B4" s="74" t="s">
        <v>2</v>
      </c>
      <c r="C4" s="4" t="str">
        <f>": "&amp;DT!$D$3</f>
        <v>: Nagrak</v>
      </c>
      <c r="O4" s="74"/>
      <c r="P4" s="74"/>
      <c r="Q4" s="74"/>
      <c r="R4" s="541" t="s">
        <v>3</v>
      </c>
      <c r="S4" s="6" t="str">
        <f>": "&amp;DT!D25</f>
        <v>: Februari 2016</v>
      </c>
      <c r="T4" s="6"/>
    </row>
    <row r="5" spans="1:23" s="123" customFormat="1" ht="15.75">
      <c r="B5" s="74" t="s">
        <v>4</v>
      </c>
      <c r="C5" s="4" t="str">
        <f>": "&amp;DT!$D$4</f>
        <v>: Sukabumi</v>
      </c>
    </row>
    <row r="6" spans="1:23" s="123" customFormat="1" ht="16.5" thickBot="1">
      <c r="B6" s="74" t="s">
        <v>6</v>
      </c>
      <c r="C6" s="4" t="str">
        <f>": "&amp;DT!$D$5</f>
        <v>: Jawa Barat</v>
      </c>
    </row>
    <row r="7" spans="1:23" s="123" customFormat="1" ht="25.5" customHeight="1">
      <c r="A7" s="3502" t="s">
        <v>36</v>
      </c>
      <c r="B7" s="3500" t="s">
        <v>7</v>
      </c>
      <c r="C7" s="3500" t="s">
        <v>8</v>
      </c>
      <c r="D7" s="3500" t="s">
        <v>9</v>
      </c>
      <c r="E7" s="3500" t="s">
        <v>10</v>
      </c>
      <c r="F7" s="3500"/>
      <c r="G7" s="3497"/>
      <c r="H7" s="3506" t="s">
        <v>394</v>
      </c>
      <c r="I7" s="3500"/>
      <c r="J7" s="3500"/>
      <c r="K7" s="3500"/>
      <c r="L7" s="3500"/>
      <c r="M7" s="3500"/>
      <c r="N7" s="3500"/>
      <c r="O7" s="3500"/>
      <c r="P7" s="3500"/>
      <c r="Q7" s="3500"/>
      <c r="R7" s="3500"/>
      <c r="S7" s="3500"/>
      <c r="T7" s="3500"/>
      <c r="U7" s="3500"/>
      <c r="V7" s="3500"/>
      <c r="W7" s="3497" t="s">
        <v>12</v>
      </c>
    </row>
    <row r="8" spans="1:23" s="123" customFormat="1" ht="20.25" customHeight="1">
      <c r="A8" s="3503"/>
      <c r="B8" s="3499"/>
      <c r="C8" s="3499"/>
      <c r="D8" s="3499"/>
      <c r="E8" s="3499" t="s">
        <v>236</v>
      </c>
      <c r="F8" s="3499" t="s">
        <v>63</v>
      </c>
      <c r="G8" s="3498" t="s">
        <v>18</v>
      </c>
      <c r="H8" s="3511" t="s">
        <v>567</v>
      </c>
      <c r="I8" s="3499"/>
      <c r="J8" s="3499"/>
      <c r="K8" s="3499"/>
      <c r="L8" s="3499"/>
      <c r="M8" s="3499"/>
      <c r="N8" s="3499"/>
      <c r="O8" s="3499"/>
      <c r="P8" s="3499"/>
      <c r="Q8" s="3499"/>
      <c r="R8" s="3499"/>
      <c r="S8" s="3499"/>
      <c r="T8" s="3499" t="s">
        <v>976</v>
      </c>
      <c r="U8" s="3499" t="s">
        <v>235</v>
      </c>
      <c r="V8" s="3499" t="s">
        <v>28</v>
      </c>
      <c r="W8" s="3498"/>
    </row>
    <row r="9" spans="1:23" s="123" customFormat="1" ht="24" customHeight="1">
      <c r="A9" s="3503"/>
      <c r="B9" s="3499"/>
      <c r="C9" s="3499"/>
      <c r="D9" s="3499"/>
      <c r="E9" s="3499"/>
      <c r="F9" s="3499"/>
      <c r="G9" s="3498"/>
      <c r="H9" s="3511" t="s">
        <v>1895</v>
      </c>
      <c r="I9" s="3499" t="s">
        <v>40</v>
      </c>
      <c r="J9" s="3499" t="s">
        <v>1896</v>
      </c>
      <c r="K9" s="3499" t="s">
        <v>2253</v>
      </c>
      <c r="L9" s="3499"/>
      <c r="M9" s="3499"/>
      <c r="N9" s="3499"/>
      <c r="O9" s="3499"/>
      <c r="P9" s="3499"/>
      <c r="Q9" s="3499"/>
      <c r="R9" s="3499"/>
      <c r="S9" s="3499" t="s">
        <v>569</v>
      </c>
      <c r="T9" s="3499"/>
      <c r="U9" s="3499"/>
      <c r="V9" s="3499"/>
      <c r="W9" s="3498"/>
    </row>
    <row r="10" spans="1:23" s="123" customFormat="1" ht="15.75" customHeight="1" thickBot="1">
      <c r="A10" s="3526"/>
      <c r="B10" s="3523"/>
      <c r="C10" s="3523"/>
      <c r="D10" s="3523"/>
      <c r="E10" s="3523"/>
      <c r="F10" s="3523"/>
      <c r="G10" s="3524"/>
      <c r="H10" s="3527"/>
      <c r="I10" s="3523"/>
      <c r="J10" s="3523"/>
      <c r="K10" s="3523"/>
      <c r="L10" s="3523"/>
      <c r="M10" s="3523"/>
      <c r="N10" s="3523"/>
      <c r="O10" s="3523"/>
      <c r="P10" s="3523"/>
      <c r="Q10" s="3523"/>
      <c r="R10" s="3523"/>
      <c r="S10" s="3523"/>
      <c r="T10" s="3523"/>
      <c r="U10" s="3523"/>
      <c r="V10" s="3523"/>
      <c r="W10" s="3524"/>
    </row>
    <row r="11" spans="1:23" s="1" customFormat="1" ht="28.5" customHeight="1">
      <c r="A11" s="2150"/>
      <c r="B11" s="2642"/>
      <c r="C11" s="2239" t="s">
        <v>258</v>
      </c>
      <c r="D11" s="2643"/>
      <c r="E11" s="2643">
        <v>50000000</v>
      </c>
      <c r="F11" s="2643">
        <v>5000000</v>
      </c>
      <c r="G11" s="2644">
        <v>0</v>
      </c>
      <c r="H11" s="2645">
        <v>15500000</v>
      </c>
      <c r="I11" s="2643">
        <v>2000000</v>
      </c>
      <c r="J11" s="2643">
        <v>3000000</v>
      </c>
      <c r="K11" s="2643">
        <v>29500000</v>
      </c>
      <c r="L11" s="2643">
        <v>0</v>
      </c>
      <c r="M11" s="2643">
        <v>0</v>
      </c>
      <c r="N11" s="2643">
        <v>0</v>
      </c>
      <c r="O11" s="2643">
        <v>0</v>
      </c>
      <c r="P11" s="2643">
        <v>0</v>
      </c>
      <c r="Q11" s="2643">
        <v>0</v>
      </c>
      <c r="R11" s="2643">
        <v>0</v>
      </c>
      <c r="S11" s="2643">
        <v>0</v>
      </c>
      <c r="T11" s="2643">
        <v>5000000</v>
      </c>
      <c r="U11" s="2643">
        <v>0</v>
      </c>
      <c r="V11" s="2643">
        <v>0</v>
      </c>
      <c r="W11" s="2643">
        <f>(SUM((E11:G11))-(SUM((H11:V11))))</f>
        <v>0</v>
      </c>
    </row>
    <row r="12" spans="1:23" s="74" customFormat="1" ht="28.5" customHeight="1" thickBot="1">
      <c r="A12" s="965"/>
      <c r="B12" s="966"/>
      <c r="C12" s="937" t="s">
        <v>539</v>
      </c>
      <c r="D12" s="967"/>
      <c r="E12" s="968"/>
      <c r="F12" s="1334"/>
      <c r="G12" s="971"/>
      <c r="H12" s="970"/>
      <c r="I12" s="968"/>
      <c r="J12" s="968"/>
      <c r="K12" s="968"/>
      <c r="L12" s="968"/>
      <c r="M12" s="968"/>
      <c r="N12" s="968"/>
      <c r="O12" s="968"/>
      <c r="P12" s="968"/>
      <c r="Q12" s="968"/>
      <c r="R12" s="968"/>
      <c r="S12" s="968"/>
      <c r="T12" s="968"/>
      <c r="U12" s="968"/>
      <c r="V12" s="968"/>
      <c r="W12" s="971">
        <f>W11+(SUM((E12:G12))-(SUM((H12:V12))))</f>
        <v>0</v>
      </c>
    </row>
    <row r="13" spans="1:23" s="123" customFormat="1" ht="18" customHeight="1">
      <c r="A13" s="439"/>
      <c r="B13" s="437"/>
      <c r="C13" s="411"/>
      <c r="D13" s="411"/>
      <c r="E13" s="445"/>
      <c r="F13" s="446"/>
      <c r="G13" s="447"/>
      <c r="H13" s="454"/>
      <c r="I13" s="445"/>
      <c r="J13" s="446"/>
      <c r="K13" s="446"/>
      <c r="L13" s="446"/>
      <c r="M13" s="446"/>
      <c r="N13" s="446"/>
      <c r="O13" s="446"/>
      <c r="P13" s="446"/>
      <c r="Q13" s="446"/>
      <c r="R13" s="446"/>
      <c r="S13" s="446"/>
      <c r="T13" s="446"/>
      <c r="U13" s="446"/>
      <c r="V13" s="447"/>
      <c r="W13" s="982">
        <f t="shared" ref="W13:W42" si="0">W12+(SUM((E13:G13))-(SUM((H13:V13))))</f>
        <v>0</v>
      </c>
    </row>
    <row r="14" spans="1:23" s="123" customFormat="1" ht="18" customHeight="1">
      <c r="A14" s="440"/>
      <c r="B14" s="438"/>
      <c r="C14" s="411"/>
      <c r="D14" s="411"/>
      <c r="E14" s="445"/>
      <c r="F14" s="446"/>
      <c r="G14" s="447"/>
      <c r="H14" s="454"/>
      <c r="I14" s="445"/>
      <c r="J14" s="446"/>
      <c r="K14" s="446"/>
      <c r="L14" s="446"/>
      <c r="M14" s="446"/>
      <c r="N14" s="446"/>
      <c r="O14" s="446"/>
      <c r="P14" s="446"/>
      <c r="Q14" s="446"/>
      <c r="R14" s="446"/>
      <c r="S14" s="446"/>
      <c r="T14" s="446"/>
      <c r="U14" s="446"/>
      <c r="V14" s="447"/>
      <c r="W14" s="982">
        <f t="shared" si="0"/>
        <v>0</v>
      </c>
    </row>
    <row r="15" spans="1:23" s="123" customFormat="1" ht="18" customHeight="1">
      <c r="A15" s="440"/>
      <c r="B15" s="438"/>
      <c r="C15" s="411"/>
      <c r="D15" s="441"/>
      <c r="E15" s="445"/>
      <c r="F15" s="446"/>
      <c r="G15" s="447"/>
      <c r="H15" s="454"/>
      <c r="I15" s="445"/>
      <c r="J15" s="450"/>
      <c r="K15" s="446"/>
      <c r="L15" s="446"/>
      <c r="M15" s="446"/>
      <c r="N15" s="446"/>
      <c r="O15" s="446"/>
      <c r="P15" s="446"/>
      <c r="Q15" s="446"/>
      <c r="R15" s="446"/>
      <c r="S15" s="446"/>
      <c r="T15" s="446"/>
      <c r="U15" s="446"/>
      <c r="V15" s="447"/>
      <c r="W15" s="982">
        <f t="shared" si="0"/>
        <v>0</v>
      </c>
    </row>
    <row r="16" spans="1:23" s="123" customFormat="1" ht="18" customHeight="1">
      <c r="A16" s="440"/>
      <c r="B16" s="438"/>
      <c r="C16" s="411"/>
      <c r="D16" s="411"/>
      <c r="E16" s="445"/>
      <c r="F16" s="446"/>
      <c r="G16" s="447"/>
      <c r="H16" s="454"/>
      <c r="I16" s="445"/>
      <c r="J16" s="446"/>
      <c r="K16" s="446"/>
      <c r="L16" s="446"/>
      <c r="M16" s="446"/>
      <c r="N16" s="446"/>
      <c r="O16" s="446"/>
      <c r="P16" s="446"/>
      <c r="Q16" s="446"/>
      <c r="R16" s="446"/>
      <c r="S16" s="446"/>
      <c r="T16" s="446"/>
      <c r="U16" s="446"/>
      <c r="V16" s="447"/>
      <c r="W16" s="982">
        <f t="shared" si="0"/>
        <v>0</v>
      </c>
    </row>
    <row r="17" spans="1:23" s="123" customFormat="1" ht="18" customHeight="1">
      <c r="A17" s="440"/>
      <c r="B17" s="438"/>
      <c r="C17" s="411"/>
      <c r="D17" s="411"/>
      <c r="E17" s="445"/>
      <c r="F17" s="446"/>
      <c r="G17" s="447"/>
      <c r="H17" s="454"/>
      <c r="I17" s="445"/>
      <c r="J17" s="446"/>
      <c r="K17" s="446"/>
      <c r="L17" s="446"/>
      <c r="M17" s="446"/>
      <c r="N17" s="446"/>
      <c r="O17" s="446"/>
      <c r="P17" s="446"/>
      <c r="Q17" s="446"/>
      <c r="R17" s="446"/>
      <c r="S17" s="446"/>
      <c r="T17" s="446"/>
      <c r="U17" s="446"/>
      <c r="V17" s="447"/>
      <c r="W17" s="982">
        <f t="shared" si="0"/>
        <v>0</v>
      </c>
    </row>
    <row r="18" spans="1:23" s="123" customFormat="1" ht="18" customHeight="1">
      <c r="A18" s="440"/>
      <c r="B18" s="438"/>
      <c r="C18" s="411"/>
      <c r="D18" s="411"/>
      <c r="E18" s="445"/>
      <c r="F18" s="446"/>
      <c r="G18" s="447"/>
      <c r="H18" s="454"/>
      <c r="I18" s="445"/>
      <c r="J18" s="446"/>
      <c r="K18" s="446"/>
      <c r="L18" s="446"/>
      <c r="M18" s="446"/>
      <c r="N18" s="446"/>
      <c r="O18" s="446"/>
      <c r="P18" s="446"/>
      <c r="Q18" s="446"/>
      <c r="R18" s="446"/>
      <c r="S18" s="446"/>
      <c r="T18" s="446"/>
      <c r="U18" s="446"/>
      <c r="V18" s="447"/>
      <c r="W18" s="982">
        <f t="shared" si="0"/>
        <v>0</v>
      </c>
    </row>
    <row r="19" spans="1:23" s="123" customFormat="1" ht="18" customHeight="1">
      <c r="A19" s="440"/>
      <c r="B19" s="438"/>
      <c r="C19" s="411"/>
      <c r="D19" s="411"/>
      <c r="E19" s="445"/>
      <c r="F19" s="446"/>
      <c r="G19" s="447"/>
      <c r="H19" s="454"/>
      <c r="I19" s="445"/>
      <c r="J19" s="446"/>
      <c r="K19" s="446"/>
      <c r="L19" s="446"/>
      <c r="M19" s="446"/>
      <c r="N19" s="446"/>
      <c r="O19" s="446"/>
      <c r="P19" s="446"/>
      <c r="Q19" s="446"/>
      <c r="R19" s="446"/>
      <c r="S19" s="446"/>
      <c r="T19" s="446"/>
      <c r="U19" s="446"/>
      <c r="V19" s="447"/>
      <c r="W19" s="982">
        <f t="shared" si="0"/>
        <v>0</v>
      </c>
    </row>
    <row r="20" spans="1:23" s="123" customFormat="1" ht="18" customHeight="1">
      <c r="A20" s="440"/>
      <c r="B20" s="438"/>
      <c r="C20" s="411"/>
      <c r="D20" s="411"/>
      <c r="E20" s="445"/>
      <c r="F20" s="446"/>
      <c r="G20" s="447"/>
      <c r="H20" s="454"/>
      <c r="I20" s="445"/>
      <c r="J20" s="446"/>
      <c r="K20" s="446"/>
      <c r="L20" s="446"/>
      <c r="M20" s="446"/>
      <c r="N20" s="446"/>
      <c r="O20" s="446"/>
      <c r="P20" s="446"/>
      <c r="Q20" s="446"/>
      <c r="R20" s="446"/>
      <c r="S20" s="446"/>
      <c r="T20" s="446"/>
      <c r="U20" s="446"/>
      <c r="V20" s="447"/>
      <c r="W20" s="982">
        <f t="shared" si="0"/>
        <v>0</v>
      </c>
    </row>
    <row r="21" spans="1:23" s="123" customFormat="1" ht="18" customHeight="1">
      <c r="A21" s="440"/>
      <c r="B21" s="438"/>
      <c r="C21" s="411"/>
      <c r="D21" s="411"/>
      <c r="E21" s="445"/>
      <c r="F21" s="446"/>
      <c r="G21" s="447"/>
      <c r="H21" s="454"/>
      <c r="I21" s="445"/>
      <c r="J21" s="446"/>
      <c r="K21" s="446"/>
      <c r="L21" s="446"/>
      <c r="M21" s="446"/>
      <c r="N21" s="446"/>
      <c r="O21" s="446"/>
      <c r="P21" s="446"/>
      <c r="Q21" s="446"/>
      <c r="R21" s="446"/>
      <c r="S21" s="446"/>
      <c r="T21" s="446"/>
      <c r="U21" s="446"/>
      <c r="V21" s="447"/>
      <c r="W21" s="982">
        <f t="shared" si="0"/>
        <v>0</v>
      </c>
    </row>
    <row r="22" spans="1:23" s="123" customFormat="1" ht="18" customHeight="1">
      <c r="A22" s="440"/>
      <c r="B22" s="438"/>
      <c r="C22" s="411"/>
      <c r="D22" s="411"/>
      <c r="E22" s="445"/>
      <c r="F22" s="446"/>
      <c r="G22" s="447"/>
      <c r="H22" s="454"/>
      <c r="I22" s="445"/>
      <c r="J22" s="446"/>
      <c r="K22" s="446"/>
      <c r="L22" s="446"/>
      <c r="M22" s="446"/>
      <c r="N22" s="446"/>
      <c r="O22" s="446"/>
      <c r="P22" s="446"/>
      <c r="Q22" s="446"/>
      <c r="R22" s="446"/>
      <c r="S22" s="446"/>
      <c r="T22" s="446"/>
      <c r="U22" s="446"/>
      <c r="V22" s="447"/>
      <c r="W22" s="982">
        <f t="shared" si="0"/>
        <v>0</v>
      </c>
    </row>
    <row r="23" spans="1:23" s="123" customFormat="1" ht="18" customHeight="1">
      <c r="A23" s="440"/>
      <c r="B23" s="438"/>
      <c r="C23" s="411"/>
      <c r="D23" s="411"/>
      <c r="E23" s="445"/>
      <c r="F23" s="446"/>
      <c r="G23" s="447"/>
      <c r="H23" s="454"/>
      <c r="I23" s="445"/>
      <c r="J23" s="446"/>
      <c r="K23" s="446"/>
      <c r="L23" s="446"/>
      <c r="M23" s="446"/>
      <c r="N23" s="446"/>
      <c r="O23" s="446"/>
      <c r="P23" s="446"/>
      <c r="Q23" s="446"/>
      <c r="R23" s="446"/>
      <c r="S23" s="446"/>
      <c r="T23" s="446"/>
      <c r="U23" s="446"/>
      <c r="V23" s="447"/>
      <c r="W23" s="982">
        <f t="shared" si="0"/>
        <v>0</v>
      </c>
    </row>
    <row r="24" spans="1:23" s="123" customFormat="1" ht="18" customHeight="1">
      <c r="A24" s="440"/>
      <c r="B24" s="438"/>
      <c r="C24" s="411"/>
      <c r="D24" s="411"/>
      <c r="E24" s="442"/>
      <c r="F24" s="450"/>
      <c r="G24" s="451"/>
      <c r="H24" s="454"/>
      <c r="I24" s="445"/>
      <c r="J24" s="446"/>
      <c r="K24" s="446"/>
      <c r="L24" s="446"/>
      <c r="M24" s="446"/>
      <c r="N24" s="446"/>
      <c r="O24" s="446"/>
      <c r="P24" s="446"/>
      <c r="Q24" s="446"/>
      <c r="R24" s="446"/>
      <c r="S24" s="446"/>
      <c r="T24" s="446"/>
      <c r="U24" s="446"/>
      <c r="V24" s="447"/>
      <c r="W24" s="982">
        <f t="shared" si="0"/>
        <v>0</v>
      </c>
    </row>
    <row r="25" spans="1:23" s="123" customFormat="1" ht="18" customHeight="1">
      <c r="A25" s="440"/>
      <c r="B25" s="438"/>
      <c r="C25" s="411"/>
      <c r="D25" s="411"/>
      <c r="E25" s="445"/>
      <c r="F25" s="446"/>
      <c r="G25" s="443"/>
      <c r="H25" s="444"/>
      <c r="I25" s="445"/>
      <c r="J25" s="446"/>
      <c r="K25" s="446"/>
      <c r="L25" s="446"/>
      <c r="M25" s="446"/>
      <c r="N25" s="446"/>
      <c r="O25" s="446"/>
      <c r="P25" s="446"/>
      <c r="Q25" s="446"/>
      <c r="R25" s="446"/>
      <c r="S25" s="446"/>
      <c r="T25" s="446"/>
      <c r="U25" s="446"/>
      <c r="V25" s="447"/>
      <c r="W25" s="982">
        <f t="shared" si="0"/>
        <v>0</v>
      </c>
    </row>
    <row r="26" spans="1:23" s="123" customFormat="1" ht="18" customHeight="1">
      <c r="A26" s="440"/>
      <c r="B26" s="438"/>
      <c r="C26" s="411"/>
      <c r="D26" s="411"/>
      <c r="E26" s="445"/>
      <c r="F26" s="446"/>
      <c r="G26" s="443"/>
      <c r="H26" s="444"/>
      <c r="I26" s="445"/>
      <c r="J26" s="446"/>
      <c r="K26" s="446"/>
      <c r="L26" s="446"/>
      <c r="M26" s="446"/>
      <c r="N26" s="446"/>
      <c r="O26" s="446"/>
      <c r="P26" s="446"/>
      <c r="Q26" s="446"/>
      <c r="R26" s="446"/>
      <c r="S26" s="446"/>
      <c r="T26" s="446"/>
      <c r="U26" s="446"/>
      <c r="V26" s="447"/>
      <c r="W26" s="982">
        <f t="shared" si="0"/>
        <v>0</v>
      </c>
    </row>
    <row r="27" spans="1:23" s="123" customFormat="1" ht="18" customHeight="1">
      <c r="A27" s="440"/>
      <c r="B27" s="438"/>
      <c r="C27" s="411"/>
      <c r="D27" s="411"/>
      <c r="E27" s="445"/>
      <c r="F27" s="446"/>
      <c r="G27" s="443"/>
      <c r="H27" s="444"/>
      <c r="I27" s="445"/>
      <c r="J27" s="446"/>
      <c r="K27" s="446"/>
      <c r="L27" s="446"/>
      <c r="M27" s="446"/>
      <c r="N27" s="446"/>
      <c r="O27" s="446"/>
      <c r="P27" s="446"/>
      <c r="Q27" s="446"/>
      <c r="R27" s="446"/>
      <c r="S27" s="446"/>
      <c r="T27" s="446"/>
      <c r="U27" s="446"/>
      <c r="V27" s="447"/>
      <c r="W27" s="982">
        <f t="shared" si="0"/>
        <v>0</v>
      </c>
    </row>
    <row r="28" spans="1:23" s="123" customFormat="1" ht="18" customHeight="1">
      <c r="A28" s="440"/>
      <c r="B28" s="438"/>
      <c r="C28" s="411"/>
      <c r="D28" s="411"/>
      <c r="E28" s="445"/>
      <c r="F28" s="446"/>
      <c r="G28" s="443"/>
      <c r="H28" s="444"/>
      <c r="I28" s="445"/>
      <c r="J28" s="446"/>
      <c r="K28" s="446"/>
      <c r="L28" s="446"/>
      <c r="M28" s="446"/>
      <c r="N28" s="446"/>
      <c r="O28" s="446"/>
      <c r="P28" s="446"/>
      <c r="Q28" s="446"/>
      <c r="R28" s="446"/>
      <c r="S28" s="446"/>
      <c r="T28" s="446"/>
      <c r="U28" s="446"/>
      <c r="V28" s="447"/>
      <c r="W28" s="982">
        <f t="shared" si="0"/>
        <v>0</v>
      </c>
    </row>
    <row r="29" spans="1:23" s="123" customFormat="1" ht="18" customHeight="1">
      <c r="A29" s="440"/>
      <c r="B29" s="438"/>
      <c r="C29" s="411"/>
      <c r="D29" s="411"/>
      <c r="E29" s="445"/>
      <c r="F29" s="446"/>
      <c r="G29" s="443"/>
      <c r="H29" s="444"/>
      <c r="I29" s="445"/>
      <c r="J29" s="446"/>
      <c r="K29" s="446"/>
      <c r="L29" s="446"/>
      <c r="M29" s="446"/>
      <c r="N29" s="446"/>
      <c r="O29" s="446"/>
      <c r="P29" s="446"/>
      <c r="Q29" s="446"/>
      <c r="R29" s="446"/>
      <c r="S29" s="446"/>
      <c r="T29" s="446"/>
      <c r="U29" s="446"/>
      <c r="V29" s="447"/>
      <c r="W29" s="982">
        <f t="shared" si="0"/>
        <v>0</v>
      </c>
    </row>
    <row r="30" spans="1:23" s="123" customFormat="1" ht="18" customHeight="1">
      <c r="A30" s="440"/>
      <c r="B30" s="438"/>
      <c r="C30" s="411"/>
      <c r="D30" s="411"/>
      <c r="E30" s="445"/>
      <c r="F30" s="446"/>
      <c r="G30" s="443"/>
      <c r="H30" s="444"/>
      <c r="I30" s="445"/>
      <c r="J30" s="446"/>
      <c r="K30" s="446"/>
      <c r="L30" s="446"/>
      <c r="M30" s="446"/>
      <c r="N30" s="446"/>
      <c r="O30" s="446"/>
      <c r="P30" s="446"/>
      <c r="Q30" s="446"/>
      <c r="R30" s="446"/>
      <c r="S30" s="446"/>
      <c r="T30" s="446"/>
      <c r="U30" s="446"/>
      <c r="V30" s="447"/>
      <c r="W30" s="982">
        <f t="shared" si="0"/>
        <v>0</v>
      </c>
    </row>
    <row r="31" spans="1:23" s="123" customFormat="1" ht="18" customHeight="1">
      <c r="A31" s="440"/>
      <c r="B31" s="438"/>
      <c r="C31" s="411"/>
      <c r="D31" s="411"/>
      <c r="E31" s="445"/>
      <c r="F31" s="446"/>
      <c r="G31" s="443"/>
      <c r="H31" s="444"/>
      <c r="I31" s="445"/>
      <c r="J31" s="446"/>
      <c r="K31" s="446"/>
      <c r="L31" s="446"/>
      <c r="M31" s="446"/>
      <c r="N31" s="446"/>
      <c r="O31" s="446"/>
      <c r="P31" s="446"/>
      <c r="Q31" s="446"/>
      <c r="R31" s="446"/>
      <c r="S31" s="446"/>
      <c r="T31" s="446"/>
      <c r="U31" s="446"/>
      <c r="V31" s="447"/>
      <c r="W31" s="982">
        <f t="shared" si="0"/>
        <v>0</v>
      </c>
    </row>
    <row r="32" spans="1:23" s="123" customFormat="1" ht="18" customHeight="1">
      <c r="A32" s="440"/>
      <c r="B32" s="438"/>
      <c r="C32" s="411"/>
      <c r="D32" s="411"/>
      <c r="E32" s="445"/>
      <c r="F32" s="446"/>
      <c r="G32" s="443"/>
      <c r="H32" s="444"/>
      <c r="I32" s="445"/>
      <c r="J32" s="446"/>
      <c r="K32" s="446"/>
      <c r="L32" s="446"/>
      <c r="M32" s="446"/>
      <c r="N32" s="446"/>
      <c r="O32" s="446"/>
      <c r="P32" s="446"/>
      <c r="Q32" s="446"/>
      <c r="R32" s="446"/>
      <c r="S32" s="446"/>
      <c r="T32" s="446"/>
      <c r="U32" s="446"/>
      <c r="V32" s="447"/>
      <c r="W32" s="982">
        <f t="shared" si="0"/>
        <v>0</v>
      </c>
    </row>
    <row r="33" spans="1:23" s="123" customFormat="1" ht="18" customHeight="1">
      <c r="A33" s="440"/>
      <c r="B33" s="438"/>
      <c r="C33" s="411"/>
      <c r="D33" s="411"/>
      <c r="E33" s="445"/>
      <c r="F33" s="446"/>
      <c r="G33" s="443"/>
      <c r="H33" s="444"/>
      <c r="I33" s="445"/>
      <c r="J33" s="446"/>
      <c r="K33" s="446"/>
      <c r="L33" s="446"/>
      <c r="M33" s="446"/>
      <c r="N33" s="446"/>
      <c r="O33" s="446"/>
      <c r="P33" s="446"/>
      <c r="Q33" s="446"/>
      <c r="R33" s="446"/>
      <c r="S33" s="446"/>
      <c r="T33" s="446"/>
      <c r="U33" s="446"/>
      <c r="V33" s="447"/>
      <c r="W33" s="982">
        <f t="shared" si="0"/>
        <v>0</v>
      </c>
    </row>
    <row r="34" spans="1:23" s="123" customFormat="1" ht="18" customHeight="1">
      <c r="A34" s="440"/>
      <c r="B34" s="438"/>
      <c r="C34" s="411"/>
      <c r="D34" s="411"/>
      <c r="E34" s="445"/>
      <c r="F34" s="446"/>
      <c r="G34" s="443"/>
      <c r="H34" s="444"/>
      <c r="I34" s="445"/>
      <c r="J34" s="446"/>
      <c r="K34" s="446"/>
      <c r="L34" s="446"/>
      <c r="M34" s="446"/>
      <c r="N34" s="446"/>
      <c r="O34" s="446"/>
      <c r="P34" s="446"/>
      <c r="Q34" s="446"/>
      <c r="R34" s="446"/>
      <c r="S34" s="446"/>
      <c r="T34" s="446"/>
      <c r="U34" s="446"/>
      <c r="V34" s="447"/>
      <c r="W34" s="982">
        <f t="shared" si="0"/>
        <v>0</v>
      </c>
    </row>
    <row r="35" spans="1:23" s="123" customFormat="1" ht="18" customHeight="1">
      <c r="A35" s="440"/>
      <c r="B35" s="438"/>
      <c r="C35" s="411"/>
      <c r="D35" s="411"/>
      <c r="E35" s="445"/>
      <c r="F35" s="446"/>
      <c r="G35" s="443"/>
      <c r="H35" s="444"/>
      <c r="I35" s="445"/>
      <c r="J35" s="446"/>
      <c r="K35" s="446"/>
      <c r="L35" s="446"/>
      <c r="M35" s="446"/>
      <c r="N35" s="446"/>
      <c r="O35" s="446"/>
      <c r="P35" s="446"/>
      <c r="Q35" s="446"/>
      <c r="R35" s="446"/>
      <c r="S35" s="446"/>
      <c r="T35" s="446"/>
      <c r="U35" s="446"/>
      <c r="V35" s="447"/>
      <c r="W35" s="982">
        <f t="shared" si="0"/>
        <v>0</v>
      </c>
    </row>
    <row r="36" spans="1:23" s="123" customFormat="1" ht="18" customHeight="1">
      <c r="A36" s="440"/>
      <c r="B36" s="438"/>
      <c r="C36" s="441"/>
      <c r="D36" s="411"/>
      <c r="E36" s="445"/>
      <c r="F36" s="446"/>
      <c r="G36" s="443"/>
      <c r="H36" s="444"/>
      <c r="I36" s="445"/>
      <c r="J36" s="446"/>
      <c r="K36" s="446"/>
      <c r="L36" s="446"/>
      <c r="M36" s="446"/>
      <c r="N36" s="446"/>
      <c r="O36" s="446"/>
      <c r="P36" s="446"/>
      <c r="Q36" s="446"/>
      <c r="R36" s="446"/>
      <c r="S36" s="446"/>
      <c r="T36" s="446"/>
      <c r="U36" s="446"/>
      <c r="V36" s="447"/>
      <c r="W36" s="982">
        <f t="shared" si="0"/>
        <v>0</v>
      </c>
    </row>
    <row r="37" spans="1:23" s="123" customFormat="1" ht="18" customHeight="1">
      <c r="A37" s="440"/>
      <c r="B37" s="438"/>
      <c r="C37" s="441"/>
      <c r="D37" s="441"/>
      <c r="E37" s="442"/>
      <c r="F37" s="450"/>
      <c r="G37" s="448"/>
      <c r="H37" s="449"/>
      <c r="I37" s="442"/>
      <c r="J37" s="450"/>
      <c r="K37" s="450"/>
      <c r="L37" s="450"/>
      <c r="M37" s="450"/>
      <c r="N37" s="450"/>
      <c r="O37" s="450"/>
      <c r="P37" s="446"/>
      <c r="Q37" s="446"/>
      <c r="R37" s="446"/>
      <c r="S37" s="446"/>
      <c r="T37" s="446"/>
      <c r="U37" s="446"/>
      <c r="V37" s="447"/>
      <c r="W37" s="982">
        <f t="shared" si="0"/>
        <v>0</v>
      </c>
    </row>
    <row r="38" spans="1:23" s="123" customFormat="1" ht="18" customHeight="1">
      <c r="A38" s="440"/>
      <c r="B38" s="438"/>
      <c r="C38" s="441"/>
      <c r="D38" s="441"/>
      <c r="E38" s="442"/>
      <c r="F38" s="450"/>
      <c r="G38" s="448"/>
      <c r="H38" s="449"/>
      <c r="I38" s="442"/>
      <c r="J38" s="450"/>
      <c r="K38" s="450"/>
      <c r="L38" s="450"/>
      <c r="M38" s="450"/>
      <c r="N38" s="450"/>
      <c r="O38" s="450"/>
      <c r="P38" s="446"/>
      <c r="Q38" s="446"/>
      <c r="R38" s="446"/>
      <c r="S38" s="446"/>
      <c r="T38" s="446"/>
      <c r="U38" s="446"/>
      <c r="V38" s="447"/>
      <c r="W38" s="982">
        <f t="shared" si="0"/>
        <v>0</v>
      </c>
    </row>
    <row r="39" spans="1:23" s="123" customFormat="1" ht="18" customHeight="1">
      <c r="A39" s="440"/>
      <c r="B39" s="438"/>
      <c r="C39" s="411"/>
      <c r="D39" s="411"/>
      <c r="E39" s="445"/>
      <c r="F39" s="446"/>
      <c r="G39" s="443"/>
      <c r="H39" s="444"/>
      <c r="I39" s="445"/>
      <c r="J39" s="446"/>
      <c r="K39" s="446"/>
      <c r="L39" s="446"/>
      <c r="M39" s="446"/>
      <c r="N39" s="446"/>
      <c r="O39" s="446"/>
      <c r="P39" s="446"/>
      <c r="Q39" s="446"/>
      <c r="R39" s="446"/>
      <c r="S39" s="446"/>
      <c r="T39" s="446"/>
      <c r="U39" s="446"/>
      <c r="V39" s="447"/>
      <c r="W39" s="982">
        <f t="shared" si="0"/>
        <v>0</v>
      </c>
    </row>
    <row r="40" spans="1:23" s="123" customFormat="1" ht="18" customHeight="1">
      <c r="A40" s="440"/>
      <c r="B40" s="438"/>
      <c r="C40" s="411"/>
      <c r="D40" s="411"/>
      <c r="E40" s="445"/>
      <c r="F40" s="446"/>
      <c r="G40" s="443"/>
      <c r="H40" s="444"/>
      <c r="I40" s="445"/>
      <c r="J40" s="446"/>
      <c r="K40" s="446"/>
      <c r="L40" s="446"/>
      <c r="M40" s="446"/>
      <c r="N40" s="446"/>
      <c r="O40" s="446"/>
      <c r="P40" s="446"/>
      <c r="Q40" s="446"/>
      <c r="R40" s="446"/>
      <c r="S40" s="446"/>
      <c r="T40" s="446"/>
      <c r="U40" s="446"/>
      <c r="V40" s="447"/>
      <c r="W40" s="982">
        <f t="shared" si="0"/>
        <v>0</v>
      </c>
    </row>
    <row r="41" spans="1:23" s="123" customFormat="1" ht="18" customHeight="1">
      <c r="A41" s="440"/>
      <c r="B41" s="438"/>
      <c r="C41" s="411"/>
      <c r="D41" s="411"/>
      <c r="E41" s="445"/>
      <c r="F41" s="446"/>
      <c r="G41" s="443"/>
      <c r="H41" s="444"/>
      <c r="I41" s="445"/>
      <c r="J41" s="446"/>
      <c r="K41" s="446"/>
      <c r="L41" s="446"/>
      <c r="M41" s="446"/>
      <c r="N41" s="446"/>
      <c r="O41" s="446"/>
      <c r="P41" s="446"/>
      <c r="Q41" s="446"/>
      <c r="R41" s="446"/>
      <c r="S41" s="446"/>
      <c r="T41" s="446"/>
      <c r="U41" s="446"/>
      <c r="V41" s="451"/>
      <c r="W41" s="982">
        <f t="shared" si="0"/>
        <v>0</v>
      </c>
    </row>
    <row r="42" spans="1:23" s="123" customFormat="1" ht="18" customHeight="1" thickBot="1">
      <c r="A42" s="440"/>
      <c r="B42" s="438"/>
      <c r="C42" s="411"/>
      <c r="D42" s="411"/>
      <c r="E42" s="445"/>
      <c r="F42" s="446"/>
      <c r="G42" s="443"/>
      <c r="H42" s="444"/>
      <c r="I42" s="445"/>
      <c r="J42" s="446"/>
      <c r="K42" s="446"/>
      <c r="L42" s="446"/>
      <c r="M42" s="446"/>
      <c r="N42" s="446"/>
      <c r="O42" s="446"/>
      <c r="P42" s="446"/>
      <c r="Q42" s="446"/>
      <c r="R42" s="446"/>
      <c r="S42" s="446"/>
      <c r="T42" s="446"/>
      <c r="U42" s="452"/>
      <c r="V42" s="40"/>
      <c r="W42" s="983">
        <f t="shared" si="0"/>
        <v>0</v>
      </c>
    </row>
    <row r="43" spans="1:23" s="1" customFormat="1" ht="26.25" customHeight="1" thickTop="1" thickBot="1">
      <c r="A43" s="214"/>
      <c r="B43" s="218"/>
      <c r="C43" s="433" t="s">
        <v>19</v>
      </c>
      <c r="D43" s="434"/>
      <c r="E43" s="976">
        <f>SUM(E13:E42)</f>
        <v>0</v>
      </c>
      <c r="F43" s="976">
        <f>SUM(F13:F42)</f>
        <v>0</v>
      </c>
      <c r="G43" s="978">
        <f t="shared" ref="G43:V43" si="1">SUM(G13:G42)</f>
        <v>0</v>
      </c>
      <c r="H43" s="979">
        <f t="shared" si="1"/>
        <v>0</v>
      </c>
      <c r="I43" s="976">
        <f t="shared" si="1"/>
        <v>0</v>
      </c>
      <c r="J43" s="976">
        <f t="shared" si="1"/>
        <v>0</v>
      </c>
      <c r="K43" s="976">
        <f t="shared" si="1"/>
        <v>0</v>
      </c>
      <c r="L43" s="976">
        <f t="shared" si="1"/>
        <v>0</v>
      </c>
      <c r="M43" s="976">
        <f t="shared" si="1"/>
        <v>0</v>
      </c>
      <c r="N43" s="976">
        <f t="shared" si="1"/>
        <v>0</v>
      </c>
      <c r="O43" s="976">
        <f t="shared" si="1"/>
        <v>0</v>
      </c>
      <c r="P43" s="976">
        <f t="shared" si="1"/>
        <v>0</v>
      </c>
      <c r="Q43" s="976">
        <f t="shared" si="1"/>
        <v>0</v>
      </c>
      <c r="R43" s="976">
        <f t="shared" si="1"/>
        <v>0</v>
      </c>
      <c r="S43" s="976">
        <f t="shared" si="1"/>
        <v>0</v>
      </c>
      <c r="T43" s="976">
        <f t="shared" si="1"/>
        <v>0</v>
      </c>
      <c r="U43" s="976">
        <f t="shared" si="1"/>
        <v>0</v>
      </c>
      <c r="V43" s="976">
        <f t="shared" si="1"/>
        <v>0</v>
      </c>
      <c r="W43" s="984">
        <f>(SUM((E43:G43))-(SUM((H43:V43))))</f>
        <v>0</v>
      </c>
    </row>
    <row r="44" spans="1:23" s="1" customFormat="1" ht="26.25" customHeight="1" thickTop="1" thickBot="1">
      <c r="A44" s="214"/>
      <c r="B44" s="218"/>
      <c r="C44" s="433" t="s">
        <v>257</v>
      </c>
      <c r="D44" s="434"/>
      <c r="E44" s="976">
        <f>E12+E43</f>
        <v>0</v>
      </c>
      <c r="F44" s="976">
        <f>F12+F43</f>
        <v>0</v>
      </c>
      <c r="G44" s="978">
        <f t="shared" ref="G44:V44" si="2">G12+G43</f>
        <v>0</v>
      </c>
      <c r="H44" s="979">
        <f t="shared" si="2"/>
        <v>0</v>
      </c>
      <c r="I44" s="976">
        <f t="shared" si="2"/>
        <v>0</v>
      </c>
      <c r="J44" s="976">
        <f t="shared" si="2"/>
        <v>0</v>
      </c>
      <c r="K44" s="976">
        <f t="shared" si="2"/>
        <v>0</v>
      </c>
      <c r="L44" s="976">
        <f t="shared" si="2"/>
        <v>0</v>
      </c>
      <c r="M44" s="976">
        <f t="shared" si="2"/>
        <v>0</v>
      </c>
      <c r="N44" s="976">
        <f t="shared" si="2"/>
        <v>0</v>
      </c>
      <c r="O44" s="976">
        <f t="shared" si="2"/>
        <v>0</v>
      </c>
      <c r="P44" s="976">
        <f t="shared" si="2"/>
        <v>0</v>
      </c>
      <c r="Q44" s="976">
        <f t="shared" si="2"/>
        <v>0</v>
      </c>
      <c r="R44" s="976">
        <f t="shared" si="2"/>
        <v>0</v>
      </c>
      <c r="S44" s="976">
        <f t="shared" si="2"/>
        <v>0</v>
      </c>
      <c r="T44" s="976">
        <f t="shared" si="2"/>
        <v>0</v>
      </c>
      <c r="U44" s="976">
        <f t="shared" si="2"/>
        <v>0</v>
      </c>
      <c r="V44" s="976">
        <f t="shared" si="2"/>
        <v>0</v>
      </c>
      <c r="W44" s="985">
        <f>(SUM((E44:G44))-(SUM((H44:V44))))</f>
        <v>0</v>
      </c>
    </row>
    <row r="45" spans="1:23" s="1" customFormat="1" ht="26.25" customHeight="1" thickTop="1" thickBot="1">
      <c r="A45" s="215"/>
      <c r="B45" s="219"/>
      <c r="C45" s="435" t="s">
        <v>20</v>
      </c>
      <c r="D45" s="436"/>
      <c r="E45" s="977">
        <f>E11+E44</f>
        <v>50000000</v>
      </c>
      <c r="F45" s="977">
        <f>F11+F44</f>
        <v>5000000</v>
      </c>
      <c r="G45" s="980">
        <f t="shared" ref="G45:V45" si="3">G11+G44</f>
        <v>0</v>
      </c>
      <c r="H45" s="981">
        <f t="shared" si="3"/>
        <v>15500000</v>
      </c>
      <c r="I45" s="977">
        <f t="shared" si="3"/>
        <v>2000000</v>
      </c>
      <c r="J45" s="977">
        <f t="shared" si="3"/>
        <v>3000000</v>
      </c>
      <c r="K45" s="977">
        <f t="shared" si="3"/>
        <v>29500000</v>
      </c>
      <c r="L45" s="977">
        <f t="shared" si="3"/>
        <v>0</v>
      </c>
      <c r="M45" s="977">
        <f t="shared" si="3"/>
        <v>0</v>
      </c>
      <c r="N45" s="977">
        <f t="shared" si="3"/>
        <v>0</v>
      </c>
      <c r="O45" s="977">
        <f t="shared" si="3"/>
        <v>0</v>
      </c>
      <c r="P45" s="977">
        <f t="shared" si="3"/>
        <v>0</v>
      </c>
      <c r="Q45" s="977">
        <f t="shared" si="3"/>
        <v>0</v>
      </c>
      <c r="R45" s="977">
        <f t="shared" si="3"/>
        <v>0</v>
      </c>
      <c r="S45" s="977">
        <f t="shared" si="3"/>
        <v>0</v>
      </c>
      <c r="T45" s="977">
        <f t="shared" si="3"/>
        <v>5000000</v>
      </c>
      <c r="U45" s="977">
        <f t="shared" si="3"/>
        <v>0</v>
      </c>
      <c r="V45" s="977">
        <f t="shared" si="3"/>
        <v>0</v>
      </c>
      <c r="W45" s="986">
        <f>(SUM((E45:G45))-(SUM((H45:V45))))</f>
        <v>0</v>
      </c>
    </row>
    <row r="46" spans="1:23" s="123" customFormat="1" ht="15">
      <c r="B46" s="138"/>
    </row>
    <row r="47" spans="1:23" s="123" customFormat="1" ht="15.75">
      <c r="A47" s="139"/>
      <c r="B47" s="138"/>
      <c r="C47" s="1"/>
      <c r="D47" s="1"/>
      <c r="E47" s="1"/>
      <c r="F47" s="1"/>
      <c r="G47" s="1"/>
      <c r="H47" s="1"/>
      <c r="I47" s="7"/>
      <c r="J47" s="7"/>
      <c r="K47" s="7"/>
      <c r="L47" s="7"/>
      <c r="M47" s="140"/>
      <c r="Q47" s="11"/>
      <c r="R47" s="455" t="str">
        <f>DT!D28</f>
        <v>Nagrak, 29 Februari 2016 2016</v>
      </c>
      <c r="S47" s="11"/>
      <c r="T47" s="11"/>
    </row>
    <row r="48" spans="1:23" s="123" customFormat="1" ht="15.75">
      <c r="A48" s="139"/>
      <c r="B48" s="138"/>
      <c r="C48" s="148" t="s">
        <v>21</v>
      </c>
      <c r="D48" s="1"/>
      <c r="E48" s="1"/>
      <c r="F48" s="1"/>
      <c r="G48" s="1"/>
      <c r="H48" s="1"/>
      <c r="I48" s="7"/>
      <c r="J48" s="7"/>
      <c r="K48" s="7"/>
      <c r="L48" s="7"/>
      <c r="Q48" s="11"/>
      <c r="R48" s="11" t="s">
        <v>22</v>
      </c>
      <c r="S48" s="11"/>
      <c r="T48" s="11"/>
    </row>
    <row r="49" spans="2:20" s="123" customFormat="1" ht="15.75">
      <c r="B49" s="138"/>
      <c r="C49" s="148" t="s">
        <v>23</v>
      </c>
      <c r="D49" s="1"/>
      <c r="E49" s="1"/>
      <c r="F49" s="1"/>
      <c r="G49" s="1"/>
      <c r="H49" s="1"/>
      <c r="I49" s="7"/>
      <c r="J49" s="7"/>
      <c r="K49" s="7"/>
      <c r="L49" s="7"/>
      <c r="Q49" s="14"/>
      <c r="R49" s="14" t="s">
        <v>24</v>
      </c>
      <c r="S49" s="14"/>
      <c r="T49" s="14"/>
    </row>
    <row r="50" spans="2:20" ht="15.75">
      <c r="C50" s="15"/>
      <c r="D50" s="15"/>
      <c r="E50" s="20"/>
      <c r="F50" s="20"/>
      <c r="G50" s="20"/>
      <c r="H50" s="20"/>
      <c r="I50" s="20"/>
      <c r="J50" s="20"/>
      <c r="K50" s="20"/>
      <c r="L50" s="20"/>
      <c r="M50" s="20"/>
      <c r="N50" s="20"/>
      <c r="R50" s="11"/>
    </row>
    <row r="51" spans="2:20" s="120" customFormat="1" ht="23.25">
      <c r="R51" s="13"/>
    </row>
    <row r="52" spans="2:20" s="120" customFormat="1" ht="23.25"/>
    <row r="53" spans="2:20" s="120" customFormat="1" ht="23.25">
      <c r="C53" s="11" t="str">
        <f>DT!D14</f>
        <v>Endang Taryana</v>
      </c>
      <c r="R53" s="14" t="str">
        <f>DT!D15</f>
        <v>Arin Yustini, SE</v>
      </c>
    </row>
    <row r="54" spans="2:20" s="123" customFormat="1" ht="15"/>
    <row r="55" spans="2:20" s="123" customFormat="1" ht="15"/>
    <row r="56" spans="2:20" s="123" customFormat="1" ht="15"/>
    <row r="57" spans="2:20" s="123" customFormat="1" ht="15"/>
    <row r="58" spans="2:20" s="123" customFormat="1" ht="18.75" customHeight="1"/>
    <row r="59" spans="2:20" s="123" customFormat="1" ht="17.25" customHeight="1"/>
    <row r="60" spans="2:20" s="123" customFormat="1" ht="15"/>
    <row r="61" spans="2:20" s="123" customFormat="1" ht="15"/>
    <row r="62" spans="2:20" s="1" customFormat="1" ht="24" customHeight="1"/>
    <row r="63" spans="2:20" s="74" customFormat="1" ht="24" customHeight="1"/>
    <row r="64" spans="2:20" s="123" customFormat="1" ht="17.25" customHeight="1"/>
    <row r="65" s="123" customFormat="1" ht="17.25" customHeight="1"/>
    <row r="66" s="123" customFormat="1" ht="17.25" customHeight="1"/>
    <row r="67" s="123" customFormat="1" ht="17.25" customHeight="1"/>
    <row r="68" s="123" customFormat="1" ht="17.25" customHeight="1"/>
    <row r="69" s="123" customFormat="1" ht="17.25" customHeight="1"/>
    <row r="70" s="123" customFormat="1" ht="17.25" customHeight="1"/>
    <row r="71" s="123" customFormat="1" ht="17.25" customHeight="1"/>
    <row r="72" s="123" customFormat="1" ht="17.25" customHeight="1"/>
    <row r="73" s="1" customFormat="1" ht="26.25" customHeight="1"/>
    <row r="74" s="1" customFormat="1" ht="26.25" customHeight="1"/>
    <row r="75" s="1" customFormat="1" ht="26.25" customHeight="1"/>
    <row r="76" s="123" customFormat="1" ht="15"/>
    <row r="77" s="123" customFormat="1" ht="15"/>
    <row r="78" s="123" customFormat="1" ht="15"/>
    <row r="79" s="123" customFormat="1" ht="15"/>
  </sheetData>
  <mergeCells count="29">
    <mergeCell ref="A1:W1"/>
    <mergeCell ref="A2:W2"/>
    <mergeCell ref="A3:W3"/>
    <mergeCell ref="A7:A10"/>
    <mergeCell ref="E7:G7"/>
    <mergeCell ref="F8:F10"/>
    <mergeCell ref="W7:W10"/>
    <mergeCell ref="H8:S8"/>
    <mergeCell ref="R9:R10"/>
    <mergeCell ref="K9:K10"/>
    <mergeCell ref="E8:E10"/>
    <mergeCell ref="I9:I10"/>
    <mergeCell ref="H9:H10"/>
    <mergeCell ref="L9:L10"/>
    <mergeCell ref="M9:M10"/>
    <mergeCell ref="O9:O10"/>
    <mergeCell ref="C7:C10"/>
    <mergeCell ref="D7:D10"/>
    <mergeCell ref="B7:B10"/>
    <mergeCell ref="P9:P10"/>
    <mergeCell ref="H7:V7"/>
    <mergeCell ref="T8:T10"/>
    <mergeCell ref="U8:U10"/>
    <mergeCell ref="S9:S10"/>
    <mergeCell ref="Q9:Q10"/>
    <mergeCell ref="V8:V10"/>
    <mergeCell ref="J9:J10"/>
    <mergeCell ref="N9:N10"/>
    <mergeCell ref="G8:G10"/>
  </mergeCells>
  <printOptions horizontalCentered="1" verticalCentered="1"/>
  <pageMargins left="0.19685039370078741" right="0.19685039370078741" top="0.59055118110236227" bottom="0.23622047244094491" header="0.6692913385826772" footer="0.51181102362204722"/>
  <pageSetup paperSize="9" scale="40" orientation="landscape" horizontalDpi="4294967293" verticalDpi="4294967293" r:id="rId1"/>
  <headerFooter alignWithMargins="0"/>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sheetPr>
  <dimension ref="A1:W79"/>
  <sheetViews>
    <sheetView topLeftCell="A22" zoomScale="85" zoomScaleNormal="85" zoomScaleSheetLayoutView="55" workbookViewId="0">
      <selection activeCell="C20" sqref="C20"/>
    </sheetView>
  </sheetViews>
  <sheetFormatPr defaultColWidth="9.140625" defaultRowHeight="12.75"/>
  <cols>
    <col min="1" max="1" width="3.5703125" style="40" customWidth="1"/>
    <col min="2" max="2" width="14.85546875" style="75" customWidth="1"/>
    <col min="3" max="3" width="46.42578125" style="40" customWidth="1"/>
    <col min="4" max="4" width="9.5703125" style="40" customWidth="1"/>
    <col min="5" max="5" width="15.5703125" style="40" customWidth="1"/>
    <col min="6" max="6" width="13.42578125" style="40" customWidth="1"/>
    <col min="7" max="7" width="12.7109375" style="40" customWidth="1"/>
    <col min="8" max="13" width="14" style="40" customWidth="1"/>
    <col min="14" max="15" width="13.42578125" style="40" customWidth="1"/>
    <col min="16" max="16" width="11.85546875" style="40" customWidth="1"/>
    <col min="17" max="17" width="8.5703125" style="40" customWidth="1"/>
    <col min="18" max="18" width="10" style="40" customWidth="1"/>
    <col min="19" max="19" width="12.5703125" style="40" customWidth="1"/>
    <col min="20" max="20" width="13.28515625" style="40" customWidth="1"/>
    <col min="21" max="21" width="12.42578125" style="40" customWidth="1"/>
    <col min="22" max="22" width="9.28515625" style="40" customWidth="1"/>
    <col min="23" max="23" width="12.7109375" style="40" customWidth="1"/>
    <col min="24" max="16384" width="9.140625" style="22"/>
  </cols>
  <sheetData>
    <row r="1" spans="1:23" ht="26.25">
      <c r="A1" s="3525" t="s">
        <v>0</v>
      </c>
      <c r="B1" s="3525"/>
      <c r="C1" s="3525"/>
      <c r="D1" s="3525"/>
      <c r="E1" s="3525"/>
      <c r="F1" s="3525"/>
      <c r="G1" s="3525"/>
      <c r="H1" s="3525"/>
      <c r="I1" s="3525"/>
      <c r="J1" s="3525"/>
      <c r="K1" s="3525"/>
      <c r="L1" s="3525"/>
      <c r="M1" s="3525"/>
      <c r="N1" s="3525"/>
      <c r="O1" s="3525"/>
      <c r="P1" s="3525"/>
      <c r="Q1" s="3525"/>
      <c r="R1" s="3525"/>
      <c r="S1" s="3525"/>
      <c r="T1" s="3525"/>
      <c r="U1" s="3525"/>
      <c r="V1" s="3525"/>
      <c r="W1" s="3525"/>
    </row>
    <row r="2" spans="1:23" ht="26.25">
      <c r="A2" s="3525" t="s">
        <v>35</v>
      </c>
      <c r="B2" s="3525"/>
      <c r="C2" s="3525"/>
      <c r="D2" s="3525"/>
      <c r="E2" s="3525"/>
      <c r="F2" s="3525"/>
      <c r="G2" s="3525"/>
      <c r="H2" s="3525"/>
      <c r="I2" s="3525"/>
      <c r="J2" s="3525"/>
      <c r="K2" s="3525"/>
      <c r="L2" s="3525"/>
      <c r="M2" s="3525"/>
      <c r="N2" s="3525"/>
      <c r="O2" s="3525"/>
      <c r="P2" s="3525"/>
      <c r="Q2" s="3525"/>
      <c r="R2" s="3525"/>
      <c r="S2" s="3525"/>
      <c r="T2" s="3525"/>
      <c r="U2" s="3525"/>
      <c r="V2" s="3525"/>
      <c r="W2" s="3525"/>
    </row>
    <row r="3" spans="1:23" ht="26.25">
      <c r="A3" s="3525" t="s">
        <v>577</v>
      </c>
      <c r="B3" s="3525"/>
      <c r="C3" s="3525"/>
      <c r="D3" s="3525"/>
      <c r="E3" s="3525"/>
      <c r="F3" s="3525"/>
      <c r="G3" s="3525"/>
      <c r="H3" s="3525"/>
      <c r="I3" s="3525"/>
      <c r="J3" s="3525"/>
      <c r="K3" s="3525"/>
      <c r="L3" s="3525"/>
      <c r="M3" s="3525"/>
      <c r="N3" s="3525"/>
      <c r="O3" s="3525"/>
      <c r="P3" s="3525"/>
      <c r="Q3" s="3525"/>
      <c r="R3" s="3525"/>
      <c r="S3" s="3525"/>
      <c r="T3" s="3525"/>
      <c r="U3" s="3525"/>
      <c r="V3" s="3525"/>
      <c r="W3" s="3525"/>
    </row>
    <row r="4" spans="1:23" s="123" customFormat="1" ht="18.75">
      <c r="B4" t="s">
        <v>2</v>
      </c>
      <c r="C4" s="916" t="str">
        <f>": "&amp;DT!$D$3</f>
        <v>: Nagrak</v>
      </c>
      <c r="D4"/>
      <c r="E4"/>
      <c r="F4"/>
      <c r="G4"/>
      <c r="H4"/>
      <c r="I4"/>
      <c r="J4"/>
      <c r="K4"/>
      <c r="L4"/>
      <c r="M4"/>
      <c r="N4"/>
      <c r="O4"/>
      <c r="P4"/>
      <c r="Q4"/>
      <c r="R4" t="s">
        <v>3</v>
      </c>
      <c r="S4" t="str">
        <f>": "&amp;DT!D25</f>
        <v>: Februari 2016</v>
      </c>
      <c r="T4"/>
    </row>
    <row r="5" spans="1:23" s="123" customFormat="1" ht="18.75">
      <c r="B5" t="s">
        <v>4</v>
      </c>
      <c r="C5" s="916" t="str">
        <f>": "&amp;DT!$D$4</f>
        <v>: Sukabumi</v>
      </c>
      <c r="D5"/>
      <c r="E5"/>
      <c r="F5"/>
      <c r="G5"/>
      <c r="H5"/>
      <c r="I5"/>
      <c r="J5"/>
      <c r="K5"/>
      <c r="L5"/>
      <c r="M5"/>
      <c r="N5"/>
      <c r="O5"/>
      <c r="P5"/>
      <c r="Q5"/>
      <c r="R5"/>
      <c r="S5"/>
      <c r="T5"/>
    </row>
    <row r="6" spans="1:23" s="123" customFormat="1" ht="19.5" thickBot="1">
      <c r="B6" t="s">
        <v>6</v>
      </c>
      <c r="C6" s="916" t="str">
        <f>": "&amp;DT!$D$5</f>
        <v>: Jawa Barat</v>
      </c>
      <c r="D6"/>
      <c r="E6"/>
      <c r="F6"/>
      <c r="G6"/>
      <c r="H6"/>
      <c r="I6"/>
      <c r="J6"/>
      <c r="K6"/>
      <c r="L6"/>
      <c r="M6"/>
      <c r="N6"/>
      <c r="O6"/>
      <c r="P6"/>
      <c r="Q6"/>
      <c r="R6"/>
      <c r="S6"/>
      <c r="T6"/>
    </row>
    <row r="7" spans="1:23" s="123" customFormat="1" ht="25.5" customHeight="1">
      <c r="A7" s="3502" t="s">
        <v>36</v>
      </c>
      <c r="B7" s="3500" t="s">
        <v>7</v>
      </c>
      <c r="C7" s="3500" t="s">
        <v>535</v>
      </c>
      <c r="D7" s="3500" t="s">
        <v>9</v>
      </c>
      <c r="E7" s="3500" t="s">
        <v>10</v>
      </c>
      <c r="F7" s="3500"/>
      <c r="G7" s="3497"/>
      <c r="H7" s="3506" t="s">
        <v>394</v>
      </c>
      <c r="I7" s="3500"/>
      <c r="J7" s="3500"/>
      <c r="K7" s="3500"/>
      <c r="L7" s="3500"/>
      <c r="M7" s="3500"/>
      <c r="N7" s="3500"/>
      <c r="O7" s="3500"/>
      <c r="P7" s="3500"/>
      <c r="Q7" s="3500"/>
      <c r="R7" s="3500"/>
      <c r="S7" s="3500"/>
      <c r="T7" s="3500"/>
      <c r="U7" s="3500"/>
      <c r="V7" s="3500"/>
      <c r="W7" s="3497" t="s">
        <v>12</v>
      </c>
    </row>
    <row r="8" spans="1:23" s="123" customFormat="1" ht="20.25" customHeight="1">
      <c r="A8" s="3503"/>
      <c r="B8" s="3499"/>
      <c r="C8" s="3499"/>
      <c r="D8" s="3499"/>
      <c r="E8" s="3499" t="s">
        <v>236</v>
      </c>
      <c r="F8" s="3499" t="s">
        <v>63</v>
      </c>
      <c r="G8" s="3498" t="s">
        <v>18</v>
      </c>
      <c r="H8" s="3511" t="s">
        <v>568</v>
      </c>
      <c r="I8" s="3499"/>
      <c r="J8" s="3499"/>
      <c r="K8" s="3499"/>
      <c r="L8" s="3499"/>
      <c r="M8" s="3499"/>
      <c r="N8" s="3499"/>
      <c r="O8" s="3499"/>
      <c r="P8" s="3499"/>
      <c r="Q8" s="3499"/>
      <c r="R8" s="3499"/>
      <c r="S8" s="3499"/>
      <c r="T8" s="3499" t="s">
        <v>976</v>
      </c>
      <c r="U8" s="3499" t="s">
        <v>235</v>
      </c>
      <c r="V8" s="2203"/>
      <c r="W8" s="3498"/>
    </row>
    <row r="9" spans="1:23" s="123" customFormat="1" ht="31.5">
      <c r="A9" s="3503"/>
      <c r="B9" s="3499"/>
      <c r="C9" s="3499"/>
      <c r="D9" s="3499"/>
      <c r="E9" s="3499"/>
      <c r="F9" s="3499"/>
      <c r="G9" s="3498"/>
      <c r="H9" s="3511" t="s">
        <v>40</v>
      </c>
      <c r="I9" s="3499" t="s">
        <v>2207</v>
      </c>
      <c r="J9" s="3499" t="s">
        <v>2208</v>
      </c>
      <c r="K9" s="3499" t="s">
        <v>2209</v>
      </c>
      <c r="L9" s="3499" t="s">
        <v>2210</v>
      </c>
      <c r="M9" s="3499" t="s">
        <v>2211</v>
      </c>
      <c r="N9" s="3499" t="s">
        <v>2254</v>
      </c>
      <c r="O9" s="3499" t="s">
        <v>2255</v>
      </c>
      <c r="P9" s="3499" t="s">
        <v>2257</v>
      </c>
      <c r="Q9" s="3499"/>
      <c r="R9" s="3499"/>
      <c r="S9" s="3499" t="s">
        <v>569</v>
      </c>
      <c r="T9" s="3499"/>
      <c r="U9" s="3499"/>
      <c r="V9" s="2203" t="s">
        <v>28</v>
      </c>
      <c r="W9" s="3498"/>
    </row>
    <row r="10" spans="1:23" s="123" customFormat="1" ht="15.75">
      <c r="A10" s="3503"/>
      <c r="B10" s="3499"/>
      <c r="C10" s="3499"/>
      <c r="D10" s="3499"/>
      <c r="E10" s="3499"/>
      <c r="F10" s="3499"/>
      <c r="G10" s="3498"/>
      <c r="H10" s="3511"/>
      <c r="I10" s="3499"/>
      <c r="J10" s="3499"/>
      <c r="K10" s="3499"/>
      <c r="L10" s="3499"/>
      <c r="M10" s="3499"/>
      <c r="N10" s="3499"/>
      <c r="O10" s="3499"/>
      <c r="P10" s="3499"/>
      <c r="Q10" s="3499"/>
      <c r="R10" s="3499"/>
      <c r="S10" s="3499"/>
      <c r="T10" s="3499"/>
      <c r="U10" s="3499"/>
      <c r="V10" s="2203"/>
      <c r="W10" s="3498"/>
    </row>
    <row r="11" spans="1:23" s="1" customFormat="1" ht="28.5" customHeight="1" thickBot="1">
      <c r="A11" s="2240"/>
      <c r="B11" s="2241"/>
      <c r="C11" s="2241" t="s">
        <v>258</v>
      </c>
      <c r="D11" s="2241"/>
      <c r="E11" s="2646">
        <v>18525000</v>
      </c>
      <c r="F11" s="2646">
        <v>100000</v>
      </c>
      <c r="G11" s="2647">
        <v>0</v>
      </c>
      <c r="H11" s="2648">
        <v>525000</v>
      </c>
      <c r="I11" s="2646">
        <v>5435300</v>
      </c>
      <c r="J11" s="2646">
        <v>500000</v>
      </c>
      <c r="K11" s="2646">
        <v>5000000</v>
      </c>
      <c r="L11" s="2646">
        <v>2000000</v>
      </c>
      <c r="M11" s="2646">
        <v>2000000</v>
      </c>
      <c r="N11" s="2646">
        <v>1250000</v>
      </c>
      <c r="O11" s="2646">
        <v>1250000</v>
      </c>
      <c r="P11" s="2646">
        <v>500000</v>
      </c>
      <c r="Q11" s="2646">
        <v>0</v>
      </c>
      <c r="R11" s="2646">
        <v>0</v>
      </c>
      <c r="S11" s="2646">
        <v>0</v>
      </c>
      <c r="T11" s="2646">
        <v>0</v>
      </c>
      <c r="U11" s="2646">
        <v>100000</v>
      </c>
      <c r="V11" s="2646">
        <v>0</v>
      </c>
      <c r="W11" s="2647">
        <f>(SUM((E11:G11))-(SUM((H11:V11))))</f>
        <v>64700</v>
      </c>
    </row>
    <row r="12" spans="1:23" s="74" customFormat="1" ht="28.5" customHeight="1" thickBot="1">
      <c r="A12" s="2211"/>
      <c r="B12" s="2212"/>
      <c r="C12" s="2149" t="s">
        <v>539</v>
      </c>
      <c r="D12" s="2213"/>
      <c r="E12" s="2214"/>
      <c r="F12" s="2215"/>
      <c r="G12" s="2218"/>
      <c r="H12" s="2217"/>
      <c r="I12" s="2214"/>
      <c r="J12" s="2214"/>
      <c r="K12" s="2214"/>
      <c r="L12" s="2214"/>
      <c r="M12" s="2214"/>
      <c r="N12" s="2214"/>
      <c r="O12" s="2214"/>
      <c r="P12" s="2214"/>
      <c r="Q12" s="2214"/>
      <c r="R12" s="2214"/>
      <c r="S12" s="2214"/>
      <c r="T12" s="2214"/>
      <c r="U12" s="2214"/>
      <c r="V12" s="2214"/>
      <c r="W12" s="2218">
        <f t="shared" ref="W12:W42" si="0">W11+(SUM((E12:G12))-(SUM((H12:V12))))</f>
        <v>64700</v>
      </c>
    </row>
    <row r="13" spans="1:23" s="123" customFormat="1" ht="18" customHeight="1">
      <c r="A13" s="439"/>
      <c r="B13" s="437"/>
      <c r="C13" s="2392"/>
      <c r="D13" s="411"/>
      <c r="E13" s="445"/>
      <c r="F13" s="446"/>
      <c r="G13" s="447"/>
      <c r="H13" s="454"/>
      <c r="I13" s="445"/>
      <c r="J13" s="446"/>
      <c r="K13" s="446"/>
      <c r="L13" s="446"/>
      <c r="M13" s="446"/>
      <c r="N13" s="446"/>
      <c r="O13" s="446"/>
      <c r="P13" s="446"/>
      <c r="Q13" s="446"/>
      <c r="R13" s="446"/>
      <c r="S13" s="446"/>
      <c r="T13" s="446"/>
      <c r="U13" s="446"/>
      <c r="V13" s="447"/>
      <c r="W13" s="982">
        <f t="shared" si="0"/>
        <v>64700</v>
      </c>
    </row>
    <row r="14" spans="1:23" s="123" customFormat="1" ht="18" customHeight="1">
      <c r="A14" s="440"/>
      <c r="B14" s="438"/>
      <c r="C14" s="2392"/>
      <c r="D14" s="411"/>
      <c r="E14" s="445"/>
      <c r="F14" s="446"/>
      <c r="G14" s="447"/>
      <c r="H14" s="454"/>
      <c r="I14" s="445"/>
      <c r="J14" s="446"/>
      <c r="K14" s="446"/>
      <c r="L14" s="446"/>
      <c r="M14" s="446"/>
      <c r="N14" s="446"/>
      <c r="O14" s="446"/>
      <c r="P14" s="446"/>
      <c r="Q14" s="446"/>
      <c r="R14" s="446"/>
      <c r="S14" s="446"/>
      <c r="T14" s="446"/>
      <c r="U14" s="446"/>
      <c r="V14" s="447"/>
      <c r="W14" s="982">
        <f t="shared" si="0"/>
        <v>64700</v>
      </c>
    </row>
    <row r="15" spans="1:23" s="123" customFormat="1" ht="18" customHeight="1">
      <c r="A15" s="440"/>
      <c r="B15" s="438"/>
      <c r="C15" s="411"/>
      <c r="D15" s="441"/>
      <c r="E15" s="445"/>
      <c r="F15" s="446"/>
      <c r="G15" s="447"/>
      <c r="H15" s="454"/>
      <c r="I15" s="445"/>
      <c r="J15" s="450"/>
      <c r="K15" s="446"/>
      <c r="L15" s="446"/>
      <c r="M15" s="446"/>
      <c r="N15" s="446"/>
      <c r="O15" s="446"/>
      <c r="P15" s="446"/>
      <c r="Q15" s="446"/>
      <c r="R15" s="446"/>
      <c r="S15" s="446"/>
      <c r="T15" s="446"/>
      <c r="U15" s="446"/>
      <c r="V15" s="447"/>
      <c r="W15" s="982">
        <f t="shared" si="0"/>
        <v>64700</v>
      </c>
    </row>
    <row r="16" spans="1:23" s="123" customFormat="1" ht="18" customHeight="1">
      <c r="A16" s="440"/>
      <c r="B16" s="438"/>
      <c r="C16" s="411"/>
      <c r="D16" s="411"/>
      <c r="E16" s="445"/>
      <c r="F16" s="446"/>
      <c r="G16" s="447"/>
      <c r="H16" s="454"/>
      <c r="I16" s="445"/>
      <c r="J16" s="446"/>
      <c r="K16" s="446"/>
      <c r="L16" s="446"/>
      <c r="M16" s="446"/>
      <c r="N16" s="446"/>
      <c r="O16" s="446"/>
      <c r="P16" s="446"/>
      <c r="Q16" s="446"/>
      <c r="R16" s="446"/>
      <c r="S16" s="446"/>
      <c r="T16" s="446"/>
      <c r="U16" s="446"/>
      <c r="V16" s="447"/>
      <c r="W16" s="982">
        <f t="shared" si="0"/>
        <v>64700</v>
      </c>
    </row>
    <row r="17" spans="1:23" s="123" customFormat="1" ht="18" customHeight="1">
      <c r="A17" s="440"/>
      <c r="B17" s="438"/>
      <c r="C17" s="411"/>
      <c r="D17" s="411"/>
      <c r="E17" s="445"/>
      <c r="F17" s="446"/>
      <c r="G17" s="447"/>
      <c r="H17" s="454"/>
      <c r="I17" s="445"/>
      <c r="J17" s="446"/>
      <c r="K17" s="446"/>
      <c r="L17" s="446"/>
      <c r="M17" s="446"/>
      <c r="N17" s="446"/>
      <c r="O17" s="446"/>
      <c r="P17" s="446"/>
      <c r="Q17" s="446"/>
      <c r="R17" s="446"/>
      <c r="S17" s="446"/>
      <c r="T17" s="446"/>
      <c r="U17" s="446"/>
      <c r="V17" s="447"/>
      <c r="W17" s="982">
        <f t="shared" si="0"/>
        <v>64700</v>
      </c>
    </row>
    <row r="18" spans="1:23" s="123" customFormat="1" ht="18" customHeight="1">
      <c r="A18" s="440"/>
      <c r="B18" s="438"/>
      <c r="C18" s="411"/>
      <c r="D18" s="411"/>
      <c r="E18" s="445"/>
      <c r="F18" s="446"/>
      <c r="G18" s="447"/>
      <c r="H18" s="454"/>
      <c r="I18" s="445"/>
      <c r="J18" s="446"/>
      <c r="K18" s="446"/>
      <c r="L18" s="446"/>
      <c r="M18" s="446"/>
      <c r="N18" s="446"/>
      <c r="O18" s="446"/>
      <c r="P18" s="446"/>
      <c r="Q18" s="446"/>
      <c r="R18" s="446"/>
      <c r="S18" s="446"/>
      <c r="T18" s="446"/>
      <c r="U18" s="446"/>
      <c r="V18" s="447"/>
      <c r="W18" s="982">
        <f t="shared" si="0"/>
        <v>64700</v>
      </c>
    </row>
    <row r="19" spans="1:23" s="123" customFormat="1" ht="18" customHeight="1">
      <c r="A19" s="440"/>
      <c r="B19" s="438"/>
      <c r="C19" s="411"/>
      <c r="D19" s="411"/>
      <c r="E19" s="445"/>
      <c r="F19" s="446"/>
      <c r="G19" s="447"/>
      <c r="H19" s="454"/>
      <c r="I19" s="445"/>
      <c r="J19" s="446"/>
      <c r="K19" s="446"/>
      <c r="L19" s="446"/>
      <c r="M19" s="446"/>
      <c r="N19" s="446"/>
      <c r="O19" s="446"/>
      <c r="P19" s="446"/>
      <c r="Q19" s="446"/>
      <c r="R19" s="446"/>
      <c r="S19" s="446"/>
      <c r="T19" s="446"/>
      <c r="U19" s="446"/>
      <c r="V19" s="447"/>
      <c r="W19" s="982">
        <f t="shared" si="0"/>
        <v>64700</v>
      </c>
    </row>
    <row r="20" spans="1:23" s="123" customFormat="1" ht="18" customHeight="1">
      <c r="A20" s="440"/>
      <c r="B20" s="438"/>
      <c r="C20" s="411"/>
      <c r="D20" s="411"/>
      <c r="E20" s="445"/>
      <c r="F20" s="446"/>
      <c r="G20" s="447"/>
      <c r="H20" s="454"/>
      <c r="I20" s="445"/>
      <c r="J20" s="446"/>
      <c r="K20" s="446"/>
      <c r="L20" s="446"/>
      <c r="M20" s="446"/>
      <c r="N20" s="446"/>
      <c r="O20" s="446"/>
      <c r="P20" s="446"/>
      <c r="Q20" s="446"/>
      <c r="R20" s="446"/>
      <c r="S20" s="446"/>
      <c r="T20" s="446"/>
      <c r="U20" s="446"/>
      <c r="V20" s="447"/>
      <c r="W20" s="982">
        <f t="shared" si="0"/>
        <v>64700</v>
      </c>
    </row>
    <row r="21" spans="1:23" s="123" customFormat="1" ht="18" customHeight="1">
      <c r="A21" s="440"/>
      <c r="B21" s="438"/>
      <c r="C21" s="411"/>
      <c r="D21" s="411"/>
      <c r="E21" s="445"/>
      <c r="F21" s="446"/>
      <c r="G21" s="447"/>
      <c r="H21" s="454"/>
      <c r="I21" s="445"/>
      <c r="J21" s="446"/>
      <c r="K21" s="446"/>
      <c r="L21" s="446"/>
      <c r="M21" s="446"/>
      <c r="N21" s="446"/>
      <c r="O21" s="446"/>
      <c r="P21" s="446"/>
      <c r="Q21" s="446"/>
      <c r="R21" s="446"/>
      <c r="S21" s="446"/>
      <c r="T21" s="446"/>
      <c r="U21" s="446"/>
      <c r="V21" s="447"/>
      <c r="W21" s="982">
        <f t="shared" si="0"/>
        <v>64700</v>
      </c>
    </row>
    <row r="22" spans="1:23" s="123" customFormat="1" ht="18" customHeight="1">
      <c r="A22" s="440"/>
      <c r="B22" s="438"/>
      <c r="C22" s="411"/>
      <c r="D22" s="411"/>
      <c r="E22" s="445"/>
      <c r="F22" s="446"/>
      <c r="G22" s="447"/>
      <c r="H22" s="454"/>
      <c r="I22" s="445"/>
      <c r="J22" s="446"/>
      <c r="K22" s="446"/>
      <c r="L22" s="446"/>
      <c r="M22" s="446"/>
      <c r="N22" s="446"/>
      <c r="O22" s="446"/>
      <c r="P22" s="446"/>
      <c r="Q22" s="446"/>
      <c r="R22" s="446"/>
      <c r="S22" s="446"/>
      <c r="T22" s="446"/>
      <c r="U22" s="446"/>
      <c r="V22" s="447"/>
      <c r="W22" s="982">
        <f t="shared" si="0"/>
        <v>64700</v>
      </c>
    </row>
    <row r="23" spans="1:23" s="123" customFormat="1" ht="18" customHeight="1">
      <c r="A23" s="440"/>
      <c r="B23" s="438"/>
      <c r="C23" s="411"/>
      <c r="D23" s="411"/>
      <c r="E23" s="445"/>
      <c r="F23" s="446"/>
      <c r="G23" s="447"/>
      <c r="H23" s="454"/>
      <c r="I23" s="445"/>
      <c r="J23" s="446"/>
      <c r="K23" s="446"/>
      <c r="L23" s="446"/>
      <c r="M23" s="446"/>
      <c r="N23" s="446"/>
      <c r="O23" s="446"/>
      <c r="P23" s="446"/>
      <c r="Q23" s="446"/>
      <c r="R23" s="446"/>
      <c r="S23" s="446"/>
      <c r="T23" s="446"/>
      <c r="U23" s="446"/>
      <c r="V23" s="447"/>
      <c r="W23" s="982">
        <f t="shared" si="0"/>
        <v>64700</v>
      </c>
    </row>
    <row r="24" spans="1:23" s="123" customFormat="1" ht="18" customHeight="1">
      <c r="A24" s="440"/>
      <c r="B24" s="438"/>
      <c r="C24" s="411"/>
      <c r="D24" s="411"/>
      <c r="E24" s="442"/>
      <c r="F24" s="450"/>
      <c r="G24" s="451"/>
      <c r="H24" s="454"/>
      <c r="I24" s="445"/>
      <c r="J24" s="446"/>
      <c r="K24" s="446"/>
      <c r="L24" s="446"/>
      <c r="M24" s="446"/>
      <c r="N24" s="446"/>
      <c r="O24" s="446"/>
      <c r="P24" s="446"/>
      <c r="Q24" s="446"/>
      <c r="R24" s="446"/>
      <c r="S24" s="446"/>
      <c r="T24" s="446"/>
      <c r="U24" s="446"/>
      <c r="V24" s="447"/>
      <c r="W24" s="982">
        <f t="shared" si="0"/>
        <v>64700</v>
      </c>
    </row>
    <row r="25" spans="1:23" s="123" customFormat="1" ht="18" customHeight="1">
      <c r="A25" s="440"/>
      <c r="B25" s="438"/>
      <c r="C25" s="411"/>
      <c r="D25" s="411"/>
      <c r="E25" s="445"/>
      <c r="F25" s="446"/>
      <c r="G25" s="443"/>
      <c r="H25" s="444"/>
      <c r="I25" s="445"/>
      <c r="J25" s="446"/>
      <c r="K25" s="446"/>
      <c r="L25" s="446"/>
      <c r="M25" s="446"/>
      <c r="N25" s="446"/>
      <c r="O25" s="446"/>
      <c r="P25" s="446"/>
      <c r="Q25" s="446"/>
      <c r="R25" s="446"/>
      <c r="S25" s="446"/>
      <c r="T25" s="446"/>
      <c r="U25" s="446"/>
      <c r="V25" s="447"/>
      <c r="W25" s="982">
        <f t="shared" si="0"/>
        <v>64700</v>
      </c>
    </row>
    <row r="26" spans="1:23" s="123" customFormat="1" ht="18" customHeight="1">
      <c r="A26" s="440"/>
      <c r="B26" s="438"/>
      <c r="C26" s="411"/>
      <c r="D26" s="411"/>
      <c r="E26" s="445"/>
      <c r="F26" s="446"/>
      <c r="G26" s="443"/>
      <c r="H26" s="444"/>
      <c r="I26" s="445"/>
      <c r="J26" s="446"/>
      <c r="K26" s="446"/>
      <c r="L26" s="446"/>
      <c r="M26" s="446"/>
      <c r="N26" s="446"/>
      <c r="O26" s="446"/>
      <c r="P26" s="446"/>
      <c r="Q26" s="446"/>
      <c r="R26" s="446"/>
      <c r="S26" s="446"/>
      <c r="T26" s="446"/>
      <c r="U26" s="446"/>
      <c r="V26" s="447"/>
      <c r="W26" s="982">
        <f t="shared" si="0"/>
        <v>64700</v>
      </c>
    </row>
    <row r="27" spans="1:23" s="123" customFormat="1" ht="18" customHeight="1">
      <c r="A27" s="440"/>
      <c r="B27" s="438"/>
      <c r="C27" s="411"/>
      <c r="D27" s="411"/>
      <c r="E27" s="445"/>
      <c r="F27" s="446"/>
      <c r="G27" s="443"/>
      <c r="H27" s="444"/>
      <c r="I27" s="445"/>
      <c r="J27" s="446"/>
      <c r="K27" s="446"/>
      <c r="L27" s="446"/>
      <c r="M27" s="446"/>
      <c r="N27" s="446"/>
      <c r="O27" s="446"/>
      <c r="P27" s="446"/>
      <c r="Q27" s="446"/>
      <c r="R27" s="446"/>
      <c r="S27" s="446"/>
      <c r="T27" s="446"/>
      <c r="U27" s="446"/>
      <c r="V27" s="447"/>
      <c r="W27" s="982">
        <f t="shared" si="0"/>
        <v>64700</v>
      </c>
    </row>
    <row r="28" spans="1:23" s="123" customFormat="1" ht="18" customHeight="1">
      <c r="A28" s="440"/>
      <c r="B28" s="438"/>
      <c r="C28" s="411"/>
      <c r="D28" s="411"/>
      <c r="E28" s="445"/>
      <c r="F28" s="446"/>
      <c r="G28" s="443"/>
      <c r="H28" s="444"/>
      <c r="I28" s="445"/>
      <c r="J28" s="446"/>
      <c r="K28" s="446"/>
      <c r="L28" s="446"/>
      <c r="M28" s="446"/>
      <c r="N28" s="446"/>
      <c r="O28" s="446"/>
      <c r="P28" s="446"/>
      <c r="Q28" s="446"/>
      <c r="R28" s="446"/>
      <c r="S28" s="446"/>
      <c r="T28" s="446"/>
      <c r="U28" s="446"/>
      <c r="V28" s="447"/>
      <c r="W28" s="982">
        <f t="shared" si="0"/>
        <v>64700</v>
      </c>
    </row>
    <row r="29" spans="1:23" s="123" customFormat="1" ht="18" customHeight="1">
      <c r="A29" s="440"/>
      <c r="B29" s="438"/>
      <c r="C29" s="411"/>
      <c r="D29" s="411"/>
      <c r="E29" s="445"/>
      <c r="F29" s="446"/>
      <c r="G29" s="443"/>
      <c r="H29" s="444"/>
      <c r="I29" s="445"/>
      <c r="J29" s="446"/>
      <c r="K29" s="446"/>
      <c r="L29" s="446"/>
      <c r="M29" s="446"/>
      <c r="N29" s="446"/>
      <c r="O29" s="446"/>
      <c r="P29" s="446"/>
      <c r="Q29" s="446"/>
      <c r="R29" s="446"/>
      <c r="S29" s="446"/>
      <c r="T29" s="446"/>
      <c r="U29" s="446"/>
      <c r="V29" s="447"/>
      <c r="W29" s="982">
        <f t="shared" si="0"/>
        <v>64700</v>
      </c>
    </row>
    <row r="30" spans="1:23" s="123" customFormat="1" ht="18" customHeight="1">
      <c r="A30" s="440"/>
      <c r="B30" s="438"/>
      <c r="C30" s="411"/>
      <c r="D30" s="411"/>
      <c r="E30" s="445"/>
      <c r="F30" s="446"/>
      <c r="G30" s="443"/>
      <c r="H30" s="444"/>
      <c r="I30" s="445"/>
      <c r="J30" s="446"/>
      <c r="K30" s="446"/>
      <c r="L30" s="446"/>
      <c r="M30" s="446"/>
      <c r="N30" s="446"/>
      <c r="O30" s="446"/>
      <c r="P30" s="446"/>
      <c r="Q30" s="446"/>
      <c r="R30" s="446"/>
      <c r="S30" s="446"/>
      <c r="T30" s="446"/>
      <c r="U30" s="446"/>
      <c r="V30" s="447"/>
      <c r="W30" s="982">
        <f t="shared" si="0"/>
        <v>64700</v>
      </c>
    </row>
    <row r="31" spans="1:23" s="123" customFormat="1" ht="18" customHeight="1">
      <c r="A31" s="440"/>
      <c r="B31" s="438"/>
      <c r="C31" s="411"/>
      <c r="D31" s="411"/>
      <c r="E31" s="445"/>
      <c r="F31" s="446"/>
      <c r="G31" s="443"/>
      <c r="H31" s="444"/>
      <c r="I31" s="445"/>
      <c r="J31" s="446"/>
      <c r="K31" s="446"/>
      <c r="L31" s="446"/>
      <c r="M31" s="446"/>
      <c r="N31" s="446"/>
      <c r="O31" s="446"/>
      <c r="P31" s="446"/>
      <c r="Q31" s="446"/>
      <c r="R31" s="446"/>
      <c r="S31" s="446"/>
      <c r="T31" s="446"/>
      <c r="U31" s="446"/>
      <c r="V31" s="447"/>
      <c r="W31" s="982">
        <f t="shared" si="0"/>
        <v>64700</v>
      </c>
    </row>
    <row r="32" spans="1:23" s="123" customFormat="1" ht="18" customHeight="1">
      <c r="A32" s="440"/>
      <c r="B32" s="438"/>
      <c r="C32" s="411"/>
      <c r="D32" s="411"/>
      <c r="E32" s="445"/>
      <c r="F32" s="446"/>
      <c r="G32" s="443"/>
      <c r="H32" s="444"/>
      <c r="I32" s="445"/>
      <c r="J32" s="446"/>
      <c r="K32" s="446"/>
      <c r="L32" s="446"/>
      <c r="M32" s="446"/>
      <c r="N32" s="446"/>
      <c r="O32" s="446"/>
      <c r="P32" s="446"/>
      <c r="Q32" s="446"/>
      <c r="R32" s="446"/>
      <c r="S32" s="446"/>
      <c r="T32" s="446"/>
      <c r="U32" s="446"/>
      <c r="V32" s="447"/>
      <c r="W32" s="982">
        <f t="shared" si="0"/>
        <v>64700</v>
      </c>
    </row>
    <row r="33" spans="1:23" s="123" customFormat="1" ht="18" customHeight="1">
      <c r="A33" s="440"/>
      <c r="B33" s="438"/>
      <c r="C33" s="411"/>
      <c r="D33" s="411"/>
      <c r="E33" s="445"/>
      <c r="F33" s="446"/>
      <c r="G33" s="443"/>
      <c r="H33" s="444"/>
      <c r="I33" s="445"/>
      <c r="J33" s="446"/>
      <c r="K33" s="446"/>
      <c r="L33" s="446"/>
      <c r="M33" s="446"/>
      <c r="N33" s="446"/>
      <c r="O33" s="446"/>
      <c r="P33" s="446"/>
      <c r="Q33" s="446"/>
      <c r="R33" s="446"/>
      <c r="S33" s="446"/>
      <c r="T33" s="446"/>
      <c r="U33" s="446"/>
      <c r="V33" s="447"/>
      <c r="W33" s="982">
        <f t="shared" si="0"/>
        <v>64700</v>
      </c>
    </row>
    <row r="34" spans="1:23" s="123" customFormat="1" ht="18" customHeight="1">
      <c r="A34" s="440"/>
      <c r="B34" s="438"/>
      <c r="C34" s="411"/>
      <c r="D34" s="411"/>
      <c r="E34" s="445"/>
      <c r="F34" s="446"/>
      <c r="G34" s="443"/>
      <c r="H34" s="444"/>
      <c r="I34" s="445"/>
      <c r="J34" s="446"/>
      <c r="K34" s="446"/>
      <c r="L34" s="446"/>
      <c r="M34" s="446"/>
      <c r="N34" s="446"/>
      <c r="O34" s="446"/>
      <c r="P34" s="446"/>
      <c r="Q34" s="446"/>
      <c r="R34" s="446"/>
      <c r="S34" s="446"/>
      <c r="T34" s="446"/>
      <c r="U34" s="446"/>
      <c r="V34" s="447"/>
      <c r="W34" s="982">
        <f t="shared" si="0"/>
        <v>64700</v>
      </c>
    </row>
    <row r="35" spans="1:23" s="123" customFormat="1" ht="18" customHeight="1">
      <c r="A35" s="440"/>
      <c r="B35" s="438"/>
      <c r="C35" s="411"/>
      <c r="D35" s="411"/>
      <c r="E35" s="445"/>
      <c r="F35" s="446"/>
      <c r="G35" s="443"/>
      <c r="H35" s="444"/>
      <c r="I35" s="445"/>
      <c r="J35" s="446"/>
      <c r="K35" s="446"/>
      <c r="L35" s="446"/>
      <c r="M35" s="446"/>
      <c r="N35" s="446"/>
      <c r="O35" s="446"/>
      <c r="P35" s="446"/>
      <c r="Q35" s="446"/>
      <c r="R35" s="446"/>
      <c r="S35" s="446"/>
      <c r="T35" s="446"/>
      <c r="U35" s="446"/>
      <c r="V35" s="447"/>
      <c r="W35" s="982">
        <f t="shared" si="0"/>
        <v>64700</v>
      </c>
    </row>
    <row r="36" spans="1:23" s="123" customFormat="1" ht="18" customHeight="1">
      <c r="A36" s="440"/>
      <c r="B36" s="438"/>
      <c r="C36" s="441"/>
      <c r="D36" s="411"/>
      <c r="E36" s="445"/>
      <c r="F36" s="446"/>
      <c r="G36" s="443"/>
      <c r="H36" s="444"/>
      <c r="I36" s="445"/>
      <c r="J36" s="446"/>
      <c r="K36" s="446"/>
      <c r="L36" s="446"/>
      <c r="M36" s="446"/>
      <c r="N36" s="446"/>
      <c r="O36" s="446"/>
      <c r="P36" s="446"/>
      <c r="Q36" s="446"/>
      <c r="R36" s="446"/>
      <c r="S36" s="446"/>
      <c r="T36" s="446"/>
      <c r="U36" s="446"/>
      <c r="V36" s="447"/>
      <c r="W36" s="982">
        <f t="shared" si="0"/>
        <v>64700</v>
      </c>
    </row>
    <row r="37" spans="1:23" s="123" customFormat="1" ht="18" customHeight="1">
      <c r="A37" s="440"/>
      <c r="B37" s="438"/>
      <c r="C37" s="441"/>
      <c r="D37" s="441"/>
      <c r="E37" s="442"/>
      <c r="F37" s="450"/>
      <c r="G37" s="448"/>
      <c r="H37" s="449"/>
      <c r="I37" s="442"/>
      <c r="J37" s="450"/>
      <c r="K37" s="450"/>
      <c r="L37" s="450"/>
      <c r="M37" s="450"/>
      <c r="N37" s="450"/>
      <c r="O37" s="450"/>
      <c r="P37" s="446"/>
      <c r="Q37" s="446"/>
      <c r="R37" s="446"/>
      <c r="S37" s="446"/>
      <c r="T37" s="446"/>
      <c r="U37" s="446"/>
      <c r="V37" s="447"/>
      <c r="W37" s="982">
        <f t="shared" si="0"/>
        <v>64700</v>
      </c>
    </row>
    <row r="38" spans="1:23" s="123" customFormat="1" ht="18" customHeight="1">
      <c r="A38" s="440"/>
      <c r="B38" s="438"/>
      <c r="C38" s="441"/>
      <c r="D38" s="441"/>
      <c r="E38" s="442"/>
      <c r="F38" s="450"/>
      <c r="G38" s="448"/>
      <c r="H38" s="449"/>
      <c r="I38" s="442"/>
      <c r="J38" s="450"/>
      <c r="K38" s="450"/>
      <c r="L38" s="450"/>
      <c r="M38" s="450"/>
      <c r="N38" s="450"/>
      <c r="O38" s="450"/>
      <c r="P38" s="446"/>
      <c r="Q38" s="446"/>
      <c r="R38" s="446"/>
      <c r="S38" s="446"/>
      <c r="T38" s="446"/>
      <c r="U38" s="446"/>
      <c r="V38" s="447"/>
      <c r="W38" s="982">
        <f t="shared" si="0"/>
        <v>64700</v>
      </c>
    </row>
    <row r="39" spans="1:23" s="123" customFormat="1" ht="18" customHeight="1">
      <c r="A39" s="440"/>
      <c r="B39" s="438"/>
      <c r="C39" s="411"/>
      <c r="D39" s="411"/>
      <c r="E39" s="445"/>
      <c r="F39" s="446"/>
      <c r="G39" s="443"/>
      <c r="H39" s="444"/>
      <c r="I39" s="445"/>
      <c r="J39" s="446"/>
      <c r="K39" s="446"/>
      <c r="L39" s="446"/>
      <c r="M39" s="446"/>
      <c r="N39" s="446"/>
      <c r="O39" s="446"/>
      <c r="P39" s="446"/>
      <c r="Q39" s="446"/>
      <c r="R39" s="446"/>
      <c r="S39" s="446"/>
      <c r="T39" s="446"/>
      <c r="U39" s="446"/>
      <c r="V39" s="447"/>
      <c r="W39" s="982">
        <f t="shared" si="0"/>
        <v>64700</v>
      </c>
    </row>
    <row r="40" spans="1:23" s="123" customFormat="1" ht="18" customHeight="1">
      <c r="A40" s="440"/>
      <c r="B40" s="438"/>
      <c r="C40" s="411"/>
      <c r="D40" s="411"/>
      <c r="E40" s="445"/>
      <c r="F40" s="446"/>
      <c r="G40" s="443"/>
      <c r="H40" s="444"/>
      <c r="I40" s="445"/>
      <c r="J40" s="446"/>
      <c r="K40" s="446"/>
      <c r="L40" s="446"/>
      <c r="M40" s="446"/>
      <c r="N40" s="446"/>
      <c r="O40" s="446"/>
      <c r="P40" s="446"/>
      <c r="Q40" s="446"/>
      <c r="R40" s="446"/>
      <c r="S40" s="446"/>
      <c r="T40" s="446"/>
      <c r="U40" s="446"/>
      <c r="V40" s="447"/>
      <c r="W40" s="982">
        <f t="shared" si="0"/>
        <v>64700</v>
      </c>
    </row>
    <row r="41" spans="1:23" s="123" customFormat="1" ht="18" customHeight="1">
      <c r="A41" s="440"/>
      <c r="B41" s="438"/>
      <c r="C41" s="411"/>
      <c r="D41" s="411"/>
      <c r="E41" s="445"/>
      <c r="F41" s="446"/>
      <c r="G41" s="443"/>
      <c r="H41" s="444"/>
      <c r="I41" s="445"/>
      <c r="J41" s="446"/>
      <c r="K41" s="446"/>
      <c r="L41" s="446"/>
      <c r="M41" s="446"/>
      <c r="N41" s="446"/>
      <c r="O41" s="446"/>
      <c r="P41" s="446"/>
      <c r="Q41" s="446"/>
      <c r="R41" s="446"/>
      <c r="S41" s="446"/>
      <c r="T41" s="446"/>
      <c r="U41" s="446"/>
      <c r="V41" s="451"/>
      <c r="W41" s="982">
        <f t="shared" si="0"/>
        <v>64700</v>
      </c>
    </row>
    <row r="42" spans="1:23" s="123" customFormat="1" ht="18" customHeight="1" thickBot="1">
      <c r="A42" s="440"/>
      <c r="B42" s="438"/>
      <c r="C42" s="411"/>
      <c r="D42" s="411"/>
      <c r="E42" s="445"/>
      <c r="F42" s="446"/>
      <c r="G42" s="443"/>
      <c r="H42" s="444"/>
      <c r="I42" s="445"/>
      <c r="J42" s="446"/>
      <c r="K42" s="446"/>
      <c r="L42" s="446"/>
      <c r="M42" s="446"/>
      <c r="N42" s="446"/>
      <c r="O42" s="446"/>
      <c r="P42" s="446"/>
      <c r="Q42" s="446"/>
      <c r="R42" s="446"/>
      <c r="S42" s="446"/>
      <c r="T42" s="446"/>
      <c r="U42" s="452"/>
      <c r="V42" s="40"/>
      <c r="W42" s="983">
        <f t="shared" si="0"/>
        <v>64700</v>
      </c>
    </row>
    <row r="43" spans="1:23" s="1" customFormat="1" ht="26.25" customHeight="1" thickTop="1" thickBot="1">
      <c r="A43" s="214"/>
      <c r="B43" s="218"/>
      <c r="C43" s="433" t="s">
        <v>19</v>
      </c>
      <c r="D43" s="434"/>
      <c r="E43" s="976">
        <f>SUM(E13:E42)</f>
        <v>0</v>
      </c>
      <c r="F43" s="976">
        <f>SUM(F13:F42)</f>
        <v>0</v>
      </c>
      <c r="G43" s="978">
        <f t="shared" ref="G43:V43" si="1">SUM(G13:G42)</f>
        <v>0</v>
      </c>
      <c r="H43" s="979">
        <f t="shared" si="1"/>
        <v>0</v>
      </c>
      <c r="I43" s="976">
        <f t="shared" si="1"/>
        <v>0</v>
      </c>
      <c r="J43" s="976">
        <f t="shared" si="1"/>
        <v>0</v>
      </c>
      <c r="K43" s="976">
        <f t="shared" si="1"/>
        <v>0</v>
      </c>
      <c r="L43" s="976">
        <f t="shared" si="1"/>
        <v>0</v>
      </c>
      <c r="M43" s="976">
        <f t="shared" si="1"/>
        <v>0</v>
      </c>
      <c r="N43" s="976">
        <f t="shared" si="1"/>
        <v>0</v>
      </c>
      <c r="O43" s="976">
        <f t="shared" si="1"/>
        <v>0</v>
      </c>
      <c r="P43" s="976">
        <f t="shared" si="1"/>
        <v>0</v>
      </c>
      <c r="Q43" s="976">
        <f t="shared" si="1"/>
        <v>0</v>
      </c>
      <c r="R43" s="976">
        <f t="shared" si="1"/>
        <v>0</v>
      </c>
      <c r="S43" s="976">
        <f t="shared" si="1"/>
        <v>0</v>
      </c>
      <c r="T43" s="976">
        <f>SUM(T13:T42)</f>
        <v>0</v>
      </c>
      <c r="U43" s="976">
        <f t="shared" si="1"/>
        <v>0</v>
      </c>
      <c r="V43" s="976">
        <f t="shared" si="1"/>
        <v>0</v>
      </c>
      <c r="W43" s="984">
        <f>(SUM((E43:G43))-(SUM((H43:V43))))</f>
        <v>0</v>
      </c>
    </row>
    <row r="44" spans="1:23" s="1" customFormat="1" ht="26.25" customHeight="1" thickTop="1" thickBot="1">
      <c r="A44" s="214"/>
      <c r="B44" s="218"/>
      <c r="C44" s="433" t="s">
        <v>257</v>
      </c>
      <c r="D44" s="434"/>
      <c r="E44" s="976">
        <f>E12+E43</f>
        <v>0</v>
      </c>
      <c r="F44" s="976">
        <f>F12+F43</f>
        <v>0</v>
      </c>
      <c r="G44" s="978">
        <f t="shared" ref="G44:V44" si="2">G12+G43</f>
        <v>0</v>
      </c>
      <c r="H44" s="979">
        <f t="shared" si="2"/>
        <v>0</v>
      </c>
      <c r="I44" s="976">
        <f t="shared" si="2"/>
        <v>0</v>
      </c>
      <c r="J44" s="976">
        <f t="shared" si="2"/>
        <v>0</v>
      </c>
      <c r="K44" s="976">
        <f t="shared" si="2"/>
        <v>0</v>
      </c>
      <c r="L44" s="976">
        <f t="shared" si="2"/>
        <v>0</v>
      </c>
      <c r="M44" s="976">
        <f t="shared" si="2"/>
        <v>0</v>
      </c>
      <c r="N44" s="976">
        <f t="shared" si="2"/>
        <v>0</v>
      </c>
      <c r="O44" s="976">
        <f t="shared" si="2"/>
        <v>0</v>
      </c>
      <c r="P44" s="976">
        <f t="shared" si="2"/>
        <v>0</v>
      </c>
      <c r="Q44" s="976">
        <f t="shared" si="2"/>
        <v>0</v>
      </c>
      <c r="R44" s="976">
        <f t="shared" si="2"/>
        <v>0</v>
      </c>
      <c r="S44" s="976">
        <f t="shared" si="2"/>
        <v>0</v>
      </c>
      <c r="T44" s="976">
        <f t="shared" si="2"/>
        <v>0</v>
      </c>
      <c r="U44" s="976">
        <f t="shared" si="2"/>
        <v>0</v>
      </c>
      <c r="V44" s="976">
        <f t="shared" si="2"/>
        <v>0</v>
      </c>
      <c r="W44" s="985">
        <f>(SUM((E44:G44))-(SUM((H44:V44))))</f>
        <v>0</v>
      </c>
    </row>
    <row r="45" spans="1:23" s="1" customFormat="1" ht="26.25" customHeight="1" thickTop="1" thickBot="1">
      <c r="A45" s="215"/>
      <c r="B45" s="219"/>
      <c r="C45" s="435" t="s">
        <v>20</v>
      </c>
      <c r="D45" s="436"/>
      <c r="E45" s="977">
        <f>E11+E44</f>
        <v>18525000</v>
      </c>
      <c r="F45" s="977">
        <f>F11+F44</f>
        <v>100000</v>
      </c>
      <c r="G45" s="980">
        <f t="shared" ref="G45:V45" si="3">G11+G44</f>
        <v>0</v>
      </c>
      <c r="H45" s="981">
        <f t="shared" si="3"/>
        <v>525000</v>
      </c>
      <c r="I45" s="977">
        <f t="shared" si="3"/>
        <v>5435300</v>
      </c>
      <c r="J45" s="977">
        <f t="shared" si="3"/>
        <v>500000</v>
      </c>
      <c r="K45" s="977">
        <f t="shared" si="3"/>
        <v>5000000</v>
      </c>
      <c r="L45" s="977">
        <f t="shared" si="3"/>
        <v>2000000</v>
      </c>
      <c r="M45" s="977">
        <f t="shared" si="3"/>
        <v>2000000</v>
      </c>
      <c r="N45" s="977">
        <f t="shared" si="3"/>
        <v>1250000</v>
      </c>
      <c r="O45" s="977">
        <f t="shared" si="3"/>
        <v>1250000</v>
      </c>
      <c r="P45" s="977">
        <f t="shared" si="3"/>
        <v>500000</v>
      </c>
      <c r="Q45" s="977">
        <f t="shared" si="3"/>
        <v>0</v>
      </c>
      <c r="R45" s="977">
        <f t="shared" si="3"/>
        <v>0</v>
      </c>
      <c r="S45" s="977">
        <f t="shared" si="3"/>
        <v>0</v>
      </c>
      <c r="T45" s="977">
        <f t="shared" si="3"/>
        <v>0</v>
      </c>
      <c r="U45" s="977">
        <f t="shared" si="3"/>
        <v>100000</v>
      </c>
      <c r="V45" s="977">
        <f t="shared" si="3"/>
        <v>0</v>
      </c>
      <c r="W45" s="986">
        <f>(SUM((E45:G45))-(SUM((H45:V45))))</f>
        <v>64700</v>
      </c>
    </row>
    <row r="46" spans="1:23" s="123" customFormat="1" ht="15">
      <c r="B46" s="138"/>
    </row>
    <row r="47" spans="1:23" s="123" customFormat="1" ht="15.75">
      <c r="A47" s="139"/>
      <c r="B47" s="138"/>
      <c r="C47" s="1"/>
      <c r="D47" s="1"/>
      <c r="E47" s="1"/>
      <c r="F47" s="1"/>
      <c r="G47" s="1"/>
      <c r="H47" s="1"/>
      <c r="I47" s="7"/>
      <c r="J47" s="7"/>
      <c r="K47" s="7"/>
      <c r="L47" s="7"/>
      <c r="M47" s="140"/>
      <c r="Q47" s="11"/>
      <c r="R47" s="455" t="str">
        <f>DT!D28</f>
        <v>Nagrak, 29 Februari 2016 2016</v>
      </c>
      <c r="S47" s="11"/>
      <c r="T47" s="11"/>
    </row>
    <row r="48" spans="1:23" s="123" customFormat="1" ht="15.75">
      <c r="A48" s="139"/>
      <c r="B48" s="138"/>
      <c r="C48" s="148" t="s">
        <v>21</v>
      </c>
      <c r="D48" s="1"/>
      <c r="E48" s="1"/>
      <c r="F48" s="1"/>
      <c r="G48" s="1"/>
      <c r="H48" s="1"/>
      <c r="I48" s="7"/>
      <c r="J48" s="7"/>
      <c r="K48" s="7"/>
      <c r="L48" s="7"/>
      <c r="Q48" s="11"/>
      <c r="R48" s="11" t="s">
        <v>22</v>
      </c>
      <c r="S48" s="11"/>
      <c r="T48" s="11"/>
    </row>
    <row r="49" spans="2:20" s="123" customFormat="1" ht="15.75">
      <c r="B49" s="138"/>
      <c r="C49" s="148" t="s">
        <v>23</v>
      </c>
      <c r="D49" s="1"/>
      <c r="E49" s="1"/>
      <c r="F49" s="1"/>
      <c r="G49" s="1"/>
      <c r="H49" s="1"/>
      <c r="I49" s="7"/>
      <c r="J49" s="7"/>
      <c r="K49" s="7"/>
      <c r="L49" s="7"/>
      <c r="Q49" s="14"/>
      <c r="R49" s="14" t="s">
        <v>24</v>
      </c>
      <c r="S49" s="14"/>
      <c r="T49" s="14"/>
    </row>
    <row r="50" spans="2:20" ht="15.75">
      <c r="C50" s="15"/>
      <c r="D50" s="15"/>
      <c r="E50" s="20"/>
      <c r="F50" s="20"/>
      <c r="G50" s="20"/>
      <c r="H50" s="20"/>
      <c r="I50" s="20"/>
      <c r="J50" s="20"/>
      <c r="K50" s="20"/>
      <c r="L50" s="20"/>
      <c r="M50" s="20"/>
      <c r="N50" s="20"/>
      <c r="R50" s="11"/>
    </row>
    <row r="51" spans="2:20" s="120" customFormat="1" ht="23.25">
      <c r="R51" s="13"/>
    </row>
    <row r="52" spans="2:20" s="120" customFormat="1" ht="23.25"/>
    <row r="53" spans="2:20" s="120" customFormat="1" ht="23.25">
      <c r="C53" s="11" t="str">
        <f>DT!D14</f>
        <v>Endang Taryana</v>
      </c>
      <c r="R53" s="14" t="str">
        <f>DT!D15</f>
        <v>Arin Yustini, SE</v>
      </c>
    </row>
    <row r="54" spans="2:20" s="123" customFormat="1" ht="15"/>
    <row r="55" spans="2:20" s="123" customFormat="1" ht="15"/>
    <row r="56" spans="2:20" s="123" customFormat="1" ht="15"/>
    <row r="57" spans="2:20" s="123" customFormat="1" ht="15"/>
    <row r="58" spans="2:20" s="123" customFormat="1" ht="18.75" customHeight="1"/>
    <row r="59" spans="2:20" s="123" customFormat="1" ht="17.25" customHeight="1"/>
    <row r="60" spans="2:20" s="123" customFormat="1" ht="15"/>
    <row r="61" spans="2:20" s="123" customFormat="1" ht="15"/>
    <row r="62" spans="2:20" s="1" customFormat="1" ht="24" customHeight="1"/>
    <row r="63" spans="2:20" s="74" customFormat="1" ht="24" customHeight="1"/>
    <row r="64" spans="2:20" s="123" customFormat="1" ht="17.25" customHeight="1"/>
    <row r="65" s="123" customFormat="1" ht="17.25" customHeight="1"/>
    <row r="66" s="123" customFormat="1" ht="17.25" customHeight="1"/>
    <row r="67" s="123" customFormat="1" ht="17.25" customHeight="1"/>
    <row r="68" s="123" customFormat="1" ht="17.25" customHeight="1"/>
    <row r="69" s="123" customFormat="1" ht="17.25" customHeight="1"/>
    <row r="70" s="123" customFormat="1" ht="17.25" customHeight="1"/>
    <row r="71" s="123" customFormat="1" ht="17.25" customHeight="1"/>
    <row r="72" s="123" customFormat="1" ht="17.25" customHeight="1"/>
    <row r="73" s="1" customFormat="1" ht="26.25" customHeight="1"/>
    <row r="74" s="1" customFormat="1" ht="26.25" customHeight="1"/>
    <row r="75" s="1" customFormat="1" ht="26.25" customHeight="1"/>
    <row r="76" s="123" customFormat="1" ht="15"/>
    <row r="77" s="123" customFormat="1" ht="15"/>
    <row r="78" s="123" customFormat="1" ht="15"/>
    <row r="79" s="123" customFormat="1" ht="15"/>
  </sheetData>
  <mergeCells count="28">
    <mergeCell ref="A1:W1"/>
    <mergeCell ref="A2:W2"/>
    <mergeCell ref="A3:W3"/>
    <mergeCell ref="A7:A10"/>
    <mergeCell ref="E7:G7"/>
    <mergeCell ref="F8:F10"/>
    <mergeCell ref="W7:W10"/>
    <mergeCell ref="H8:S8"/>
    <mergeCell ref="R9:R10"/>
    <mergeCell ref="K9:K10"/>
    <mergeCell ref="G8:G10"/>
    <mergeCell ref="I9:I10"/>
    <mergeCell ref="H9:H10"/>
    <mergeCell ref="L9:L10"/>
    <mergeCell ref="M9:M10"/>
    <mergeCell ref="O9:O10"/>
    <mergeCell ref="D7:D10"/>
    <mergeCell ref="C7:C10"/>
    <mergeCell ref="B7:B10"/>
    <mergeCell ref="P9:P10"/>
    <mergeCell ref="H7:V7"/>
    <mergeCell ref="T8:T10"/>
    <mergeCell ref="U8:U10"/>
    <mergeCell ref="S9:S10"/>
    <mergeCell ref="Q9:Q10"/>
    <mergeCell ref="E8:E10"/>
    <mergeCell ref="J9:J10"/>
    <mergeCell ref="N9:N10"/>
  </mergeCells>
  <pageMargins left="0.5" right="0.19685039370078741" top="0.59055118110236227" bottom="0.23622047244094491" header="0.6692913385826772" footer="0.51181102362204722"/>
  <pageSetup paperSize="5" scale="47" orientation="landscape" horizontalDpi="4294967293" verticalDpi="4294967293" r:id="rId1"/>
  <headerFooter alignWithMargins="0"/>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indexed="41"/>
  </sheetPr>
  <dimension ref="A1:Q39"/>
  <sheetViews>
    <sheetView zoomScale="70" zoomScaleNormal="70" workbookViewId="0">
      <selection activeCell="H34" sqref="H34"/>
    </sheetView>
  </sheetViews>
  <sheetFormatPr defaultColWidth="9.140625" defaultRowHeight="12.75"/>
  <cols>
    <col min="1" max="1" width="4.28515625" style="15" customWidth="1"/>
    <col min="2" max="2" width="18.28515625" style="19" customWidth="1"/>
    <col min="3" max="3" width="44.5703125" style="15" customWidth="1"/>
    <col min="4" max="4" width="17" style="15" customWidth="1"/>
    <col min="5" max="12" width="16.7109375" style="15" customWidth="1"/>
    <col min="13" max="13" width="16.42578125" style="15" customWidth="1"/>
    <col min="14" max="14" width="20.28515625" style="15" customWidth="1"/>
    <col min="15" max="15" width="21" style="15" customWidth="1"/>
    <col min="16" max="16" width="9.140625" style="15"/>
    <col min="17" max="17" width="14" style="15" bestFit="1" customWidth="1"/>
    <col min="18" max="16384" width="9.140625" style="15"/>
  </cols>
  <sheetData>
    <row r="1" spans="1:12" s="24" customFormat="1" ht="20.25">
      <c r="A1" s="3396" t="s">
        <v>55</v>
      </c>
      <c r="B1" s="3396"/>
      <c r="C1" s="3396"/>
      <c r="D1" s="3396"/>
      <c r="E1" s="3396"/>
      <c r="F1" s="3396"/>
      <c r="G1" s="3396"/>
      <c r="H1" s="3396"/>
      <c r="I1" s="3396"/>
      <c r="J1" s="3396"/>
      <c r="K1" s="3396"/>
      <c r="L1" s="3396"/>
    </row>
    <row r="2" spans="1:12" s="24" customFormat="1" ht="20.25">
      <c r="A2" s="3396" t="s">
        <v>578</v>
      </c>
      <c r="B2" s="3396"/>
      <c r="C2" s="3396"/>
      <c r="D2" s="3396"/>
      <c r="E2" s="3396"/>
      <c r="F2" s="3396"/>
      <c r="G2" s="3396"/>
      <c r="H2" s="3396"/>
      <c r="I2" s="3396"/>
      <c r="J2" s="3396"/>
      <c r="K2" s="3396"/>
      <c r="L2" s="3396"/>
    </row>
    <row r="3" spans="1:12">
      <c r="B3" s="16"/>
      <c r="C3" s="17"/>
      <c r="D3" s="17"/>
      <c r="E3" s="17"/>
      <c r="F3" s="17"/>
      <c r="G3" s="17"/>
      <c r="H3" s="17"/>
      <c r="I3" s="17"/>
      <c r="J3" s="17"/>
      <c r="K3" s="17"/>
      <c r="L3" s="17"/>
    </row>
    <row r="4" spans="1:12" s="1" customFormat="1" ht="15.75">
      <c r="A4" s="23" t="s">
        <v>2</v>
      </c>
      <c r="B4" s="10"/>
      <c r="C4" s="4" t="str">
        <f>": "&amp;DT!D3</f>
        <v>: Nagrak</v>
      </c>
      <c r="G4" s="23"/>
      <c r="H4" s="542" t="s">
        <v>3</v>
      </c>
      <c r="J4" s="6" t="str">
        <f>": "&amp;DT!D25</f>
        <v>: Februari 2016</v>
      </c>
    </row>
    <row r="5" spans="1:12" s="1" customFormat="1" ht="15.75">
      <c r="A5" s="23" t="s">
        <v>4</v>
      </c>
      <c r="B5" s="10"/>
      <c r="C5" s="4" t="str">
        <f>": "&amp;DT!D4</f>
        <v>: Sukabumi</v>
      </c>
      <c r="G5" s="23"/>
      <c r="H5" s="542" t="s">
        <v>56</v>
      </c>
      <c r="J5" s="6" t="s">
        <v>357</v>
      </c>
    </row>
    <row r="6" spans="1:12" s="1" customFormat="1" ht="15.75">
      <c r="A6" s="23" t="s">
        <v>6</v>
      </c>
      <c r="B6" s="10"/>
      <c r="C6" s="4" t="str">
        <f>": "&amp;DT!D5</f>
        <v>: Jawa Barat</v>
      </c>
      <c r="G6" s="23"/>
      <c r="H6" s="542" t="s">
        <v>488</v>
      </c>
      <c r="J6" s="6" t="str">
        <f>": "&amp;DT!D31</f>
        <v>: .................................</v>
      </c>
    </row>
    <row r="7" spans="1:12" s="1" customFormat="1" ht="16.5" thickBot="1">
      <c r="A7" s="23"/>
      <c r="B7" s="10"/>
      <c r="C7" s="5"/>
      <c r="E7" s="23"/>
      <c r="F7" s="23"/>
      <c r="G7" s="23"/>
      <c r="H7" s="25"/>
      <c r="I7" s="4"/>
    </row>
    <row r="8" spans="1:12" s="1" customFormat="1" ht="25.5" customHeight="1">
      <c r="A8" s="3532" t="s">
        <v>57</v>
      </c>
      <c r="B8" s="3528" t="s">
        <v>7</v>
      </c>
      <c r="C8" s="3528" t="s">
        <v>8</v>
      </c>
      <c r="D8" s="3528" t="s">
        <v>9</v>
      </c>
      <c r="E8" s="3528" t="s">
        <v>10</v>
      </c>
      <c r="F8" s="3528"/>
      <c r="G8" s="3528"/>
      <c r="H8" s="3528"/>
      <c r="I8" s="3528" t="s">
        <v>11</v>
      </c>
      <c r="J8" s="3528"/>
      <c r="K8" s="3528"/>
      <c r="L8" s="3529" t="s">
        <v>12</v>
      </c>
    </row>
    <row r="9" spans="1:12" s="1" customFormat="1" ht="15.75">
      <c r="A9" s="3533"/>
      <c r="B9" s="3531"/>
      <c r="C9" s="3531"/>
      <c r="D9" s="3531"/>
      <c r="E9" s="3531" t="s">
        <v>58</v>
      </c>
      <c r="F9" s="3531"/>
      <c r="G9" s="3531"/>
      <c r="H9" s="3531" t="s">
        <v>59</v>
      </c>
      <c r="I9" s="3531" t="s">
        <v>60</v>
      </c>
      <c r="J9" s="3531" t="s">
        <v>61</v>
      </c>
      <c r="K9" s="3531" t="s">
        <v>62</v>
      </c>
      <c r="L9" s="3530"/>
    </row>
    <row r="10" spans="1:12" s="1" customFormat="1" ht="31.5">
      <c r="A10" s="3533"/>
      <c r="B10" s="3531"/>
      <c r="C10" s="3531"/>
      <c r="D10" s="2183" t="s">
        <v>13</v>
      </c>
      <c r="E10" s="2185" t="s">
        <v>886</v>
      </c>
      <c r="F10" s="2185" t="s">
        <v>885</v>
      </c>
      <c r="G10" s="2183" t="s">
        <v>571</v>
      </c>
      <c r="H10" s="3531"/>
      <c r="I10" s="3531"/>
      <c r="J10" s="3531"/>
      <c r="K10" s="3531"/>
      <c r="L10" s="3530"/>
    </row>
    <row r="11" spans="1:12" s="1" customFormat="1" ht="28.5" customHeight="1">
      <c r="A11" s="2244"/>
      <c r="B11" s="2245"/>
      <c r="C11" s="2246" t="s">
        <v>258</v>
      </c>
      <c r="D11" s="2247"/>
      <c r="E11" s="2247"/>
      <c r="F11" s="2247"/>
      <c r="G11" s="2247"/>
      <c r="H11" s="2247"/>
      <c r="I11" s="2247"/>
      <c r="J11" s="2247"/>
      <c r="K11" s="2247"/>
      <c r="L11" s="2248">
        <f>(SUM((E11:H11))-(SUM((I11:K11))))</f>
        <v>0</v>
      </c>
    </row>
    <row r="12" spans="1:12" s="23" customFormat="1" ht="28.5" customHeight="1">
      <c r="A12" s="2249"/>
      <c r="B12" s="2250"/>
      <c r="C12" s="2251" t="s">
        <v>539</v>
      </c>
      <c r="D12" s="2252"/>
      <c r="E12" s="2253"/>
      <c r="F12" s="2253"/>
      <c r="G12" s="2253"/>
      <c r="H12" s="2253"/>
      <c r="I12" s="2253"/>
      <c r="J12" s="2253"/>
      <c r="K12" s="2253"/>
      <c r="L12" s="2254">
        <f>L11+(SUM((E12:H12))-(SUM((I12:K12))))</f>
        <v>0</v>
      </c>
    </row>
    <row r="13" spans="1:12" s="1" customFormat="1" ht="15.75">
      <c r="A13" s="2255"/>
      <c r="B13" s="2256"/>
      <c r="C13" s="71"/>
      <c r="D13" s="71"/>
      <c r="E13" s="146"/>
      <c r="F13" s="146"/>
      <c r="G13" s="146"/>
      <c r="H13" s="146"/>
      <c r="I13" s="146"/>
      <c r="J13" s="146"/>
      <c r="K13" s="146"/>
      <c r="L13" s="2257">
        <f t="shared" ref="L13:L27" si="0">L12+(SUM((E13:H13))-(SUM((I13:K13))))</f>
        <v>0</v>
      </c>
    </row>
    <row r="14" spans="1:12" s="1" customFormat="1" ht="15.75">
      <c r="A14" s="2255"/>
      <c r="B14" s="2256"/>
      <c r="C14" s="71"/>
      <c r="D14" s="71"/>
      <c r="E14" s="146"/>
      <c r="F14" s="146"/>
      <c r="G14" s="146"/>
      <c r="H14" s="146"/>
      <c r="I14" s="146"/>
      <c r="J14" s="146"/>
      <c r="K14" s="146"/>
      <c r="L14" s="2257">
        <f t="shared" si="0"/>
        <v>0</v>
      </c>
    </row>
    <row r="15" spans="1:12" s="1" customFormat="1" ht="15.75">
      <c r="A15" s="2255"/>
      <c r="B15" s="2256"/>
      <c r="C15" s="71"/>
      <c r="D15" s="71"/>
      <c r="E15" s="146"/>
      <c r="F15" s="146"/>
      <c r="G15" s="146"/>
      <c r="H15" s="146"/>
      <c r="I15" s="146"/>
      <c r="J15" s="146"/>
      <c r="K15" s="146"/>
      <c r="L15" s="2257">
        <f t="shared" si="0"/>
        <v>0</v>
      </c>
    </row>
    <row r="16" spans="1:12" s="1" customFormat="1" ht="15.75">
      <c r="A16" s="2255"/>
      <c r="B16" s="2256"/>
      <c r="C16" s="71"/>
      <c r="D16" s="71"/>
      <c r="E16" s="146"/>
      <c r="F16" s="146"/>
      <c r="G16" s="146"/>
      <c r="H16" s="146"/>
      <c r="I16" s="146"/>
      <c r="J16" s="146"/>
      <c r="K16" s="146"/>
      <c r="L16" s="2257">
        <f t="shared" si="0"/>
        <v>0</v>
      </c>
    </row>
    <row r="17" spans="1:17" s="1" customFormat="1" ht="15.75">
      <c r="A17" s="2255"/>
      <c r="B17" s="2256"/>
      <c r="C17" s="71"/>
      <c r="D17" s="71"/>
      <c r="E17" s="146"/>
      <c r="F17" s="146"/>
      <c r="G17" s="146"/>
      <c r="H17" s="146"/>
      <c r="I17" s="146"/>
      <c r="J17" s="146"/>
      <c r="K17" s="146"/>
      <c r="L17" s="2257">
        <f t="shared" si="0"/>
        <v>0</v>
      </c>
    </row>
    <row r="18" spans="1:17" s="1" customFormat="1" ht="15.75">
      <c r="A18" s="2255"/>
      <c r="B18" s="2256"/>
      <c r="C18" s="71"/>
      <c r="D18" s="71"/>
      <c r="E18" s="146"/>
      <c r="F18" s="146"/>
      <c r="G18" s="146"/>
      <c r="H18" s="146"/>
      <c r="I18" s="146"/>
      <c r="J18" s="146"/>
      <c r="K18" s="146"/>
      <c r="L18" s="2257">
        <f t="shared" si="0"/>
        <v>0</v>
      </c>
    </row>
    <row r="19" spans="1:17" s="1" customFormat="1" ht="15.75">
      <c r="A19" s="2255"/>
      <c r="B19" s="2256"/>
      <c r="C19" s="71"/>
      <c r="D19" s="71"/>
      <c r="E19" s="146"/>
      <c r="F19" s="146"/>
      <c r="G19" s="146"/>
      <c r="H19" s="146"/>
      <c r="I19" s="146"/>
      <c r="J19" s="146"/>
      <c r="K19" s="146"/>
      <c r="L19" s="2257">
        <f t="shared" si="0"/>
        <v>0</v>
      </c>
    </row>
    <row r="20" spans="1:17" s="1" customFormat="1" ht="15.75">
      <c r="A20" s="2255"/>
      <c r="B20" s="2256"/>
      <c r="C20" s="71"/>
      <c r="D20" s="71"/>
      <c r="E20" s="146"/>
      <c r="F20" s="146"/>
      <c r="G20" s="146"/>
      <c r="H20" s="146"/>
      <c r="I20" s="146"/>
      <c r="J20" s="146"/>
      <c r="K20" s="146"/>
      <c r="L20" s="2257">
        <f t="shared" si="0"/>
        <v>0</v>
      </c>
    </row>
    <row r="21" spans="1:17" s="1" customFormat="1" ht="15.75">
      <c r="A21" s="2255"/>
      <c r="B21" s="2256"/>
      <c r="C21" s="71"/>
      <c r="D21" s="71"/>
      <c r="E21" s="146"/>
      <c r="F21" s="146"/>
      <c r="G21" s="146"/>
      <c r="H21" s="146"/>
      <c r="I21" s="146"/>
      <c r="J21" s="146"/>
      <c r="K21" s="146"/>
      <c r="L21" s="2257">
        <f t="shared" si="0"/>
        <v>0</v>
      </c>
    </row>
    <row r="22" spans="1:17" s="1" customFormat="1" ht="15.75">
      <c r="A22" s="2255"/>
      <c r="B22" s="2256"/>
      <c r="C22" s="71"/>
      <c r="D22" s="71"/>
      <c r="E22" s="146"/>
      <c r="F22" s="146"/>
      <c r="G22" s="146"/>
      <c r="H22" s="146"/>
      <c r="I22" s="146"/>
      <c r="J22" s="146"/>
      <c r="K22" s="146"/>
      <c r="L22" s="2257">
        <f t="shared" si="0"/>
        <v>0</v>
      </c>
    </row>
    <row r="23" spans="1:17" s="1" customFormat="1" ht="15.75">
      <c r="A23" s="2255"/>
      <c r="B23" s="2256"/>
      <c r="C23" s="71"/>
      <c r="D23" s="71"/>
      <c r="E23" s="146"/>
      <c r="F23" s="146"/>
      <c r="G23" s="146"/>
      <c r="H23" s="146"/>
      <c r="I23" s="146"/>
      <c r="J23" s="146"/>
      <c r="K23" s="146"/>
      <c r="L23" s="2257">
        <f t="shared" si="0"/>
        <v>0</v>
      </c>
    </row>
    <row r="24" spans="1:17" s="1" customFormat="1" ht="15.75">
      <c r="A24" s="2255"/>
      <c r="B24" s="2256"/>
      <c r="C24" s="71"/>
      <c r="D24" s="71"/>
      <c r="E24" s="146"/>
      <c r="F24" s="146"/>
      <c r="G24" s="146"/>
      <c r="H24" s="146"/>
      <c r="I24" s="146"/>
      <c r="J24" s="146"/>
      <c r="K24" s="146"/>
      <c r="L24" s="2257">
        <f t="shared" si="0"/>
        <v>0</v>
      </c>
    </row>
    <row r="25" spans="1:17" s="1" customFormat="1" ht="15.75">
      <c r="A25" s="2255"/>
      <c r="B25" s="2256"/>
      <c r="C25" s="71"/>
      <c r="D25" s="71"/>
      <c r="E25" s="146"/>
      <c r="F25" s="146"/>
      <c r="G25" s="146"/>
      <c r="H25" s="146"/>
      <c r="I25" s="146"/>
      <c r="J25" s="146"/>
      <c r="K25" s="146"/>
      <c r="L25" s="2257">
        <f t="shared" si="0"/>
        <v>0</v>
      </c>
    </row>
    <row r="26" spans="1:17" s="1" customFormat="1" ht="15.75">
      <c r="A26" s="2255"/>
      <c r="B26" s="2256"/>
      <c r="C26" s="71"/>
      <c r="D26" s="71"/>
      <c r="E26" s="146"/>
      <c r="F26" s="146"/>
      <c r="G26" s="146"/>
      <c r="H26" s="146"/>
      <c r="I26" s="146"/>
      <c r="J26" s="146"/>
      <c r="K26" s="146"/>
      <c r="L26" s="2257">
        <f t="shared" si="0"/>
        <v>0</v>
      </c>
    </row>
    <row r="27" spans="1:17" s="1" customFormat="1" ht="16.5" thickBot="1">
      <c r="A27" s="2265"/>
      <c r="B27" s="2266"/>
      <c r="C27" s="97"/>
      <c r="D27" s="97"/>
      <c r="E27" s="2267"/>
      <c r="F27" s="2267"/>
      <c r="G27" s="2267"/>
      <c r="H27" s="2267"/>
      <c r="I27" s="2267"/>
      <c r="J27" s="2267"/>
      <c r="K27" s="2267"/>
      <c r="L27" s="2268">
        <f t="shared" si="0"/>
        <v>0</v>
      </c>
    </row>
    <row r="28" spans="1:17" s="1" customFormat="1" ht="26.25" customHeight="1">
      <c r="A28" s="2269"/>
      <c r="B28" s="2270"/>
      <c r="C28" s="2271" t="s">
        <v>19</v>
      </c>
      <c r="D28" s="2272"/>
      <c r="E28" s="2273">
        <f t="shared" ref="E28:K28" si="1">SUM(E13:E27)</f>
        <v>0</v>
      </c>
      <c r="F28" s="2273">
        <f>SUM(F13:F27)</f>
        <v>0</v>
      </c>
      <c r="G28" s="2273">
        <f t="shared" si="1"/>
        <v>0</v>
      </c>
      <c r="H28" s="2273">
        <f t="shared" si="1"/>
        <v>0</v>
      </c>
      <c r="I28" s="2273">
        <f t="shared" si="1"/>
        <v>0</v>
      </c>
      <c r="J28" s="2273">
        <f t="shared" si="1"/>
        <v>0</v>
      </c>
      <c r="K28" s="2273">
        <f t="shared" si="1"/>
        <v>0</v>
      </c>
      <c r="L28" s="2274">
        <f>(SUM((E28:H28))-(SUM((I28:K28))))</f>
        <v>0</v>
      </c>
      <c r="O28" s="7"/>
      <c r="Q28" s="7"/>
    </row>
    <row r="29" spans="1:17" s="1" customFormat="1" ht="26.25" customHeight="1">
      <c r="A29" s="2258"/>
      <c r="B29" s="2259"/>
      <c r="C29" s="2183" t="s">
        <v>257</v>
      </c>
      <c r="D29" s="2260"/>
      <c r="E29" s="2253">
        <f t="shared" ref="E29:K29" si="2">E12+E28</f>
        <v>0</v>
      </c>
      <c r="F29" s="2253">
        <f>F12+F28</f>
        <v>0</v>
      </c>
      <c r="G29" s="2253">
        <f t="shared" si="2"/>
        <v>0</v>
      </c>
      <c r="H29" s="2253">
        <f t="shared" si="2"/>
        <v>0</v>
      </c>
      <c r="I29" s="2253">
        <f t="shared" si="2"/>
        <v>0</v>
      </c>
      <c r="J29" s="2253">
        <f t="shared" si="2"/>
        <v>0</v>
      </c>
      <c r="K29" s="2253">
        <f t="shared" si="2"/>
        <v>0</v>
      </c>
      <c r="L29" s="2261">
        <f>(SUM((E29:H29))-(SUM((I29:K29))))</f>
        <v>0</v>
      </c>
    </row>
    <row r="30" spans="1:17" s="1" customFormat="1" ht="26.25" customHeight="1" thickBot="1">
      <c r="A30" s="2262"/>
      <c r="B30" s="2263"/>
      <c r="C30" s="2243" t="s">
        <v>20</v>
      </c>
      <c r="D30" s="2264"/>
      <c r="E30" s="939">
        <f t="shared" ref="E30:K30" si="3">E11+E29</f>
        <v>0</v>
      </c>
      <c r="F30" s="939">
        <f>F11+F29</f>
        <v>0</v>
      </c>
      <c r="G30" s="939">
        <f t="shared" si="3"/>
        <v>0</v>
      </c>
      <c r="H30" s="939">
        <f t="shared" si="3"/>
        <v>0</v>
      </c>
      <c r="I30" s="939">
        <f t="shared" si="3"/>
        <v>0</v>
      </c>
      <c r="J30" s="939">
        <f t="shared" si="3"/>
        <v>0</v>
      </c>
      <c r="K30" s="939">
        <f t="shared" si="3"/>
        <v>0</v>
      </c>
      <c r="L30" s="942">
        <f>(SUM((E30:H30))-(SUM((I30:K30))))</f>
        <v>0</v>
      </c>
    </row>
    <row r="31" spans="1:17" s="1" customFormat="1" ht="15.75">
      <c r="B31" s="10"/>
    </row>
    <row r="32" spans="1:17" s="1" customFormat="1" ht="15.75">
      <c r="A32" s="147"/>
      <c r="B32" s="10"/>
      <c r="C32" s="123"/>
      <c r="D32" s="123"/>
      <c r="E32" s="123"/>
      <c r="F32" s="123"/>
      <c r="G32" s="123"/>
      <c r="H32" s="123"/>
      <c r="I32" s="123"/>
      <c r="J32" s="11" t="str">
        <f>DT!D28</f>
        <v>Nagrak, 29 Februari 2016 2016</v>
      </c>
    </row>
    <row r="33" spans="2:10" s="1" customFormat="1" ht="15.75">
      <c r="B33" s="10"/>
      <c r="C33" s="148" t="s">
        <v>21</v>
      </c>
      <c r="D33" s="123"/>
      <c r="E33" s="123"/>
      <c r="F33" s="123"/>
      <c r="G33" s="123"/>
      <c r="H33" s="123"/>
      <c r="I33" s="123"/>
      <c r="J33" s="148" t="s">
        <v>22</v>
      </c>
    </row>
    <row r="34" spans="2:10" s="1" customFormat="1" ht="15.75">
      <c r="B34" s="10"/>
      <c r="C34" s="148" t="s">
        <v>23</v>
      </c>
      <c r="E34" s="123"/>
      <c r="F34" s="123"/>
      <c r="G34" s="123"/>
      <c r="H34" s="123"/>
      <c r="I34" s="123"/>
      <c r="J34" s="149" t="s">
        <v>24</v>
      </c>
    </row>
    <row r="35" spans="2:10" s="1" customFormat="1" ht="15.75">
      <c r="B35" s="10"/>
      <c r="C35" s="148"/>
      <c r="E35" s="123"/>
      <c r="F35" s="123"/>
      <c r="G35" s="123"/>
      <c r="H35" s="123"/>
      <c r="I35" s="123"/>
      <c r="J35" s="149"/>
    </row>
    <row r="39" spans="2:10">
      <c r="C39" s="488" t="str">
        <f>DT!D14</f>
        <v>Endang Taryana</v>
      </c>
      <c r="J39" s="488" t="str">
        <f>DT!D15</f>
        <v>Arin Yustini, SE</v>
      </c>
    </row>
  </sheetData>
  <customSheetViews>
    <customSheetView guid="{4567A2CF-35AA-4E08-B7D1-F029A2641346}" topLeftCell="D13">
      <selection activeCell="G23" sqref="G23"/>
      <pageMargins left="0.23622047244094491" right="0.23622047244094491" top="0.35433070866141736" bottom="0.23622047244094491" header="0.51181102362204722" footer="0.51181102362204722"/>
      <printOptions horizontalCentered="1" verticalCentered="1"/>
      <pageSetup paperSize="9" scale="85" orientation="landscape" r:id="rId1"/>
      <headerFooter alignWithMargins="0"/>
    </customSheetView>
  </customSheetViews>
  <mergeCells count="14">
    <mergeCell ref="A1:L1"/>
    <mergeCell ref="A2:L2"/>
    <mergeCell ref="E8:H8"/>
    <mergeCell ref="I8:K8"/>
    <mergeCell ref="L8:L10"/>
    <mergeCell ref="E9:G9"/>
    <mergeCell ref="H9:H10"/>
    <mergeCell ref="I9:I10"/>
    <mergeCell ref="J9:J10"/>
    <mergeCell ref="K9:K10"/>
    <mergeCell ref="D8:D9"/>
    <mergeCell ref="A8:A10"/>
    <mergeCell ref="B8:B10"/>
    <mergeCell ref="C8:C10"/>
  </mergeCells>
  <phoneticPr fontId="0" type="noConversion"/>
  <printOptions horizontalCentered="1" verticalCentered="1"/>
  <pageMargins left="0.25" right="0.25" top="1" bottom="0.25" header="0.511811023622047" footer="0.511811023622047"/>
  <pageSetup paperSize="9" scale="70" orientation="landscape" horizontalDpi="300" verticalDpi="300" r:id="rId2"/>
  <headerFooter alignWithMargins="0"/>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indexed="41"/>
  </sheetPr>
  <dimension ref="A1:Q45"/>
  <sheetViews>
    <sheetView zoomScale="90" zoomScaleNormal="90" workbookViewId="0">
      <selection activeCell="C15" sqref="C15"/>
    </sheetView>
  </sheetViews>
  <sheetFormatPr defaultColWidth="9.140625" defaultRowHeight="12.75"/>
  <cols>
    <col min="1" max="1" width="4.28515625" style="15" customWidth="1"/>
    <col min="2" max="2" width="19.28515625" style="19" customWidth="1"/>
    <col min="3" max="3" width="44.5703125" style="15" customWidth="1"/>
    <col min="4" max="4" width="17" style="15" customWidth="1"/>
    <col min="5" max="12" width="16.7109375" style="15" customWidth="1"/>
    <col min="13" max="13" width="16.42578125" style="15" customWidth="1"/>
    <col min="14" max="14" width="20.28515625" style="3107" customWidth="1"/>
    <col min="15" max="15" width="21" style="15" customWidth="1"/>
    <col min="16" max="16" width="9.140625" style="15"/>
    <col min="17" max="17" width="14" style="15" bestFit="1" customWidth="1"/>
    <col min="18" max="16384" width="9.140625" style="15"/>
  </cols>
  <sheetData>
    <row r="1" spans="1:14" s="24" customFormat="1" ht="20.25">
      <c r="A1" s="3396" t="s">
        <v>55</v>
      </c>
      <c r="B1" s="3396"/>
      <c r="C1" s="3396"/>
      <c r="D1" s="3396"/>
      <c r="E1" s="3396"/>
      <c r="F1" s="3396"/>
      <c r="G1" s="3396"/>
      <c r="H1" s="3396"/>
      <c r="I1" s="3396"/>
      <c r="J1" s="3396"/>
      <c r="K1" s="3396"/>
      <c r="L1" s="3396"/>
      <c r="N1" s="3106"/>
    </row>
    <row r="2" spans="1:14" s="24" customFormat="1" ht="20.25">
      <c r="A2" s="3396" t="s">
        <v>579</v>
      </c>
      <c r="B2" s="3396"/>
      <c r="C2" s="3396"/>
      <c r="D2" s="3396"/>
      <c r="E2" s="3396"/>
      <c r="F2" s="3396"/>
      <c r="G2" s="3396"/>
      <c r="H2" s="3396"/>
      <c r="I2" s="3396"/>
      <c r="J2" s="3396"/>
      <c r="K2" s="3396"/>
      <c r="L2" s="3396"/>
      <c r="N2" s="3106"/>
    </row>
    <row r="3" spans="1:14">
      <c r="B3" s="16"/>
      <c r="C3" s="17"/>
      <c r="D3" s="17"/>
      <c r="E3" s="17"/>
      <c r="F3" s="17"/>
      <c r="G3" s="17"/>
      <c r="H3" s="17"/>
      <c r="I3" s="17"/>
      <c r="J3" s="17"/>
      <c r="K3" s="17"/>
      <c r="L3" s="17"/>
    </row>
    <row r="4" spans="1:14" s="1" customFormat="1" ht="15.75">
      <c r="A4" s="23" t="s">
        <v>2</v>
      </c>
      <c r="B4" s="10"/>
      <c r="C4" s="4" t="str">
        <f>": "&amp;DT!D3</f>
        <v>: Nagrak</v>
      </c>
      <c r="G4" s="23"/>
      <c r="H4" s="542" t="s">
        <v>3</v>
      </c>
      <c r="J4" s="6" t="str">
        <f>": "&amp;DT!D25</f>
        <v>: Februari 2016</v>
      </c>
      <c r="N4" s="3108"/>
    </row>
    <row r="5" spans="1:14" s="1" customFormat="1" ht="15.75">
      <c r="A5" s="23" t="s">
        <v>4</v>
      </c>
      <c r="B5" s="10"/>
      <c r="C5" s="4" t="str">
        <f>": "&amp;DT!D4</f>
        <v>: Sukabumi</v>
      </c>
      <c r="G5" s="23"/>
      <c r="H5" s="542" t="s">
        <v>56</v>
      </c>
      <c r="J5" s="6" t="s">
        <v>357</v>
      </c>
      <c r="N5" s="3108"/>
    </row>
    <row r="6" spans="1:14" s="1" customFormat="1" ht="15.75">
      <c r="A6" s="23" t="s">
        <v>6</v>
      </c>
      <c r="B6" s="10"/>
      <c r="C6" s="4" t="str">
        <f>": "&amp;DT!D5</f>
        <v>: Jawa Barat</v>
      </c>
      <c r="G6" s="23"/>
      <c r="H6" s="542" t="s">
        <v>488</v>
      </c>
      <c r="J6" s="6" t="str">
        <f>": "&amp;DT!D32</f>
        <v>: 4097-01-003496-53-4</v>
      </c>
      <c r="N6" s="3108"/>
    </row>
    <row r="7" spans="1:14" s="1" customFormat="1" ht="16.5" thickBot="1">
      <c r="A7" s="23"/>
      <c r="B7" s="10"/>
      <c r="C7" s="5"/>
      <c r="E7" s="23"/>
      <c r="F7" s="23"/>
      <c r="G7" s="23"/>
      <c r="H7" s="25"/>
      <c r="I7" s="4"/>
      <c r="N7" s="3108"/>
    </row>
    <row r="8" spans="1:14" s="1" customFormat="1" ht="25.5" customHeight="1">
      <c r="A8" s="3534" t="s">
        <v>57</v>
      </c>
      <c r="B8" s="3536" t="s">
        <v>7</v>
      </c>
      <c r="C8" s="3536" t="s">
        <v>8</v>
      </c>
      <c r="D8" s="2278" t="s">
        <v>9</v>
      </c>
      <c r="E8" s="3534" t="s">
        <v>10</v>
      </c>
      <c r="F8" s="3536"/>
      <c r="G8" s="3536"/>
      <c r="H8" s="3538"/>
      <c r="I8" s="3539" t="s">
        <v>11</v>
      </c>
      <c r="J8" s="3536"/>
      <c r="K8" s="3536"/>
      <c r="L8" s="3538" t="s">
        <v>12</v>
      </c>
      <c r="N8" s="3108"/>
    </row>
    <row r="9" spans="1:14" s="1" customFormat="1" ht="15.75">
      <c r="A9" s="3535"/>
      <c r="B9" s="3537"/>
      <c r="C9" s="3537"/>
      <c r="D9" s="2279"/>
      <c r="E9" s="2276" t="s">
        <v>58</v>
      </c>
      <c r="F9" s="2275"/>
      <c r="G9" s="2275"/>
      <c r="H9" s="2277" t="s">
        <v>59</v>
      </c>
      <c r="I9" s="2282" t="s">
        <v>60</v>
      </c>
      <c r="J9" s="2275" t="s">
        <v>61</v>
      </c>
      <c r="K9" s="2275" t="s">
        <v>62</v>
      </c>
      <c r="L9" s="3540"/>
      <c r="N9" s="3108"/>
    </row>
    <row r="10" spans="1:14" s="1" customFormat="1" ht="25.5">
      <c r="A10" s="3535"/>
      <c r="B10" s="3537"/>
      <c r="C10" s="3537"/>
      <c r="D10" s="2279" t="s">
        <v>13</v>
      </c>
      <c r="E10" s="2276" t="s">
        <v>886</v>
      </c>
      <c r="F10" s="2275" t="s">
        <v>885</v>
      </c>
      <c r="G10" s="2275" t="s">
        <v>571</v>
      </c>
      <c r="H10" s="2277"/>
      <c r="I10" s="2282"/>
      <c r="J10" s="2275"/>
      <c r="K10" s="2275"/>
      <c r="L10" s="3540"/>
      <c r="N10" s="3108"/>
    </row>
    <row r="11" spans="1:14" s="1" customFormat="1" ht="28.5" customHeight="1">
      <c r="A11" s="2285"/>
      <c r="B11" s="2286"/>
      <c r="C11" s="2286" t="s">
        <v>258</v>
      </c>
      <c r="D11" s="2287"/>
      <c r="E11" s="2285">
        <v>9081165000</v>
      </c>
      <c r="F11" s="2286">
        <v>1567500000</v>
      </c>
      <c r="G11" s="2286">
        <v>300000</v>
      </c>
      <c r="H11" s="2288">
        <v>15243952</v>
      </c>
      <c r="I11" s="2289">
        <v>10660655242</v>
      </c>
      <c r="J11" s="2286">
        <v>3134088</v>
      </c>
      <c r="K11" s="2286">
        <v>419622</v>
      </c>
      <c r="L11" s="2288">
        <f>(SUM((E11:H11))-(SUM((I11:K11))))</f>
        <v>0</v>
      </c>
      <c r="N11" s="3108"/>
    </row>
    <row r="12" spans="1:14" s="23" customFormat="1" ht="28.5" customHeight="1" thickBot="1">
      <c r="A12" s="987"/>
      <c r="B12" s="988"/>
      <c r="C12" s="988" t="s">
        <v>539</v>
      </c>
      <c r="D12" s="2280"/>
      <c r="E12" s="2283"/>
      <c r="F12" s="1030"/>
      <c r="G12" s="992"/>
      <c r="H12" s="962"/>
      <c r="I12" s="991"/>
      <c r="J12" s="961"/>
      <c r="K12" s="962"/>
      <c r="L12" s="994">
        <f>L11+(SUM((E12:H12))-(SUM((I12:K12))))</f>
        <v>0</v>
      </c>
      <c r="N12" s="3109"/>
    </row>
    <row r="13" spans="1:14" s="1" customFormat="1" ht="16.5" thickTop="1">
      <c r="A13" s="532"/>
      <c r="B13" s="2853"/>
      <c r="C13" s="1353"/>
      <c r="D13" s="2281"/>
      <c r="E13" s="2284"/>
      <c r="F13" s="1032"/>
      <c r="G13" s="521"/>
      <c r="H13" s="521"/>
      <c r="I13" s="3119"/>
      <c r="J13" s="457"/>
      <c r="K13" s="524"/>
      <c r="L13" s="996">
        <f>L12+(SUM((E13:H13))-(SUM((I13:K13))))</f>
        <v>0</v>
      </c>
      <c r="N13" s="3108">
        <v>36729000</v>
      </c>
    </row>
    <row r="14" spans="1:14" s="1" customFormat="1" ht="15.75">
      <c r="A14" s="2144"/>
      <c r="B14" s="3172"/>
      <c r="C14" s="2378"/>
      <c r="D14" s="2310"/>
      <c r="E14" s="2284"/>
      <c r="F14" s="1032"/>
      <c r="G14" s="521"/>
      <c r="H14" s="521"/>
      <c r="I14" s="3140"/>
      <c r="J14" s="2699"/>
      <c r="K14" s="2700"/>
      <c r="L14" s="996">
        <f t="shared" ref="L14:L33" si="0">L13+(SUM((E14:H14))-(SUM((I14:K14))))</f>
        <v>0</v>
      </c>
      <c r="N14" s="3108"/>
    </row>
    <row r="15" spans="1:14" s="1" customFormat="1" ht="15.75">
      <c r="A15" s="2144"/>
      <c r="B15" s="3172"/>
      <c r="C15" s="2378"/>
      <c r="D15" s="2310"/>
      <c r="E15" s="2284"/>
      <c r="F15" s="1032"/>
      <c r="G15" s="521"/>
      <c r="H15" s="521"/>
      <c r="I15" s="3120"/>
      <c r="J15" s="2699"/>
      <c r="K15" s="2700"/>
      <c r="L15" s="996">
        <f t="shared" si="0"/>
        <v>0</v>
      </c>
      <c r="N15" s="3108"/>
    </row>
    <row r="16" spans="1:14" s="1" customFormat="1" ht="15.75">
      <c r="A16" s="2144"/>
      <c r="B16" s="2853"/>
      <c r="C16" s="3141"/>
      <c r="D16" s="2281"/>
      <c r="E16" s="2284"/>
      <c r="F16" s="1032"/>
      <c r="G16" s="521"/>
      <c r="H16" s="521"/>
      <c r="I16" s="3120"/>
      <c r="J16" s="2699"/>
      <c r="K16" s="2700"/>
      <c r="L16" s="996">
        <f t="shared" si="0"/>
        <v>0</v>
      </c>
      <c r="N16" s="3108"/>
    </row>
    <row r="17" spans="1:14" s="1" customFormat="1" ht="15.75">
      <c r="A17" s="535"/>
      <c r="B17" s="2853"/>
      <c r="C17" s="2378"/>
      <c r="D17" s="2281"/>
      <c r="E17" s="2284"/>
      <c r="F17" s="1032"/>
      <c r="G17" s="521"/>
      <c r="H17" s="521"/>
      <c r="I17" s="3120"/>
      <c r="J17" s="146"/>
      <c r="K17" s="525"/>
      <c r="L17" s="996">
        <f t="shared" si="0"/>
        <v>0</v>
      </c>
      <c r="N17" s="3108"/>
    </row>
    <row r="18" spans="1:14" s="1" customFormat="1" ht="15.75">
      <c r="A18" s="535"/>
      <c r="B18" s="2853"/>
      <c r="C18" s="537"/>
      <c r="D18" s="2281"/>
      <c r="E18" s="2284"/>
      <c r="F18" s="1032"/>
      <c r="G18" s="521"/>
      <c r="H18" s="521"/>
      <c r="I18" s="3120"/>
      <c r="J18" s="146"/>
      <c r="K18" s="525"/>
      <c r="L18" s="996">
        <f t="shared" si="0"/>
        <v>0</v>
      </c>
      <c r="N18" s="3108">
        <f>N13+I34</f>
        <v>36729000</v>
      </c>
    </row>
    <row r="19" spans="1:14" s="1" customFormat="1" ht="15.75">
      <c r="A19" s="535"/>
      <c r="B19" s="2853"/>
      <c r="C19" s="537"/>
      <c r="D19" s="2281"/>
      <c r="E19" s="2284"/>
      <c r="F19" s="1032"/>
      <c r="G19" s="521"/>
      <c r="H19" s="521"/>
      <c r="I19" s="3120"/>
      <c r="J19" s="146"/>
      <c r="K19" s="525"/>
      <c r="L19" s="996">
        <f t="shared" si="0"/>
        <v>0</v>
      </c>
      <c r="N19" s="3108">
        <f>'[3]BLM 2014'!$U$31</f>
        <v>593937000</v>
      </c>
    </row>
    <row r="20" spans="1:14" s="1" customFormat="1" ht="15.75">
      <c r="A20" s="535"/>
      <c r="B20" s="2853"/>
      <c r="C20" s="537"/>
      <c r="D20" s="2281"/>
      <c r="E20" s="2284"/>
      <c r="F20" s="1032"/>
      <c r="G20" s="521"/>
      <c r="H20" s="521"/>
      <c r="I20" s="3120"/>
      <c r="J20" s="146"/>
      <c r="K20" s="525"/>
      <c r="L20" s="996">
        <f t="shared" si="0"/>
        <v>0</v>
      </c>
      <c r="N20" s="3108">
        <f>N18-N19</f>
        <v>-557208000</v>
      </c>
    </row>
    <row r="21" spans="1:14" s="1" customFormat="1" ht="15.75">
      <c r="A21" s="535"/>
      <c r="B21" s="2853"/>
      <c r="C21" s="537"/>
      <c r="D21" s="2281"/>
      <c r="E21" s="2284"/>
      <c r="F21" s="1032"/>
      <c r="G21" s="521"/>
      <c r="H21" s="521"/>
      <c r="I21" s="3120"/>
      <c r="J21" s="146"/>
      <c r="K21" s="525"/>
      <c r="L21" s="996">
        <f t="shared" si="0"/>
        <v>0</v>
      </c>
      <c r="N21" s="3108"/>
    </row>
    <row r="22" spans="1:14" s="1" customFormat="1" ht="15.75">
      <c r="A22" s="535"/>
      <c r="B22" s="2853"/>
      <c r="C22" s="537"/>
      <c r="D22" s="2281"/>
      <c r="E22" s="2284"/>
      <c r="F22" s="1032"/>
      <c r="G22" s="521"/>
      <c r="H22" s="521"/>
      <c r="I22" s="3120"/>
      <c r="J22" s="146"/>
      <c r="K22" s="525"/>
      <c r="L22" s="996">
        <f t="shared" si="0"/>
        <v>0</v>
      </c>
      <c r="N22" s="3108"/>
    </row>
    <row r="23" spans="1:14" s="1" customFormat="1" ht="15.75">
      <c r="A23" s="535"/>
      <c r="B23" s="2853"/>
      <c r="C23" s="537"/>
      <c r="D23" s="2281"/>
      <c r="E23" s="2284"/>
      <c r="F23" s="1032"/>
      <c r="G23" s="521"/>
      <c r="H23" s="521"/>
      <c r="I23" s="3120"/>
      <c r="J23" s="146"/>
      <c r="K23" s="525"/>
      <c r="L23" s="996">
        <f t="shared" si="0"/>
        <v>0</v>
      </c>
      <c r="N23" s="3108"/>
    </row>
    <row r="24" spans="1:14" s="1" customFormat="1" ht="15.75">
      <c r="A24" s="535"/>
      <c r="B24" s="2853"/>
      <c r="C24" s="537"/>
      <c r="D24" s="537"/>
      <c r="E24" s="145"/>
      <c r="F24" s="1032"/>
      <c r="G24" s="521"/>
      <c r="H24" s="521"/>
      <c r="I24" s="3120"/>
      <c r="J24" s="146"/>
      <c r="K24" s="525"/>
      <c r="L24" s="996">
        <f t="shared" si="0"/>
        <v>0</v>
      </c>
      <c r="N24" s="3108"/>
    </row>
    <row r="25" spans="1:14" s="1" customFormat="1" ht="15.75">
      <c r="A25" s="535"/>
      <c r="B25" s="2853"/>
      <c r="C25" s="537"/>
      <c r="D25" s="537"/>
      <c r="E25" s="145"/>
      <c r="F25" s="1032"/>
      <c r="G25" s="521"/>
      <c r="H25" s="521"/>
      <c r="I25" s="3120"/>
      <c r="J25" s="146"/>
      <c r="K25" s="525"/>
      <c r="L25" s="996">
        <f t="shared" si="0"/>
        <v>0</v>
      </c>
      <c r="N25" s="3108"/>
    </row>
    <row r="26" spans="1:14" s="1" customFormat="1" ht="15.75">
      <c r="A26" s="535"/>
      <c r="B26" s="2853"/>
      <c r="C26" s="537"/>
      <c r="D26" s="537"/>
      <c r="E26" s="145"/>
      <c r="F26" s="1032"/>
      <c r="G26" s="521"/>
      <c r="H26" s="521"/>
      <c r="I26" s="3120"/>
      <c r="J26" s="146"/>
      <c r="K26" s="525"/>
      <c r="L26" s="996">
        <f t="shared" si="0"/>
        <v>0</v>
      </c>
      <c r="N26" s="3108"/>
    </row>
    <row r="27" spans="1:14" s="1" customFormat="1" ht="15.75">
      <c r="A27" s="535"/>
      <c r="B27" s="2853"/>
      <c r="C27" s="537"/>
      <c r="D27" s="537"/>
      <c r="E27" s="145"/>
      <c r="F27" s="1032"/>
      <c r="G27" s="521"/>
      <c r="H27" s="521"/>
      <c r="I27" s="3120"/>
      <c r="J27" s="146"/>
      <c r="K27" s="525"/>
      <c r="L27" s="996">
        <f t="shared" si="0"/>
        <v>0</v>
      </c>
      <c r="N27" s="3108"/>
    </row>
    <row r="28" spans="1:14" s="1" customFormat="1" ht="15.75">
      <c r="A28" s="535"/>
      <c r="B28" s="2853"/>
      <c r="C28" s="537"/>
      <c r="D28" s="537"/>
      <c r="E28" s="145"/>
      <c r="F28" s="1032"/>
      <c r="G28" s="521"/>
      <c r="H28" s="521"/>
      <c r="I28" s="2284"/>
      <c r="J28" s="146"/>
      <c r="K28" s="525"/>
      <c r="L28" s="996">
        <f t="shared" si="0"/>
        <v>0</v>
      </c>
      <c r="N28" s="3108"/>
    </row>
    <row r="29" spans="1:14" s="1" customFormat="1" ht="15.75">
      <c r="A29" s="535"/>
      <c r="B29" s="2853"/>
      <c r="C29" s="537"/>
      <c r="D29" s="537"/>
      <c r="E29" s="145"/>
      <c r="F29" s="1032"/>
      <c r="G29" s="521"/>
      <c r="H29" s="521"/>
      <c r="I29" s="2284"/>
      <c r="J29" s="146"/>
      <c r="K29" s="525"/>
      <c r="L29" s="996">
        <f t="shared" si="0"/>
        <v>0</v>
      </c>
      <c r="N29" s="3108"/>
    </row>
    <row r="30" spans="1:14" s="1" customFormat="1" ht="15.75">
      <c r="A30" s="535"/>
      <c r="B30" s="536"/>
      <c r="C30" s="537"/>
      <c r="D30" s="537"/>
      <c r="E30" s="145"/>
      <c r="F30" s="1032"/>
      <c r="G30" s="521"/>
      <c r="H30" s="521"/>
      <c r="I30" s="2284"/>
      <c r="J30" s="146"/>
      <c r="K30" s="525"/>
      <c r="L30" s="996">
        <f t="shared" si="0"/>
        <v>0</v>
      </c>
      <c r="N30" s="3108"/>
    </row>
    <row r="31" spans="1:14" s="1" customFormat="1" ht="15.75">
      <c r="A31" s="535"/>
      <c r="B31" s="536"/>
      <c r="C31" s="537"/>
      <c r="D31" s="537"/>
      <c r="E31" s="145"/>
      <c r="F31" s="1032"/>
      <c r="G31" s="521"/>
      <c r="H31" s="521"/>
      <c r="I31" s="2284"/>
      <c r="J31" s="146"/>
      <c r="K31" s="525"/>
      <c r="L31" s="996">
        <f t="shared" si="0"/>
        <v>0</v>
      </c>
      <c r="N31" s="3108"/>
    </row>
    <row r="32" spans="1:14" s="1" customFormat="1" ht="15.75">
      <c r="A32" s="535"/>
      <c r="B32" s="536"/>
      <c r="C32" s="537"/>
      <c r="D32" s="537"/>
      <c r="E32" s="145"/>
      <c r="F32" s="1032"/>
      <c r="G32" s="521"/>
      <c r="H32" s="521"/>
      <c r="I32" s="2284"/>
      <c r="J32" s="146"/>
      <c r="K32" s="525"/>
      <c r="L32" s="996">
        <f t="shared" si="0"/>
        <v>0</v>
      </c>
      <c r="N32" s="3108"/>
    </row>
    <row r="33" spans="1:17" s="1" customFormat="1" ht="16.5" thickBot="1">
      <c r="A33" s="538"/>
      <c r="B33" s="539"/>
      <c r="C33" s="540"/>
      <c r="D33" s="540"/>
      <c r="E33" s="462"/>
      <c r="F33" s="1033"/>
      <c r="G33" s="522"/>
      <c r="H33" s="522"/>
      <c r="I33" s="2915"/>
      <c r="J33" s="460"/>
      <c r="K33" s="526"/>
      <c r="L33" s="996">
        <f t="shared" si="0"/>
        <v>0</v>
      </c>
      <c r="N33" s="3108"/>
    </row>
    <row r="34" spans="1:17" s="1" customFormat="1" ht="26.25" customHeight="1" thickTop="1" thickBot="1">
      <c r="A34" s="214"/>
      <c r="B34" s="218"/>
      <c r="C34" s="82" t="s">
        <v>19</v>
      </c>
      <c r="D34" s="220"/>
      <c r="E34" s="948">
        <f t="shared" ref="E34:K34" si="1">SUM(E13:E33)</f>
        <v>0</v>
      </c>
      <c r="F34" s="948">
        <f>SUM(F13:F33)</f>
        <v>0</v>
      </c>
      <c r="G34" s="999">
        <f t="shared" si="1"/>
        <v>0</v>
      </c>
      <c r="H34" s="999">
        <f t="shared" si="1"/>
        <v>0</v>
      </c>
      <c r="I34" s="2916">
        <f t="shared" si="1"/>
        <v>0</v>
      </c>
      <c r="J34" s="948">
        <f t="shared" si="1"/>
        <v>0</v>
      </c>
      <c r="K34" s="957">
        <f t="shared" si="1"/>
        <v>0</v>
      </c>
      <c r="L34" s="997">
        <f>(SUM((E34:H34))-(SUM((I34:K34))))</f>
        <v>0</v>
      </c>
      <c r="N34" s="3108"/>
      <c r="O34" s="7"/>
      <c r="Q34" s="7"/>
    </row>
    <row r="35" spans="1:17" s="1" customFormat="1" ht="26.25" customHeight="1" thickTop="1" thickBot="1">
      <c r="A35" s="214"/>
      <c r="B35" s="218"/>
      <c r="C35" s="82" t="s">
        <v>257</v>
      </c>
      <c r="D35" s="220"/>
      <c r="E35" s="948">
        <f t="shared" ref="E35:K35" si="2">E12+E34</f>
        <v>0</v>
      </c>
      <c r="F35" s="948">
        <f t="shared" si="2"/>
        <v>0</v>
      </c>
      <c r="G35" s="999">
        <f t="shared" si="2"/>
        <v>0</v>
      </c>
      <c r="H35" s="999">
        <f t="shared" si="2"/>
        <v>0</v>
      </c>
      <c r="I35" s="2916">
        <f t="shared" si="2"/>
        <v>0</v>
      </c>
      <c r="J35" s="948">
        <f t="shared" si="2"/>
        <v>0</v>
      </c>
      <c r="K35" s="957">
        <f t="shared" si="2"/>
        <v>0</v>
      </c>
      <c r="L35" s="997">
        <f>(SUM((E35:H35))-(SUM((I35:K35))))</f>
        <v>0</v>
      </c>
      <c r="N35" s="3108"/>
    </row>
    <row r="36" spans="1:17" s="1" customFormat="1" ht="26.25" customHeight="1" thickTop="1" thickBot="1">
      <c r="A36" s="215"/>
      <c r="B36" s="219"/>
      <c r="C36" s="216" t="s">
        <v>20</v>
      </c>
      <c r="D36" s="221"/>
      <c r="E36" s="952">
        <f t="shared" ref="E36:K36" si="3">E11+E35</f>
        <v>9081165000</v>
      </c>
      <c r="F36" s="952">
        <f t="shared" si="3"/>
        <v>1567500000</v>
      </c>
      <c r="G36" s="1000">
        <f t="shared" si="3"/>
        <v>300000</v>
      </c>
      <c r="H36" s="1000">
        <f t="shared" si="3"/>
        <v>15243952</v>
      </c>
      <c r="I36" s="2917">
        <f t="shared" si="3"/>
        <v>10660655242</v>
      </c>
      <c r="J36" s="952">
        <f t="shared" si="3"/>
        <v>3134088</v>
      </c>
      <c r="K36" s="947">
        <f t="shared" si="3"/>
        <v>419622</v>
      </c>
      <c r="L36" s="998">
        <f>(SUM((E36:H36))-(SUM((I36:K36))))</f>
        <v>0</v>
      </c>
      <c r="N36" s="3108"/>
    </row>
    <row r="37" spans="1:17" s="1" customFormat="1" ht="15.75">
      <c r="B37" s="10"/>
      <c r="N37" s="3108"/>
    </row>
    <row r="38" spans="1:17" s="1" customFormat="1" ht="15.75">
      <c r="A38" s="147"/>
      <c r="B38" s="10"/>
      <c r="C38" s="123"/>
      <c r="D38" s="123"/>
      <c r="E38" s="123"/>
      <c r="F38" s="123"/>
      <c r="G38" s="123"/>
      <c r="H38" s="123"/>
      <c r="I38" s="123"/>
      <c r="J38" s="11" t="str">
        <f>DT!D28</f>
        <v>Nagrak, 29 Februari 2016 2016</v>
      </c>
      <c r="N38" s="3108"/>
    </row>
    <row r="39" spans="1:17" s="1" customFormat="1" ht="15.75">
      <c r="B39" s="10"/>
      <c r="C39" s="148" t="s">
        <v>21</v>
      </c>
      <c r="D39" s="123"/>
      <c r="E39" s="123"/>
      <c r="F39" s="123"/>
      <c r="G39" s="123"/>
      <c r="H39" s="123"/>
      <c r="I39" s="123"/>
      <c r="J39" s="148" t="s">
        <v>22</v>
      </c>
      <c r="N39" s="3108"/>
    </row>
    <row r="40" spans="1:17" s="1" customFormat="1" ht="15.75">
      <c r="B40" s="10"/>
      <c r="C40" s="148" t="s">
        <v>23</v>
      </c>
      <c r="E40" s="123"/>
      <c r="F40" s="123"/>
      <c r="G40" s="123"/>
      <c r="H40" s="123"/>
      <c r="I40" s="123"/>
      <c r="J40" s="149" t="s">
        <v>24</v>
      </c>
      <c r="N40" s="3108"/>
    </row>
    <row r="41" spans="1:17" s="1" customFormat="1" ht="15.75">
      <c r="B41" s="10"/>
      <c r="C41" s="148"/>
      <c r="E41" s="123"/>
      <c r="F41" s="123"/>
      <c r="G41" s="123"/>
      <c r="H41" s="123"/>
      <c r="I41" s="123"/>
      <c r="J41" s="149"/>
      <c r="N41" s="3108"/>
    </row>
    <row r="45" spans="1:17">
      <c r="C45" s="488" t="str">
        <f>DT!D14</f>
        <v>Endang Taryana</v>
      </c>
      <c r="J45" s="488" t="str">
        <f>DT!D15</f>
        <v>Arin Yustini, SE</v>
      </c>
    </row>
  </sheetData>
  <mergeCells count="8">
    <mergeCell ref="A1:L1"/>
    <mergeCell ref="A2:L2"/>
    <mergeCell ref="A8:A10"/>
    <mergeCell ref="B8:B10"/>
    <mergeCell ref="C8:C10"/>
    <mergeCell ref="E8:H8"/>
    <mergeCell ref="I8:K8"/>
    <mergeCell ref="L8:L10"/>
  </mergeCells>
  <printOptions horizontalCentered="1" verticalCentered="1"/>
  <pageMargins left="0.23622047244094491" right="0.23622047244094491" top="0.61" bottom="0.23622047244094491" header="0.51181102362204722" footer="0.51181102362204722"/>
  <pageSetup paperSize="9" scale="65" orientation="landscape" horizontalDpi="4294967293" verticalDpi="4294967293"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indexed="41"/>
  </sheetPr>
  <dimension ref="A1:Q39"/>
  <sheetViews>
    <sheetView topLeftCell="A10" zoomScale="70" zoomScaleNormal="70" workbookViewId="0">
      <selection activeCell="M18" sqref="M18"/>
    </sheetView>
  </sheetViews>
  <sheetFormatPr defaultColWidth="9.140625" defaultRowHeight="12.75"/>
  <cols>
    <col min="1" max="1" width="4.28515625" style="15" customWidth="1"/>
    <col min="2" max="2" width="18.28515625" style="19" customWidth="1"/>
    <col min="3" max="3" width="44.5703125" style="15" customWidth="1"/>
    <col min="4" max="4" width="17" style="15" customWidth="1"/>
    <col min="5" max="12" width="16.7109375" style="15" customWidth="1"/>
    <col min="13" max="13" width="16.42578125" style="15" customWidth="1"/>
    <col min="14" max="14" width="20.28515625" style="15" customWidth="1"/>
    <col min="15" max="15" width="21" style="15" customWidth="1"/>
    <col min="16" max="16" width="9.140625" style="15"/>
    <col min="17" max="17" width="14" style="15" bestFit="1" customWidth="1"/>
    <col min="18" max="16384" width="9.140625" style="15"/>
  </cols>
  <sheetData>
    <row r="1" spans="1:12" s="24" customFormat="1" ht="20.25">
      <c r="A1" s="3396" t="s">
        <v>55</v>
      </c>
      <c r="B1" s="3396"/>
      <c r="C1" s="3396"/>
      <c r="D1" s="3396"/>
      <c r="E1" s="3396"/>
      <c r="F1" s="3396"/>
      <c r="G1" s="3396"/>
      <c r="H1" s="3396"/>
      <c r="I1" s="3396"/>
      <c r="J1" s="3396"/>
      <c r="K1" s="3396"/>
      <c r="L1" s="3396"/>
    </row>
    <row r="2" spans="1:12" s="24" customFormat="1" ht="20.25">
      <c r="A2" s="3396" t="s">
        <v>581</v>
      </c>
      <c r="B2" s="3396"/>
      <c r="C2" s="3396"/>
      <c r="D2" s="3396"/>
      <c r="E2" s="3396"/>
      <c r="F2" s="3396"/>
      <c r="G2" s="3396"/>
      <c r="H2" s="3396"/>
      <c r="I2" s="3396"/>
      <c r="J2" s="3396"/>
      <c r="K2" s="3396"/>
      <c r="L2" s="3396"/>
    </row>
    <row r="3" spans="1:12">
      <c r="B3" s="16"/>
      <c r="C3" s="17"/>
      <c r="D3" s="17"/>
      <c r="E3" s="17"/>
      <c r="F3" s="17"/>
      <c r="G3" s="17"/>
      <c r="H3" s="17"/>
      <c r="I3" s="17"/>
      <c r="J3" s="17"/>
      <c r="K3" s="17"/>
      <c r="L3" s="17"/>
    </row>
    <row r="4" spans="1:12" s="1" customFormat="1" ht="15.75">
      <c r="A4" s="23" t="s">
        <v>2</v>
      </c>
      <c r="B4" s="10"/>
      <c r="C4" s="4" t="str">
        <f>": "&amp;DT!D3</f>
        <v>: Nagrak</v>
      </c>
      <c r="G4" s="23"/>
      <c r="H4" s="542" t="s">
        <v>3</v>
      </c>
      <c r="J4" s="6" t="str">
        <f>": "&amp;DT!D25</f>
        <v>: Februari 2016</v>
      </c>
    </row>
    <row r="5" spans="1:12" s="1" customFormat="1" ht="15.75">
      <c r="A5" s="23" t="s">
        <v>4</v>
      </c>
      <c r="B5" s="10"/>
      <c r="C5" s="4" t="str">
        <f>": "&amp;DT!D4</f>
        <v>: Sukabumi</v>
      </c>
      <c r="G5" s="23"/>
      <c r="H5" s="542" t="s">
        <v>56</v>
      </c>
      <c r="J5" s="6" t="s">
        <v>357</v>
      </c>
    </row>
    <row r="6" spans="1:12" s="1" customFormat="1" ht="15.75">
      <c r="A6" s="23" t="s">
        <v>6</v>
      </c>
      <c r="B6" s="10"/>
      <c r="C6" s="4" t="str">
        <f>": "&amp;DT!D5</f>
        <v>: Jawa Barat</v>
      </c>
      <c r="G6" s="23"/>
      <c r="H6" s="542" t="s">
        <v>488</v>
      </c>
      <c r="J6" s="6" t="str">
        <f>": "&amp;DT!D33</f>
        <v>: 4097-01-005388-53-3</v>
      </c>
    </row>
    <row r="7" spans="1:12" s="1" customFormat="1" ht="16.5" thickBot="1">
      <c r="A7" s="23"/>
      <c r="B7" s="10"/>
      <c r="C7" s="5"/>
      <c r="E7" s="23"/>
      <c r="F7" s="23"/>
      <c r="G7" s="23"/>
      <c r="H7" s="25"/>
      <c r="I7" s="4"/>
    </row>
    <row r="8" spans="1:12" s="1" customFormat="1" ht="25.5" customHeight="1" thickBot="1">
      <c r="A8" s="3410" t="s">
        <v>57</v>
      </c>
      <c r="B8" s="3410" t="s">
        <v>7</v>
      </c>
      <c r="C8" s="3410" t="s">
        <v>8</v>
      </c>
      <c r="D8" s="3410" t="s">
        <v>9</v>
      </c>
      <c r="E8" s="3410" t="s">
        <v>10</v>
      </c>
      <c r="F8" s="3410"/>
      <c r="G8" s="3410"/>
      <c r="H8" s="3410"/>
      <c r="I8" s="3410" t="s">
        <v>11</v>
      </c>
      <c r="J8" s="3410"/>
      <c r="K8" s="3410"/>
      <c r="L8" s="3410" t="s">
        <v>12</v>
      </c>
    </row>
    <row r="9" spans="1:12" s="1" customFormat="1" ht="16.5" thickBot="1">
      <c r="A9" s="3410"/>
      <c r="B9" s="3410"/>
      <c r="C9" s="3410"/>
      <c r="D9" s="3410"/>
      <c r="E9" s="3410" t="s">
        <v>58</v>
      </c>
      <c r="F9" s="3410"/>
      <c r="G9" s="3410"/>
      <c r="H9" s="3410" t="s">
        <v>59</v>
      </c>
      <c r="I9" s="3410" t="s">
        <v>60</v>
      </c>
      <c r="J9" s="3410" t="s">
        <v>61</v>
      </c>
      <c r="K9" s="3410" t="s">
        <v>62</v>
      </c>
      <c r="L9" s="3410"/>
    </row>
    <row r="10" spans="1:12" s="1" customFormat="1" ht="32.25" thickBot="1">
      <c r="A10" s="3410"/>
      <c r="B10" s="3410"/>
      <c r="C10" s="3410"/>
      <c r="D10" s="490" t="s">
        <v>13</v>
      </c>
      <c r="E10" s="1034" t="s">
        <v>886</v>
      </c>
      <c r="F10" s="1035" t="s">
        <v>885</v>
      </c>
      <c r="G10" s="489" t="s">
        <v>571</v>
      </c>
      <c r="H10" s="3410"/>
      <c r="I10" s="3410"/>
      <c r="J10" s="3410"/>
      <c r="K10" s="3410"/>
      <c r="L10" s="3410"/>
    </row>
    <row r="11" spans="1:12" s="1" customFormat="1" ht="28.5" customHeight="1" thickTop="1">
      <c r="A11" s="528"/>
      <c r="B11" s="529"/>
      <c r="C11" s="530" t="s">
        <v>258</v>
      </c>
      <c r="D11" s="531"/>
      <c r="E11" s="510"/>
      <c r="F11" s="1029"/>
      <c r="G11" s="519"/>
      <c r="H11" s="509"/>
      <c r="I11" s="510"/>
      <c r="J11" s="508"/>
      <c r="K11" s="512"/>
      <c r="L11" s="523">
        <f>(SUM((E11:H11))-(SUM((I11:K11))))</f>
        <v>0</v>
      </c>
    </row>
    <row r="12" spans="1:12" s="23" customFormat="1" ht="28.5" customHeight="1" thickBot="1">
      <c r="A12" s="987"/>
      <c r="B12" s="988"/>
      <c r="C12" s="989" t="s">
        <v>539</v>
      </c>
      <c r="D12" s="990"/>
      <c r="E12" s="991"/>
      <c r="F12" s="1030"/>
      <c r="G12" s="992"/>
      <c r="H12" s="993"/>
      <c r="I12" s="991"/>
      <c r="J12" s="961"/>
      <c r="K12" s="962"/>
      <c r="L12" s="994">
        <f>L11+(SUM((E12:H12))-(SUM((I12:K12))))</f>
        <v>0</v>
      </c>
    </row>
    <row r="13" spans="1:12" s="1" customFormat="1" ht="16.5" thickTop="1">
      <c r="A13" s="532"/>
      <c r="B13" s="533"/>
      <c r="C13" s="534"/>
      <c r="D13" s="534"/>
      <c r="E13" s="459"/>
      <c r="F13" s="1031"/>
      <c r="G13" s="520"/>
      <c r="H13" s="458"/>
      <c r="I13" s="459"/>
      <c r="J13" s="457"/>
      <c r="K13" s="524"/>
      <c r="L13" s="995">
        <f t="shared" ref="L13:L27" si="0">L12+(SUM((E13:H13))-(SUM((I13:K13))))</f>
        <v>0</v>
      </c>
    </row>
    <row r="14" spans="1:12" s="1" customFormat="1" ht="15.75">
      <c r="A14" s="535"/>
      <c r="B14" s="536"/>
      <c r="C14" s="537"/>
      <c r="D14" s="537"/>
      <c r="E14" s="145"/>
      <c r="F14" s="1032"/>
      <c r="G14" s="521"/>
      <c r="H14" s="144"/>
      <c r="I14" s="145"/>
      <c r="J14" s="146"/>
      <c r="K14" s="525"/>
      <c r="L14" s="995">
        <f t="shared" si="0"/>
        <v>0</v>
      </c>
    </row>
    <row r="15" spans="1:12" s="1" customFormat="1" ht="15.75">
      <c r="A15" s="535"/>
      <c r="B15" s="536"/>
      <c r="C15" s="537"/>
      <c r="D15" s="537"/>
      <c r="E15" s="145"/>
      <c r="F15" s="1032"/>
      <c r="G15" s="521"/>
      <c r="H15" s="144"/>
      <c r="I15" s="145"/>
      <c r="J15" s="146"/>
      <c r="K15" s="525"/>
      <c r="L15" s="995">
        <f t="shared" si="0"/>
        <v>0</v>
      </c>
    </row>
    <row r="16" spans="1:12" s="1" customFormat="1" ht="15.75">
      <c r="A16" s="535"/>
      <c r="B16" s="536"/>
      <c r="C16" s="537"/>
      <c r="D16" s="537"/>
      <c r="E16" s="145"/>
      <c r="F16" s="1032"/>
      <c r="G16" s="521"/>
      <c r="H16" s="144"/>
      <c r="I16" s="145"/>
      <c r="J16" s="146"/>
      <c r="K16" s="525"/>
      <c r="L16" s="995">
        <f t="shared" si="0"/>
        <v>0</v>
      </c>
    </row>
    <row r="17" spans="1:17" s="1" customFormat="1" ht="15.75">
      <c r="A17" s="535"/>
      <c r="B17" s="536"/>
      <c r="C17" s="537"/>
      <c r="D17" s="537"/>
      <c r="E17" s="145"/>
      <c r="F17" s="1032"/>
      <c r="G17" s="521"/>
      <c r="H17" s="144"/>
      <c r="I17" s="145"/>
      <c r="J17" s="146"/>
      <c r="K17" s="525"/>
      <c r="L17" s="995">
        <f t="shared" si="0"/>
        <v>0</v>
      </c>
    </row>
    <row r="18" spans="1:17" s="1" customFormat="1" ht="15.75">
      <c r="A18" s="535"/>
      <c r="B18" s="536"/>
      <c r="C18" s="537"/>
      <c r="D18" s="537"/>
      <c r="E18" s="145"/>
      <c r="F18" s="1032"/>
      <c r="G18" s="521"/>
      <c r="H18" s="144"/>
      <c r="I18" s="145"/>
      <c r="J18" s="146"/>
      <c r="K18" s="525"/>
      <c r="L18" s="995">
        <f t="shared" si="0"/>
        <v>0</v>
      </c>
    </row>
    <row r="19" spans="1:17" s="1" customFormat="1" ht="15.75">
      <c r="A19" s="535"/>
      <c r="B19" s="536"/>
      <c r="C19" s="537"/>
      <c r="D19" s="537"/>
      <c r="E19" s="145"/>
      <c r="F19" s="1032"/>
      <c r="G19" s="521"/>
      <c r="H19" s="144"/>
      <c r="I19" s="145"/>
      <c r="J19" s="146"/>
      <c r="K19" s="525"/>
      <c r="L19" s="995">
        <f t="shared" si="0"/>
        <v>0</v>
      </c>
    </row>
    <row r="20" spans="1:17" s="1" customFormat="1" ht="15.75">
      <c r="A20" s="535"/>
      <c r="B20" s="536"/>
      <c r="C20" s="537"/>
      <c r="D20" s="537"/>
      <c r="E20" s="145"/>
      <c r="F20" s="1032"/>
      <c r="G20" s="521"/>
      <c r="H20" s="144"/>
      <c r="I20" s="145"/>
      <c r="J20" s="146"/>
      <c r="K20" s="525"/>
      <c r="L20" s="995">
        <f t="shared" si="0"/>
        <v>0</v>
      </c>
    </row>
    <row r="21" spans="1:17" s="1" customFormat="1" ht="15.75">
      <c r="A21" s="535"/>
      <c r="B21" s="536"/>
      <c r="C21" s="537"/>
      <c r="D21" s="537"/>
      <c r="E21" s="145"/>
      <c r="F21" s="1032"/>
      <c r="G21" s="521"/>
      <c r="H21" s="144"/>
      <c r="I21" s="145"/>
      <c r="J21" s="146"/>
      <c r="K21" s="525"/>
      <c r="L21" s="995">
        <f t="shared" si="0"/>
        <v>0</v>
      </c>
    </row>
    <row r="22" spans="1:17" s="1" customFormat="1" ht="15.75">
      <c r="A22" s="535"/>
      <c r="B22" s="536"/>
      <c r="C22" s="537"/>
      <c r="D22" s="537"/>
      <c r="E22" s="145"/>
      <c r="F22" s="1032"/>
      <c r="G22" s="521"/>
      <c r="H22" s="144"/>
      <c r="I22" s="145"/>
      <c r="J22" s="146"/>
      <c r="K22" s="525"/>
      <c r="L22" s="995">
        <f t="shared" si="0"/>
        <v>0</v>
      </c>
    </row>
    <row r="23" spans="1:17" s="1" customFormat="1" ht="15.75">
      <c r="A23" s="535"/>
      <c r="B23" s="536"/>
      <c r="C23" s="537"/>
      <c r="D23" s="537"/>
      <c r="E23" s="145"/>
      <c r="F23" s="1032"/>
      <c r="G23" s="521"/>
      <c r="H23" s="144"/>
      <c r="I23" s="145"/>
      <c r="J23" s="146"/>
      <c r="K23" s="525"/>
      <c r="L23" s="995">
        <f t="shared" si="0"/>
        <v>0</v>
      </c>
    </row>
    <row r="24" spans="1:17" s="1" customFormat="1" ht="15.75">
      <c r="A24" s="535"/>
      <c r="B24" s="536"/>
      <c r="C24" s="537"/>
      <c r="D24" s="537"/>
      <c r="E24" s="145"/>
      <c r="F24" s="1032"/>
      <c r="G24" s="521"/>
      <c r="H24" s="144"/>
      <c r="I24" s="145"/>
      <c r="J24" s="146"/>
      <c r="K24" s="525"/>
      <c r="L24" s="995">
        <f t="shared" si="0"/>
        <v>0</v>
      </c>
    </row>
    <row r="25" spans="1:17" s="1" customFormat="1" ht="15.75">
      <c r="A25" s="535"/>
      <c r="B25" s="536"/>
      <c r="C25" s="537"/>
      <c r="D25" s="537"/>
      <c r="E25" s="145"/>
      <c r="F25" s="1032"/>
      <c r="G25" s="521"/>
      <c r="H25" s="144"/>
      <c r="I25" s="145"/>
      <c r="J25" s="146"/>
      <c r="K25" s="525"/>
      <c r="L25" s="996">
        <f t="shared" si="0"/>
        <v>0</v>
      </c>
    </row>
    <row r="26" spans="1:17" s="1" customFormat="1" ht="15.75">
      <c r="A26" s="535"/>
      <c r="B26" s="536"/>
      <c r="C26" s="537"/>
      <c r="D26" s="537"/>
      <c r="E26" s="145"/>
      <c r="F26" s="1032"/>
      <c r="G26" s="521"/>
      <c r="H26" s="144"/>
      <c r="I26" s="145"/>
      <c r="J26" s="146"/>
      <c r="K26" s="525"/>
      <c r="L26" s="996">
        <f t="shared" si="0"/>
        <v>0</v>
      </c>
    </row>
    <row r="27" spans="1:17" s="1" customFormat="1" ht="16.5" thickBot="1">
      <c r="A27" s="538"/>
      <c r="B27" s="539"/>
      <c r="C27" s="540"/>
      <c r="D27" s="540"/>
      <c r="E27" s="462"/>
      <c r="F27" s="1033"/>
      <c r="G27" s="522"/>
      <c r="H27" s="461"/>
      <c r="I27" s="462"/>
      <c r="J27" s="460"/>
      <c r="K27" s="526"/>
      <c r="L27" s="996">
        <f t="shared" si="0"/>
        <v>0</v>
      </c>
    </row>
    <row r="28" spans="1:17" s="1" customFormat="1" ht="26.25" customHeight="1" thickTop="1" thickBot="1">
      <c r="A28" s="214"/>
      <c r="B28" s="218"/>
      <c r="C28" s="82" t="s">
        <v>19</v>
      </c>
      <c r="D28" s="220"/>
      <c r="E28" s="948">
        <f t="shared" ref="E28:K28" si="1">SUM(E13:E27)</f>
        <v>0</v>
      </c>
      <c r="F28" s="948">
        <f>SUM(F13:F27)</f>
        <v>0</v>
      </c>
      <c r="G28" s="999">
        <f t="shared" si="1"/>
        <v>0</v>
      </c>
      <c r="H28" s="949">
        <f t="shared" si="1"/>
        <v>0</v>
      </c>
      <c r="I28" s="950">
        <f t="shared" si="1"/>
        <v>0</v>
      </c>
      <c r="J28" s="948">
        <f t="shared" si="1"/>
        <v>0</v>
      </c>
      <c r="K28" s="957">
        <f t="shared" si="1"/>
        <v>0</v>
      </c>
      <c r="L28" s="997">
        <f>(SUM((E28:H28))-(SUM((I28:K28))))</f>
        <v>0</v>
      </c>
      <c r="O28" s="7"/>
      <c r="Q28" s="7"/>
    </row>
    <row r="29" spans="1:17" s="1" customFormat="1" ht="26.25" customHeight="1" thickTop="1" thickBot="1">
      <c r="A29" s="214"/>
      <c r="B29" s="218"/>
      <c r="C29" s="82" t="s">
        <v>257</v>
      </c>
      <c r="D29" s="220"/>
      <c r="E29" s="948">
        <f t="shared" ref="E29:K29" si="2">E12+E28</f>
        <v>0</v>
      </c>
      <c r="F29" s="948">
        <f>F12+F28</f>
        <v>0</v>
      </c>
      <c r="G29" s="999">
        <f t="shared" si="2"/>
        <v>0</v>
      </c>
      <c r="H29" s="949">
        <f t="shared" si="2"/>
        <v>0</v>
      </c>
      <c r="I29" s="950">
        <f t="shared" si="2"/>
        <v>0</v>
      </c>
      <c r="J29" s="948">
        <f t="shared" si="2"/>
        <v>0</v>
      </c>
      <c r="K29" s="957">
        <f t="shared" si="2"/>
        <v>0</v>
      </c>
      <c r="L29" s="997">
        <f>(SUM((E29:H29))-(SUM((I29:K29))))</f>
        <v>0</v>
      </c>
    </row>
    <row r="30" spans="1:17" s="1" customFormat="1" ht="26.25" customHeight="1" thickTop="1" thickBot="1">
      <c r="A30" s="215"/>
      <c r="B30" s="219"/>
      <c r="C30" s="216" t="s">
        <v>20</v>
      </c>
      <c r="D30" s="221"/>
      <c r="E30" s="952">
        <f t="shared" ref="E30:K30" si="3">E11+E29</f>
        <v>0</v>
      </c>
      <c r="F30" s="952">
        <f>F11+F29</f>
        <v>0</v>
      </c>
      <c r="G30" s="1000">
        <f t="shared" si="3"/>
        <v>0</v>
      </c>
      <c r="H30" s="953">
        <f t="shared" si="3"/>
        <v>0</v>
      </c>
      <c r="I30" s="954">
        <f t="shared" si="3"/>
        <v>0</v>
      </c>
      <c r="J30" s="952">
        <f t="shared" si="3"/>
        <v>0</v>
      </c>
      <c r="K30" s="947">
        <f t="shared" si="3"/>
        <v>0</v>
      </c>
      <c r="L30" s="998">
        <f>(SUM((E30:H30))-(SUM((I30:K30))))</f>
        <v>0</v>
      </c>
    </row>
    <row r="31" spans="1:17" s="1" customFormat="1" ht="15.75">
      <c r="B31" s="10"/>
    </row>
    <row r="32" spans="1:17" s="1" customFormat="1" ht="15.75">
      <c r="A32" s="147"/>
      <c r="B32" s="10"/>
      <c r="C32" s="123"/>
      <c r="D32" s="123"/>
      <c r="E32" s="123"/>
      <c r="F32" s="123"/>
      <c r="G32" s="123"/>
      <c r="H32" s="123"/>
      <c r="I32" s="123"/>
      <c r="J32" s="11" t="str">
        <f>DT!D28</f>
        <v>Nagrak, 29 Februari 2016 2016</v>
      </c>
    </row>
    <row r="33" spans="2:10" s="1" customFormat="1" ht="15.75">
      <c r="B33" s="10"/>
      <c r="C33" s="148" t="s">
        <v>21</v>
      </c>
      <c r="D33" s="123"/>
      <c r="E33" s="123"/>
      <c r="F33" s="123"/>
      <c r="G33" s="123"/>
      <c r="H33" s="123"/>
      <c r="I33" s="123"/>
      <c r="J33" s="148" t="s">
        <v>22</v>
      </c>
    </row>
    <row r="34" spans="2:10" s="1" customFormat="1" ht="15.75">
      <c r="B34" s="10"/>
      <c r="C34" s="148" t="s">
        <v>23</v>
      </c>
      <c r="E34" s="123"/>
      <c r="F34" s="123"/>
      <c r="G34" s="123"/>
      <c r="H34" s="123"/>
      <c r="I34" s="123"/>
      <c r="J34" s="149" t="s">
        <v>24</v>
      </c>
    </row>
    <row r="35" spans="2:10" s="1" customFormat="1" ht="15.75">
      <c r="B35" s="10"/>
      <c r="C35" s="148"/>
      <c r="E35" s="123"/>
      <c r="F35" s="123"/>
      <c r="G35" s="123"/>
      <c r="H35" s="123"/>
      <c r="I35" s="123"/>
      <c r="J35" s="149"/>
    </row>
    <row r="39" spans="2:10">
      <c r="C39" s="488" t="str">
        <f>DT!D14</f>
        <v>Endang Taryana</v>
      </c>
      <c r="J39" s="488" t="str">
        <f>DT!D15</f>
        <v>Arin Yustini, SE</v>
      </c>
    </row>
  </sheetData>
  <mergeCells count="14">
    <mergeCell ref="A1:L1"/>
    <mergeCell ref="A2:L2"/>
    <mergeCell ref="A8:A10"/>
    <mergeCell ref="B8:B10"/>
    <mergeCell ref="C8:C10"/>
    <mergeCell ref="D8:D9"/>
    <mergeCell ref="E8:H8"/>
    <mergeCell ref="I8:K8"/>
    <mergeCell ref="L8:L10"/>
    <mergeCell ref="E9:G9"/>
    <mergeCell ref="H9:H10"/>
    <mergeCell ref="I9:I10"/>
    <mergeCell ref="J9:J10"/>
    <mergeCell ref="K9:K10"/>
  </mergeCells>
  <printOptions horizontalCentered="1" verticalCentered="1"/>
  <pageMargins left="0.25" right="0.25" top="1" bottom="0.25" header="0.511811023622047" footer="0.511811023622047"/>
  <pageSetup paperSize="9" scale="70" orientation="landscape" horizontalDpi="300" verticalDpi="300"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indexed="41"/>
  </sheetPr>
  <dimension ref="A1:P39"/>
  <sheetViews>
    <sheetView topLeftCell="A16" zoomScale="90" zoomScaleNormal="90" workbookViewId="0">
      <selection activeCell="D12" sqref="D12:J15"/>
    </sheetView>
  </sheetViews>
  <sheetFormatPr defaultColWidth="9.140625" defaultRowHeight="12.75"/>
  <cols>
    <col min="1" max="1" width="4.28515625" style="15" customWidth="1"/>
    <col min="2" max="2" width="18.28515625" style="19" customWidth="1"/>
    <col min="3" max="3" width="44.5703125" style="15" customWidth="1"/>
    <col min="4" max="4" width="17" style="15" customWidth="1"/>
    <col min="5" max="11" width="16.7109375" style="15" customWidth="1"/>
    <col min="12" max="12" width="16.42578125" style="15" customWidth="1"/>
    <col min="13" max="13" width="20.28515625" style="15" customWidth="1"/>
    <col min="14" max="14" width="21" style="15" customWidth="1"/>
    <col min="15" max="15" width="9.140625" style="15"/>
    <col min="16" max="16" width="14" style="15" bestFit="1" customWidth="1"/>
    <col min="17" max="16384" width="9.140625" style="15"/>
  </cols>
  <sheetData>
    <row r="1" spans="1:11" s="24" customFormat="1" ht="20.25">
      <c r="A1" s="3396" t="s">
        <v>55</v>
      </c>
      <c r="B1" s="3396"/>
      <c r="C1" s="3396"/>
      <c r="D1" s="3396"/>
      <c r="E1" s="3396"/>
      <c r="F1" s="3396"/>
      <c r="G1" s="3396"/>
      <c r="H1" s="3396"/>
      <c r="I1" s="3396"/>
      <c r="J1" s="3396"/>
      <c r="K1" s="3396"/>
    </row>
    <row r="2" spans="1:11" s="24" customFormat="1" ht="20.25">
      <c r="A2" s="3396" t="s">
        <v>580</v>
      </c>
      <c r="B2" s="3396"/>
      <c r="C2" s="3396"/>
      <c r="D2" s="3396"/>
      <c r="E2" s="3396"/>
      <c r="F2" s="3396"/>
      <c r="G2" s="3396"/>
      <c r="H2" s="3396"/>
      <c r="I2" s="3396"/>
      <c r="J2" s="3396"/>
      <c r="K2" s="3396"/>
    </row>
    <row r="3" spans="1:11">
      <c r="B3" s="16"/>
      <c r="C3" s="17"/>
      <c r="D3" s="17"/>
      <c r="E3" s="17"/>
      <c r="F3" s="17"/>
      <c r="G3" s="17"/>
      <c r="H3" s="17"/>
      <c r="I3" s="17"/>
      <c r="J3" s="17"/>
      <c r="K3" s="17"/>
    </row>
    <row r="4" spans="1:11" s="1" customFormat="1" ht="15.75">
      <c r="A4" s="23" t="s">
        <v>2</v>
      </c>
      <c r="B4" s="10"/>
      <c r="C4" s="4" t="str">
        <f>": "&amp;DT!D3</f>
        <v>: Nagrak</v>
      </c>
      <c r="F4" s="23"/>
      <c r="G4" s="542" t="s">
        <v>3</v>
      </c>
      <c r="I4" s="6" t="str">
        <f>": "&amp;DT!D25</f>
        <v>: Februari 2016</v>
      </c>
    </row>
    <row r="5" spans="1:11" s="1" customFormat="1" ht="15.75">
      <c r="A5" s="23" t="s">
        <v>4</v>
      </c>
      <c r="B5" s="10"/>
      <c r="C5" s="4" t="str">
        <f>": "&amp;DT!D4</f>
        <v>: Sukabumi</v>
      </c>
      <c r="F5" s="23"/>
      <c r="G5" s="542" t="s">
        <v>56</v>
      </c>
      <c r="I5" s="6" t="s">
        <v>357</v>
      </c>
    </row>
    <row r="6" spans="1:11" s="1" customFormat="1" ht="15.75">
      <c r="A6" s="23" t="s">
        <v>6</v>
      </c>
      <c r="B6" s="10"/>
      <c r="C6" s="4" t="str">
        <f>": "&amp;DT!D5</f>
        <v>: Jawa Barat</v>
      </c>
      <c r="F6" s="23"/>
      <c r="G6" s="542" t="s">
        <v>488</v>
      </c>
      <c r="I6" s="6" t="str">
        <f>": "&amp;DT!D34</f>
        <v>: .................................</v>
      </c>
    </row>
    <row r="7" spans="1:11" s="1" customFormat="1" ht="16.5" thickBot="1">
      <c r="A7" s="23"/>
      <c r="B7" s="10"/>
      <c r="C7" s="5"/>
      <c r="E7" s="23"/>
      <c r="F7" s="23"/>
      <c r="G7" s="25"/>
      <c r="H7" s="4"/>
    </row>
    <row r="8" spans="1:11" s="1" customFormat="1" ht="25.5" customHeight="1">
      <c r="A8" s="3541" t="s">
        <v>57</v>
      </c>
      <c r="B8" s="3445" t="s">
        <v>7</v>
      </c>
      <c r="C8" s="3445" t="s">
        <v>8</v>
      </c>
      <c r="D8" s="2290" t="s">
        <v>9</v>
      </c>
      <c r="E8" s="3445" t="s">
        <v>10</v>
      </c>
      <c r="F8" s="3445"/>
      <c r="G8" s="3445"/>
      <c r="H8" s="3445" t="s">
        <v>11</v>
      </c>
      <c r="I8" s="3445"/>
      <c r="J8" s="3445"/>
      <c r="K8" s="3456" t="s">
        <v>12</v>
      </c>
    </row>
    <row r="9" spans="1:11" s="1" customFormat="1" ht="15.75">
      <c r="A9" s="3542"/>
      <c r="B9" s="3446"/>
      <c r="C9" s="3446"/>
      <c r="D9" s="2202"/>
      <c r="E9" s="3446" t="s">
        <v>58</v>
      </c>
      <c r="F9" s="3446"/>
      <c r="G9" s="3446" t="s">
        <v>59</v>
      </c>
      <c r="H9" s="3446" t="s">
        <v>60</v>
      </c>
      <c r="I9" s="3446" t="s">
        <v>61</v>
      </c>
      <c r="J9" s="3446" t="s">
        <v>62</v>
      </c>
      <c r="K9" s="3460"/>
    </row>
    <row r="10" spans="1:11" s="1" customFormat="1" ht="30.75" thickBot="1">
      <c r="A10" s="3543"/>
      <c r="B10" s="3447"/>
      <c r="C10" s="3447"/>
      <c r="D10" s="2206" t="s">
        <v>13</v>
      </c>
      <c r="E10" s="2206" t="s">
        <v>886</v>
      </c>
      <c r="F10" s="2206" t="s">
        <v>571</v>
      </c>
      <c r="G10" s="3447"/>
      <c r="H10" s="3447"/>
      <c r="I10" s="3447"/>
      <c r="J10" s="3447"/>
      <c r="K10" s="3461"/>
    </row>
    <row r="11" spans="1:11" s="1" customFormat="1" ht="28.5" customHeight="1" thickBot="1">
      <c r="A11" s="2291"/>
      <c r="B11" s="2292"/>
      <c r="C11" s="2293" t="s">
        <v>258</v>
      </c>
      <c r="D11" s="2294"/>
      <c r="E11" s="2295">
        <v>500000000</v>
      </c>
      <c r="F11" s="2296">
        <v>50100000</v>
      </c>
      <c r="G11" s="2297">
        <v>312232</v>
      </c>
      <c r="H11" s="2295">
        <v>550100000</v>
      </c>
      <c r="I11" s="2298">
        <v>62447</v>
      </c>
      <c r="J11" s="2299">
        <v>241500</v>
      </c>
      <c r="K11" s="2300">
        <f>(SUM((E11:G11))-(SUM((H11:J11))))</f>
        <v>8285</v>
      </c>
    </row>
    <row r="12" spans="1:11" s="23" customFormat="1" ht="28.5" customHeight="1" thickTop="1" thickBot="1">
      <c r="A12" s="987"/>
      <c r="B12" s="988"/>
      <c r="C12" s="989" t="s">
        <v>539</v>
      </c>
      <c r="D12" s="990"/>
      <c r="E12" s="991"/>
      <c r="F12" s="992"/>
      <c r="G12" s="993"/>
      <c r="H12" s="991"/>
      <c r="I12" s="961"/>
      <c r="J12" s="962"/>
      <c r="K12" s="994">
        <f t="shared" ref="K12:K27" si="0">K11+(SUM((E12:G12))-(SUM((H12:J12))))</f>
        <v>8285</v>
      </c>
    </row>
    <row r="13" spans="1:11" s="1" customFormat="1" ht="16.5" thickTop="1">
      <c r="A13" s="532"/>
      <c r="B13" s="2396"/>
      <c r="C13" s="1353"/>
      <c r="D13" s="534"/>
      <c r="E13" s="459"/>
      <c r="F13" s="520"/>
      <c r="G13" s="458"/>
      <c r="H13" s="459"/>
      <c r="I13" s="457"/>
      <c r="J13" s="524"/>
      <c r="K13" s="995">
        <f t="shared" si="0"/>
        <v>8285</v>
      </c>
    </row>
    <row r="14" spans="1:11" s="1" customFormat="1" ht="15.75">
      <c r="A14" s="535"/>
      <c r="B14" s="536"/>
      <c r="C14" s="537"/>
      <c r="D14" s="537"/>
      <c r="E14" s="145"/>
      <c r="F14" s="521"/>
      <c r="G14" s="144"/>
      <c r="H14" s="145"/>
      <c r="I14" s="146"/>
      <c r="J14" s="525"/>
      <c r="K14" s="995">
        <f t="shared" si="0"/>
        <v>8285</v>
      </c>
    </row>
    <row r="15" spans="1:11" s="1" customFormat="1" ht="15.75">
      <c r="A15" s="535"/>
      <c r="B15" s="536"/>
      <c r="C15" s="537"/>
      <c r="D15" s="537"/>
      <c r="E15" s="145"/>
      <c r="F15" s="521"/>
      <c r="G15" s="144"/>
      <c r="H15" s="145"/>
      <c r="I15" s="146"/>
      <c r="J15" s="525"/>
      <c r="K15" s="995">
        <f t="shared" si="0"/>
        <v>8285</v>
      </c>
    </row>
    <row r="16" spans="1:11" s="1" customFormat="1" ht="15.75">
      <c r="A16" s="535"/>
      <c r="B16" s="536"/>
      <c r="C16" s="537"/>
      <c r="D16" s="537"/>
      <c r="E16" s="145"/>
      <c r="F16" s="521"/>
      <c r="G16" s="144"/>
      <c r="H16" s="145"/>
      <c r="I16" s="146"/>
      <c r="J16" s="525"/>
      <c r="K16" s="995">
        <f t="shared" si="0"/>
        <v>8285</v>
      </c>
    </row>
    <row r="17" spans="1:16" s="1" customFormat="1" ht="15.75">
      <c r="A17" s="535"/>
      <c r="B17" s="536"/>
      <c r="C17" s="537"/>
      <c r="D17" s="537"/>
      <c r="E17" s="145"/>
      <c r="F17" s="521"/>
      <c r="G17" s="144"/>
      <c r="H17" s="145"/>
      <c r="I17" s="146"/>
      <c r="J17" s="525"/>
      <c r="K17" s="995">
        <f t="shared" si="0"/>
        <v>8285</v>
      </c>
    </row>
    <row r="18" spans="1:16" s="1" customFormat="1" ht="15.75">
      <c r="A18" s="535"/>
      <c r="B18" s="536"/>
      <c r="C18" s="537"/>
      <c r="D18" s="537"/>
      <c r="E18" s="145"/>
      <c r="F18" s="521"/>
      <c r="G18" s="144"/>
      <c r="H18" s="145"/>
      <c r="I18" s="146"/>
      <c r="J18" s="525"/>
      <c r="K18" s="995">
        <f t="shared" si="0"/>
        <v>8285</v>
      </c>
    </row>
    <row r="19" spans="1:16" s="1" customFormat="1" ht="15.75">
      <c r="A19" s="535"/>
      <c r="B19" s="536"/>
      <c r="C19" s="537"/>
      <c r="D19" s="537"/>
      <c r="E19" s="145"/>
      <c r="F19" s="521"/>
      <c r="G19" s="144"/>
      <c r="H19" s="145"/>
      <c r="I19" s="146"/>
      <c r="J19" s="525"/>
      <c r="K19" s="995">
        <f t="shared" si="0"/>
        <v>8285</v>
      </c>
    </row>
    <row r="20" spans="1:16" s="1" customFormat="1" ht="15.75">
      <c r="A20" s="535"/>
      <c r="B20" s="536"/>
      <c r="C20" s="537"/>
      <c r="D20" s="537"/>
      <c r="E20" s="145"/>
      <c r="F20" s="521"/>
      <c r="G20" s="144"/>
      <c r="H20" s="145"/>
      <c r="I20" s="146"/>
      <c r="J20" s="525"/>
      <c r="K20" s="995">
        <f t="shared" si="0"/>
        <v>8285</v>
      </c>
    </row>
    <row r="21" spans="1:16" s="1" customFormat="1" ht="15.75">
      <c r="A21" s="535"/>
      <c r="B21" s="536"/>
      <c r="C21" s="537"/>
      <c r="D21" s="537"/>
      <c r="E21" s="145"/>
      <c r="F21" s="521"/>
      <c r="G21" s="144"/>
      <c r="H21" s="145"/>
      <c r="I21" s="146"/>
      <c r="J21" s="525"/>
      <c r="K21" s="995">
        <f t="shared" si="0"/>
        <v>8285</v>
      </c>
    </row>
    <row r="22" spans="1:16" s="1" customFormat="1" ht="15.75">
      <c r="A22" s="535"/>
      <c r="B22" s="536"/>
      <c r="C22" s="537"/>
      <c r="D22" s="537"/>
      <c r="E22" s="145"/>
      <c r="F22" s="521"/>
      <c r="G22" s="144"/>
      <c r="H22" s="145"/>
      <c r="I22" s="146"/>
      <c r="J22" s="525"/>
      <c r="K22" s="995">
        <f t="shared" si="0"/>
        <v>8285</v>
      </c>
    </row>
    <row r="23" spans="1:16" s="1" customFormat="1" ht="15.75">
      <c r="A23" s="535"/>
      <c r="B23" s="536"/>
      <c r="C23" s="537"/>
      <c r="D23" s="537"/>
      <c r="E23" s="145"/>
      <c r="F23" s="521"/>
      <c r="G23" s="144"/>
      <c r="H23" s="145"/>
      <c r="I23" s="146"/>
      <c r="J23" s="525"/>
      <c r="K23" s="995">
        <f t="shared" si="0"/>
        <v>8285</v>
      </c>
    </row>
    <row r="24" spans="1:16" s="1" customFormat="1" ht="15.75">
      <c r="A24" s="535"/>
      <c r="B24" s="536"/>
      <c r="C24" s="537"/>
      <c r="D24" s="537"/>
      <c r="E24" s="145"/>
      <c r="F24" s="521"/>
      <c r="G24" s="144"/>
      <c r="H24" s="145"/>
      <c r="I24" s="146"/>
      <c r="J24" s="525"/>
      <c r="K24" s="995">
        <f t="shared" si="0"/>
        <v>8285</v>
      </c>
    </row>
    <row r="25" spans="1:16" s="1" customFormat="1" ht="15.75">
      <c r="A25" s="535"/>
      <c r="B25" s="536"/>
      <c r="C25" s="537"/>
      <c r="D25" s="537"/>
      <c r="E25" s="145"/>
      <c r="F25" s="521"/>
      <c r="G25" s="144"/>
      <c r="H25" s="145"/>
      <c r="I25" s="146"/>
      <c r="J25" s="525"/>
      <c r="K25" s="996">
        <f t="shared" si="0"/>
        <v>8285</v>
      </c>
    </row>
    <row r="26" spans="1:16" s="1" customFormat="1" ht="15.75">
      <c r="A26" s="535"/>
      <c r="B26" s="536"/>
      <c r="C26" s="537"/>
      <c r="D26" s="537"/>
      <c r="E26" s="145"/>
      <c r="F26" s="521"/>
      <c r="G26" s="144"/>
      <c r="H26" s="145"/>
      <c r="I26" s="146"/>
      <c r="J26" s="525"/>
      <c r="K26" s="996">
        <f t="shared" si="0"/>
        <v>8285</v>
      </c>
    </row>
    <row r="27" spans="1:16" s="1" customFormat="1" ht="16.5" thickBot="1">
      <c r="A27" s="538"/>
      <c r="B27" s="539"/>
      <c r="C27" s="540"/>
      <c r="D27" s="540"/>
      <c r="E27" s="462"/>
      <c r="F27" s="522"/>
      <c r="G27" s="461"/>
      <c r="H27" s="462"/>
      <c r="I27" s="460"/>
      <c r="J27" s="526"/>
      <c r="K27" s="996">
        <f t="shared" si="0"/>
        <v>8285</v>
      </c>
    </row>
    <row r="28" spans="1:16" s="1" customFormat="1" ht="26.25" customHeight="1" thickTop="1" thickBot="1">
      <c r="A28" s="214"/>
      <c r="B28" s="218"/>
      <c r="C28" s="82" t="s">
        <v>19</v>
      </c>
      <c r="D28" s="220"/>
      <c r="E28" s="948">
        <f t="shared" ref="E28:J28" si="1">SUM(E13:E27)</f>
        <v>0</v>
      </c>
      <c r="F28" s="999">
        <f t="shared" si="1"/>
        <v>0</v>
      </c>
      <c r="G28" s="949">
        <f t="shared" si="1"/>
        <v>0</v>
      </c>
      <c r="H28" s="950">
        <f t="shared" si="1"/>
        <v>0</v>
      </c>
      <c r="I28" s="948">
        <f t="shared" si="1"/>
        <v>0</v>
      </c>
      <c r="J28" s="957">
        <f t="shared" si="1"/>
        <v>0</v>
      </c>
      <c r="K28" s="997">
        <f>(SUM((E28:G28))-(SUM((H28:J28))))</f>
        <v>0</v>
      </c>
      <c r="N28" s="7"/>
      <c r="P28" s="7"/>
    </row>
    <row r="29" spans="1:16" s="1" customFormat="1" ht="26.25" customHeight="1" thickTop="1" thickBot="1">
      <c r="A29" s="214"/>
      <c r="B29" s="218"/>
      <c r="C29" s="82" t="s">
        <v>257</v>
      </c>
      <c r="D29" s="220"/>
      <c r="E29" s="948">
        <f t="shared" ref="E29:J29" si="2">E12+E28</f>
        <v>0</v>
      </c>
      <c r="F29" s="999">
        <f t="shared" si="2"/>
        <v>0</v>
      </c>
      <c r="G29" s="949">
        <f t="shared" si="2"/>
        <v>0</v>
      </c>
      <c r="H29" s="950">
        <f t="shared" si="2"/>
        <v>0</v>
      </c>
      <c r="I29" s="948">
        <f t="shared" si="2"/>
        <v>0</v>
      </c>
      <c r="J29" s="957">
        <f t="shared" si="2"/>
        <v>0</v>
      </c>
      <c r="K29" s="997">
        <f>(SUM((E29:G29))-(SUM((H29:J29))))</f>
        <v>0</v>
      </c>
    </row>
    <row r="30" spans="1:16" s="1" customFormat="1" ht="26.25" customHeight="1" thickTop="1" thickBot="1">
      <c r="A30" s="215"/>
      <c r="B30" s="219"/>
      <c r="C30" s="216" t="s">
        <v>20</v>
      </c>
      <c r="D30" s="221"/>
      <c r="E30" s="952">
        <f t="shared" ref="E30:J30" si="3">E11+E29</f>
        <v>500000000</v>
      </c>
      <c r="F30" s="1000">
        <f t="shared" si="3"/>
        <v>50100000</v>
      </c>
      <c r="G30" s="953">
        <f t="shared" si="3"/>
        <v>312232</v>
      </c>
      <c r="H30" s="954">
        <f t="shared" si="3"/>
        <v>550100000</v>
      </c>
      <c r="I30" s="952">
        <f t="shared" si="3"/>
        <v>62447</v>
      </c>
      <c r="J30" s="947">
        <f t="shared" si="3"/>
        <v>241500</v>
      </c>
      <c r="K30" s="998">
        <f>(SUM((E30:G30))-(SUM((H30:J30))))</f>
        <v>8285</v>
      </c>
    </row>
    <row r="31" spans="1:16" s="1" customFormat="1" ht="15.75">
      <c r="B31" s="10"/>
    </row>
    <row r="32" spans="1:16" s="1" customFormat="1" ht="15.75">
      <c r="A32" s="147"/>
      <c r="B32" s="10"/>
      <c r="C32" s="123"/>
      <c r="D32" s="123"/>
      <c r="E32" s="123"/>
      <c r="F32" s="123"/>
      <c r="G32" s="123"/>
      <c r="H32" s="123"/>
      <c r="I32" s="11" t="str">
        <f>DT!D28</f>
        <v>Nagrak, 29 Februari 2016 2016</v>
      </c>
    </row>
    <row r="33" spans="2:9" s="1" customFormat="1" ht="15.75">
      <c r="B33" s="10"/>
      <c r="C33" s="148" t="s">
        <v>21</v>
      </c>
      <c r="D33" s="123"/>
      <c r="E33" s="123"/>
      <c r="F33" s="123"/>
      <c r="G33" s="123"/>
      <c r="H33" s="123"/>
      <c r="I33" s="148" t="s">
        <v>22</v>
      </c>
    </row>
    <row r="34" spans="2:9" s="1" customFormat="1" ht="15.75">
      <c r="B34" s="10"/>
      <c r="C34" s="148" t="s">
        <v>23</v>
      </c>
      <c r="E34" s="123"/>
      <c r="F34" s="123"/>
      <c r="G34" s="123"/>
      <c r="H34" s="123"/>
      <c r="I34" s="149" t="s">
        <v>24</v>
      </c>
    </row>
    <row r="35" spans="2:9" s="1" customFormat="1" ht="15.75">
      <c r="B35" s="10"/>
      <c r="C35" s="148"/>
      <c r="E35" s="123"/>
      <c r="F35" s="123"/>
      <c r="G35" s="123"/>
      <c r="H35" s="123"/>
      <c r="I35" s="149"/>
    </row>
    <row r="39" spans="2:9">
      <c r="C39" s="488" t="str">
        <f>DT!D14</f>
        <v>Endang Taryana</v>
      </c>
      <c r="I39" s="488" t="str">
        <f>DT!D15</f>
        <v>Arin Yustini, SE</v>
      </c>
    </row>
  </sheetData>
  <mergeCells count="13">
    <mergeCell ref="A1:K1"/>
    <mergeCell ref="A2:K2"/>
    <mergeCell ref="A8:A10"/>
    <mergeCell ref="B8:B10"/>
    <mergeCell ref="C8:C10"/>
    <mergeCell ref="E8:G8"/>
    <mergeCell ref="H8:J8"/>
    <mergeCell ref="K8:K10"/>
    <mergeCell ref="E9:F9"/>
    <mergeCell ref="G9:G10"/>
    <mergeCell ref="H9:H10"/>
    <mergeCell ref="I9:I10"/>
    <mergeCell ref="J9:J10"/>
  </mergeCells>
  <printOptions horizontalCentered="1" verticalCentered="1"/>
  <pageMargins left="0.25" right="0.25" top="0.62" bottom="0.25" header="0.511811023622047" footer="0.511811023622047"/>
  <pageSetup paperSize="9" scale="70" orientation="landscape" horizontalDpi="4294967293" verticalDpi="4294967293" r:id="rId1"/>
  <headerFooter alignWithMargins="0"/>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indexed="41"/>
  </sheetPr>
  <dimension ref="A1:P39"/>
  <sheetViews>
    <sheetView topLeftCell="A25" zoomScale="70" zoomScaleNormal="70" workbookViewId="0">
      <selection activeCell="K60" sqref="K60"/>
    </sheetView>
  </sheetViews>
  <sheetFormatPr defaultColWidth="9.140625" defaultRowHeight="12.75"/>
  <cols>
    <col min="1" max="1" width="4.28515625" style="15" customWidth="1"/>
    <col min="2" max="2" width="18.28515625" style="19" customWidth="1"/>
    <col min="3" max="3" width="44.5703125" style="15" customWidth="1"/>
    <col min="4" max="4" width="17" style="15" customWidth="1"/>
    <col min="5" max="11" width="16.7109375" style="15" customWidth="1"/>
    <col min="12" max="12" width="16.42578125" style="15" customWidth="1"/>
    <col min="13" max="13" width="20.28515625" style="15" customWidth="1"/>
    <col min="14" max="14" width="21" style="15" customWidth="1"/>
    <col min="15" max="15" width="9.140625" style="15"/>
    <col min="16" max="16" width="14" style="15" bestFit="1" customWidth="1"/>
    <col min="17" max="16384" width="9.140625" style="15"/>
  </cols>
  <sheetData>
    <row r="1" spans="1:11" s="24" customFormat="1" ht="20.25">
      <c r="A1" s="3396" t="s">
        <v>55</v>
      </c>
      <c r="B1" s="3396"/>
      <c r="C1" s="3396"/>
      <c r="D1" s="3396"/>
      <c r="E1" s="3396"/>
      <c r="F1" s="3396"/>
      <c r="G1" s="3396"/>
      <c r="H1" s="3396"/>
      <c r="I1" s="3396"/>
      <c r="J1" s="3396"/>
      <c r="K1" s="3396"/>
    </row>
    <row r="2" spans="1:11" s="24" customFormat="1" ht="20.25">
      <c r="A2" s="3396" t="s">
        <v>582</v>
      </c>
      <c r="B2" s="3396"/>
      <c r="C2" s="3396"/>
      <c r="D2" s="3396"/>
      <c r="E2" s="3396"/>
      <c r="F2" s="3396"/>
      <c r="G2" s="3396"/>
      <c r="H2" s="3396"/>
      <c r="I2" s="3396"/>
      <c r="J2" s="3396"/>
      <c r="K2" s="3396"/>
    </row>
    <row r="3" spans="1:11">
      <c r="B3" s="16"/>
      <c r="C3" s="17"/>
      <c r="D3" s="17"/>
      <c r="E3" s="17"/>
      <c r="F3" s="17"/>
      <c r="G3" s="17"/>
      <c r="H3" s="17"/>
      <c r="I3" s="17"/>
      <c r="J3" s="17"/>
      <c r="K3" s="17"/>
    </row>
    <row r="4" spans="1:11" s="1" customFormat="1" ht="15.75">
      <c r="A4" s="23" t="s">
        <v>2</v>
      </c>
      <c r="B4" s="10"/>
      <c r="C4" s="4" t="str">
        <f>": "&amp;DT!D3</f>
        <v>: Nagrak</v>
      </c>
      <c r="F4" s="23"/>
      <c r="G4" s="542" t="s">
        <v>3</v>
      </c>
      <c r="I4" s="6" t="str">
        <f>": "&amp;DT!D25</f>
        <v>: Februari 2016</v>
      </c>
    </row>
    <row r="5" spans="1:11" s="1" customFormat="1" ht="15.75">
      <c r="A5" s="23" t="s">
        <v>4</v>
      </c>
      <c r="B5" s="10"/>
      <c r="C5" s="4" t="str">
        <f>": "&amp;DT!D4</f>
        <v>: Sukabumi</v>
      </c>
      <c r="F5" s="23"/>
      <c r="G5" s="542" t="s">
        <v>56</v>
      </c>
      <c r="I5" s="6" t="s">
        <v>357</v>
      </c>
    </row>
    <row r="6" spans="1:11" s="1" customFormat="1" ht="15.75">
      <c r="A6" s="23" t="s">
        <v>6</v>
      </c>
      <c r="B6" s="10"/>
      <c r="C6" s="4" t="str">
        <f>": "&amp;DT!D5</f>
        <v>: Jawa Barat</v>
      </c>
      <c r="F6" s="23"/>
      <c r="G6" s="542" t="s">
        <v>488</v>
      </c>
      <c r="I6" s="6" t="str">
        <f>": "&amp;DT!D35</f>
        <v>: .................................</v>
      </c>
    </row>
    <row r="7" spans="1:11" s="1" customFormat="1" ht="15.75">
      <c r="A7" s="23"/>
      <c r="B7" s="10"/>
      <c r="C7" s="5"/>
      <c r="E7" s="23"/>
      <c r="F7" s="23"/>
      <c r="G7" s="25"/>
      <c r="H7" s="4"/>
    </row>
    <row r="8" spans="1:11" s="1" customFormat="1" ht="25.5" customHeight="1">
      <c r="A8" s="3544" t="s">
        <v>57</v>
      </c>
      <c r="B8" s="3544" t="s">
        <v>7</v>
      </c>
      <c r="C8" s="3544" t="s">
        <v>8</v>
      </c>
      <c r="D8" s="2693" t="s">
        <v>9</v>
      </c>
      <c r="E8" s="3544" t="s">
        <v>10</v>
      </c>
      <c r="F8" s="3544"/>
      <c r="G8" s="3544"/>
      <c r="H8" s="3544" t="s">
        <v>11</v>
      </c>
      <c r="I8" s="3544"/>
      <c r="J8" s="3544"/>
      <c r="K8" s="3544" t="s">
        <v>12</v>
      </c>
    </row>
    <row r="9" spans="1:11" s="1" customFormat="1" ht="15.75">
      <c r="A9" s="3544"/>
      <c r="B9" s="3544"/>
      <c r="C9" s="3544"/>
      <c r="D9" s="2693"/>
      <c r="E9" s="3544" t="s">
        <v>58</v>
      </c>
      <c r="F9" s="3544"/>
      <c r="G9" s="3544" t="s">
        <v>59</v>
      </c>
      <c r="H9" s="3544" t="s">
        <v>60</v>
      </c>
      <c r="I9" s="3544" t="s">
        <v>61</v>
      </c>
      <c r="J9" s="3544" t="s">
        <v>62</v>
      </c>
      <c r="K9" s="3544"/>
    </row>
    <row r="10" spans="1:11" s="1" customFormat="1" ht="15.75">
      <c r="A10" s="3544"/>
      <c r="B10" s="3544"/>
      <c r="C10" s="3544"/>
      <c r="D10" s="2693" t="s">
        <v>13</v>
      </c>
      <c r="E10" s="2693" t="s">
        <v>886</v>
      </c>
      <c r="F10" s="2693" t="s">
        <v>571</v>
      </c>
      <c r="G10" s="3544"/>
      <c r="H10" s="3544"/>
      <c r="I10" s="3544"/>
      <c r="J10" s="3544"/>
      <c r="K10" s="3544"/>
    </row>
    <row r="11" spans="1:11" s="1" customFormat="1" ht="28.5" customHeight="1">
      <c r="A11" s="2693"/>
      <c r="B11" s="2693"/>
      <c r="C11" s="2693" t="s">
        <v>258</v>
      </c>
      <c r="D11" s="2693"/>
      <c r="E11" s="2693"/>
      <c r="F11" s="2693"/>
      <c r="G11" s="2694"/>
      <c r="H11" s="2693"/>
      <c r="I11" s="2694"/>
      <c r="J11" s="2693"/>
      <c r="K11" s="2693">
        <f>(SUM((E11:G11))-(SUM((H11:J11))))</f>
        <v>0</v>
      </c>
    </row>
    <row r="12" spans="1:11" s="23" customFormat="1" ht="28.5" customHeight="1" thickBot="1">
      <c r="A12" s="987"/>
      <c r="B12" s="988"/>
      <c r="C12" s="989" t="s">
        <v>539</v>
      </c>
      <c r="D12" s="990"/>
      <c r="E12" s="991"/>
      <c r="F12" s="992"/>
      <c r="G12" s="993"/>
      <c r="H12" s="991"/>
      <c r="I12" s="961"/>
      <c r="J12" s="962"/>
      <c r="K12" s="994">
        <f t="shared" ref="K12:K27" si="0">K11+(SUM((E12:G12))-(SUM((H12:J12))))</f>
        <v>0</v>
      </c>
    </row>
    <row r="13" spans="1:11" s="1" customFormat="1" ht="16.5" thickTop="1">
      <c r="A13" s="532"/>
      <c r="B13" s="533"/>
      <c r="C13" s="534"/>
      <c r="D13" s="534"/>
      <c r="E13" s="459"/>
      <c r="F13" s="520"/>
      <c r="G13" s="458"/>
      <c r="H13" s="459"/>
      <c r="I13" s="457"/>
      <c r="J13" s="524"/>
      <c r="K13" s="995">
        <f t="shared" si="0"/>
        <v>0</v>
      </c>
    </row>
    <row r="14" spans="1:11" s="1" customFormat="1" ht="15.75">
      <c r="A14" s="535"/>
      <c r="B14" s="536"/>
      <c r="C14" s="537"/>
      <c r="D14" s="537"/>
      <c r="E14" s="145"/>
      <c r="F14" s="521"/>
      <c r="G14" s="144"/>
      <c r="H14" s="145"/>
      <c r="I14" s="146"/>
      <c r="J14" s="525"/>
      <c r="K14" s="995">
        <f t="shared" si="0"/>
        <v>0</v>
      </c>
    </row>
    <row r="15" spans="1:11" s="1" customFormat="1" ht="15.75">
      <c r="A15" s="535"/>
      <c r="B15" s="536"/>
      <c r="C15" s="537"/>
      <c r="D15" s="537"/>
      <c r="E15" s="145"/>
      <c r="F15" s="521"/>
      <c r="G15" s="144"/>
      <c r="H15" s="145"/>
      <c r="I15" s="146"/>
      <c r="J15" s="525"/>
      <c r="K15" s="995">
        <f t="shared" si="0"/>
        <v>0</v>
      </c>
    </row>
    <row r="16" spans="1:11" s="1" customFormat="1" ht="15.75">
      <c r="A16" s="535"/>
      <c r="B16" s="536"/>
      <c r="C16" s="537"/>
      <c r="D16" s="537"/>
      <c r="E16" s="145"/>
      <c r="F16" s="521"/>
      <c r="G16" s="144"/>
      <c r="H16" s="145"/>
      <c r="I16" s="146"/>
      <c r="J16" s="525"/>
      <c r="K16" s="995">
        <f t="shared" si="0"/>
        <v>0</v>
      </c>
    </row>
    <row r="17" spans="1:16" s="1" customFormat="1" ht="15.75">
      <c r="A17" s="535"/>
      <c r="B17" s="536"/>
      <c r="C17" s="537"/>
      <c r="D17" s="537"/>
      <c r="E17" s="145"/>
      <c r="F17" s="521"/>
      <c r="G17" s="144"/>
      <c r="H17" s="145"/>
      <c r="I17" s="146"/>
      <c r="J17" s="525"/>
      <c r="K17" s="995">
        <f t="shared" si="0"/>
        <v>0</v>
      </c>
    </row>
    <row r="18" spans="1:16" s="1" customFormat="1" ht="15.75">
      <c r="A18" s="535"/>
      <c r="B18" s="536"/>
      <c r="C18" s="537"/>
      <c r="D18" s="537"/>
      <c r="E18" s="145"/>
      <c r="F18" s="521"/>
      <c r="G18" s="144"/>
      <c r="H18" s="145"/>
      <c r="I18" s="146"/>
      <c r="J18" s="525"/>
      <c r="K18" s="995">
        <f t="shared" si="0"/>
        <v>0</v>
      </c>
    </row>
    <row r="19" spans="1:16" s="1" customFormat="1" ht="15.75">
      <c r="A19" s="535"/>
      <c r="B19" s="536"/>
      <c r="C19" s="537"/>
      <c r="D19" s="537"/>
      <c r="E19" s="145"/>
      <c r="F19" s="521"/>
      <c r="G19" s="144"/>
      <c r="H19" s="145"/>
      <c r="I19" s="146"/>
      <c r="J19" s="525"/>
      <c r="K19" s="995">
        <f t="shared" si="0"/>
        <v>0</v>
      </c>
    </row>
    <row r="20" spans="1:16" s="1" customFormat="1" ht="15.75">
      <c r="A20" s="535"/>
      <c r="B20" s="536"/>
      <c r="C20" s="537"/>
      <c r="D20" s="537"/>
      <c r="E20" s="145"/>
      <c r="F20" s="521"/>
      <c r="G20" s="144"/>
      <c r="H20" s="145"/>
      <c r="I20" s="146"/>
      <c r="J20" s="525"/>
      <c r="K20" s="995">
        <f t="shared" si="0"/>
        <v>0</v>
      </c>
    </row>
    <row r="21" spans="1:16" s="1" customFormat="1" ht="15.75">
      <c r="A21" s="535"/>
      <c r="B21" s="536"/>
      <c r="C21" s="537"/>
      <c r="D21" s="537"/>
      <c r="E21" s="145"/>
      <c r="F21" s="521"/>
      <c r="G21" s="144"/>
      <c r="H21" s="145"/>
      <c r="I21" s="146"/>
      <c r="J21" s="525"/>
      <c r="K21" s="995">
        <f t="shared" si="0"/>
        <v>0</v>
      </c>
    </row>
    <row r="22" spans="1:16" s="1" customFormat="1" ht="15.75">
      <c r="A22" s="535"/>
      <c r="B22" s="536"/>
      <c r="C22" s="537"/>
      <c r="D22" s="537"/>
      <c r="E22" s="145"/>
      <c r="F22" s="521"/>
      <c r="G22" s="144"/>
      <c r="H22" s="145"/>
      <c r="I22" s="146"/>
      <c r="J22" s="525"/>
      <c r="K22" s="995">
        <f t="shared" si="0"/>
        <v>0</v>
      </c>
    </row>
    <row r="23" spans="1:16" s="1" customFormat="1" ht="15.75">
      <c r="A23" s="535"/>
      <c r="B23" s="536"/>
      <c r="C23" s="537"/>
      <c r="D23" s="537"/>
      <c r="E23" s="145"/>
      <c r="F23" s="521"/>
      <c r="G23" s="144"/>
      <c r="H23" s="145"/>
      <c r="I23" s="146"/>
      <c r="J23" s="525"/>
      <c r="K23" s="995">
        <f t="shared" si="0"/>
        <v>0</v>
      </c>
    </row>
    <row r="24" spans="1:16" s="1" customFormat="1" ht="15.75">
      <c r="A24" s="535"/>
      <c r="B24" s="536"/>
      <c r="C24" s="537"/>
      <c r="D24" s="537"/>
      <c r="E24" s="145"/>
      <c r="F24" s="521"/>
      <c r="G24" s="144"/>
      <c r="H24" s="145"/>
      <c r="I24" s="146"/>
      <c r="J24" s="525"/>
      <c r="K24" s="995">
        <f t="shared" si="0"/>
        <v>0</v>
      </c>
    </row>
    <row r="25" spans="1:16" s="1" customFormat="1" ht="15.75">
      <c r="A25" s="535"/>
      <c r="B25" s="536"/>
      <c r="C25" s="537"/>
      <c r="D25" s="537"/>
      <c r="E25" s="145"/>
      <c r="F25" s="521"/>
      <c r="G25" s="144"/>
      <c r="H25" s="145"/>
      <c r="I25" s="146"/>
      <c r="J25" s="525"/>
      <c r="K25" s="996">
        <f t="shared" si="0"/>
        <v>0</v>
      </c>
    </row>
    <row r="26" spans="1:16" s="1" customFormat="1" ht="15.75">
      <c r="A26" s="535"/>
      <c r="B26" s="536"/>
      <c r="C26" s="537"/>
      <c r="D26" s="537"/>
      <c r="E26" s="145"/>
      <c r="F26" s="521"/>
      <c r="G26" s="144"/>
      <c r="H26" s="145"/>
      <c r="I26" s="146"/>
      <c r="J26" s="525"/>
      <c r="K26" s="996">
        <f t="shared" si="0"/>
        <v>0</v>
      </c>
    </row>
    <row r="27" spans="1:16" s="1" customFormat="1" ht="16.5" thickBot="1">
      <c r="A27" s="538"/>
      <c r="B27" s="539"/>
      <c r="C27" s="540"/>
      <c r="D27" s="540"/>
      <c r="E27" s="462"/>
      <c r="F27" s="522"/>
      <c r="G27" s="461"/>
      <c r="H27" s="462"/>
      <c r="I27" s="460"/>
      <c r="J27" s="526"/>
      <c r="K27" s="996">
        <f t="shared" si="0"/>
        <v>0</v>
      </c>
    </row>
    <row r="28" spans="1:16" s="1" customFormat="1" ht="26.25" customHeight="1" thickTop="1" thickBot="1">
      <c r="A28" s="214"/>
      <c r="B28" s="218"/>
      <c r="C28" s="82" t="s">
        <v>19</v>
      </c>
      <c r="D28" s="220"/>
      <c r="E28" s="948">
        <f t="shared" ref="E28:J28" si="1">SUM(E13:E27)</f>
        <v>0</v>
      </c>
      <c r="F28" s="999">
        <f t="shared" si="1"/>
        <v>0</v>
      </c>
      <c r="G28" s="949">
        <f t="shared" si="1"/>
        <v>0</v>
      </c>
      <c r="H28" s="950">
        <f t="shared" si="1"/>
        <v>0</v>
      </c>
      <c r="I28" s="948">
        <f t="shared" si="1"/>
        <v>0</v>
      </c>
      <c r="J28" s="957">
        <f t="shared" si="1"/>
        <v>0</v>
      </c>
      <c r="K28" s="997">
        <f>(SUM((E28:G28))-(SUM((H28:J28))))</f>
        <v>0</v>
      </c>
      <c r="N28" s="7"/>
      <c r="P28" s="7"/>
    </row>
    <row r="29" spans="1:16" s="1" customFormat="1" ht="26.25" customHeight="1" thickTop="1" thickBot="1">
      <c r="A29" s="214"/>
      <c r="B29" s="218"/>
      <c r="C29" s="82" t="s">
        <v>257</v>
      </c>
      <c r="D29" s="220"/>
      <c r="E29" s="948">
        <f t="shared" ref="E29:J29" si="2">E12+E28</f>
        <v>0</v>
      </c>
      <c r="F29" s="999">
        <f t="shared" si="2"/>
        <v>0</v>
      </c>
      <c r="G29" s="949">
        <f t="shared" si="2"/>
        <v>0</v>
      </c>
      <c r="H29" s="950">
        <f t="shared" si="2"/>
        <v>0</v>
      </c>
      <c r="I29" s="948">
        <f t="shared" si="2"/>
        <v>0</v>
      </c>
      <c r="J29" s="957">
        <f t="shared" si="2"/>
        <v>0</v>
      </c>
      <c r="K29" s="997">
        <f>(SUM((E29:G29))-(SUM((H29:J29))))</f>
        <v>0</v>
      </c>
    </row>
    <row r="30" spans="1:16" s="1" customFormat="1" ht="26.25" customHeight="1" thickTop="1" thickBot="1">
      <c r="A30" s="215"/>
      <c r="B30" s="219"/>
      <c r="C30" s="216" t="s">
        <v>20</v>
      </c>
      <c r="D30" s="221"/>
      <c r="E30" s="952">
        <f t="shared" ref="E30:J30" si="3">E11+E29</f>
        <v>0</v>
      </c>
      <c r="F30" s="1000">
        <f t="shared" si="3"/>
        <v>0</v>
      </c>
      <c r="G30" s="953">
        <f t="shared" si="3"/>
        <v>0</v>
      </c>
      <c r="H30" s="954">
        <f t="shared" si="3"/>
        <v>0</v>
      </c>
      <c r="I30" s="952">
        <f t="shared" si="3"/>
        <v>0</v>
      </c>
      <c r="J30" s="947">
        <f t="shared" si="3"/>
        <v>0</v>
      </c>
      <c r="K30" s="998">
        <f>(SUM((E30:G30))-(SUM((H30:J30))))</f>
        <v>0</v>
      </c>
    </row>
    <row r="31" spans="1:16" s="1" customFormat="1" ht="15.75">
      <c r="B31" s="10"/>
    </row>
    <row r="32" spans="1:16" s="1" customFormat="1" ht="15.75">
      <c r="A32" s="147"/>
      <c r="B32" s="10"/>
      <c r="C32" s="123"/>
      <c r="D32" s="123"/>
      <c r="E32" s="123"/>
      <c r="F32" s="123"/>
      <c r="G32" s="123"/>
      <c r="H32" s="123"/>
      <c r="I32" s="11" t="str">
        <f>DT!D28</f>
        <v>Nagrak, 29 Februari 2016 2016</v>
      </c>
    </row>
    <row r="33" spans="2:9" s="1" customFormat="1" ht="15.75">
      <c r="B33" s="10"/>
      <c r="C33" s="148" t="s">
        <v>21</v>
      </c>
      <c r="D33" s="123"/>
      <c r="E33" s="123"/>
      <c r="F33" s="123"/>
      <c r="G33" s="123"/>
      <c r="H33" s="123"/>
      <c r="I33" s="148" t="s">
        <v>22</v>
      </c>
    </row>
    <row r="34" spans="2:9" s="1" customFormat="1" ht="15.75">
      <c r="B34" s="10"/>
      <c r="C34" s="148" t="s">
        <v>23</v>
      </c>
      <c r="E34" s="123"/>
      <c r="F34" s="123"/>
      <c r="G34" s="123"/>
      <c r="H34" s="123"/>
      <c r="I34" s="149" t="s">
        <v>24</v>
      </c>
    </row>
    <row r="35" spans="2:9" s="1" customFormat="1" ht="15.75">
      <c r="B35" s="10"/>
      <c r="C35" s="148"/>
      <c r="E35" s="123"/>
      <c r="F35" s="123"/>
      <c r="G35" s="123"/>
      <c r="H35" s="123"/>
      <c r="I35" s="149"/>
    </row>
    <row r="39" spans="2:9">
      <c r="C39" s="488" t="str">
        <f>DT!D14</f>
        <v>Endang Taryana</v>
      </c>
      <c r="I39" s="488" t="str">
        <f>DT!D15</f>
        <v>Arin Yustini, SE</v>
      </c>
    </row>
  </sheetData>
  <mergeCells count="13">
    <mergeCell ref="A1:K1"/>
    <mergeCell ref="A2:K2"/>
    <mergeCell ref="A8:A10"/>
    <mergeCell ref="B8:B10"/>
    <mergeCell ref="C8:C10"/>
    <mergeCell ref="E8:G8"/>
    <mergeCell ref="H8:J8"/>
    <mergeCell ref="K8:K10"/>
    <mergeCell ref="E9:F9"/>
    <mergeCell ref="G9:G10"/>
    <mergeCell ref="H9:H10"/>
    <mergeCell ref="I9:I10"/>
    <mergeCell ref="J9:J10"/>
  </mergeCells>
  <printOptions horizontalCentered="1" verticalCentered="1"/>
  <pageMargins left="0.25" right="0.25" top="1" bottom="0.25" header="0.511811023622047" footer="0.511811023622047"/>
  <pageSetup paperSize="9" scale="70" orientation="landscape" horizontalDpi="300" verticalDpi="300"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3" tint="0.39997558519241921"/>
  </sheetPr>
  <dimension ref="A1:P39"/>
  <sheetViews>
    <sheetView topLeftCell="A16" zoomScale="70" zoomScaleNormal="70" workbookViewId="0">
      <selection activeCell="H39" sqref="H39"/>
    </sheetView>
  </sheetViews>
  <sheetFormatPr defaultColWidth="9.140625" defaultRowHeight="12.75"/>
  <cols>
    <col min="1" max="1" width="4.28515625" style="15" customWidth="1"/>
    <col min="2" max="2" width="18.28515625" style="19" customWidth="1"/>
    <col min="3" max="3" width="44.5703125" style="15" customWidth="1"/>
    <col min="4" max="4" width="17" style="15" customWidth="1"/>
    <col min="5" max="11" width="16.7109375" style="15" customWidth="1"/>
    <col min="12" max="12" width="16.42578125" style="15" customWidth="1"/>
    <col min="13" max="13" width="20.28515625" style="15" customWidth="1"/>
    <col min="14" max="14" width="21" style="15" customWidth="1"/>
    <col min="15" max="15" width="9.140625" style="15"/>
    <col min="16" max="16" width="14" style="15" bestFit="1" customWidth="1"/>
    <col min="17" max="16384" width="9.140625" style="15"/>
  </cols>
  <sheetData>
    <row r="1" spans="1:11" s="24" customFormat="1" ht="20.25">
      <c r="A1" s="3396" t="s">
        <v>55</v>
      </c>
      <c r="B1" s="3396"/>
      <c r="C1" s="3396"/>
      <c r="D1" s="3396"/>
      <c r="E1" s="3396"/>
      <c r="F1" s="3396"/>
      <c r="G1" s="3396"/>
      <c r="H1" s="3396"/>
      <c r="I1" s="3396"/>
      <c r="J1" s="3396"/>
      <c r="K1" s="3396"/>
    </row>
    <row r="2" spans="1:11" s="24" customFormat="1" ht="20.25">
      <c r="A2" s="3396" t="s">
        <v>585</v>
      </c>
      <c r="B2" s="3396"/>
      <c r="C2" s="3396"/>
      <c r="D2" s="3396"/>
      <c r="E2" s="3396"/>
      <c r="F2" s="3396"/>
      <c r="G2" s="3396"/>
      <c r="H2" s="3396"/>
      <c r="I2" s="3396"/>
      <c r="J2" s="3396"/>
      <c r="K2" s="3396"/>
    </row>
    <row r="3" spans="1:11">
      <c r="B3" s="16"/>
      <c r="C3" s="17"/>
      <c r="D3" s="17"/>
      <c r="E3" s="17"/>
      <c r="F3" s="17"/>
      <c r="G3" s="17"/>
      <c r="H3" s="17"/>
      <c r="I3" s="17"/>
      <c r="J3" s="17"/>
      <c r="K3" s="17"/>
    </row>
    <row r="4" spans="1:11" s="1" customFormat="1" ht="15.75">
      <c r="A4" s="23" t="s">
        <v>2</v>
      </c>
      <c r="B4" s="10"/>
      <c r="C4" s="4" t="str">
        <f>": "&amp;DT!D3</f>
        <v>: Nagrak</v>
      </c>
      <c r="F4" s="23"/>
      <c r="G4" s="542" t="s">
        <v>3</v>
      </c>
      <c r="I4" s="6" t="str">
        <f>": "&amp;DT!D25</f>
        <v>: Februari 2016</v>
      </c>
    </row>
    <row r="5" spans="1:11" s="1" customFormat="1" ht="15.75">
      <c r="A5" s="23" t="s">
        <v>4</v>
      </c>
      <c r="B5" s="10"/>
      <c r="C5" s="4" t="str">
        <f>": "&amp;DT!D4</f>
        <v>: Sukabumi</v>
      </c>
      <c r="F5" s="23"/>
      <c r="G5" s="542" t="s">
        <v>56</v>
      </c>
      <c r="I5" s="6" t="s">
        <v>357</v>
      </c>
    </row>
    <row r="6" spans="1:11" s="1" customFormat="1" ht="15.75">
      <c r="A6" s="23" t="s">
        <v>6</v>
      </c>
      <c r="B6" s="10"/>
      <c r="C6" s="4" t="str">
        <f>": "&amp;DT!D5</f>
        <v>: Jawa Barat</v>
      </c>
      <c r="F6" s="23"/>
      <c r="G6" s="542" t="s">
        <v>488</v>
      </c>
      <c r="I6" s="6" t="str">
        <f>": "&amp;DT!D37</f>
        <v>: .................................</v>
      </c>
    </row>
    <row r="7" spans="1:11" s="1" customFormat="1" ht="16.5" thickBot="1">
      <c r="A7" s="23"/>
      <c r="B7" s="10"/>
      <c r="C7" s="5"/>
      <c r="E7" s="23"/>
      <c r="F7" s="23"/>
      <c r="G7" s="25"/>
      <c r="H7" s="4"/>
    </row>
    <row r="8" spans="1:11" s="1" customFormat="1" ht="25.5" customHeight="1" thickBot="1">
      <c r="A8" s="3410" t="s">
        <v>57</v>
      </c>
      <c r="B8" s="3410" t="s">
        <v>7</v>
      </c>
      <c r="C8" s="3410" t="s">
        <v>8</v>
      </c>
      <c r="D8" s="3410" t="s">
        <v>9</v>
      </c>
      <c r="E8" s="3410" t="s">
        <v>10</v>
      </c>
      <c r="F8" s="3410"/>
      <c r="G8" s="3410"/>
      <c r="H8" s="3410" t="s">
        <v>11</v>
      </c>
      <c r="I8" s="3410"/>
      <c r="J8" s="3410"/>
      <c r="K8" s="3410" t="s">
        <v>12</v>
      </c>
    </row>
    <row r="9" spans="1:11" s="1" customFormat="1" ht="16.5" thickBot="1">
      <c r="A9" s="3410"/>
      <c r="B9" s="3410"/>
      <c r="C9" s="3410"/>
      <c r="D9" s="3410"/>
      <c r="E9" s="3410" t="s">
        <v>58</v>
      </c>
      <c r="F9" s="3410"/>
      <c r="G9" s="3410" t="s">
        <v>59</v>
      </c>
      <c r="H9" s="3410" t="s">
        <v>60</v>
      </c>
      <c r="I9" s="3410" t="s">
        <v>61</v>
      </c>
      <c r="J9" s="3410" t="s">
        <v>62</v>
      </c>
      <c r="K9" s="3410"/>
    </row>
    <row r="10" spans="1:11" s="1" customFormat="1" ht="16.5" thickBot="1">
      <c r="A10" s="3410"/>
      <c r="B10" s="3410"/>
      <c r="C10" s="3410"/>
      <c r="D10" s="490" t="s">
        <v>13</v>
      </c>
      <c r="E10" s="527" t="s">
        <v>570</v>
      </c>
      <c r="F10" s="489" t="s">
        <v>571</v>
      </c>
      <c r="G10" s="3410"/>
      <c r="H10" s="3410"/>
      <c r="I10" s="3410"/>
      <c r="J10" s="3410"/>
      <c r="K10" s="3410"/>
    </row>
    <row r="11" spans="1:11" s="1" customFormat="1" ht="28.5" customHeight="1" thickTop="1">
      <c r="A11" s="528"/>
      <c r="B11" s="529"/>
      <c r="C11" s="530" t="s">
        <v>258</v>
      </c>
      <c r="D11" s="531"/>
      <c r="E11" s="510"/>
      <c r="F11" s="519"/>
      <c r="G11" s="509"/>
      <c r="H11" s="510"/>
      <c r="I11" s="508"/>
      <c r="J11" s="512"/>
      <c r="K11" s="523">
        <f>(SUM((E11:G11))-(SUM((H11:J11))))</f>
        <v>0</v>
      </c>
    </row>
    <row r="12" spans="1:11" s="23" customFormat="1" ht="28.5" customHeight="1" thickBot="1">
      <c r="A12" s="987"/>
      <c r="B12" s="988"/>
      <c r="C12" s="989" t="s">
        <v>539</v>
      </c>
      <c r="D12" s="990"/>
      <c r="E12" s="991"/>
      <c r="F12" s="992"/>
      <c r="G12" s="993"/>
      <c r="H12" s="991"/>
      <c r="I12" s="961"/>
      <c r="J12" s="962"/>
      <c r="K12" s="994">
        <f>K11+(SUM((E12:G12))-(SUM((H12:J12))))</f>
        <v>0</v>
      </c>
    </row>
    <row r="13" spans="1:11" s="1" customFormat="1" ht="16.5" thickTop="1">
      <c r="A13" s="532"/>
      <c r="B13" s="533"/>
      <c r="C13" s="534"/>
      <c r="D13" s="534"/>
      <c r="E13" s="459"/>
      <c r="F13" s="520"/>
      <c r="G13" s="458"/>
      <c r="H13" s="459"/>
      <c r="I13" s="457"/>
      <c r="J13" s="524"/>
      <c r="K13" s="995">
        <f t="shared" ref="K13:K27" si="0">K12+(SUM((E13:G13))-(SUM((H13:J13))))</f>
        <v>0</v>
      </c>
    </row>
    <row r="14" spans="1:11" s="1" customFormat="1" ht="15.75">
      <c r="A14" s="535"/>
      <c r="B14" s="536"/>
      <c r="C14" s="537"/>
      <c r="D14" s="537"/>
      <c r="E14" s="145"/>
      <c r="F14" s="521"/>
      <c r="G14" s="144"/>
      <c r="H14" s="145"/>
      <c r="I14" s="146"/>
      <c r="J14" s="525"/>
      <c r="K14" s="995">
        <f t="shared" si="0"/>
        <v>0</v>
      </c>
    </row>
    <row r="15" spans="1:11" s="1" customFormat="1" ht="15.75">
      <c r="A15" s="535"/>
      <c r="B15" s="536"/>
      <c r="C15" s="537"/>
      <c r="D15" s="537"/>
      <c r="E15" s="145"/>
      <c r="F15" s="521"/>
      <c r="G15" s="144"/>
      <c r="H15" s="145"/>
      <c r="I15" s="146"/>
      <c r="J15" s="525"/>
      <c r="K15" s="995">
        <f t="shared" si="0"/>
        <v>0</v>
      </c>
    </row>
    <row r="16" spans="1:11" s="1" customFormat="1" ht="15.75">
      <c r="A16" s="535"/>
      <c r="B16" s="536"/>
      <c r="C16" s="537"/>
      <c r="D16" s="537"/>
      <c r="E16" s="145"/>
      <c r="F16" s="521"/>
      <c r="G16" s="144"/>
      <c r="H16" s="145"/>
      <c r="I16" s="146"/>
      <c r="J16" s="525"/>
      <c r="K16" s="995">
        <f t="shared" si="0"/>
        <v>0</v>
      </c>
    </row>
    <row r="17" spans="1:16" s="1" customFormat="1" ht="15.75">
      <c r="A17" s="535"/>
      <c r="B17" s="536"/>
      <c r="C17" s="537"/>
      <c r="D17" s="537"/>
      <c r="E17" s="145"/>
      <c r="F17" s="521"/>
      <c r="G17" s="144"/>
      <c r="H17" s="145"/>
      <c r="I17" s="146"/>
      <c r="J17" s="525"/>
      <c r="K17" s="995">
        <f t="shared" si="0"/>
        <v>0</v>
      </c>
    </row>
    <row r="18" spans="1:16" s="1" customFormat="1" ht="15.75">
      <c r="A18" s="535"/>
      <c r="B18" s="536"/>
      <c r="C18" s="537"/>
      <c r="D18" s="537"/>
      <c r="E18" s="145"/>
      <c r="F18" s="521"/>
      <c r="G18" s="144"/>
      <c r="H18" s="145"/>
      <c r="I18" s="146"/>
      <c r="J18" s="525"/>
      <c r="K18" s="995">
        <f t="shared" si="0"/>
        <v>0</v>
      </c>
    </row>
    <row r="19" spans="1:16" s="1" customFormat="1" ht="15.75">
      <c r="A19" s="535"/>
      <c r="B19" s="536"/>
      <c r="C19" s="537"/>
      <c r="D19" s="537"/>
      <c r="E19" s="145"/>
      <c r="F19" s="521"/>
      <c r="G19" s="144"/>
      <c r="H19" s="145"/>
      <c r="I19" s="146"/>
      <c r="J19" s="525"/>
      <c r="K19" s="995">
        <f t="shared" si="0"/>
        <v>0</v>
      </c>
    </row>
    <row r="20" spans="1:16" s="1" customFormat="1" ht="15.75">
      <c r="A20" s="535"/>
      <c r="B20" s="536"/>
      <c r="C20" s="537"/>
      <c r="D20" s="537"/>
      <c r="E20" s="145"/>
      <c r="F20" s="521"/>
      <c r="G20" s="144"/>
      <c r="H20" s="145"/>
      <c r="I20" s="146"/>
      <c r="J20" s="525"/>
      <c r="K20" s="995">
        <f t="shared" si="0"/>
        <v>0</v>
      </c>
    </row>
    <row r="21" spans="1:16" s="1" customFormat="1" ht="15.75">
      <c r="A21" s="535"/>
      <c r="B21" s="536"/>
      <c r="C21" s="537"/>
      <c r="D21" s="537"/>
      <c r="E21" s="145"/>
      <c r="F21" s="521"/>
      <c r="G21" s="144"/>
      <c r="H21" s="145"/>
      <c r="I21" s="146"/>
      <c r="J21" s="525"/>
      <c r="K21" s="995">
        <f t="shared" si="0"/>
        <v>0</v>
      </c>
    </row>
    <row r="22" spans="1:16" s="1" customFormat="1" ht="15.75">
      <c r="A22" s="535"/>
      <c r="B22" s="536"/>
      <c r="C22" s="537"/>
      <c r="D22" s="537"/>
      <c r="E22" s="145"/>
      <c r="F22" s="521"/>
      <c r="G22" s="144"/>
      <c r="H22" s="145"/>
      <c r="I22" s="146"/>
      <c r="J22" s="525"/>
      <c r="K22" s="995">
        <f t="shared" si="0"/>
        <v>0</v>
      </c>
    </row>
    <row r="23" spans="1:16" s="1" customFormat="1" ht="15.75">
      <c r="A23" s="535"/>
      <c r="B23" s="536"/>
      <c r="C23" s="537"/>
      <c r="D23" s="537"/>
      <c r="E23" s="145"/>
      <c r="F23" s="521"/>
      <c r="G23" s="144"/>
      <c r="H23" s="145"/>
      <c r="I23" s="146"/>
      <c r="J23" s="525"/>
      <c r="K23" s="995">
        <f t="shared" si="0"/>
        <v>0</v>
      </c>
    </row>
    <row r="24" spans="1:16" s="1" customFormat="1" ht="15.75">
      <c r="A24" s="535"/>
      <c r="B24" s="536"/>
      <c r="C24" s="537"/>
      <c r="D24" s="537"/>
      <c r="E24" s="145"/>
      <c r="F24" s="521"/>
      <c r="G24" s="144"/>
      <c r="H24" s="145"/>
      <c r="I24" s="146"/>
      <c r="J24" s="525"/>
      <c r="K24" s="995">
        <f t="shared" si="0"/>
        <v>0</v>
      </c>
    </row>
    <row r="25" spans="1:16" s="1" customFormat="1" ht="15.75">
      <c r="A25" s="535"/>
      <c r="B25" s="536"/>
      <c r="C25" s="537"/>
      <c r="D25" s="537"/>
      <c r="E25" s="145"/>
      <c r="F25" s="521"/>
      <c r="G25" s="144"/>
      <c r="H25" s="145"/>
      <c r="I25" s="146"/>
      <c r="J25" s="525"/>
      <c r="K25" s="996">
        <f t="shared" si="0"/>
        <v>0</v>
      </c>
    </row>
    <row r="26" spans="1:16" s="1" customFormat="1" ht="15.75">
      <c r="A26" s="535"/>
      <c r="B26" s="536"/>
      <c r="C26" s="537"/>
      <c r="D26" s="537"/>
      <c r="E26" s="145"/>
      <c r="F26" s="521"/>
      <c r="G26" s="144"/>
      <c r="H26" s="145"/>
      <c r="I26" s="146"/>
      <c r="J26" s="525"/>
      <c r="K26" s="996">
        <f t="shared" si="0"/>
        <v>0</v>
      </c>
    </row>
    <row r="27" spans="1:16" s="1" customFormat="1" ht="16.5" thickBot="1">
      <c r="A27" s="538"/>
      <c r="B27" s="539"/>
      <c r="C27" s="540"/>
      <c r="D27" s="540"/>
      <c r="E27" s="462"/>
      <c r="F27" s="522"/>
      <c r="G27" s="461"/>
      <c r="H27" s="462"/>
      <c r="I27" s="460"/>
      <c r="J27" s="526"/>
      <c r="K27" s="996">
        <f t="shared" si="0"/>
        <v>0</v>
      </c>
    </row>
    <row r="28" spans="1:16" s="1" customFormat="1" ht="26.25" customHeight="1" thickTop="1" thickBot="1">
      <c r="A28" s="214"/>
      <c r="B28" s="218"/>
      <c r="C28" s="82" t="s">
        <v>19</v>
      </c>
      <c r="D28" s="220"/>
      <c r="E28" s="948">
        <f t="shared" ref="E28:J28" si="1">SUM(E13:E27)</f>
        <v>0</v>
      </c>
      <c r="F28" s="999">
        <f t="shared" si="1"/>
        <v>0</v>
      </c>
      <c r="G28" s="949">
        <f t="shared" si="1"/>
        <v>0</v>
      </c>
      <c r="H28" s="950">
        <f t="shared" si="1"/>
        <v>0</v>
      </c>
      <c r="I28" s="948">
        <f t="shared" si="1"/>
        <v>0</v>
      </c>
      <c r="J28" s="957">
        <f t="shared" si="1"/>
        <v>0</v>
      </c>
      <c r="K28" s="997">
        <f>(SUM((E28:G28))-(SUM((H28:J28))))</f>
        <v>0</v>
      </c>
      <c r="N28" s="7"/>
      <c r="P28" s="7"/>
    </row>
    <row r="29" spans="1:16" s="1" customFormat="1" ht="26.25" customHeight="1" thickTop="1" thickBot="1">
      <c r="A29" s="214"/>
      <c r="B29" s="218"/>
      <c r="C29" s="82" t="s">
        <v>257</v>
      </c>
      <c r="D29" s="220"/>
      <c r="E29" s="948">
        <f t="shared" ref="E29:J29" si="2">E12+E28</f>
        <v>0</v>
      </c>
      <c r="F29" s="999">
        <f t="shared" si="2"/>
        <v>0</v>
      </c>
      <c r="G29" s="949">
        <f t="shared" si="2"/>
        <v>0</v>
      </c>
      <c r="H29" s="950">
        <f t="shared" si="2"/>
        <v>0</v>
      </c>
      <c r="I29" s="948">
        <f t="shared" si="2"/>
        <v>0</v>
      </c>
      <c r="J29" s="957">
        <f t="shared" si="2"/>
        <v>0</v>
      </c>
      <c r="K29" s="997">
        <f>(SUM((E29:G29))-(SUM((H29:J29))))</f>
        <v>0</v>
      </c>
    </row>
    <row r="30" spans="1:16" s="1" customFormat="1" ht="26.25" customHeight="1" thickTop="1" thickBot="1">
      <c r="A30" s="215"/>
      <c r="B30" s="219"/>
      <c r="C30" s="216" t="s">
        <v>20</v>
      </c>
      <c r="D30" s="221"/>
      <c r="E30" s="952">
        <f t="shared" ref="E30:J30" si="3">E11+E29</f>
        <v>0</v>
      </c>
      <c r="F30" s="1000">
        <f t="shared" si="3"/>
        <v>0</v>
      </c>
      <c r="G30" s="953">
        <f t="shared" si="3"/>
        <v>0</v>
      </c>
      <c r="H30" s="954">
        <f t="shared" si="3"/>
        <v>0</v>
      </c>
      <c r="I30" s="952">
        <f t="shared" si="3"/>
        <v>0</v>
      </c>
      <c r="J30" s="947">
        <f t="shared" si="3"/>
        <v>0</v>
      </c>
      <c r="K30" s="998">
        <f>(SUM((E30:G30))-(SUM((H30:J30))))</f>
        <v>0</v>
      </c>
    </row>
    <row r="31" spans="1:16" s="1" customFormat="1" ht="15.75">
      <c r="B31" s="10"/>
    </row>
    <row r="32" spans="1:16" s="1" customFormat="1" ht="15.75">
      <c r="A32" s="147"/>
      <c r="B32" s="10"/>
      <c r="C32" s="123"/>
      <c r="D32" s="123"/>
      <c r="E32" s="123"/>
      <c r="F32" s="123"/>
      <c r="G32" s="123"/>
      <c r="H32" s="123"/>
      <c r="I32" s="11" t="str">
        <f>DT!D28</f>
        <v>Nagrak, 29 Februari 2016 2016</v>
      </c>
    </row>
    <row r="33" spans="2:9" s="1" customFormat="1" ht="15.75">
      <c r="B33" s="10"/>
      <c r="C33" s="148" t="s">
        <v>21</v>
      </c>
      <c r="D33" s="123"/>
      <c r="E33" s="123"/>
      <c r="F33" s="123"/>
      <c r="G33" s="123"/>
      <c r="H33" s="123"/>
      <c r="I33" s="148" t="s">
        <v>22</v>
      </c>
    </row>
    <row r="34" spans="2:9" s="1" customFormat="1" ht="15.75">
      <c r="B34" s="10"/>
      <c r="C34" s="148" t="s">
        <v>23</v>
      </c>
      <c r="E34" s="123"/>
      <c r="F34" s="123"/>
      <c r="G34" s="123"/>
      <c r="H34" s="123"/>
      <c r="I34" s="149" t="s">
        <v>24</v>
      </c>
    </row>
    <row r="35" spans="2:9" s="1" customFormat="1" ht="15.75">
      <c r="B35" s="10"/>
      <c r="C35" s="148"/>
      <c r="E35" s="123"/>
      <c r="F35" s="123"/>
      <c r="G35" s="123"/>
      <c r="H35" s="123"/>
      <c r="I35" s="149"/>
    </row>
    <row r="39" spans="2:9">
      <c r="C39" s="488" t="str">
        <f>DT!D14</f>
        <v>Endang Taryana</v>
      </c>
      <c r="I39" s="488" t="str">
        <f>DT!D15</f>
        <v>Arin Yustini, SE</v>
      </c>
    </row>
  </sheetData>
  <mergeCells count="14">
    <mergeCell ref="A1:K1"/>
    <mergeCell ref="A2:K2"/>
    <mergeCell ref="A8:A10"/>
    <mergeCell ref="B8:B10"/>
    <mergeCell ref="C8:C10"/>
    <mergeCell ref="D8:D9"/>
    <mergeCell ref="E8:G8"/>
    <mergeCell ref="H8:J8"/>
    <mergeCell ref="K8:K10"/>
    <mergeCell ref="E9:F9"/>
    <mergeCell ref="G9:G10"/>
    <mergeCell ref="H9:H10"/>
    <mergeCell ref="I9:I10"/>
    <mergeCell ref="J9:J10"/>
  </mergeCells>
  <printOptions horizontalCentered="1" verticalCentered="1"/>
  <pageMargins left="0.25" right="0.25" top="1" bottom="0.25" header="0.511811023622047" footer="0.511811023622047"/>
  <pageSetup paperSize="9" scale="70" orientation="landscape" horizontalDpi="300" verticalDpi="300"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3" tint="0.39997558519241921"/>
  </sheetPr>
  <dimension ref="A1:P41"/>
  <sheetViews>
    <sheetView topLeftCell="A9" zoomScale="90" zoomScaleNormal="90" workbookViewId="0">
      <selection activeCell="F24" sqref="F24"/>
    </sheetView>
  </sheetViews>
  <sheetFormatPr defaultColWidth="9.140625" defaultRowHeight="12.75"/>
  <cols>
    <col min="1" max="1" width="4.28515625" style="15" customWidth="1"/>
    <col min="2" max="2" width="20.140625" style="19" customWidth="1"/>
    <col min="3" max="3" width="44.5703125" style="15" customWidth="1"/>
    <col min="4" max="4" width="17" style="15" customWidth="1"/>
    <col min="5" max="11" width="16.7109375" style="15" customWidth="1"/>
    <col min="12" max="12" width="16.42578125" style="15" customWidth="1"/>
    <col min="13" max="13" width="20.28515625" style="15" customWidth="1"/>
    <col min="14" max="14" width="21" style="15" customWidth="1"/>
    <col min="15" max="15" width="9.140625" style="15"/>
    <col min="16" max="16" width="14" style="15" bestFit="1" customWidth="1"/>
    <col min="17" max="16384" width="9.140625" style="15"/>
  </cols>
  <sheetData>
    <row r="1" spans="1:13" s="24" customFormat="1" ht="20.25">
      <c r="A1" s="3396" t="s">
        <v>55</v>
      </c>
      <c r="B1" s="3396"/>
      <c r="C1" s="3396"/>
      <c r="D1" s="3396"/>
      <c r="E1" s="3396"/>
      <c r="F1" s="3396"/>
      <c r="G1" s="3396"/>
      <c r="H1" s="3396"/>
      <c r="I1" s="3396"/>
      <c r="J1" s="3396"/>
      <c r="K1" s="3396"/>
    </row>
    <row r="2" spans="1:13" s="24" customFormat="1" ht="20.25">
      <c r="A2" s="3396" t="s">
        <v>583</v>
      </c>
      <c r="B2" s="3396"/>
      <c r="C2" s="3396"/>
      <c r="D2" s="3396"/>
      <c r="E2" s="3396"/>
      <c r="F2" s="3396"/>
      <c r="G2" s="3396"/>
      <c r="H2" s="3396"/>
      <c r="I2" s="3396"/>
      <c r="J2" s="3396"/>
      <c r="K2" s="3396"/>
    </row>
    <row r="3" spans="1:13">
      <c r="B3" s="16"/>
      <c r="C3" s="17"/>
      <c r="D3" s="17"/>
      <c r="E3" s="17"/>
      <c r="F3" s="17"/>
      <c r="G3" s="17"/>
      <c r="H3" s="17"/>
      <c r="I3" s="17"/>
      <c r="J3" s="17"/>
      <c r="K3" s="17"/>
    </row>
    <row r="4" spans="1:13" s="1" customFormat="1" ht="15.75">
      <c r="A4" s="23" t="s">
        <v>2</v>
      </c>
      <c r="B4" s="10"/>
      <c r="C4" s="4" t="str">
        <f>": "&amp;DT!D3</f>
        <v>: Nagrak</v>
      </c>
      <c r="F4" s="23"/>
      <c r="G4" s="542" t="s">
        <v>3</v>
      </c>
      <c r="I4" s="6" t="str">
        <f>": "&amp;DT!D25</f>
        <v>: Februari 2016</v>
      </c>
    </row>
    <row r="5" spans="1:13" s="1" customFormat="1" ht="15.75">
      <c r="A5" s="23" t="s">
        <v>4</v>
      </c>
      <c r="B5" s="10"/>
      <c r="C5" s="4" t="str">
        <f>": "&amp;DT!D4</f>
        <v>: Sukabumi</v>
      </c>
      <c r="F5" s="23"/>
      <c r="G5" s="542" t="s">
        <v>56</v>
      </c>
      <c r="I5" s="6" t="s">
        <v>357</v>
      </c>
    </row>
    <row r="6" spans="1:13" s="1" customFormat="1" ht="15.75">
      <c r="A6" s="23" t="s">
        <v>6</v>
      </c>
      <c r="B6" s="10"/>
      <c r="C6" s="4" t="str">
        <f>": "&amp;DT!D5</f>
        <v>: Jawa Barat</v>
      </c>
      <c r="F6" s="23"/>
      <c r="G6" s="542" t="s">
        <v>488</v>
      </c>
      <c r="I6" s="6" t="str">
        <f>": "&amp;DT!D36</f>
        <v>: 4097-01-003534-53-6</v>
      </c>
    </row>
    <row r="7" spans="1:13" s="1" customFormat="1" ht="16.5" thickBot="1">
      <c r="A7" s="23"/>
      <c r="B7" s="10"/>
      <c r="C7" s="5"/>
      <c r="E7" s="23"/>
      <c r="F7" s="23"/>
      <c r="G7" s="25"/>
      <c r="H7" s="4"/>
    </row>
    <row r="8" spans="1:13" s="1" customFormat="1" ht="25.5" customHeight="1">
      <c r="A8" s="3545" t="s">
        <v>57</v>
      </c>
      <c r="B8" s="3545" t="s">
        <v>7</v>
      </c>
      <c r="C8" s="3545" t="s">
        <v>8</v>
      </c>
      <c r="D8" s="2304" t="s">
        <v>9</v>
      </c>
      <c r="E8" s="3541" t="s">
        <v>10</v>
      </c>
      <c r="F8" s="3445"/>
      <c r="G8" s="3456"/>
      <c r="H8" s="3450" t="s">
        <v>11</v>
      </c>
      <c r="I8" s="3445"/>
      <c r="J8" s="3548"/>
      <c r="K8" s="3545" t="s">
        <v>12</v>
      </c>
    </row>
    <row r="9" spans="1:13" s="1" customFormat="1" ht="15.75">
      <c r="A9" s="3546"/>
      <c r="B9" s="3546"/>
      <c r="C9" s="3546"/>
      <c r="D9" s="2305"/>
      <c r="E9" s="3542" t="s">
        <v>58</v>
      </c>
      <c r="F9" s="3446"/>
      <c r="G9" s="3460" t="s">
        <v>59</v>
      </c>
      <c r="H9" s="3549" t="s">
        <v>60</v>
      </c>
      <c r="I9" s="3446" t="s">
        <v>61</v>
      </c>
      <c r="J9" s="3452" t="s">
        <v>62</v>
      </c>
      <c r="K9" s="3546"/>
    </row>
    <row r="10" spans="1:13" s="1" customFormat="1" ht="16.5" thickBot="1">
      <c r="A10" s="3547"/>
      <c r="B10" s="3547"/>
      <c r="C10" s="3547"/>
      <c r="D10" s="2306" t="s">
        <v>13</v>
      </c>
      <c r="E10" s="2301" t="s">
        <v>570</v>
      </c>
      <c r="F10" s="2206" t="s">
        <v>571</v>
      </c>
      <c r="G10" s="3461"/>
      <c r="H10" s="3550"/>
      <c r="I10" s="3447"/>
      <c r="J10" s="3453"/>
      <c r="K10" s="3547"/>
    </row>
    <row r="11" spans="1:13" s="1" customFormat="1" ht="28.5" customHeight="1" thickBot="1">
      <c r="A11" s="2291"/>
      <c r="B11" s="2292"/>
      <c r="C11" s="2293" t="s">
        <v>258</v>
      </c>
      <c r="D11" s="2307"/>
      <c r="E11" s="2302">
        <v>47750000</v>
      </c>
      <c r="F11" s="2296">
        <v>851163205</v>
      </c>
      <c r="G11" s="2299">
        <v>2035402.86</v>
      </c>
      <c r="H11" s="2295">
        <v>899490555</v>
      </c>
      <c r="I11" s="2298">
        <v>388386</v>
      </c>
      <c r="J11" s="2296">
        <v>455695</v>
      </c>
      <c r="K11" s="2312">
        <f>(SUM((E11:G11))-(SUM((H11:J11))))</f>
        <v>613971.86000001431</v>
      </c>
    </row>
    <row r="12" spans="1:13" s="23" customFormat="1" ht="28.5" customHeight="1" thickTop="1" thickBot="1">
      <c r="A12" s="987"/>
      <c r="B12" s="988"/>
      <c r="C12" s="989" t="s">
        <v>539</v>
      </c>
      <c r="D12" s="2308"/>
      <c r="E12" s="2283">
        <v>0</v>
      </c>
      <c r="F12" s="992">
        <v>118000000</v>
      </c>
      <c r="G12" s="2299">
        <v>4313</v>
      </c>
      <c r="H12" s="991">
        <v>117300000</v>
      </c>
      <c r="I12" s="961">
        <v>0</v>
      </c>
      <c r="J12" s="992">
        <v>5000</v>
      </c>
      <c r="K12" s="2313">
        <f>K11+SUM(E12:G12)-SUM(H12:J12)</f>
        <v>1313284.8600000143</v>
      </c>
      <c r="M12" s="23" t="s">
        <v>2595</v>
      </c>
    </row>
    <row r="13" spans="1:13" s="1" customFormat="1" ht="16.5" thickTop="1">
      <c r="A13" s="532"/>
      <c r="B13" s="533">
        <v>42402</v>
      </c>
      <c r="C13" s="534" t="s">
        <v>2998</v>
      </c>
      <c r="D13" s="2309"/>
      <c r="E13" s="2303"/>
      <c r="F13" s="520">
        <v>50000000</v>
      </c>
      <c r="G13" s="524"/>
      <c r="H13" s="459"/>
      <c r="I13" s="457"/>
      <c r="J13" s="524"/>
      <c r="K13" s="2314">
        <f>K12+SUM(E13:G13)-SUM(H13:J13)</f>
        <v>51313284.860000014</v>
      </c>
      <c r="M13" s="1">
        <v>36729000</v>
      </c>
    </row>
    <row r="14" spans="1:13" s="1" customFormat="1" ht="15.75">
      <c r="A14" s="535"/>
      <c r="B14" s="2818">
        <v>42403</v>
      </c>
      <c r="C14" s="537" t="s">
        <v>2999</v>
      </c>
      <c r="D14" s="2310"/>
      <c r="E14" s="3120"/>
      <c r="F14" s="146"/>
      <c r="G14" s="525"/>
      <c r="H14" s="145">
        <v>50000000</v>
      </c>
      <c r="I14" s="146"/>
      <c r="J14" s="525"/>
      <c r="K14" s="2314">
        <f t="shared" ref="K14:K29" si="0">K13+SUM(E14:G14)-SUM(H14:J14)</f>
        <v>1313284.8600000143</v>
      </c>
    </row>
    <row r="15" spans="1:13" s="1" customFormat="1" ht="15.75">
      <c r="A15" s="535"/>
      <c r="B15" s="2818">
        <v>42404</v>
      </c>
      <c r="C15" s="537" t="s">
        <v>2998</v>
      </c>
      <c r="D15" s="2310"/>
      <c r="E15" s="2284"/>
      <c r="F15" s="521">
        <v>2000000</v>
      </c>
      <c r="G15" s="3032"/>
      <c r="H15" s="145"/>
      <c r="I15" s="146"/>
      <c r="J15" s="525"/>
      <c r="K15" s="2314">
        <f t="shared" si="0"/>
        <v>3313284.8600000143</v>
      </c>
    </row>
    <row r="16" spans="1:13" s="1" customFormat="1" ht="15.75">
      <c r="A16" s="535"/>
      <c r="B16" s="536">
        <v>42405</v>
      </c>
      <c r="C16" s="537" t="s">
        <v>2999</v>
      </c>
      <c r="D16" s="2310"/>
      <c r="E16" s="2284"/>
      <c r="F16" s="521"/>
      <c r="G16" s="525"/>
      <c r="H16" s="145">
        <v>2000000</v>
      </c>
      <c r="I16" s="146"/>
      <c r="J16" s="525"/>
      <c r="K16" s="2314">
        <f t="shared" si="0"/>
        <v>1313284.8600000143</v>
      </c>
    </row>
    <row r="17" spans="1:16" s="1" customFormat="1" ht="15.75">
      <c r="A17" s="535"/>
      <c r="B17" s="536">
        <v>42415</v>
      </c>
      <c r="C17" s="537" t="s">
        <v>2999</v>
      </c>
      <c r="D17" s="2310"/>
      <c r="E17" s="2284"/>
      <c r="F17" s="521"/>
      <c r="G17" s="525"/>
      <c r="H17" s="145">
        <v>1200000</v>
      </c>
      <c r="I17" s="146"/>
      <c r="J17" s="525"/>
      <c r="K17" s="2314">
        <f t="shared" si="0"/>
        <v>113284.86000001431</v>
      </c>
    </row>
    <row r="18" spans="1:16" s="1" customFormat="1" ht="15.75">
      <c r="A18" s="535"/>
      <c r="B18" s="536">
        <v>42415</v>
      </c>
      <c r="C18" s="537" t="s">
        <v>2997</v>
      </c>
      <c r="D18" s="2310"/>
      <c r="E18" s="2284"/>
      <c r="F18" s="521"/>
      <c r="G18" s="525">
        <v>9681</v>
      </c>
      <c r="H18" s="145"/>
      <c r="I18" s="146"/>
      <c r="J18" s="525"/>
      <c r="K18" s="2314">
        <f t="shared" si="0"/>
        <v>122965.86000001431</v>
      </c>
    </row>
    <row r="19" spans="1:16" s="1" customFormat="1" ht="15.75">
      <c r="A19" s="535"/>
      <c r="B19" s="536">
        <v>42415</v>
      </c>
      <c r="C19" s="537" t="s">
        <v>3001</v>
      </c>
      <c r="D19" s="2311"/>
      <c r="E19" s="145"/>
      <c r="F19" s="521"/>
      <c r="G19" s="144"/>
      <c r="H19" s="145"/>
      <c r="I19" s="146">
        <v>1936</v>
      </c>
      <c r="J19" s="525"/>
      <c r="K19" s="2314">
        <f t="shared" si="0"/>
        <v>121029.86000001431</v>
      </c>
    </row>
    <row r="20" spans="1:16" s="1" customFormat="1" ht="15.75">
      <c r="A20" s="535"/>
      <c r="B20" s="536">
        <v>42416</v>
      </c>
      <c r="C20" s="537" t="s">
        <v>2998</v>
      </c>
      <c r="D20" s="2311"/>
      <c r="E20" s="145"/>
      <c r="F20" s="521">
        <v>5000000</v>
      </c>
      <c r="G20" s="144"/>
      <c r="H20" s="145"/>
      <c r="I20" s="146"/>
      <c r="J20" s="525"/>
      <c r="K20" s="2314">
        <f t="shared" si="0"/>
        <v>5121029.8600000143</v>
      </c>
    </row>
    <row r="21" spans="1:16" s="1" customFormat="1" ht="15.75">
      <c r="A21" s="535"/>
      <c r="B21" s="536">
        <v>42416</v>
      </c>
      <c r="C21" s="537" t="s">
        <v>428</v>
      </c>
      <c r="D21" s="2311"/>
      <c r="E21" s="145"/>
      <c r="F21" s="521"/>
      <c r="G21" s="144"/>
      <c r="H21" s="145"/>
      <c r="I21" s="146"/>
      <c r="J21" s="521">
        <v>5000</v>
      </c>
      <c r="K21" s="2314">
        <f t="shared" si="0"/>
        <v>5116029.8600000143</v>
      </c>
    </row>
    <row r="22" spans="1:16" s="1" customFormat="1" ht="15.75">
      <c r="A22" s="535"/>
      <c r="B22" s="536">
        <v>42419</v>
      </c>
      <c r="C22" s="537" t="s">
        <v>2999</v>
      </c>
      <c r="D22" s="2311"/>
      <c r="E22" s="145"/>
      <c r="F22" s="521"/>
      <c r="G22" s="144"/>
      <c r="H22" s="145">
        <v>5000000</v>
      </c>
      <c r="I22" s="146"/>
      <c r="J22" s="521"/>
      <c r="K22" s="2314">
        <f t="shared" si="0"/>
        <v>116029.86000001431</v>
      </c>
    </row>
    <row r="23" spans="1:16" s="1" customFormat="1" ht="15.75">
      <c r="A23" s="535"/>
      <c r="B23" s="536">
        <v>42423</v>
      </c>
      <c r="C23" s="537" t="s">
        <v>2998</v>
      </c>
      <c r="D23" s="2311"/>
      <c r="E23" s="145"/>
      <c r="F23" s="521">
        <v>34980000</v>
      </c>
      <c r="G23" s="144"/>
      <c r="H23" s="145"/>
      <c r="I23" s="146"/>
      <c r="J23" s="525"/>
      <c r="K23" s="2314">
        <f t="shared" si="0"/>
        <v>35096029.860000014</v>
      </c>
    </row>
    <row r="24" spans="1:16" s="1" customFormat="1" ht="15.75">
      <c r="A24" s="535"/>
      <c r="B24" s="536"/>
      <c r="C24" s="537"/>
      <c r="D24" s="2311"/>
      <c r="E24" s="145"/>
      <c r="F24" s="521"/>
      <c r="G24" s="144"/>
      <c r="H24" s="145"/>
      <c r="I24" s="146"/>
      <c r="J24" s="525"/>
      <c r="K24" s="2314">
        <f t="shared" si="0"/>
        <v>35096029.860000014</v>
      </c>
    </row>
    <row r="25" spans="1:16" s="1" customFormat="1" ht="15.75">
      <c r="A25" s="535"/>
      <c r="B25" s="536"/>
      <c r="C25" s="537"/>
      <c r="D25" s="2311"/>
      <c r="E25" s="145"/>
      <c r="F25" s="521"/>
      <c r="G25" s="144"/>
      <c r="H25" s="145"/>
      <c r="I25" s="146"/>
      <c r="J25" s="525"/>
      <c r="K25" s="2314">
        <f t="shared" si="0"/>
        <v>35096029.860000014</v>
      </c>
    </row>
    <row r="26" spans="1:16" s="1" customFormat="1" ht="15.75">
      <c r="A26" s="535"/>
      <c r="B26" s="536"/>
      <c r="C26" s="537"/>
      <c r="D26" s="2311"/>
      <c r="E26" s="145"/>
      <c r="F26" s="521"/>
      <c r="G26" s="144"/>
      <c r="H26" s="145"/>
      <c r="I26" s="146"/>
      <c r="J26" s="525"/>
      <c r="K26" s="2314">
        <f t="shared" si="0"/>
        <v>35096029.860000014</v>
      </c>
    </row>
    <row r="27" spans="1:16" s="1" customFormat="1" ht="15.75">
      <c r="A27" s="535"/>
      <c r="B27" s="536"/>
      <c r="C27" s="537"/>
      <c r="D27" s="2311"/>
      <c r="E27" s="145"/>
      <c r="F27" s="521"/>
      <c r="G27" s="144"/>
      <c r="H27" s="145"/>
      <c r="I27" s="146"/>
      <c r="J27" s="525"/>
      <c r="K27" s="2314">
        <f t="shared" si="0"/>
        <v>35096029.860000014</v>
      </c>
    </row>
    <row r="28" spans="1:16" s="1" customFormat="1" ht="15.75">
      <c r="A28" s="535"/>
      <c r="B28" s="536"/>
      <c r="C28" s="537"/>
      <c r="D28" s="537"/>
      <c r="E28" s="145"/>
      <c r="F28" s="521"/>
      <c r="G28" s="144"/>
      <c r="H28" s="145"/>
      <c r="I28" s="146"/>
      <c r="J28" s="525"/>
      <c r="K28" s="2314">
        <f t="shared" si="0"/>
        <v>35096029.860000014</v>
      </c>
    </row>
    <row r="29" spans="1:16" s="1" customFormat="1" ht="16.5" thickBot="1">
      <c r="A29" s="538"/>
      <c r="B29" s="539"/>
      <c r="C29" s="540"/>
      <c r="D29" s="540"/>
      <c r="E29" s="462"/>
      <c r="F29" s="522"/>
      <c r="G29" s="461"/>
      <c r="H29" s="462"/>
      <c r="I29" s="460"/>
      <c r="J29" s="526"/>
      <c r="K29" s="2314">
        <f t="shared" si="0"/>
        <v>35096029.860000014</v>
      </c>
    </row>
    <row r="30" spans="1:16" s="1" customFormat="1" ht="26.25" customHeight="1" thickTop="1" thickBot="1">
      <c r="A30" s="214"/>
      <c r="B30" s="218"/>
      <c r="C30" s="82" t="s">
        <v>19</v>
      </c>
      <c r="D30" s="220"/>
      <c r="E30" s="948">
        <f t="shared" ref="E30:J30" si="1">SUM(E13:E29)</f>
        <v>0</v>
      </c>
      <c r="F30" s="999">
        <f t="shared" si="1"/>
        <v>91980000</v>
      </c>
      <c r="G30" s="949">
        <f t="shared" si="1"/>
        <v>9681</v>
      </c>
      <c r="H30" s="950">
        <f t="shared" si="1"/>
        <v>58200000</v>
      </c>
      <c r="I30" s="948">
        <f t="shared" si="1"/>
        <v>1936</v>
      </c>
      <c r="J30" s="957">
        <f t="shared" si="1"/>
        <v>5000</v>
      </c>
      <c r="K30" s="997">
        <f>(SUM((E30:G30))-(SUM((H30:J30))))</f>
        <v>33782745</v>
      </c>
      <c r="N30" s="7"/>
      <c r="P30" s="7"/>
    </row>
    <row r="31" spans="1:16" s="1" customFormat="1" ht="26.25" customHeight="1" thickTop="1" thickBot="1">
      <c r="A31" s="214"/>
      <c r="B31" s="218"/>
      <c r="C31" s="82" t="s">
        <v>257</v>
      </c>
      <c r="D31" s="220"/>
      <c r="E31" s="948">
        <f t="shared" ref="E31:J31" si="2">E12+E30</f>
        <v>0</v>
      </c>
      <c r="F31" s="999">
        <f t="shared" si="2"/>
        <v>209980000</v>
      </c>
      <c r="G31" s="949">
        <f t="shared" si="2"/>
        <v>13994</v>
      </c>
      <c r="H31" s="950">
        <f t="shared" si="2"/>
        <v>175500000</v>
      </c>
      <c r="I31" s="948">
        <f t="shared" si="2"/>
        <v>1936</v>
      </c>
      <c r="J31" s="957">
        <f t="shared" si="2"/>
        <v>10000</v>
      </c>
      <c r="K31" s="997">
        <f>(SUM((E31:G31))-(SUM((H31:J31))))</f>
        <v>34482058</v>
      </c>
    </row>
    <row r="32" spans="1:16" s="1" customFormat="1" ht="26.25" customHeight="1" thickTop="1" thickBot="1">
      <c r="A32" s="215"/>
      <c r="B32" s="219"/>
      <c r="C32" s="216" t="s">
        <v>20</v>
      </c>
      <c r="D32" s="221"/>
      <c r="E32" s="952">
        <f t="shared" ref="E32:J32" si="3">E11+E31</f>
        <v>47750000</v>
      </c>
      <c r="F32" s="1000">
        <f t="shared" si="3"/>
        <v>1061143205</v>
      </c>
      <c r="G32" s="953">
        <f t="shared" si="3"/>
        <v>2049396.86</v>
      </c>
      <c r="H32" s="954">
        <f t="shared" si="3"/>
        <v>1074990555</v>
      </c>
      <c r="I32" s="952">
        <f t="shared" si="3"/>
        <v>390322</v>
      </c>
      <c r="J32" s="947">
        <f t="shared" si="3"/>
        <v>465695</v>
      </c>
      <c r="K32" s="998">
        <f>(SUM((E32:G32))-(SUM((H32:J32))))</f>
        <v>35096029.859999895</v>
      </c>
    </row>
    <row r="33" spans="1:9" s="1" customFormat="1" ht="15.75">
      <c r="B33" s="10"/>
    </row>
    <row r="34" spans="1:9" s="1" customFormat="1" ht="15.75">
      <c r="A34" s="147"/>
      <c r="B34" s="10"/>
      <c r="C34" s="123"/>
      <c r="D34" s="123"/>
      <c r="E34" s="123"/>
      <c r="F34" s="123"/>
      <c r="G34" s="123"/>
      <c r="H34" s="123"/>
      <c r="I34" s="11" t="str">
        <f>DT!D28</f>
        <v>Nagrak, 29 Februari 2016 2016</v>
      </c>
    </row>
    <row r="35" spans="1:9" s="1" customFormat="1" ht="15.75">
      <c r="B35" s="10"/>
      <c r="C35" s="148" t="s">
        <v>21</v>
      </c>
      <c r="D35" s="123"/>
      <c r="E35" s="123"/>
      <c r="F35" s="123"/>
      <c r="G35" s="123"/>
      <c r="H35" s="123"/>
      <c r="I35" s="148" t="s">
        <v>22</v>
      </c>
    </row>
    <row r="36" spans="1:9" s="1" customFormat="1" ht="15.75">
      <c r="B36" s="10"/>
      <c r="C36" s="148" t="s">
        <v>23</v>
      </c>
      <c r="E36" s="123"/>
      <c r="F36" s="123"/>
      <c r="G36" s="123"/>
      <c r="H36" s="123"/>
      <c r="I36" s="149" t="s">
        <v>24</v>
      </c>
    </row>
    <row r="37" spans="1:9" s="1" customFormat="1" ht="15.75">
      <c r="B37" s="10"/>
      <c r="C37" s="148"/>
      <c r="E37" s="123"/>
      <c r="F37" s="123"/>
      <c r="G37" s="123"/>
      <c r="H37" s="123"/>
      <c r="I37" s="149"/>
    </row>
    <row r="41" spans="1:9">
      <c r="C41" s="488" t="str">
        <f>DT!D14</f>
        <v>Endang Taryana</v>
      </c>
      <c r="I41" s="488" t="str">
        <f>DT!D15</f>
        <v>Arin Yustini, SE</v>
      </c>
    </row>
  </sheetData>
  <mergeCells count="13">
    <mergeCell ref="A1:K1"/>
    <mergeCell ref="A2:K2"/>
    <mergeCell ref="A8:A10"/>
    <mergeCell ref="B8:B10"/>
    <mergeCell ref="C8:C10"/>
    <mergeCell ref="E8:G8"/>
    <mergeCell ref="H8:J8"/>
    <mergeCell ref="K8:K10"/>
    <mergeCell ref="E9:F9"/>
    <mergeCell ref="G9:G10"/>
    <mergeCell ref="H9:H10"/>
    <mergeCell ref="I9:I10"/>
    <mergeCell ref="J9:J10"/>
  </mergeCells>
  <printOptions horizontalCentered="1" verticalCentered="1"/>
  <pageMargins left="0.25" right="0.25" top="0.52" bottom="0.25" header="0.511811023622047" footer="0.511811023622047"/>
  <pageSetup paperSize="9" scale="70" orientation="landscape" horizontalDpi="4294967294" verticalDpi="4294967294"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3" tint="0.39997558519241921"/>
  </sheetPr>
  <dimension ref="A1:P61"/>
  <sheetViews>
    <sheetView topLeftCell="A32" zoomScale="80" zoomScaleNormal="80" workbookViewId="0">
      <selection activeCell="F46" sqref="F46"/>
    </sheetView>
  </sheetViews>
  <sheetFormatPr defaultColWidth="9.140625" defaultRowHeight="12.75"/>
  <cols>
    <col min="1" max="1" width="4.28515625" style="15" customWidth="1"/>
    <col min="2" max="2" width="18.28515625" style="19" customWidth="1"/>
    <col min="3" max="3" width="44.5703125" style="15" customWidth="1"/>
    <col min="4" max="4" width="17" style="15" customWidth="1"/>
    <col min="5" max="5" width="16.7109375" style="15" customWidth="1"/>
    <col min="6" max="6" width="18" style="15" customWidth="1"/>
    <col min="7" max="7" width="16.7109375" style="15" customWidth="1"/>
    <col min="8" max="8" width="19" style="15" customWidth="1"/>
    <col min="9" max="11" width="16.7109375" style="15" customWidth="1"/>
    <col min="12" max="12" width="16.42578125" style="15" customWidth="1"/>
    <col min="13" max="13" width="20.28515625" style="15" customWidth="1"/>
    <col min="14" max="14" width="21" style="15" customWidth="1"/>
    <col min="15" max="15" width="9.140625" style="15"/>
    <col min="16" max="16" width="14" style="15" bestFit="1" customWidth="1"/>
    <col min="17" max="16384" width="9.140625" style="15"/>
  </cols>
  <sheetData>
    <row r="1" spans="1:11" s="24" customFormat="1" ht="20.25">
      <c r="A1" s="3396" t="s">
        <v>55</v>
      </c>
      <c r="B1" s="3396"/>
      <c r="C1" s="3396"/>
      <c r="D1" s="3396"/>
      <c r="E1" s="3396"/>
      <c r="F1" s="3396"/>
      <c r="G1" s="3396"/>
      <c r="H1" s="3396"/>
      <c r="I1" s="3396"/>
      <c r="J1" s="3396"/>
      <c r="K1" s="3396"/>
    </row>
    <row r="2" spans="1:11" s="24" customFormat="1" ht="20.25">
      <c r="A2" s="3396" t="s">
        <v>584</v>
      </c>
      <c r="B2" s="3396"/>
      <c r="C2" s="3396"/>
      <c r="D2" s="3396"/>
      <c r="E2" s="3396"/>
      <c r="F2" s="3396"/>
      <c r="G2" s="3396"/>
      <c r="H2" s="3396"/>
      <c r="I2" s="3396"/>
      <c r="J2" s="3396"/>
      <c r="K2" s="3396"/>
    </row>
    <row r="3" spans="1:11">
      <c r="B3" s="16"/>
      <c r="C3" s="17"/>
      <c r="D3" s="17"/>
      <c r="E3" s="17"/>
      <c r="F3" s="17"/>
      <c r="G3" s="17"/>
      <c r="H3" s="17"/>
      <c r="I3" s="17"/>
      <c r="J3" s="17"/>
      <c r="K3" s="17"/>
    </row>
    <row r="4" spans="1:11" s="1" customFormat="1" ht="15.75">
      <c r="A4" s="23" t="s">
        <v>2</v>
      </c>
      <c r="B4" s="10"/>
      <c r="C4" s="4" t="str">
        <f>": "&amp;DT!D3</f>
        <v>: Nagrak</v>
      </c>
      <c r="F4" s="23"/>
      <c r="G4" s="542" t="s">
        <v>3</v>
      </c>
      <c r="I4" s="6" t="str">
        <f>": "&amp;DT!D25</f>
        <v>: Februari 2016</v>
      </c>
    </row>
    <row r="5" spans="1:11" s="1" customFormat="1" ht="15.75">
      <c r="A5" s="23" t="s">
        <v>4</v>
      </c>
      <c r="B5" s="10"/>
      <c r="C5" s="4" t="str">
        <f>": "&amp;DT!D4</f>
        <v>: Sukabumi</v>
      </c>
      <c r="F5" s="23"/>
      <c r="G5" s="542" t="s">
        <v>56</v>
      </c>
      <c r="I5" s="6" t="s">
        <v>357</v>
      </c>
    </row>
    <row r="6" spans="1:11" s="1" customFormat="1" ht="15.75">
      <c r="A6" s="23" t="s">
        <v>6</v>
      </c>
      <c r="B6" s="10"/>
      <c r="C6" s="4" t="str">
        <f>": "&amp;DT!D5</f>
        <v>: Jawa Barat</v>
      </c>
      <c r="F6" s="23"/>
      <c r="G6" s="542" t="s">
        <v>488</v>
      </c>
      <c r="I6" s="6" t="str">
        <f>": "&amp;DT!D38</f>
        <v>: 409701010423530</v>
      </c>
    </row>
    <row r="7" spans="1:11" s="1" customFormat="1" ht="16.5" thickBot="1">
      <c r="A7" s="23"/>
      <c r="B7" s="10"/>
      <c r="C7" s="5"/>
      <c r="E7" s="23"/>
      <c r="F7" s="23"/>
      <c r="G7" s="25"/>
      <c r="H7" s="4"/>
    </row>
    <row r="8" spans="1:11" s="1" customFormat="1" ht="25.5" customHeight="1">
      <c r="A8" s="3551" t="s">
        <v>57</v>
      </c>
      <c r="B8" s="3551" t="s">
        <v>7</v>
      </c>
      <c r="C8" s="3551" t="s">
        <v>8</v>
      </c>
      <c r="D8" s="2324" t="s">
        <v>9</v>
      </c>
      <c r="E8" s="3502" t="s">
        <v>10</v>
      </c>
      <c r="F8" s="3500"/>
      <c r="G8" s="3497"/>
      <c r="H8" s="3502" t="s">
        <v>11</v>
      </c>
      <c r="I8" s="3500"/>
      <c r="J8" s="3497"/>
      <c r="K8" s="3554" t="s">
        <v>12</v>
      </c>
    </row>
    <row r="9" spans="1:11" s="1" customFormat="1" ht="15.75">
      <c r="A9" s="3552"/>
      <c r="B9" s="3552"/>
      <c r="C9" s="3552"/>
      <c r="D9" s="2325"/>
      <c r="E9" s="3503" t="s">
        <v>58</v>
      </c>
      <c r="F9" s="3499"/>
      <c r="G9" s="3498" t="s">
        <v>59</v>
      </c>
      <c r="H9" s="3503" t="s">
        <v>60</v>
      </c>
      <c r="I9" s="3499" t="s">
        <v>61</v>
      </c>
      <c r="J9" s="3498" t="s">
        <v>62</v>
      </c>
      <c r="K9" s="3555"/>
    </row>
    <row r="10" spans="1:11" s="1" customFormat="1" ht="16.5" thickBot="1">
      <c r="A10" s="3553"/>
      <c r="B10" s="3553"/>
      <c r="C10" s="3553"/>
      <c r="D10" s="2326" t="s">
        <v>13</v>
      </c>
      <c r="E10" s="2240" t="s">
        <v>570</v>
      </c>
      <c r="F10" s="2241" t="s">
        <v>571</v>
      </c>
      <c r="G10" s="3524"/>
      <c r="H10" s="3526"/>
      <c r="I10" s="3523"/>
      <c r="J10" s="3524"/>
      <c r="K10" s="3556"/>
    </row>
    <row r="11" spans="1:11" s="1" customFormat="1" ht="28.5" customHeight="1" thickBot="1">
      <c r="A11" s="2315"/>
      <c r="B11" s="2316"/>
      <c r="C11" s="2317" t="s">
        <v>258</v>
      </c>
      <c r="D11" s="2318"/>
      <c r="E11" s="2323">
        <v>0</v>
      </c>
      <c r="F11" s="2319">
        <v>25357143846</v>
      </c>
      <c r="G11" s="2321">
        <v>34065843</v>
      </c>
      <c r="H11" s="2323">
        <v>25301085000</v>
      </c>
      <c r="I11" s="2320">
        <v>6424006</v>
      </c>
      <c r="J11" s="2321">
        <v>488739</v>
      </c>
      <c r="K11" s="2322">
        <f>(SUM((E11:G11))-(SUM((H11:J11))))</f>
        <v>83211944</v>
      </c>
    </row>
    <row r="12" spans="1:11" s="23" customFormat="1" ht="28.5" customHeight="1" thickTop="1" thickBot="1">
      <c r="A12" s="987"/>
      <c r="B12" s="988"/>
      <c r="C12" s="3193" t="s">
        <v>539</v>
      </c>
      <c r="D12" s="990"/>
      <c r="E12" s="2283">
        <v>0</v>
      </c>
      <c r="F12" s="992">
        <v>713889500</v>
      </c>
      <c r="G12" s="962">
        <v>117585</v>
      </c>
      <c r="H12" s="2283">
        <v>676000000</v>
      </c>
      <c r="I12" s="961">
        <v>23517</v>
      </c>
      <c r="J12" s="962">
        <v>7000</v>
      </c>
      <c r="K12" s="994">
        <f>K11+(SUM((E12:G12))-(SUM((H12:J12))))</f>
        <v>121188512</v>
      </c>
    </row>
    <row r="13" spans="1:11" s="1" customFormat="1" ht="16.5" thickTop="1">
      <c r="A13" s="532"/>
      <c r="B13" s="2397">
        <v>42400</v>
      </c>
      <c r="C13" s="2145" t="s">
        <v>2997</v>
      </c>
      <c r="D13" s="537"/>
      <c r="E13" s="2284"/>
      <c r="F13" s="521"/>
      <c r="G13" s="524">
        <v>233954</v>
      </c>
      <c r="H13" s="2303"/>
      <c r="I13" s="457"/>
      <c r="J13" s="524"/>
      <c r="K13" s="3191">
        <f>K12+(SUM((E13:G13))-(SUM((H13:J13))))</f>
        <v>121422466</v>
      </c>
    </row>
    <row r="14" spans="1:11" s="1" customFormat="1" ht="15.75">
      <c r="A14" s="2144"/>
      <c r="B14" s="2397">
        <v>42400</v>
      </c>
      <c r="C14" s="537" t="s">
        <v>421</v>
      </c>
      <c r="D14" s="537"/>
      <c r="E14" s="2284"/>
      <c r="F14" s="521"/>
      <c r="G14" s="525"/>
      <c r="H14" s="2284"/>
      <c r="I14" s="146">
        <v>46790</v>
      </c>
      <c r="J14" s="2700"/>
      <c r="K14" s="3192">
        <f t="shared" ref="K14:K51" si="0">K13+(SUM((E14:G14))-(SUM((H14:J14))))</f>
        <v>121375676</v>
      </c>
    </row>
    <row r="15" spans="1:11" s="1" customFormat="1" ht="15.75">
      <c r="A15" s="2144"/>
      <c r="B15" s="2397">
        <v>42401</v>
      </c>
      <c r="C15" s="2145" t="s">
        <v>2998</v>
      </c>
      <c r="D15" s="537"/>
      <c r="E15" s="2284"/>
      <c r="F15" s="521">
        <v>4440000</v>
      </c>
      <c r="G15" s="2700"/>
      <c r="H15" s="2698"/>
      <c r="I15" s="2699"/>
      <c r="J15" s="2700"/>
      <c r="K15" s="3192">
        <f t="shared" si="0"/>
        <v>125815676</v>
      </c>
    </row>
    <row r="16" spans="1:11" s="1" customFormat="1" ht="15.75">
      <c r="A16" s="2144"/>
      <c r="B16" s="2397">
        <v>42402</v>
      </c>
      <c r="C16" s="537" t="s">
        <v>2999</v>
      </c>
      <c r="D16" s="537"/>
      <c r="E16" s="2284"/>
      <c r="F16" s="521"/>
      <c r="G16" s="2700"/>
      <c r="H16" s="2698">
        <v>58000000</v>
      </c>
      <c r="I16" s="2699"/>
      <c r="J16" s="2700"/>
      <c r="K16" s="3192">
        <f t="shared" si="0"/>
        <v>67815676</v>
      </c>
    </row>
    <row r="17" spans="1:11" s="1" customFormat="1" ht="15.75">
      <c r="A17" s="2144"/>
      <c r="B17" s="2397">
        <v>42402</v>
      </c>
      <c r="C17" s="2145" t="s">
        <v>2998</v>
      </c>
      <c r="D17" s="537"/>
      <c r="E17" s="2284"/>
      <c r="F17" s="521">
        <v>24746100</v>
      </c>
      <c r="G17" s="2700"/>
      <c r="H17" s="2698"/>
      <c r="I17" s="2699"/>
      <c r="J17" s="2700"/>
      <c r="K17" s="3192">
        <f t="shared" si="0"/>
        <v>92561776</v>
      </c>
    </row>
    <row r="18" spans="1:11" s="1" customFormat="1" ht="15.75">
      <c r="A18" s="2144"/>
      <c r="B18" s="2397">
        <v>42403</v>
      </c>
      <c r="C18" s="2145" t="s">
        <v>2999</v>
      </c>
      <c r="D18" s="537"/>
      <c r="E18" s="2284"/>
      <c r="F18" s="521"/>
      <c r="G18" s="2700"/>
      <c r="H18" s="2698">
        <v>61500000</v>
      </c>
      <c r="I18" s="2699"/>
      <c r="J18" s="2700"/>
      <c r="K18" s="3192">
        <f t="shared" si="0"/>
        <v>31061776</v>
      </c>
    </row>
    <row r="19" spans="1:11" s="1" customFormat="1" ht="15.75">
      <c r="A19" s="535"/>
      <c r="B19" s="2397">
        <v>42403</v>
      </c>
      <c r="C19" s="537" t="s">
        <v>2998</v>
      </c>
      <c r="D19" s="537"/>
      <c r="E19" s="2284"/>
      <c r="F19" s="521">
        <v>25247400</v>
      </c>
      <c r="G19" s="2700"/>
      <c r="H19" s="2698"/>
      <c r="I19" s="2699"/>
      <c r="J19" s="525"/>
      <c r="K19" s="3192">
        <f t="shared" si="0"/>
        <v>56309176</v>
      </c>
    </row>
    <row r="20" spans="1:11" s="1" customFormat="1" ht="15.75">
      <c r="A20" s="535"/>
      <c r="B20" s="2397">
        <v>42404</v>
      </c>
      <c r="C20" s="2145" t="s">
        <v>2999</v>
      </c>
      <c r="D20" s="537"/>
      <c r="E20" s="2284"/>
      <c r="F20" s="521"/>
      <c r="G20" s="2700"/>
      <c r="H20" s="2698">
        <v>50000000</v>
      </c>
      <c r="I20" s="2699"/>
      <c r="J20" s="525"/>
      <c r="K20" s="3192">
        <f t="shared" si="0"/>
        <v>6309176</v>
      </c>
    </row>
    <row r="21" spans="1:11" s="1" customFormat="1" ht="15.75">
      <c r="A21" s="535"/>
      <c r="B21" s="2397">
        <v>42404</v>
      </c>
      <c r="C21" s="537" t="s">
        <v>2998</v>
      </c>
      <c r="D21" s="537"/>
      <c r="E21" s="2284"/>
      <c r="F21" s="521">
        <v>11800000</v>
      </c>
      <c r="G21" s="525"/>
      <c r="H21" s="2284"/>
      <c r="I21" s="146"/>
      <c r="J21" s="525"/>
      <c r="K21" s="3192">
        <f t="shared" si="0"/>
        <v>18109176</v>
      </c>
    </row>
    <row r="22" spans="1:11" s="1" customFormat="1" ht="15.75">
      <c r="A22" s="535"/>
      <c r="B22" s="2397">
        <v>42405</v>
      </c>
      <c r="C22" s="2145" t="s">
        <v>2999</v>
      </c>
      <c r="D22" s="537"/>
      <c r="E22" s="2284"/>
      <c r="F22" s="521"/>
      <c r="G22" s="525"/>
      <c r="H22" s="2284">
        <v>13000000</v>
      </c>
      <c r="I22" s="146"/>
      <c r="J22" s="525"/>
      <c r="K22" s="3192">
        <f t="shared" si="0"/>
        <v>5109176</v>
      </c>
    </row>
    <row r="23" spans="1:11" s="1" customFormat="1" ht="15.75">
      <c r="A23" s="535"/>
      <c r="B23" s="2397">
        <v>42405</v>
      </c>
      <c r="C23" s="537" t="s">
        <v>2998</v>
      </c>
      <c r="D23" s="537"/>
      <c r="E23" s="2284"/>
      <c r="F23" s="521">
        <v>17672000</v>
      </c>
      <c r="G23" s="525"/>
      <c r="H23" s="2284"/>
      <c r="I23" s="146"/>
      <c r="J23" s="525"/>
      <c r="K23" s="3192">
        <f t="shared" si="0"/>
        <v>22781176</v>
      </c>
    </row>
    <row r="24" spans="1:11" s="1" customFormat="1" ht="15.75">
      <c r="A24" s="535"/>
      <c r="B24" s="2397">
        <v>42405</v>
      </c>
      <c r="C24" s="2145" t="s">
        <v>3000</v>
      </c>
      <c r="D24" s="537"/>
      <c r="E24" s="2284"/>
      <c r="F24" s="521"/>
      <c r="G24" s="525"/>
      <c r="H24" s="2284"/>
      <c r="I24" s="146"/>
      <c r="J24" s="525">
        <v>7000</v>
      </c>
      <c r="K24" s="3192">
        <f t="shared" si="0"/>
        <v>22774176</v>
      </c>
    </row>
    <row r="25" spans="1:11" s="1" customFormat="1" ht="15.75">
      <c r="A25" s="535"/>
      <c r="B25" s="2397">
        <v>42409</v>
      </c>
      <c r="C25" s="2145" t="s">
        <v>2998</v>
      </c>
      <c r="D25" s="537"/>
      <c r="E25" s="2284"/>
      <c r="F25" s="521">
        <v>39653500</v>
      </c>
      <c r="G25" s="525"/>
      <c r="H25" s="2284"/>
      <c r="I25" s="146"/>
      <c r="J25" s="525"/>
      <c r="K25" s="3192">
        <f t="shared" si="0"/>
        <v>62427676</v>
      </c>
    </row>
    <row r="26" spans="1:11" s="1" customFormat="1" ht="15.75">
      <c r="A26" s="535"/>
      <c r="B26" s="2397">
        <v>42410</v>
      </c>
      <c r="C26" s="2145" t="s">
        <v>2999</v>
      </c>
      <c r="D26" s="537"/>
      <c r="E26" s="2284"/>
      <c r="F26" s="521"/>
      <c r="G26" s="525"/>
      <c r="H26" s="2284">
        <v>30500000</v>
      </c>
      <c r="I26" s="146"/>
      <c r="J26" s="525"/>
      <c r="K26" s="3192">
        <f t="shared" si="0"/>
        <v>31927676</v>
      </c>
    </row>
    <row r="27" spans="1:11" s="1" customFormat="1" ht="15.75">
      <c r="A27" s="535"/>
      <c r="B27" s="2397">
        <v>42410</v>
      </c>
      <c r="C27" s="537" t="s">
        <v>2998</v>
      </c>
      <c r="D27" s="537"/>
      <c r="E27" s="2284"/>
      <c r="F27" s="521">
        <v>27051300</v>
      </c>
      <c r="G27" s="525"/>
      <c r="H27" s="2284"/>
      <c r="I27" s="146"/>
      <c r="J27" s="525"/>
      <c r="K27" s="3192">
        <f t="shared" si="0"/>
        <v>58978976</v>
      </c>
    </row>
    <row r="28" spans="1:11" s="1" customFormat="1" ht="15.75">
      <c r="A28" s="535"/>
      <c r="B28" s="2397">
        <v>42411</v>
      </c>
      <c r="C28" s="2145" t="s">
        <v>2999</v>
      </c>
      <c r="D28" s="537"/>
      <c r="E28" s="2284"/>
      <c r="F28" s="521"/>
      <c r="G28" s="525"/>
      <c r="H28" s="2284">
        <v>40000000</v>
      </c>
      <c r="I28" s="146"/>
      <c r="J28" s="525"/>
      <c r="K28" s="3192">
        <f t="shared" si="0"/>
        <v>18978976</v>
      </c>
    </row>
    <row r="29" spans="1:11" s="1" customFormat="1" ht="15.75">
      <c r="A29" s="535"/>
      <c r="B29" s="2397">
        <v>42411</v>
      </c>
      <c r="C29" s="2145" t="s">
        <v>2998</v>
      </c>
      <c r="D29" s="537"/>
      <c r="E29" s="2284"/>
      <c r="F29" s="521">
        <v>28443000</v>
      </c>
      <c r="G29" s="525"/>
      <c r="H29" s="2284"/>
      <c r="I29" s="146"/>
      <c r="J29" s="525"/>
      <c r="K29" s="3192">
        <f t="shared" si="0"/>
        <v>47421976</v>
      </c>
    </row>
    <row r="30" spans="1:11" s="1" customFormat="1" ht="15.75">
      <c r="A30" s="535"/>
      <c r="B30" s="2397">
        <v>42412</v>
      </c>
      <c r="C30" s="537" t="s">
        <v>2999</v>
      </c>
      <c r="D30" s="537"/>
      <c r="E30" s="2284"/>
      <c r="F30" s="146"/>
      <c r="G30" s="525"/>
      <c r="H30" s="2284">
        <v>46500000</v>
      </c>
      <c r="I30" s="146"/>
      <c r="J30" s="525"/>
      <c r="K30" s="3192">
        <f t="shared" si="0"/>
        <v>921976</v>
      </c>
    </row>
    <row r="31" spans="1:11" s="1" customFormat="1" ht="15.75">
      <c r="A31" s="535"/>
      <c r="B31" s="2397">
        <v>42412</v>
      </c>
      <c r="C31" s="2145" t="s">
        <v>2998</v>
      </c>
      <c r="D31" s="537"/>
      <c r="E31" s="3120"/>
      <c r="F31" s="521">
        <v>84590400</v>
      </c>
      <c r="G31" s="525"/>
      <c r="H31" s="2284"/>
      <c r="I31" s="146"/>
      <c r="J31" s="525"/>
      <c r="K31" s="3192">
        <f t="shared" si="0"/>
        <v>85512376</v>
      </c>
    </row>
    <row r="32" spans="1:11" s="1" customFormat="1" ht="15.75">
      <c r="A32" s="535"/>
      <c r="B32" s="2397">
        <v>42415</v>
      </c>
      <c r="C32" s="537" t="s">
        <v>2998</v>
      </c>
      <c r="D32" s="537"/>
      <c r="E32" s="2284"/>
      <c r="F32" s="521">
        <v>3000000</v>
      </c>
      <c r="G32" s="525"/>
      <c r="H32" s="2284"/>
      <c r="I32" s="146"/>
      <c r="J32" s="525"/>
      <c r="K32" s="3192">
        <f t="shared" si="0"/>
        <v>88512376</v>
      </c>
    </row>
    <row r="33" spans="1:11" s="1" customFormat="1" ht="15.75">
      <c r="A33" s="3124"/>
      <c r="B33" s="2397">
        <v>42415</v>
      </c>
      <c r="C33" s="2145" t="s">
        <v>2999</v>
      </c>
      <c r="D33" s="537"/>
      <c r="E33" s="2284"/>
      <c r="F33" s="521"/>
      <c r="G33" s="525"/>
      <c r="H33" s="2284">
        <v>88000000</v>
      </c>
      <c r="I33" s="146"/>
      <c r="J33" s="3037"/>
      <c r="K33" s="3192">
        <f t="shared" si="0"/>
        <v>512376</v>
      </c>
    </row>
    <row r="34" spans="1:11" s="2988" customFormat="1" ht="15.75">
      <c r="A34" s="3124"/>
      <c r="B34" s="2397">
        <v>42415</v>
      </c>
      <c r="C34" s="537" t="s">
        <v>2998</v>
      </c>
      <c r="D34" s="537"/>
      <c r="E34" s="2284"/>
      <c r="F34" s="521">
        <v>156545000</v>
      </c>
      <c r="G34" s="525"/>
      <c r="H34" s="2284"/>
      <c r="I34" s="146"/>
      <c r="J34" s="3037"/>
      <c r="K34" s="3192">
        <f t="shared" si="0"/>
        <v>157057376</v>
      </c>
    </row>
    <row r="35" spans="1:11" s="1" customFormat="1" ht="15.75">
      <c r="A35" s="535"/>
      <c r="B35" s="2397">
        <v>42416</v>
      </c>
      <c r="C35" s="2145" t="s">
        <v>2999</v>
      </c>
      <c r="D35" s="3034"/>
      <c r="E35" s="3035"/>
      <c r="F35" s="3036"/>
      <c r="G35" s="3037"/>
      <c r="H35" s="3035">
        <v>85000000</v>
      </c>
      <c r="I35" s="3038"/>
      <c r="J35" s="525"/>
      <c r="K35" s="3192">
        <f t="shared" si="0"/>
        <v>72057376</v>
      </c>
    </row>
    <row r="36" spans="1:11" s="1" customFormat="1" ht="15.75">
      <c r="A36" s="535"/>
      <c r="B36" s="2397">
        <v>42416</v>
      </c>
      <c r="C36" s="537" t="s">
        <v>2998</v>
      </c>
      <c r="D36" s="3034"/>
      <c r="E36" s="3035"/>
      <c r="F36" s="3036">
        <v>55737000</v>
      </c>
      <c r="G36" s="3037"/>
      <c r="H36" s="3035"/>
      <c r="I36" s="3038"/>
      <c r="J36" s="525"/>
      <c r="K36" s="3192">
        <f t="shared" si="0"/>
        <v>127794376</v>
      </c>
    </row>
    <row r="37" spans="1:11" s="1" customFormat="1" ht="15.75">
      <c r="A37" s="535"/>
      <c r="B37" s="2397">
        <v>42417</v>
      </c>
      <c r="C37" s="2145" t="s">
        <v>2999</v>
      </c>
      <c r="D37" s="537"/>
      <c r="E37" s="2284"/>
      <c r="F37" s="521"/>
      <c r="G37" s="525"/>
      <c r="H37" s="2284">
        <v>101400000</v>
      </c>
      <c r="I37" s="146"/>
      <c r="J37" s="525"/>
      <c r="K37" s="3192">
        <f t="shared" si="0"/>
        <v>26394376</v>
      </c>
    </row>
    <row r="38" spans="1:11" s="1" customFormat="1" ht="15.75">
      <c r="A38" s="535"/>
      <c r="B38" s="2397">
        <v>42417</v>
      </c>
      <c r="C38" s="2145" t="s">
        <v>2998</v>
      </c>
      <c r="D38" s="537"/>
      <c r="E38" s="2284"/>
      <c r="F38" s="521">
        <v>55236400</v>
      </c>
      <c r="G38" s="525"/>
      <c r="H38" s="2284"/>
      <c r="I38" s="146"/>
      <c r="J38" s="525"/>
      <c r="K38" s="3192">
        <f t="shared" si="0"/>
        <v>81630776</v>
      </c>
    </row>
    <row r="39" spans="1:11" s="1" customFormat="1" ht="15.75">
      <c r="A39" s="535"/>
      <c r="B39" s="2397">
        <v>42418</v>
      </c>
      <c r="C39" s="2145" t="s">
        <v>2999</v>
      </c>
      <c r="D39" s="537"/>
      <c r="E39" s="2284"/>
      <c r="F39" s="81"/>
      <c r="G39" s="525"/>
      <c r="H39" s="2284">
        <v>40000000</v>
      </c>
      <c r="I39" s="146"/>
      <c r="J39" s="525"/>
      <c r="K39" s="3192">
        <f t="shared" si="0"/>
        <v>41630776</v>
      </c>
    </row>
    <row r="40" spans="1:11" s="1" customFormat="1" ht="15.75">
      <c r="A40" s="535"/>
      <c r="B40" s="2397">
        <v>42418</v>
      </c>
      <c r="C40" s="2145" t="s">
        <v>2998</v>
      </c>
      <c r="D40" s="537"/>
      <c r="E40" s="2284"/>
      <c r="F40" s="81">
        <v>44639300</v>
      </c>
      <c r="G40" s="525"/>
      <c r="H40" s="2284"/>
      <c r="I40" s="146"/>
      <c r="J40" s="525"/>
      <c r="K40" s="3192">
        <f t="shared" si="0"/>
        <v>86270076</v>
      </c>
    </row>
    <row r="41" spans="1:11" s="1" customFormat="1" ht="15.75">
      <c r="A41" s="535"/>
      <c r="B41" s="2397">
        <v>42419</v>
      </c>
      <c r="C41" s="3034" t="s">
        <v>2998</v>
      </c>
      <c r="D41" s="537"/>
      <c r="E41" s="2284"/>
      <c r="F41" s="81">
        <v>32745000</v>
      </c>
      <c r="G41" s="525"/>
      <c r="H41" s="2284"/>
      <c r="I41" s="146"/>
      <c r="J41" s="525"/>
      <c r="K41" s="3192">
        <f t="shared" si="0"/>
        <v>119015076</v>
      </c>
    </row>
    <row r="42" spans="1:11" s="1" customFormat="1" ht="15.75">
      <c r="A42" s="535"/>
      <c r="B42" s="2397">
        <v>42422</v>
      </c>
      <c r="C42" s="3034" t="s">
        <v>2999</v>
      </c>
      <c r="D42" s="537"/>
      <c r="E42" s="2284"/>
      <c r="F42" s="81"/>
      <c r="G42" s="525"/>
      <c r="H42" s="2284">
        <v>97000000</v>
      </c>
      <c r="I42" s="146"/>
      <c r="J42" s="525"/>
      <c r="K42" s="3192">
        <f t="shared" si="0"/>
        <v>22015076</v>
      </c>
    </row>
    <row r="43" spans="1:11" s="1" customFormat="1" ht="15.75">
      <c r="A43" s="535"/>
      <c r="B43" s="2397">
        <v>42422</v>
      </c>
      <c r="C43" s="3034" t="s">
        <v>2998</v>
      </c>
      <c r="D43" s="537"/>
      <c r="E43" s="2284"/>
      <c r="F43" s="81">
        <v>18903100</v>
      </c>
      <c r="G43" s="525"/>
      <c r="H43" s="2284"/>
      <c r="I43" s="146"/>
      <c r="J43" s="525"/>
      <c r="K43" s="3192">
        <f t="shared" si="0"/>
        <v>40918176</v>
      </c>
    </row>
    <row r="44" spans="1:11" s="1" customFormat="1" ht="15.75">
      <c r="A44" s="535"/>
      <c r="B44" s="2397">
        <v>42423</v>
      </c>
      <c r="C44" s="3034" t="s">
        <v>2999</v>
      </c>
      <c r="D44" s="537"/>
      <c r="E44" s="2284"/>
      <c r="F44" s="81"/>
      <c r="G44" s="525"/>
      <c r="H44" s="2284">
        <v>34980000</v>
      </c>
      <c r="I44" s="146"/>
      <c r="J44" s="525"/>
      <c r="K44" s="3192">
        <f t="shared" si="0"/>
        <v>5938176</v>
      </c>
    </row>
    <row r="45" spans="1:11" s="1" customFormat="1" ht="15.75">
      <c r="A45" s="535"/>
      <c r="B45" s="2397">
        <v>42423</v>
      </c>
      <c r="C45" s="3034" t="s">
        <v>2998</v>
      </c>
      <c r="D45" s="537"/>
      <c r="E45" s="2284"/>
      <c r="F45" s="81">
        <f>4704600+2360000</f>
        <v>7064600</v>
      </c>
      <c r="G45" s="525"/>
      <c r="H45" s="2284"/>
      <c r="I45" s="146"/>
      <c r="J45" s="525"/>
      <c r="K45" s="3192">
        <f t="shared" si="0"/>
        <v>13002776</v>
      </c>
    </row>
    <row r="46" spans="1:11" s="1" customFormat="1" ht="15.75">
      <c r="A46" s="535"/>
      <c r="B46" s="2397"/>
      <c r="C46" s="3034"/>
      <c r="D46" s="537"/>
      <c r="E46" s="2284"/>
      <c r="F46" s="81"/>
      <c r="G46" s="525"/>
      <c r="H46" s="2284"/>
      <c r="I46" s="146"/>
      <c r="J46" s="525"/>
      <c r="K46" s="3192">
        <f t="shared" si="0"/>
        <v>13002776</v>
      </c>
    </row>
    <row r="47" spans="1:11" s="1" customFormat="1" ht="15.75">
      <c r="A47" s="535"/>
      <c r="B47" s="2397"/>
      <c r="C47" s="3034"/>
      <c r="D47" s="537"/>
      <c r="E47" s="2284"/>
      <c r="F47" s="81"/>
      <c r="G47" s="525"/>
      <c r="H47" s="2284"/>
      <c r="I47" s="146"/>
      <c r="J47" s="525"/>
      <c r="K47" s="3192">
        <f t="shared" si="0"/>
        <v>13002776</v>
      </c>
    </row>
    <row r="48" spans="1:11" s="1" customFormat="1" ht="15.75">
      <c r="A48" s="535"/>
      <c r="B48" s="2397"/>
      <c r="C48" s="3034"/>
      <c r="D48" s="537"/>
      <c r="E48" s="2284"/>
      <c r="F48" s="81"/>
      <c r="G48" s="525"/>
      <c r="H48" s="2284"/>
      <c r="I48" s="146"/>
      <c r="J48" s="525"/>
      <c r="K48" s="3192">
        <f t="shared" si="0"/>
        <v>13002776</v>
      </c>
    </row>
    <row r="49" spans="1:16" s="1" customFormat="1" ht="15.75">
      <c r="A49" s="535"/>
      <c r="B49" s="2397"/>
      <c r="C49" s="3034"/>
      <c r="D49" s="537"/>
      <c r="E49" s="2284"/>
      <c r="F49" s="81"/>
      <c r="G49" s="525"/>
      <c r="H49" s="2284"/>
      <c r="I49" s="146"/>
      <c r="J49" s="525"/>
      <c r="K49" s="3192">
        <f t="shared" si="0"/>
        <v>13002776</v>
      </c>
    </row>
    <row r="50" spans="1:16" s="1" customFormat="1" ht="15.75">
      <c r="A50" s="535"/>
      <c r="B50" s="2397"/>
      <c r="C50" s="3034"/>
      <c r="D50" s="537"/>
      <c r="E50" s="2284"/>
      <c r="F50" s="81"/>
      <c r="G50" s="525"/>
      <c r="H50" s="2284"/>
      <c r="I50" s="146"/>
      <c r="J50" s="525"/>
      <c r="K50" s="3192">
        <f t="shared" si="0"/>
        <v>13002776</v>
      </c>
    </row>
    <row r="51" spans="1:16" s="1" customFormat="1" ht="16.5" thickBot="1">
      <c r="A51" s="535"/>
      <c r="B51" s="2397"/>
      <c r="C51" s="3034"/>
      <c r="D51" s="537"/>
      <c r="E51" s="2284"/>
      <c r="F51" s="81"/>
      <c r="G51" s="525"/>
      <c r="H51" s="2284"/>
      <c r="I51" s="146"/>
      <c r="J51" s="525"/>
      <c r="K51" s="994">
        <f t="shared" si="0"/>
        <v>13002776</v>
      </c>
    </row>
    <row r="52" spans="1:16" s="1" customFormat="1" ht="26.25" customHeight="1" thickTop="1" thickBot="1">
      <c r="A52" s="214"/>
      <c r="B52" s="218"/>
      <c r="C52" s="82" t="s">
        <v>19</v>
      </c>
      <c r="D52" s="220"/>
      <c r="E52" s="948">
        <f t="shared" ref="E52:J52" si="1">SUM(E13:E51)</f>
        <v>0</v>
      </c>
      <c r="F52" s="999">
        <f t="shared" si="1"/>
        <v>637514100</v>
      </c>
      <c r="G52" s="949">
        <f t="shared" si="1"/>
        <v>233954</v>
      </c>
      <c r="H52" s="950">
        <f t="shared" si="1"/>
        <v>745880000</v>
      </c>
      <c r="I52" s="948">
        <f t="shared" si="1"/>
        <v>46790</v>
      </c>
      <c r="J52" s="957">
        <f t="shared" si="1"/>
        <v>7000</v>
      </c>
      <c r="K52" s="997">
        <f>(SUM((E52:G52))-(SUM((H52:J52))))</f>
        <v>-108185736</v>
      </c>
      <c r="N52" s="7"/>
      <c r="P52" s="7"/>
    </row>
    <row r="53" spans="1:16" s="1" customFormat="1" ht="26.25" customHeight="1" thickTop="1" thickBot="1">
      <c r="A53" s="214"/>
      <c r="B53" s="218"/>
      <c r="C53" s="82" t="s">
        <v>257</v>
      </c>
      <c r="D53" s="220"/>
      <c r="E53" s="948">
        <f t="shared" ref="E53:J53" si="2">E12+E52</f>
        <v>0</v>
      </c>
      <c r="F53" s="999">
        <f t="shared" si="2"/>
        <v>1351403600</v>
      </c>
      <c r="G53" s="949">
        <f t="shared" si="2"/>
        <v>351539</v>
      </c>
      <c r="H53" s="950">
        <f t="shared" si="2"/>
        <v>1421880000</v>
      </c>
      <c r="I53" s="948">
        <f t="shared" si="2"/>
        <v>70307</v>
      </c>
      <c r="J53" s="957">
        <f t="shared" si="2"/>
        <v>14000</v>
      </c>
      <c r="K53" s="997">
        <f>(SUM((E53:G53))-(SUM((H53:J53))))</f>
        <v>-70209168</v>
      </c>
    </row>
    <row r="54" spans="1:16" s="1" customFormat="1" ht="26.25" customHeight="1" thickTop="1" thickBot="1">
      <c r="A54" s="215"/>
      <c r="B54" s="219"/>
      <c r="C54" s="216" t="s">
        <v>20</v>
      </c>
      <c r="D54" s="221"/>
      <c r="E54" s="952">
        <f t="shared" ref="E54:J54" si="3">E11+E53</f>
        <v>0</v>
      </c>
      <c r="F54" s="1000">
        <f t="shared" si="3"/>
        <v>26708547446</v>
      </c>
      <c r="G54" s="953">
        <f t="shared" si="3"/>
        <v>34417382</v>
      </c>
      <c r="H54" s="954">
        <f t="shared" si="3"/>
        <v>26722965000</v>
      </c>
      <c r="I54" s="952">
        <f t="shared" si="3"/>
        <v>6494313</v>
      </c>
      <c r="J54" s="947">
        <f t="shared" si="3"/>
        <v>502739</v>
      </c>
      <c r="K54" s="998">
        <f>(SUM((E54:G54))-(SUM((H54:J54))))</f>
        <v>13002776</v>
      </c>
    </row>
    <row r="55" spans="1:16" s="1" customFormat="1" ht="15.75">
      <c r="B55" s="10"/>
      <c r="C55" s="148" t="s">
        <v>21</v>
      </c>
      <c r="D55" s="123"/>
      <c r="E55" s="123"/>
      <c r="F55" s="123"/>
      <c r="G55" s="123"/>
      <c r="H55" s="123"/>
      <c r="I55" s="148" t="s">
        <v>22</v>
      </c>
    </row>
    <row r="56" spans="1:16" s="1" customFormat="1" ht="15.75">
      <c r="B56" s="10"/>
      <c r="C56" s="148" t="s">
        <v>23</v>
      </c>
      <c r="E56" s="123"/>
      <c r="F56" s="123"/>
      <c r="G56" s="123"/>
      <c r="H56" s="123"/>
      <c r="I56" s="149" t="s">
        <v>24</v>
      </c>
    </row>
    <row r="57" spans="1:16" s="1" customFormat="1" ht="15.75">
      <c r="B57" s="10"/>
      <c r="C57" s="148"/>
      <c r="E57" s="123"/>
      <c r="F57" s="2157"/>
      <c r="G57" s="123"/>
      <c r="H57" s="123"/>
      <c r="I57" s="149"/>
    </row>
    <row r="58" spans="1:16">
      <c r="F58" s="2161"/>
    </row>
    <row r="61" spans="1:16">
      <c r="C61" s="488" t="str">
        <f>DT!D14</f>
        <v>Endang Taryana</v>
      </c>
      <c r="I61" s="488" t="str">
        <f>DT!D15</f>
        <v>Arin Yustini, SE</v>
      </c>
    </row>
  </sheetData>
  <mergeCells count="13">
    <mergeCell ref="A1:K1"/>
    <mergeCell ref="A2:K2"/>
    <mergeCell ref="A8:A10"/>
    <mergeCell ref="B8:B10"/>
    <mergeCell ref="C8:C10"/>
    <mergeCell ref="E8:G8"/>
    <mergeCell ref="H8:J8"/>
    <mergeCell ref="K8:K10"/>
    <mergeCell ref="E9:F9"/>
    <mergeCell ref="G9:G10"/>
    <mergeCell ref="H9:H10"/>
    <mergeCell ref="I9:I10"/>
    <mergeCell ref="J9:J10"/>
  </mergeCells>
  <printOptions horizontalCentered="1"/>
  <pageMargins left="0.23622047244094491" right="0.23622047244094491" top="0.6692913385826772" bottom="0.23622047244094491" header="0.51181102362204722" footer="0.51181102362204722"/>
  <pageSetup paperSize="9" scale="65" orientation="landscape" horizontalDpi="4294967294" verticalDpi="4294967294" r:id="rId1"/>
  <headerFooter alignWithMargins="0"/>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3" tint="0.39997558519241921"/>
  </sheetPr>
  <dimension ref="A1:P39"/>
  <sheetViews>
    <sheetView topLeftCell="A4" zoomScale="70" zoomScaleNormal="70" workbookViewId="0">
      <selection activeCell="I6" sqref="I6"/>
    </sheetView>
  </sheetViews>
  <sheetFormatPr defaultColWidth="9.140625" defaultRowHeight="12.75"/>
  <cols>
    <col min="1" max="1" width="4.28515625" style="15" customWidth="1"/>
    <col min="2" max="2" width="18.28515625" style="19" customWidth="1"/>
    <col min="3" max="3" width="44.5703125" style="15" customWidth="1"/>
    <col min="4" max="4" width="17" style="15" customWidth="1"/>
    <col min="5" max="11" width="16.7109375" style="15" customWidth="1"/>
    <col min="12" max="12" width="16.42578125" style="15" customWidth="1"/>
    <col min="13" max="13" width="20.28515625" style="15" customWidth="1"/>
    <col min="14" max="14" width="21" style="15" customWidth="1"/>
    <col min="15" max="15" width="9.140625" style="15"/>
    <col min="16" max="16" width="14" style="15" bestFit="1" customWidth="1"/>
    <col min="17" max="16384" width="9.140625" style="15"/>
  </cols>
  <sheetData>
    <row r="1" spans="1:11" s="24" customFormat="1" ht="20.25">
      <c r="A1" s="3396" t="s">
        <v>55</v>
      </c>
      <c r="B1" s="3396"/>
      <c r="C1" s="3396"/>
      <c r="D1" s="3396"/>
      <c r="E1" s="3396"/>
      <c r="F1" s="3396"/>
      <c r="G1" s="3396"/>
      <c r="H1" s="3396"/>
      <c r="I1" s="3396"/>
      <c r="J1" s="3396"/>
      <c r="K1" s="3396"/>
    </row>
    <row r="2" spans="1:11" s="24" customFormat="1" ht="20.25">
      <c r="A2" s="3396" t="s">
        <v>908</v>
      </c>
      <c r="B2" s="3396"/>
      <c r="C2" s="3396"/>
      <c r="D2" s="3396"/>
      <c r="E2" s="3396"/>
      <c r="F2" s="3396"/>
      <c r="G2" s="3396"/>
      <c r="H2" s="3396"/>
      <c r="I2" s="3396"/>
      <c r="J2" s="3396"/>
      <c r="K2" s="3396"/>
    </row>
    <row r="3" spans="1:11">
      <c r="B3" s="16"/>
      <c r="C3" s="17"/>
      <c r="D3" s="17"/>
      <c r="E3" s="17"/>
      <c r="F3" s="17"/>
      <c r="G3" s="17"/>
      <c r="H3" s="17"/>
      <c r="I3" s="17"/>
      <c r="J3" s="17"/>
      <c r="K3" s="17"/>
    </row>
    <row r="4" spans="1:11" s="1" customFormat="1" ht="15.75">
      <c r="A4" s="23" t="s">
        <v>2</v>
      </c>
      <c r="B4" s="10"/>
      <c r="C4" s="4" t="str">
        <f>": "&amp;DT!D3</f>
        <v>: Nagrak</v>
      </c>
      <c r="F4" s="23"/>
      <c r="G4" s="542" t="s">
        <v>3</v>
      </c>
      <c r="I4" s="6" t="str">
        <f>": "&amp;DT!D25</f>
        <v>: Februari 2016</v>
      </c>
    </row>
    <row r="5" spans="1:11" s="1" customFormat="1" ht="15.75">
      <c r="A5" s="23" t="s">
        <v>4</v>
      </c>
      <c r="B5" s="10"/>
      <c r="C5" s="4" t="str">
        <f>": "&amp;DT!D4</f>
        <v>: Sukabumi</v>
      </c>
      <c r="F5" s="23"/>
      <c r="G5" s="542" t="s">
        <v>56</v>
      </c>
      <c r="I5" s="6" t="s">
        <v>357</v>
      </c>
    </row>
    <row r="6" spans="1:11" s="1" customFormat="1" ht="15.75">
      <c r="A6" s="23" t="s">
        <v>6</v>
      </c>
      <c r="B6" s="10"/>
      <c r="C6" s="4" t="str">
        <f>": "&amp;DT!D5</f>
        <v>: Jawa Barat</v>
      </c>
      <c r="F6" s="23"/>
      <c r="G6" s="542" t="s">
        <v>488</v>
      </c>
      <c r="I6" s="6" t="str">
        <f>": "&amp;DT!D39</f>
        <v>: .................................</v>
      </c>
    </row>
    <row r="7" spans="1:11" s="1" customFormat="1" ht="16.5" thickBot="1">
      <c r="A7" s="23"/>
      <c r="B7" s="10"/>
      <c r="C7" s="5"/>
      <c r="E7" s="23"/>
      <c r="F7" s="23"/>
      <c r="G7" s="25"/>
      <c r="H7" s="4"/>
    </row>
    <row r="8" spans="1:11" s="1" customFormat="1" ht="25.5" customHeight="1" thickBot="1">
      <c r="A8" s="3410" t="s">
        <v>57</v>
      </c>
      <c r="B8" s="3410" t="s">
        <v>7</v>
      </c>
      <c r="C8" s="3410" t="s">
        <v>8</v>
      </c>
      <c r="D8" s="3410" t="s">
        <v>9</v>
      </c>
      <c r="E8" s="3410" t="s">
        <v>10</v>
      </c>
      <c r="F8" s="3410"/>
      <c r="G8" s="3410"/>
      <c r="H8" s="3410" t="s">
        <v>11</v>
      </c>
      <c r="I8" s="3410"/>
      <c r="J8" s="3410"/>
      <c r="K8" s="3410" t="s">
        <v>12</v>
      </c>
    </row>
    <row r="9" spans="1:11" s="1" customFormat="1" ht="16.5" thickBot="1">
      <c r="A9" s="3410"/>
      <c r="B9" s="3410"/>
      <c r="C9" s="3410"/>
      <c r="D9" s="3410"/>
      <c r="E9" s="3410" t="s">
        <v>58</v>
      </c>
      <c r="F9" s="3410"/>
      <c r="G9" s="3410" t="s">
        <v>59</v>
      </c>
      <c r="H9" s="3410" t="s">
        <v>60</v>
      </c>
      <c r="I9" s="3410" t="s">
        <v>61</v>
      </c>
      <c r="J9" s="3410" t="s">
        <v>62</v>
      </c>
      <c r="K9" s="3410"/>
    </row>
    <row r="10" spans="1:11" s="1" customFormat="1" ht="16.5" thickBot="1">
      <c r="A10" s="3410"/>
      <c r="B10" s="3410"/>
      <c r="C10" s="3410"/>
      <c r="D10" s="490" t="s">
        <v>13</v>
      </c>
      <c r="E10" s="527" t="s">
        <v>570</v>
      </c>
      <c r="F10" s="489" t="s">
        <v>571</v>
      </c>
      <c r="G10" s="3410"/>
      <c r="H10" s="3410"/>
      <c r="I10" s="3410"/>
      <c r="J10" s="3410"/>
      <c r="K10" s="3410"/>
    </row>
    <row r="11" spans="1:11" s="1" customFormat="1" ht="28.5" customHeight="1" thickTop="1">
      <c r="A11" s="528"/>
      <c r="B11" s="529"/>
      <c r="C11" s="530" t="s">
        <v>258</v>
      </c>
      <c r="D11" s="531"/>
      <c r="E11" s="510"/>
      <c r="F11" s="519"/>
      <c r="G11" s="509"/>
      <c r="H11" s="510"/>
      <c r="I11" s="508"/>
      <c r="J11" s="512"/>
      <c r="K11" s="523">
        <f>(SUM((E11:G11))-(SUM((H11:J11))))</f>
        <v>0</v>
      </c>
    </row>
    <row r="12" spans="1:11" s="23" customFormat="1" ht="28.5" customHeight="1" thickBot="1">
      <c r="A12" s="987"/>
      <c r="B12" s="988"/>
      <c r="C12" s="989" t="s">
        <v>539</v>
      </c>
      <c r="D12" s="990"/>
      <c r="E12" s="991"/>
      <c r="F12" s="992"/>
      <c r="G12" s="993"/>
      <c r="H12" s="991"/>
      <c r="I12" s="961"/>
      <c r="J12" s="962"/>
      <c r="K12" s="994">
        <f>K11+(SUM((E12:G12))-(SUM((H12:J12))))</f>
        <v>0</v>
      </c>
    </row>
    <row r="13" spans="1:11" s="1" customFormat="1" ht="16.5" thickTop="1">
      <c r="A13" s="532"/>
      <c r="B13" s="533"/>
      <c r="C13" s="534"/>
      <c r="D13" s="534"/>
      <c r="E13" s="459"/>
      <c r="F13" s="520"/>
      <c r="G13" s="458"/>
      <c r="H13" s="459"/>
      <c r="I13" s="457"/>
      <c r="J13" s="524"/>
      <c r="K13" s="995">
        <f t="shared" ref="K13:K27" si="0">K12+(SUM((E13:G13))-(SUM((H13:J13))))</f>
        <v>0</v>
      </c>
    </row>
    <row r="14" spans="1:11" s="1" customFormat="1" ht="15.75">
      <c r="A14" s="535"/>
      <c r="B14" s="536"/>
      <c r="C14" s="537"/>
      <c r="D14" s="537"/>
      <c r="E14" s="145"/>
      <c r="F14" s="521"/>
      <c r="G14" s="144"/>
      <c r="H14" s="145"/>
      <c r="I14" s="146"/>
      <c r="J14" s="525"/>
      <c r="K14" s="995">
        <f t="shared" si="0"/>
        <v>0</v>
      </c>
    </row>
    <row r="15" spans="1:11" s="1" customFormat="1" ht="15.75">
      <c r="A15" s="535"/>
      <c r="B15" s="536"/>
      <c r="C15" s="537"/>
      <c r="D15" s="537"/>
      <c r="E15" s="145"/>
      <c r="F15" s="521"/>
      <c r="G15" s="144"/>
      <c r="H15" s="145"/>
      <c r="I15" s="146"/>
      <c r="J15" s="525"/>
      <c r="K15" s="995">
        <f t="shared" si="0"/>
        <v>0</v>
      </c>
    </row>
    <row r="16" spans="1:11" s="1" customFormat="1" ht="15.75">
      <c r="A16" s="535"/>
      <c r="B16" s="536"/>
      <c r="C16" s="537"/>
      <c r="D16" s="537"/>
      <c r="E16" s="145"/>
      <c r="F16" s="521"/>
      <c r="G16" s="144"/>
      <c r="H16" s="145"/>
      <c r="I16" s="146"/>
      <c r="J16" s="525"/>
      <c r="K16" s="995">
        <f t="shared" si="0"/>
        <v>0</v>
      </c>
    </row>
    <row r="17" spans="1:16" s="1" customFormat="1" ht="15.75">
      <c r="A17" s="535"/>
      <c r="B17" s="536"/>
      <c r="C17" s="537"/>
      <c r="D17" s="537"/>
      <c r="E17" s="145"/>
      <c r="F17" s="521"/>
      <c r="G17" s="144"/>
      <c r="H17" s="145"/>
      <c r="I17" s="146"/>
      <c r="J17" s="525"/>
      <c r="K17" s="995">
        <f t="shared" si="0"/>
        <v>0</v>
      </c>
    </row>
    <row r="18" spans="1:16" s="1" customFormat="1" ht="15.75">
      <c r="A18" s="535"/>
      <c r="B18" s="536"/>
      <c r="C18" s="537"/>
      <c r="D18" s="537"/>
      <c r="E18" s="145"/>
      <c r="F18" s="521"/>
      <c r="G18" s="144"/>
      <c r="H18" s="145"/>
      <c r="I18" s="146"/>
      <c r="J18" s="525"/>
      <c r="K18" s="995">
        <f t="shared" si="0"/>
        <v>0</v>
      </c>
    </row>
    <row r="19" spans="1:16" s="1" customFormat="1" ht="15.75">
      <c r="A19" s="535"/>
      <c r="B19" s="536"/>
      <c r="C19" s="537"/>
      <c r="D19" s="537"/>
      <c r="E19" s="145"/>
      <c r="F19" s="521"/>
      <c r="G19" s="144"/>
      <c r="H19" s="145"/>
      <c r="I19" s="146"/>
      <c r="J19" s="525"/>
      <c r="K19" s="995">
        <f t="shared" si="0"/>
        <v>0</v>
      </c>
    </row>
    <row r="20" spans="1:16" s="1" customFormat="1" ht="15.75">
      <c r="A20" s="535"/>
      <c r="B20" s="536"/>
      <c r="C20" s="537"/>
      <c r="D20" s="537"/>
      <c r="E20" s="145"/>
      <c r="F20" s="521"/>
      <c r="G20" s="144"/>
      <c r="H20" s="145"/>
      <c r="I20" s="146"/>
      <c r="J20" s="525"/>
      <c r="K20" s="995">
        <f t="shared" si="0"/>
        <v>0</v>
      </c>
    </row>
    <row r="21" spans="1:16" s="1" customFormat="1" ht="15.75">
      <c r="A21" s="535"/>
      <c r="B21" s="536"/>
      <c r="C21" s="537"/>
      <c r="D21" s="537"/>
      <c r="E21" s="145"/>
      <c r="F21" s="521"/>
      <c r="G21" s="144"/>
      <c r="H21" s="145"/>
      <c r="I21" s="146"/>
      <c r="J21" s="525"/>
      <c r="K21" s="995">
        <f t="shared" si="0"/>
        <v>0</v>
      </c>
    </row>
    <row r="22" spans="1:16" s="1" customFormat="1" ht="15.75">
      <c r="A22" s="535"/>
      <c r="B22" s="536"/>
      <c r="C22" s="537"/>
      <c r="D22" s="537"/>
      <c r="E22" s="145"/>
      <c r="F22" s="521"/>
      <c r="G22" s="144"/>
      <c r="H22" s="145"/>
      <c r="I22" s="146"/>
      <c r="J22" s="525"/>
      <c r="K22" s="995">
        <f t="shared" si="0"/>
        <v>0</v>
      </c>
    </row>
    <row r="23" spans="1:16" s="1" customFormat="1" ht="15.75">
      <c r="A23" s="535"/>
      <c r="B23" s="536"/>
      <c r="C23" s="537"/>
      <c r="D23" s="537"/>
      <c r="E23" s="145"/>
      <c r="F23" s="521"/>
      <c r="G23" s="144"/>
      <c r="H23" s="145"/>
      <c r="I23" s="146"/>
      <c r="J23" s="525"/>
      <c r="K23" s="995">
        <f t="shared" si="0"/>
        <v>0</v>
      </c>
    </row>
    <row r="24" spans="1:16" s="1" customFormat="1" ht="15.75">
      <c r="A24" s="535"/>
      <c r="B24" s="536"/>
      <c r="C24" s="537"/>
      <c r="D24" s="537"/>
      <c r="E24" s="145"/>
      <c r="F24" s="521"/>
      <c r="G24" s="144"/>
      <c r="H24" s="145"/>
      <c r="I24" s="146"/>
      <c r="J24" s="525"/>
      <c r="K24" s="995">
        <f t="shared" si="0"/>
        <v>0</v>
      </c>
    </row>
    <row r="25" spans="1:16" s="1" customFormat="1" ht="15.75">
      <c r="A25" s="535"/>
      <c r="B25" s="536"/>
      <c r="C25" s="537"/>
      <c r="D25" s="537"/>
      <c r="E25" s="145"/>
      <c r="F25" s="521"/>
      <c r="G25" s="144"/>
      <c r="H25" s="145"/>
      <c r="I25" s="146"/>
      <c r="J25" s="525"/>
      <c r="K25" s="996">
        <f t="shared" si="0"/>
        <v>0</v>
      </c>
    </row>
    <row r="26" spans="1:16" s="1" customFormat="1" ht="15.75">
      <c r="A26" s="535"/>
      <c r="B26" s="536"/>
      <c r="C26" s="537"/>
      <c r="D26" s="537"/>
      <c r="E26" s="145"/>
      <c r="F26" s="521"/>
      <c r="G26" s="144"/>
      <c r="H26" s="145"/>
      <c r="I26" s="146"/>
      <c r="J26" s="525"/>
      <c r="K26" s="996">
        <f t="shared" si="0"/>
        <v>0</v>
      </c>
    </row>
    <row r="27" spans="1:16" s="1" customFormat="1" ht="16.5" thickBot="1">
      <c r="A27" s="538"/>
      <c r="B27" s="539"/>
      <c r="C27" s="540"/>
      <c r="D27" s="540"/>
      <c r="E27" s="462"/>
      <c r="F27" s="522"/>
      <c r="G27" s="461"/>
      <c r="H27" s="462"/>
      <c r="I27" s="460"/>
      <c r="J27" s="526"/>
      <c r="K27" s="996">
        <f t="shared" si="0"/>
        <v>0</v>
      </c>
    </row>
    <row r="28" spans="1:16" s="1" customFormat="1" ht="26.25" customHeight="1" thickTop="1" thickBot="1">
      <c r="A28" s="214"/>
      <c r="B28" s="218"/>
      <c r="C28" s="82" t="s">
        <v>19</v>
      </c>
      <c r="D28" s="220"/>
      <c r="E28" s="948">
        <f t="shared" ref="E28:J28" si="1">SUM(E13:E27)</f>
        <v>0</v>
      </c>
      <c r="F28" s="999">
        <f t="shared" si="1"/>
        <v>0</v>
      </c>
      <c r="G28" s="949">
        <f t="shared" si="1"/>
        <v>0</v>
      </c>
      <c r="H28" s="950">
        <f t="shared" si="1"/>
        <v>0</v>
      </c>
      <c r="I28" s="948">
        <f t="shared" si="1"/>
        <v>0</v>
      </c>
      <c r="J28" s="957">
        <f t="shared" si="1"/>
        <v>0</v>
      </c>
      <c r="K28" s="997">
        <f>(SUM((E28:G28))-(SUM((H28:J28))))</f>
        <v>0</v>
      </c>
      <c r="N28" s="7"/>
      <c r="P28" s="7"/>
    </row>
    <row r="29" spans="1:16" s="1" customFormat="1" ht="26.25" customHeight="1" thickTop="1" thickBot="1">
      <c r="A29" s="214"/>
      <c r="B29" s="218"/>
      <c r="C29" s="82" t="s">
        <v>257</v>
      </c>
      <c r="D29" s="220"/>
      <c r="E29" s="948">
        <f t="shared" ref="E29:J29" si="2">E12+E28</f>
        <v>0</v>
      </c>
      <c r="F29" s="999">
        <f t="shared" si="2"/>
        <v>0</v>
      </c>
      <c r="G29" s="949">
        <f t="shared" si="2"/>
        <v>0</v>
      </c>
      <c r="H29" s="950">
        <f t="shared" si="2"/>
        <v>0</v>
      </c>
      <c r="I29" s="948">
        <f t="shared" si="2"/>
        <v>0</v>
      </c>
      <c r="J29" s="957">
        <f t="shared" si="2"/>
        <v>0</v>
      </c>
      <c r="K29" s="997">
        <f>(SUM((E29:G29))-(SUM((H29:J29))))</f>
        <v>0</v>
      </c>
    </row>
    <row r="30" spans="1:16" s="1" customFormat="1" ht="26.25" customHeight="1" thickTop="1" thickBot="1">
      <c r="A30" s="215"/>
      <c r="B30" s="219"/>
      <c r="C30" s="216" t="s">
        <v>20</v>
      </c>
      <c r="D30" s="221"/>
      <c r="E30" s="952">
        <f t="shared" ref="E30:J30" si="3">E11+E29</f>
        <v>0</v>
      </c>
      <c r="F30" s="1000">
        <f t="shared" si="3"/>
        <v>0</v>
      </c>
      <c r="G30" s="953">
        <f t="shared" si="3"/>
        <v>0</v>
      </c>
      <c r="H30" s="954">
        <f t="shared" si="3"/>
        <v>0</v>
      </c>
      <c r="I30" s="952">
        <f t="shared" si="3"/>
        <v>0</v>
      </c>
      <c r="J30" s="947">
        <f t="shared" si="3"/>
        <v>0</v>
      </c>
      <c r="K30" s="998">
        <f>(SUM((E30:G30))-(SUM((H30:J30))))</f>
        <v>0</v>
      </c>
    </row>
    <row r="31" spans="1:16" s="1" customFormat="1" ht="15.75">
      <c r="B31" s="10"/>
    </row>
    <row r="32" spans="1:16" s="1" customFormat="1" ht="15.75">
      <c r="A32" s="147"/>
      <c r="B32" s="10"/>
      <c r="C32" s="123"/>
      <c r="D32" s="123"/>
      <c r="E32" s="123"/>
      <c r="F32" s="123"/>
      <c r="G32" s="123"/>
      <c r="H32" s="123"/>
      <c r="I32" s="11" t="str">
        <f>DT!D28</f>
        <v>Nagrak, 29 Februari 2016 2016</v>
      </c>
    </row>
    <row r="33" spans="2:9" s="1" customFormat="1" ht="15.75">
      <c r="B33" s="10"/>
      <c r="C33" s="148" t="s">
        <v>21</v>
      </c>
      <c r="D33" s="123"/>
      <c r="E33" s="123"/>
      <c r="F33" s="123"/>
      <c r="G33" s="123"/>
      <c r="H33" s="123"/>
      <c r="I33" s="148" t="s">
        <v>22</v>
      </c>
    </row>
    <row r="34" spans="2:9" s="1" customFormat="1" ht="15.75">
      <c r="B34" s="10"/>
      <c r="C34" s="148" t="s">
        <v>23</v>
      </c>
      <c r="E34" s="123"/>
      <c r="F34" s="123"/>
      <c r="G34" s="123"/>
      <c r="H34" s="123"/>
      <c r="I34" s="149" t="s">
        <v>24</v>
      </c>
    </row>
    <row r="35" spans="2:9" s="1" customFormat="1" ht="15.75">
      <c r="B35" s="10"/>
      <c r="C35" s="148"/>
      <c r="E35" s="123"/>
      <c r="F35" s="123"/>
      <c r="G35" s="123"/>
      <c r="H35" s="123"/>
      <c r="I35" s="149"/>
    </row>
    <row r="39" spans="2:9">
      <c r="C39" s="488" t="str">
        <f>DT!D14</f>
        <v>Endang Taryana</v>
      </c>
      <c r="I39" s="488" t="str">
        <f>DT!D15</f>
        <v>Arin Yustini, SE</v>
      </c>
    </row>
  </sheetData>
  <mergeCells count="14">
    <mergeCell ref="A1:K1"/>
    <mergeCell ref="A2:K2"/>
    <mergeCell ref="A8:A10"/>
    <mergeCell ref="B8:B10"/>
    <mergeCell ref="C8:C10"/>
    <mergeCell ref="D8:D9"/>
    <mergeCell ref="E8:G8"/>
    <mergeCell ref="H8:J8"/>
    <mergeCell ref="K8:K10"/>
    <mergeCell ref="E9:F9"/>
    <mergeCell ref="G9:G10"/>
    <mergeCell ref="H9:H10"/>
    <mergeCell ref="I9:I10"/>
    <mergeCell ref="J9:J10"/>
  </mergeCells>
  <printOptions horizontalCentered="1" verticalCentered="1"/>
  <pageMargins left="0.25" right="0.25" top="1" bottom="0.25" header="0.511811023622047" footer="0.511811023622047"/>
  <pageSetup paperSize="9" scale="70" orientation="landscape" horizontalDpi="300" verticalDpi="300" r:id="rId1"/>
  <headerFooter alignWithMargins="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P41"/>
  <sheetViews>
    <sheetView topLeftCell="A16" zoomScale="85" zoomScaleNormal="85" workbookViewId="0">
      <selection activeCell="E43" sqref="E43:E44"/>
    </sheetView>
  </sheetViews>
  <sheetFormatPr defaultRowHeight="12.75"/>
  <cols>
    <col min="1" max="1" width="5" style="2741" customWidth="1"/>
    <col min="2" max="2" width="13.85546875" style="2783" customWidth="1"/>
    <col min="3" max="3" width="44.5703125" style="2741" customWidth="1"/>
    <col min="4" max="4" width="15.42578125" style="2741" customWidth="1"/>
    <col min="5" max="10" width="15.28515625" style="2741" customWidth="1"/>
    <col min="11" max="11" width="15.42578125" style="2741" customWidth="1"/>
    <col min="12" max="12" width="16.42578125" style="2741" customWidth="1"/>
    <col min="13" max="13" width="20.28515625" style="2741" customWidth="1"/>
    <col min="14" max="14" width="21" style="2741" customWidth="1"/>
    <col min="15" max="15" width="9.140625" style="2741"/>
    <col min="16" max="16" width="14" style="2741" bestFit="1" customWidth="1"/>
    <col min="17" max="255" width="9.140625" style="2741"/>
    <col min="256" max="256" width="4.28515625" style="2741" customWidth="1"/>
    <col min="257" max="257" width="18.28515625" style="2741" customWidth="1"/>
    <col min="258" max="258" width="44.5703125" style="2741" customWidth="1"/>
    <col min="259" max="259" width="17" style="2741" customWidth="1"/>
    <col min="260" max="267" width="16.7109375" style="2741" customWidth="1"/>
    <col min="268" max="268" width="16.42578125" style="2741" customWidth="1"/>
    <col min="269" max="269" width="20.28515625" style="2741" customWidth="1"/>
    <col min="270" max="270" width="21" style="2741" customWidth="1"/>
    <col min="271" max="271" width="9.140625" style="2741"/>
    <col min="272" max="272" width="14" style="2741" bestFit="1" customWidth="1"/>
    <col min="273" max="511" width="9.140625" style="2741"/>
    <col min="512" max="512" width="4.28515625" style="2741" customWidth="1"/>
    <col min="513" max="513" width="18.28515625" style="2741" customWidth="1"/>
    <col min="514" max="514" width="44.5703125" style="2741" customWidth="1"/>
    <col min="515" max="515" width="17" style="2741" customWidth="1"/>
    <col min="516" max="523" width="16.7109375" style="2741" customWidth="1"/>
    <col min="524" max="524" width="16.42578125" style="2741" customWidth="1"/>
    <col min="525" max="525" width="20.28515625" style="2741" customWidth="1"/>
    <col min="526" max="526" width="21" style="2741" customWidth="1"/>
    <col min="527" max="527" width="9.140625" style="2741"/>
    <col min="528" max="528" width="14" style="2741" bestFit="1" customWidth="1"/>
    <col min="529" max="767" width="9.140625" style="2741"/>
    <col min="768" max="768" width="4.28515625" style="2741" customWidth="1"/>
    <col min="769" max="769" width="18.28515625" style="2741" customWidth="1"/>
    <col min="770" max="770" width="44.5703125" style="2741" customWidth="1"/>
    <col min="771" max="771" width="17" style="2741" customWidth="1"/>
    <col min="772" max="779" width="16.7109375" style="2741" customWidth="1"/>
    <col min="780" max="780" width="16.42578125" style="2741" customWidth="1"/>
    <col min="781" max="781" width="20.28515625" style="2741" customWidth="1"/>
    <col min="782" max="782" width="21" style="2741" customWidth="1"/>
    <col min="783" max="783" width="9.140625" style="2741"/>
    <col min="784" max="784" width="14" style="2741" bestFit="1" customWidth="1"/>
    <col min="785" max="1023" width="9.140625" style="2741"/>
    <col min="1024" max="1024" width="4.28515625" style="2741" customWidth="1"/>
    <col min="1025" max="1025" width="18.28515625" style="2741" customWidth="1"/>
    <col min="1026" max="1026" width="44.5703125" style="2741" customWidth="1"/>
    <col min="1027" max="1027" width="17" style="2741" customWidth="1"/>
    <col min="1028" max="1035" width="16.7109375" style="2741" customWidth="1"/>
    <col min="1036" max="1036" width="16.42578125" style="2741" customWidth="1"/>
    <col min="1037" max="1037" width="20.28515625" style="2741" customWidth="1"/>
    <col min="1038" max="1038" width="21" style="2741" customWidth="1"/>
    <col min="1039" max="1039" width="9.140625" style="2741"/>
    <col min="1040" max="1040" width="14" style="2741" bestFit="1" customWidth="1"/>
    <col min="1041" max="1279" width="9.140625" style="2741"/>
    <col min="1280" max="1280" width="4.28515625" style="2741" customWidth="1"/>
    <col min="1281" max="1281" width="18.28515625" style="2741" customWidth="1"/>
    <col min="1282" max="1282" width="44.5703125" style="2741" customWidth="1"/>
    <col min="1283" max="1283" width="17" style="2741" customWidth="1"/>
    <col min="1284" max="1291" width="16.7109375" style="2741" customWidth="1"/>
    <col min="1292" max="1292" width="16.42578125" style="2741" customWidth="1"/>
    <col min="1293" max="1293" width="20.28515625" style="2741" customWidth="1"/>
    <col min="1294" max="1294" width="21" style="2741" customWidth="1"/>
    <col min="1295" max="1295" width="9.140625" style="2741"/>
    <col min="1296" max="1296" width="14" style="2741" bestFit="1" customWidth="1"/>
    <col min="1297" max="1535" width="9.140625" style="2741"/>
    <col min="1536" max="1536" width="4.28515625" style="2741" customWidth="1"/>
    <col min="1537" max="1537" width="18.28515625" style="2741" customWidth="1"/>
    <col min="1538" max="1538" width="44.5703125" style="2741" customWidth="1"/>
    <col min="1539" max="1539" width="17" style="2741" customWidth="1"/>
    <col min="1540" max="1547" width="16.7109375" style="2741" customWidth="1"/>
    <col min="1548" max="1548" width="16.42578125" style="2741" customWidth="1"/>
    <col min="1549" max="1549" width="20.28515625" style="2741" customWidth="1"/>
    <col min="1550" max="1550" width="21" style="2741" customWidth="1"/>
    <col min="1551" max="1551" width="9.140625" style="2741"/>
    <col min="1552" max="1552" width="14" style="2741" bestFit="1" customWidth="1"/>
    <col min="1553" max="1791" width="9.140625" style="2741"/>
    <col min="1792" max="1792" width="4.28515625" style="2741" customWidth="1"/>
    <col min="1793" max="1793" width="18.28515625" style="2741" customWidth="1"/>
    <col min="1794" max="1794" width="44.5703125" style="2741" customWidth="1"/>
    <col min="1795" max="1795" width="17" style="2741" customWidth="1"/>
    <col min="1796" max="1803" width="16.7109375" style="2741" customWidth="1"/>
    <col min="1804" max="1804" width="16.42578125" style="2741" customWidth="1"/>
    <col min="1805" max="1805" width="20.28515625" style="2741" customWidth="1"/>
    <col min="1806" max="1806" width="21" style="2741" customWidth="1"/>
    <col min="1807" max="1807" width="9.140625" style="2741"/>
    <col min="1808" max="1808" width="14" style="2741" bestFit="1" customWidth="1"/>
    <col min="1809" max="2047" width="9.140625" style="2741"/>
    <col min="2048" max="2048" width="4.28515625" style="2741" customWidth="1"/>
    <col min="2049" max="2049" width="18.28515625" style="2741" customWidth="1"/>
    <col min="2050" max="2050" width="44.5703125" style="2741" customWidth="1"/>
    <col min="2051" max="2051" width="17" style="2741" customWidth="1"/>
    <col min="2052" max="2059" width="16.7109375" style="2741" customWidth="1"/>
    <col min="2060" max="2060" width="16.42578125" style="2741" customWidth="1"/>
    <col min="2061" max="2061" width="20.28515625" style="2741" customWidth="1"/>
    <col min="2062" max="2062" width="21" style="2741" customWidth="1"/>
    <col min="2063" max="2063" width="9.140625" style="2741"/>
    <col min="2064" max="2064" width="14" style="2741" bestFit="1" customWidth="1"/>
    <col min="2065" max="2303" width="9.140625" style="2741"/>
    <col min="2304" max="2304" width="4.28515625" style="2741" customWidth="1"/>
    <col min="2305" max="2305" width="18.28515625" style="2741" customWidth="1"/>
    <col min="2306" max="2306" width="44.5703125" style="2741" customWidth="1"/>
    <col min="2307" max="2307" width="17" style="2741" customWidth="1"/>
    <col min="2308" max="2315" width="16.7109375" style="2741" customWidth="1"/>
    <col min="2316" max="2316" width="16.42578125" style="2741" customWidth="1"/>
    <col min="2317" max="2317" width="20.28515625" style="2741" customWidth="1"/>
    <col min="2318" max="2318" width="21" style="2741" customWidth="1"/>
    <col min="2319" max="2319" width="9.140625" style="2741"/>
    <col min="2320" max="2320" width="14" style="2741" bestFit="1" customWidth="1"/>
    <col min="2321" max="2559" width="9.140625" style="2741"/>
    <col min="2560" max="2560" width="4.28515625" style="2741" customWidth="1"/>
    <col min="2561" max="2561" width="18.28515625" style="2741" customWidth="1"/>
    <col min="2562" max="2562" width="44.5703125" style="2741" customWidth="1"/>
    <col min="2563" max="2563" width="17" style="2741" customWidth="1"/>
    <col min="2564" max="2571" width="16.7109375" style="2741" customWidth="1"/>
    <col min="2572" max="2572" width="16.42578125" style="2741" customWidth="1"/>
    <col min="2573" max="2573" width="20.28515625" style="2741" customWidth="1"/>
    <col min="2574" max="2574" width="21" style="2741" customWidth="1"/>
    <col min="2575" max="2575" width="9.140625" style="2741"/>
    <col min="2576" max="2576" width="14" style="2741" bestFit="1" customWidth="1"/>
    <col min="2577" max="2815" width="9.140625" style="2741"/>
    <col min="2816" max="2816" width="4.28515625" style="2741" customWidth="1"/>
    <col min="2817" max="2817" width="18.28515625" style="2741" customWidth="1"/>
    <col min="2818" max="2818" width="44.5703125" style="2741" customWidth="1"/>
    <col min="2819" max="2819" width="17" style="2741" customWidth="1"/>
    <col min="2820" max="2827" width="16.7109375" style="2741" customWidth="1"/>
    <col min="2828" max="2828" width="16.42578125" style="2741" customWidth="1"/>
    <col min="2829" max="2829" width="20.28515625" style="2741" customWidth="1"/>
    <col min="2830" max="2830" width="21" style="2741" customWidth="1"/>
    <col min="2831" max="2831" width="9.140625" style="2741"/>
    <col min="2832" max="2832" width="14" style="2741" bestFit="1" customWidth="1"/>
    <col min="2833" max="3071" width="9.140625" style="2741"/>
    <col min="3072" max="3072" width="4.28515625" style="2741" customWidth="1"/>
    <col min="3073" max="3073" width="18.28515625" style="2741" customWidth="1"/>
    <col min="3074" max="3074" width="44.5703125" style="2741" customWidth="1"/>
    <col min="3075" max="3075" width="17" style="2741" customWidth="1"/>
    <col min="3076" max="3083" width="16.7109375" style="2741" customWidth="1"/>
    <col min="3084" max="3084" width="16.42578125" style="2741" customWidth="1"/>
    <col min="3085" max="3085" width="20.28515625" style="2741" customWidth="1"/>
    <col min="3086" max="3086" width="21" style="2741" customWidth="1"/>
    <col min="3087" max="3087" width="9.140625" style="2741"/>
    <col min="3088" max="3088" width="14" style="2741" bestFit="1" customWidth="1"/>
    <col min="3089" max="3327" width="9.140625" style="2741"/>
    <col min="3328" max="3328" width="4.28515625" style="2741" customWidth="1"/>
    <col min="3329" max="3329" width="18.28515625" style="2741" customWidth="1"/>
    <col min="3330" max="3330" width="44.5703125" style="2741" customWidth="1"/>
    <col min="3331" max="3331" width="17" style="2741" customWidth="1"/>
    <col min="3332" max="3339" width="16.7109375" style="2741" customWidth="1"/>
    <col min="3340" max="3340" width="16.42578125" style="2741" customWidth="1"/>
    <col min="3341" max="3341" width="20.28515625" style="2741" customWidth="1"/>
    <col min="3342" max="3342" width="21" style="2741" customWidth="1"/>
    <col min="3343" max="3343" width="9.140625" style="2741"/>
    <col min="3344" max="3344" width="14" style="2741" bestFit="1" customWidth="1"/>
    <col min="3345" max="3583" width="9.140625" style="2741"/>
    <col min="3584" max="3584" width="4.28515625" style="2741" customWidth="1"/>
    <col min="3585" max="3585" width="18.28515625" style="2741" customWidth="1"/>
    <col min="3586" max="3586" width="44.5703125" style="2741" customWidth="1"/>
    <col min="3587" max="3587" width="17" style="2741" customWidth="1"/>
    <col min="3588" max="3595" width="16.7109375" style="2741" customWidth="1"/>
    <col min="3596" max="3596" width="16.42578125" style="2741" customWidth="1"/>
    <col min="3597" max="3597" width="20.28515625" style="2741" customWidth="1"/>
    <col min="3598" max="3598" width="21" style="2741" customWidth="1"/>
    <col min="3599" max="3599" width="9.140625" style="2741"/>
    <col min="3600" max="3600" width="14" style="2741" bestFit="1" customWidth="1"/>
    <col min="3601" max="3839" width="9.140625" style="2741"/>
    <col min="3840" max="3840" width="4.28515625" style="2741" customWidth="1"/>
    <col min="3841" max="3841" width="18.28515625" style="2741" customWidth="1"/>
    <col min="3842" max="3842" width="44.5703125" style="2741" customWidth="1"/>
    <col min="3843" max="3843" width="17" style="2741" customWidth="1"/>
    <col min="3844" max="3851" width="16.7109375" style="2741" customWidth="1"/>
    <col min="3852" max="3852" width="16.42578125" style="2741" customWidth="1"/>
    <col min="3853" max="3853" width="20.28515625" style="2741" customWidth="1"/>
    <col min="3854" max="3854" width="21" style="2741" customWidth="1"/>
    <col min="3855" max="3855" width="9.140625" style="2741"/>
    <col min="3856" max="3856" width="14" style="2741" bestFit="1" customWidth="1"/>
    <col min="3857" max="4095" width="9.140625" style="2741"/>
    <col min="4096" max="4096" width="4.28515625" style="2741" customWidth="1"/>
    <col min="4097" max="4097" width="18.28515625" style="2741" customWidth="1"/>
    <col min="4098" max="4098" width="44.5703125" style="2741" customWidth="1"/>
    <col min="4099" max="4099" width="17" style="2741" customWidth="1"/>
    <col min="4100" max="4107" width="16.7109375" style="2741" customWidth="1"/>
    <col min="4108" max="4108" width="16.42578125" style="2741" customWidth="1"/>
    <col min="4109" max="4109" width="20.28515625" style="2741" customWidth="1"/>
    <col min="4110" max="4110" width="21" style="2741" customWidth="1"/>
    <col min="4111" max="4111" width="9.140625" style="2741"/>
    <col min="4112" max="4112" width="14" style="2741" bestFit="1" customWidth="1"/>
    <col min="4113" max="4351" width="9.140625" style="2741"/>
    <col min="4352" max="4352" width="4.28515625" style="2741" customWidth="1"/>
    <col min="4353" max="4353" width="18.28515625" style="2741" customWidth="1"/>
    <col min="4354" max="4354" width="44.5703125" style="2741" customWidth="1"/>
    <col min="4355" max="4355" width="17" style="2741" customWidth="1"/>
    <col min="4356" max="4363" width="16.7109375" style="2741" customWidth="1"/>
    <col min="4364" max="4364" width="16.42578125" style="2741" customWidth="1"/>
    <col min="4365" max="4365" width="20.28515625" style="2741" customWidth="1"/>
    <col min="4366" max="4366" width="21" style="2741" customWidth="1"/>
    <col min="4367" max="4367" width="9.140625" style="2741"/>
    <col min="4368" max="4368" width="14" style="2741" bestFit="1" customWidth="1"/>
    <col min="4369" max="4607" width="9.140625" style="2741"/>
    <col min="4608" max="4608" width="4.28515625" style="2741" customWidth="1"/>
    <col min="4609" max="4609" width="18.28515625" style="2741" customWidth="1"/>
    <col min="4610" max="4610" width="44.5703125" style="2741" customWidth="1"/>
    <col min="4611" max="4611" width="17" style="2741" customWidth="1"/>
    <col min="4612" max="4619" width="16.7109375" style="2741" customWidth="1"/>
    <col min="4620" max="4620" width="16.42578125" style="2741" customWidth="1"/>
    <col min="4621" max="4621" width="20.28515625" style="2741" customWidth="1"/>
    <col min="4622" max="4622" width="21" style="2741" customWidth="1"/>
    <col min="4623" max="4623" width="9.140625" style="2741"/>
    <col min="4624" max="4624" width="14" style="2741" bestFit="1" customWidth="1"/>
    <col min="4625" max="4863" width="9.140625" style="2741"/>
    <col min="4864" max="4864" width="4.28515625" style="2741" customWidth="1"/>
    <col min="4865" max="4865" width="18.28515625" style="2741" customWidth="1"/>
    <col min="4866" max="4866" width="44.5703125" style="2741" customWidth="1"/>
    <col min="4867" max="4867" width="17" style="2741" customWidth="1"/>
    <col min="4868" max="4875" width="16.7109375" style="2741" customWidth="1"/>
    <col min="4876" max="4876" width="16.42578125" style="2741" customWidth="1"/>
    <col min="4877" max="4877" width="20.28515625" style="2741" customWidth="1"/>
    <col min="4878" max="4878" width="21" style="2741" customWidth="1"/>
    <col min="4879" max="4879" width="9.140625" style="2741"/>
    <col min="4880" max="4880" width="14" style="2741" bestFit="1" customWidth="1"/>
    <col min="4881" max="5119" width="9.140625" style="2741"/>
    <col min="5120" max="5120" width="4.28515625" style="2741" customWidth="1"/>
    <col min="5121" max="5121" width="18.28515625" style="2741" customWidth="1"/>
    <col min="5122" max="5122" width="44.5703125" style="2741" customWidth="1"/>
    <col min="5123" max="5123" width="17" style="2741" customWidth="1"/>
    <col min="5124" max="5131" width="16.7109375" style="2741" customWidth="1"/>
    <col min="5132" max="5132" width="16.42578125" style="2741" customWidth="1"/>
    <col min="5133" max="5133" width="20.28515625" style="2741" customWidth="1"/>
    <col min="5134" max="5134" width="21" style="2741" customWidth="1"/>
    <col min="5135" max="5135" width="9.140625" style="2741"/>
    <col min="5136" max="5136" width="14" style="2741" bestFit="1" customWidth="1"/>
    <col min="5137" max="5375" width="9.140625" style="2741"/>
    <col min="5376" max="5376" width="4.28515625" style="2741" customWidth="1"/>
    <col min="5377" max="5377" width="18.28515625" style="2741" customWidth="1"/>
    <col min="5378" max="5378" width="44.5703125" style="2741" customWidth="1"/>
    <col min="5379" max="5379" width="17" style="2741" customWidth="1"/>
    <col min="5380" max="5387" width="16.7109375" style="2741" customWidth="1"/>
    <col min="5388" max="5388" width="16.42578125" style="2741" customWidth="1"/>
    <col min="5389" max="5389" width="20.28515625" style="2741" customWidth="1"/>
    <col min="5390" max="5390" width="21" style="2741" customWidth="1"/>
    <col min="5391" max="5391" width="9.140625" style="2741"/>
    <col min="5392" max="5392" width="14" style="2741" bestFit="1" customWidth="1"/>
    <col min="5393" max="5631" width="9.140625" style="2741"/>
    <col min="5632" max="5632" width="4.28515625" style="2741" customWidth="1"/>
    <col min="5633" max="5633" width="18.28515625" style="2741" customWidth="1"/>
    <col min="5634" max="5634" width="44.5703125" style="2741" customWidth="1"/>
    <col min="5635" max="5635" width="17" style="2741" customWidth="1"/>
    <col min="5636" max="5643" width="16.7109375" style="2741" customWidth="1"/>
    <col min="5644" max="5644" width="16.42578125" style="2741" customWidth="1"/>
    <col min="5645" max="5645" width="20.28515625" style="2741" customWidth="1"/>
    <col min="5646" max="5646" width="21" style="2741" customWidth="1"/>
    <col min="5647" max="5647" width="9.140625" style="2741"/>
    <col min="5648" max="5648" width="14" style="2741" bestFit="1" customWidth="1"/>
    <col min="5649" max="5887" width="9.140625" style="2741"/>
    <col min="5888" max="5888" width="4.28515625" style="2741" customWidth="1"/>
    <col min="5889" max="5889" width="18.28515625" style="2741" customWidth="1"/>
    <col min="5890" max="5890" width="44.5703125" style="2741" customWidth="1"/>
    <col min="5891" max="5891" width="17" style="2741" customWidth="1"/>
    <col min="5892" max="5899" width="16.7109375" style="2741" customWidth="1"/>
    <col min="5900" max="5900" width="16.42578125" style="2741" customWidth="1"/>
    <col min="5901" max="5901" width="20.28515625" style="2741" customWidth="1"/>
    <col min="5902" max="5902" width="21" style="2741" customWidth="1"/>
    <col min="5903" max="5903" width="9.140625" style="2741"/>
    <col min="5904" max="5904" width="14" style="2741" bestFit="1" customWidth="1"/>
    <col min="5905" max="6143" width="9.140625" style="2741"/>
    <col min="6144" max="6144" width="4.28515625" style="2741" customWidth="1"/>
    <col min="6145" max="6145" width="18.28515625" style="2741" customWidth="1"/>
    <col min="6146" max="6146" width="44.5703125" style="2741" customWidth="1"/>
    <col min="6147" max="6147" width="17" style="2741" customWidth="1"/>
    <col min="6148" max="6155" width="16.7109375" style="2741" customWidth="1"/>
    <col min="6156" max="6156" width="16.42578125" style="2741" customWidth="1"/>
    <col min="6157" max="6157" width="20.28515625" style="2741" customWidth="1"/>
    <col min="6158" max="6158" width="21" style="2741" customWidth="1"/>
    <col min="6159" max="6159" width="9.140625" style="2741"/>
    <col min="6160" max="6160" width="14" style="2741" bestFit="1" customWidth="1"/>
    <col min="6161" max="6399" width="9.140625" style="2741"/>
    <col min="6400" max="6400" width="4.28515625" style="2741" customWidth="1"/>
    <col min="6401" max="6401" width="18.28515625" style="2741" customWidth="1"/>
    <col min="6402" max="6402" width="44.5703125" style="2741" customWidth="1"/>
    <col min="6403" max="6403" width="17" style="2741" customWidth="1"/>
    <col min="6404" max="6411" width="16.7109375" style="2741" customWidth="1"/>
    <col min="6412" max="6412" width="16.42578125" style="2741" customWidth="1"/>
    <col min="6413" max="6413" width="20.28515625" style="2741" customWidth="1"/>
    <col min="6414" max="6414" width="21" style="2741" customWidth="1"/>
    <col min="6415" max="6415" width="9.140625" style="2741"/>
    <col min="6416" max="6416" width="14" style="2741" bestFit="1" customWidth="1"/>
    <col min="6417" max="6655" width="9.140625" style="2741"/>
    <col min="6656" max="6656" width="4.28515625" style="2741" customWidth="1"/>
    <col min="6657" max="6657" width="18.28515625" style="2741" customWidth="1"/>
    <col min="6658" max="6658" width="44.5703125" style="2741" customWidth="1"/>
    <col min="6659" max="6659" width="17" style="2741" customWidth="1"/>
    <col min="6660" max="6667" width="16.7109375" style="2741" customWidth="1"/>
    <col min="6668" max="6668" width="16.42578125" style="2741" customWidth="1"/>
    <col min="6669" max="6669" width="20.28515625" style="2741" customWidth="1"/>
    <col min="6670" max="6670" width="21" style="2741" customWidth="1"/>
    <col min="6671" max="6671" width="9.140625" style="2741"/>
    <col min="6672" max="6672" width="14" style="2741" bestFit="1" customWidth="1"/>
    <col min="6673" max="6911" width="9.140625" style="2741"/>
    <col min="6912" max="6912" width="4.28515625" style="2741" customWidth="1"/>
    <col min="6913" max="6913" width="18.28515625" style="2741" customWidth="1"/>
    <col min="6914" max="6914" width="44.5703125" style="2741" customWidth="1"/>
    <col min="6915" max="6915" width="17" style="2741" customWidth="1"/>
    <col min="6916" max="6923" width="16.7109375" style="2741" customWidth="1"/>
    <col min="6924" max="6924" width="16.42578125" style="2741" customWidth="1"/>
    <col min="6925" max="6925" width="20.28515625" style="2741" customWidth="1"/>
    <col min="6926" max="6926" width="21" style="2741" customWidth="1"/>
    <col min="6927" max="6927" width="9.140625" style="2741"/>
    <col min="6928" max="6928" width="14" style="2741" bestFit="1" customWidth="1"/>
    <col min="6929" max="7167" width="9.140625" style="2741"/>
    <col min="7168" max="7168" width="4.28515625" style="2741" customWidth="1"/>
    <col min="7169" max="7169" width="18.28515625" style="2741" customWidth="1"/>
    <col min="7170" max="7170" width="44.5703125" style="2741" customWidth="1"/>
    <col min="7171" max="7171" width="17" style="2741" customWidth="1"/>
    <col min="7172" max="7179" width="16.7109375" style="2741" customWidth="1"/>
    <col min="7180" max="7180" width="16.42578125" style="2741" customWidth="1"/>
    <col min="7181" max="7181" width="20.28515625" style="2741" customWidth="1"/>
    <col min="7182" max="7182" width="21" style="2741" customWidth="1"/>
    <col min="7183" max="7183" width="9.140625" style="2741"/>
    <col min="7184" max="7184" width="14" style="2741" bestFit="1" customWidth="1"/>
    <col min="7185" max="7423" width="9.140625" style="2741"/>
    <col min="7424" max="7424" width="4.28515625" style="2741" customWidth="1"/>
    <col min="7425" max="7425" width="18.28515625" style="2741" customWidth="1"/>
    <col min="7426" max="7426" width="44.5703125" style="2741" customWidth="1"/>
    <col min="7427" max="7427" width="17" style="2741" customWidth="1"/>
    <col min="7428" max="7435" width="16.7109375" style="2741" customWidth="1"/>
    <col min="7436" max="7436" width="16.42578125" style="2741" customWidth="1"/>
    <col min="7437" max="7437" width="20.28515625" style="2741" customWidth="1"/>
    <col min="7438" max="7438" width="21" style="2741" customWidth="1"/>
    <col min="7439" max="7439" width="9.140625" style="2741"/>
    <col min="7440" max="7440" width="14" style="2741" bestFit="1" customWidth="1"/>
    <col min="7441" max="7679" width="9.140625" style="2741"/>
    <col min="7680" max="7680" width="4.28515625" style="2741" customWidth="1"/>
    <col min="7681" max="7681" width="18.28515625" style="2741" customWidth="1"/>
    <col min="7682" max="7682" width="44.5703125" style="2741" customWidth="1"/>
    <col min="7683" max="7683" width="17" style="2741" customWidth="1"/>
    <col min="7684" max="7691" width="16.7109375" style="2741" customWidth="1"/>
    <col min="7692" max="7692" width="16.42578125" style="2741" customWidth="1"/>
    <col min="7693" max="7693" width="20.28515625" style="2741" customWidth="1"/>
    <col min="7694" max="7694" width="21" style="2741" customWidth="1"/>
    <col min="7695" max="7695" width="9.140625" style="2741"/>
    <col min="7696" max="7696" width="14" style="2741" bestFit="1" customWidth="1"/>
    <col min="7697" max="7935" width="9.140625" style="2741"/>
    <col min="7936" max="7936" width="4.28515625" style="2741" customWidth="1"/>
    <col min="7937" max="7937" width="18.28515625" style="2741" customWidth="1"/>
    <col min="7938" max="7938" width="44.5703125" style="2741" customWidth="1"/>
    <col min="7939" max="7939" width="17" style="2741" customWidth="1"/>
    <col min="7940" max="7947" width="16.7109375" style="2741" customWidth="1"/>
    <col min="7948" max="7948" width="16.42578125" style="2741" customWidth="1"/>
    <col min="7949" max="7949" width="20.28515625" style="2741" customWidth="1"/>
    <col min="7950" max="7950" width="21" style="2741" customWidth="1"/>
    <col min="7951" max="7951" width="9.140625" style="2741"/>
    <col min="7952" max="7952" width="14" style="2741" bestFit="1" customWidth="1"/>
    <col min="7953" max="8191" width="9.140625" style="2741"/>
    <col min="8192" max="8192" width="4.28515625" style="2741" customWidth="1"/>
    <col min="8193" max="8193" width="18.28515625" style="2741" customWidth="1"/>
    <col min="8194" max="8194" width="44.5703125" style="2741" customWidth="1"/>
    <col min="8195" max="8195" width="17" style="2741" customWidth="1"/>
    <col min="8196" max="8203" width="16.7109375" style="2741" customWidth="1"/>
    <col min="8204" max="8204" width="16.42578125" style="2741" customWidth="1"/>
    <col min="8205" max="8205" width="20.28515625" style="2741" customWidth="1"/>
    <col min="8206" max="8206" width="21" style="2741" customWidth="1"/>
    <col min="8207" max="8207" width="9.140625" style="2741"/>
    <col min="8208" max="8208" width="14" style="2741" bestFit="1" customWidth="1"/>
    <col min="8209" max="8447" width="9.140625" style="2741"/>
    <col min="8448" max="8448" width="4.28515625" style="2741" customWidth="1"/>
    <col min="8449" max="8449" width="18.28515625" style="2741" customWidth="1"/>
    <col min="8450" max="8450" width="44.5703125" style="2741" customWidth="1"/>
    <col min="8451" max="8451" width="17" style="2741" customWidth="1"/>
    <col min="8452" max="8459" width="16.7109375" style="2741" customWidth="1"/>
    <col min="8460" max="8460" width="16.42578125" style="2741" customWidth="1"/>
    <col min="8461" max="8461" width="20.28515625" style="2741" customWidth="1"/>
    <col min="8462" max="8462" width="21" style="2741" customWidth="1"/>
    <col min="8463" max="8463" width="9.140625" style="2741"/>
    <col min="8464" max="8464" width="14" style="2741" bestFit="1" customWidth="1"/>
    <col min="8465" max="8703" width="9.140625" style="2741"/>
    <col min="8704" max="8704" width="4.28515625" style="2741" customWidth="1"/>
    <col min="8705" max="8705" width="18.28515625" style="2741" customWidth="1"/>
    <col min="8706" max="8706" width="44.5703125" style="2741" customWidth="1"/>
    <col min="8707" max="8707" width="17" style="2741" customWidth="1"/>
    <col min="8708" max="8715" width="16.7109375" style="2741" customWidth="1"/>
    <col min="8716" max="8716" width="16.42578125" style="2741" customWidth="1"/>
    <col min="8717" max="8717" width="20.28515625" style="2741" customWidth="1"/>
    <col min="8718" max="8718" width="21" style="2741" customWidth="1"/>
    <col min="8719" max="8719" width="9.140625" style="2741"/>
    <col min="8720" max="8720" width="14" style="2741" bestFit="1" customWidth="1"/>
    <col min="8721" max="8959" width="9.140625" style="2741"/>
    <col min="8960" max="8960" width="4.28515625" style="2741" customWidth="1"/>
    <col min="8961" max="8961" width="18.28515625" style="2741" customWidth="1"/>
    <col min="8962" max="8962" width="44.5703125" style="2741" customWidth="1"/>
    <col min="8963" max="8963" width="17" style="2741" customWidth="1"/>
    <col min="8964" max="8971" width="16.7109375" style="2741" customWidth="1"/>
    <col min="8972" max="8972" width="16.42578125" style="2741" customWidth="1"/>
    <col min="8973" max="8973" width="20.28515625" style="2741" customWidth="1"/>
    <col min="8974" max="8974" width="21" style="2741" customWidth="1"/>
    <col min="8975" max="8975" width="9.140625" style="2741"/>
    <col min="8976" max="8976" width="14" style="2741" bestFit="1" customWidth="1"/>
    <col min="8977" max="9215" width="9.140625" style="2741"/>
    <col min="9216" max="9216" width="4.28515625" style="2741" customWidth="1"/>
    <col min="9217" max="9217" width="18.28515625" style="2741" customWidth="1"/>
    <col min="9218" max="9218" width="44.5703125" style="2741" customWidth="1"/>
    <col min="9219" max="9219" width="17" style="2741" customWidth="1"/>
    <col min="9220" max="9227" width="16.7109375" style="2741" customWidth="1"/>
    <col min="9228" max="9228" width="16.42578125" style="2741" customWidth="1"/>
    <col min="9229" max="9229" width="20.28515625" style="2741" customWidth="1"/>
    <col min="9230" max="9230" width="21" style="2741" customWidth="1"/>
    <col min="9231" max="9231" width="9.140625" style="2741"/>
    <col min="9232" max="9232" width="14" style="2741" bestFit="1" customWidth="1"/>
    <col min="9233" max="9471" width="9.140625" style="2741"/>
    <col min="9472" max="9472" width="4.28515625" style="2741" customWidth="1"/>
    <col min="9473" max="9473" width="18.28515625" style="2741" customWidth="1"/>
    <col min="9474" max="9474" width="44.5703125" style="2741" customWidth="1"/>
    <col min="9475" max="9475" width="17" style="2741" customWidth="1"/>
    <col min="9476" max="9483" width="16.7109375" style="2741" customWidth="1"/>
    <col min="9484" max="9484" width="16.42578125" style="2741" customWidth="1"/>
    <col min="9485" max="9485" width="20.28515625" style="2741" customWidth="1"/>
    <col min="9486" max="9486" width="21" style="2741" customWidth="1"/>
    <col min="9487" max="9487" width="9.140625" style="2741"/>
    <col min="9488" max="9488" width="14" style="2741" bestFit="1" customWidth="1"/>
    <col min="9489" max="9727" width="9.140625" style="2741"/>
    <col min="9728" max="9728" width="4.28515625" style="2741" customWidth="1"/>
    <col min="9729" max="9729" width="18.28515625" style="2741" customWidth="1"/>
    <col min="9730" max="9730" width="44.5703125" style="2741" customWidth="1"/>
    <col min="9731" max="9731" width="17" style="2741" customWidth="1"/>
    <col min="9732" max="9739" width="16.7109375" style="2741" customWidth="1"/>
    <col min="9740" max="9740" width="16.42578125" style="2741" customWidth="1"/>
    <col min="9741" max="9741" width="20.28515625" style="2741" customWidth="1"/>
    <col min="9742" max="9742" width="21" style="2741" customWidth="1"/>
    <col min="9743" max="9743" width="9.140625" style="2741"/>
    <col min="9744" max="9744" width="14" style="2741" bestFit="1" customWidth="1"/>
    <col min="9745" max="9983" width="9.140625" style="2741"/>
    <col min="9984" max="9984" width="4.28515625" style="2741" customWidth="1"/>
    <col min="9985" max="9985" width="18.28515625" style="2741" customWidth="1"/>
    <col min="9986" max="9986" width="44.5703125" style="2741" customWidth="1"/>
    <col min="9987" max="9987" width="17" style="2741" customWidth="1"/>
    <col min="9988" max="9995" width="16.7109375" style="2741" customWidth="1"/>
    <col min="9996" max="9996" width="16.42578125" style="2741" customWidth="1"/>
    <col min="9997" max="9997" width="20.28515625" style="2741" customWidth="1"/>
    <col min="9998" max="9998" width="21" style="2741" customWidth="1"/>
    <col min="9999" max="9999" width="9.140625" style="2741"/>
    <col min="10000" max="10000" width="14" style="2741" bestFit="1" customWidth="1"/>
    <col min="10001" max="10239" width="9.140625" style="2741"/>
    <col min="10240" max="10240" width="4.28515625" style="2741" customWidth="1"/>
    <col min="10241" max="10241" width="18.28515625" style="2741" customWidth="1"/>
    <col min="10242" max="10242" width="44.5703125" style="2741" customWidth="1"/>
    <col min="10243" max="10243" width="17" style="2741" customWidth="1"/>
    <col min="10244" max="10251" width="16.7109375" style="2741" customWidth="1"/>
    <col min="10252" max="10252" width="16.42578125" style="2741" customWidth="1"/>
    <col min="10253" max="10253" width="20.28515625" style="2741" customWidth="1"/>
    <col min="10254" max="10254" width="21" style="2741" customWidth="1"/>
    <col min="10255" max="10255" width="9.140625" style="2741"/>
    <col min="10256" max="10256" width="14" style="2741" bestFit="1" customWidth="1"/>
    <col min="10257" max="10495" width="9.140625" style="2741"/>
    <col min="10496" max="10496" width="4.28515625" style="2741" customWidth="1"/>
    <col min="10497" max="10497" width="18.28515625" style="2741" customWidth="1"/>
    <col min="10498" max="10498" width="44.5703125" style="2741" customWidth="1"/>
    <col min="10499" max="10499" width="17" style="2741" customWidth="1"/>
    <col min="10500" max="10507" width="16.7109375" style="2741" customWidth="1"/>
    <col min="10508" max="10508" width="16.42578125" style="2741" customWidth="1"/>
    <col min="10509" max="10509" width="20.28515625" style="2741" customWidth="1"/>
    <col min="10510" max="10510" width="21" style="2741" customWidth="1"/>
    <col min="10511" max="10511" width="9.140625" style="2741"/>
    <col min="10512" max="10512" width="14" style="2741" bestFit="1" customWidth="1"/>
    <col min="10513" max="10751" width="9.140625" style="2741"/>
    <col min="10752" max="10752" width="4.28515625" style="2741" customWidth="1"/>
    <col min="10753" max="10753" width="18.28515625" style="2741" customWidth="1"/>
    <col min="10754" max="10754" width="44.5703125" style="2741" customWidth="1"/>
    <col min="10755" max="10755" width="17" style="2741" customWidth="1"/>
    <col min="10756" max="10763" width="16.7109375" style="2741" customWidth="1"/>
    <col min="10764" max="10764" width="16.42578125" style="2741" customWidth="1"/>
    <col min="10765" max="10765" width="20.28515625" style="2741" customWidth="1"/>
    <col min="10766" max="10766" width="21" style="2741" customWidth="1"/>
    <col min="10767" max="10767" width="9.140625" style="2741"/>
    <col min="10768" max="10768" width="14" style="2741" bestFit="1" customWidth="1"/>
    <col min="10769" max="11007" width="9.140625" style="2741"/>
    <col min="11008" max="11008" width="4.28515625" style="2741" customWidth="1"/>
    <col min="11009" max="11009" width="18.28515625" style="2741" customWidth="1"/>
    <col min="11010" max="11010" width="44.5703125" style="2741" customWidth="1"/>
    <col min="11011" max="11011" width="17" style="2741" customWidth="1"/>
    <col min="11012" max="11019" width="16.7109375" style="2741" customWidth="1"/>
    <col min="11020" max="11020" width="16.42578125" style="2741" customWidth="1"/>
    <col min="11021" max="11021" width="20.28515625" style="2741" customWidth="1"/>
    <col min="11022" max="11022" width="21" style="2741" customWidth="1"/>
    <col min="11023" max="11023" width="9.140625" style="2741"/>
    <col min="11024" max="11024" width="14" style="2741" bestFit="1" customWidth="1"/>
    <col min="11025" max="11263" width="9.140625" style="2741"/>
    <col min="11264" max="11264" width="4.28515625" style="2741" customWidth="1"/>
    <col min="11265" max="11265" width="18.28515625" style="2741" customWidth="1"/>
    <col min="11266" max="11266" width="44.5703125" style="2741" customWidth="1"/>
    <col min="11267" max="11267" width="17" style="2741" customWidth="1"/>
    <col min="11268" max="11275" width="16.7109375" style="2741" customWidth="1"/>
    <col min="11276" max="11276" width="16.42578125" style="2741" customWidth="1"/>
    <col min="11277" max="11277" width="20.28515625" style="2741" customWidth="1"/>
    <col min="11278" max="11278" width="21" style="2741" customWidth="1"/>
    <col min="11279" max="11279" width="9.140625" style="2741"/>
    <col min="11280" max="11280" width="14" style="2741" bestFit="1" customWidth="1"/>
    <col min="11281" max="11519" width="9.140625" style="2741"/>
    <col min="11520" max="11520" width="4.28515625" style="2741" customWidth="1"/>
    <col min="11521" max="11521" width="18.28515625" style="2741" customWidth="1"/>
    <col min="11522" max="11522" width="44.5703125" style="2741" customWidth="1"/>
    <col min="11523" max="11523" width="17" style="2741" customWidth="1"/>
    <col min="11524" max="11531" width="16.7109375" style="2741" customWidth="1"/>
    <col min="11532" max="11532" width="16.42578125" style="2741" customWidth="1"/>
    <col min="11533" max="11533" width="20.28515625" style="2741" customWidth="1"/>
    <col min="11534" max="11534" width="21" style="2741" customWidth="1"/>
    <col min="11535" max="11535" width="9.140625" style="2741"/>
    <col min="11536" max="11536" width="14" style="2741" bestFit="1" customWidth="1"/>
    <col min="11537" max="11775" width="9.140625" style="2741"/>
    <col min="11776" max="11776" width="4.28515625" style="2741" customWidth="1"/>
    <col min="11777" max="11777" width="18.28515625" style="2741" customWidth="1"/>
    <col min="11778" max="11778" width="44.5703125" style="2741" customWidth="1"/>
    <col min="11779" max="11779" width="17" style="2741" customWidth="1"/>
    <col min="11780" max="11787" width="16.7109375" style="2741" customWidth="1"/>
    <col min="11788" max="11788" width="16.42578125" style="2741" customWidth="1"/>
    <col min="11789" max="11789" width="20.28515625" style="2741" customWidth="1"/>
    <col min="11790" max="11790" width="21" style="2741" customWidth="1"/>
    <col min="11791" max="11791" width="9.140625" style="2741"/>
    <col min="11792" max="11792" width="14" style="2741" bestFit="1" customWidth="1"/>
    <col min="11793" max="12031" width="9.140625" style="2741"/>
    <col min="12032" max="12032" width="4.28515625" style="2741" customWidth="1"/>
    <col min="12033" max="12033" width="18.28515625" style="2741" customWidth="1"/>
    <col min="12034" max="12034" width="44.5703125" style="2741" customWidth="1"/>
    <col min="12035" max="12035" width="17" style="2741" customWidth="1"/>
    <col min="12036" max="12043" width="16.7109375" style="2741" customWidth="1"/>
    <col min="12044" max="12044" width="16.42578125" style="2741" customWidth="1"/>
    <col min="12045" max="12045" width="20.28515625" style="2741" customWidth="1"/>
    <col min="12046" max="12046" width="21" style="2741" customWidth="1"/>
    <col min="12047" max="12047" width="9.140625" style="2741"/>
    <col min="12048" max="12048" width="14" style="2741" bestFit="1" customWidth="1"/>
    <col min="12049" max="12287" width="9.140625" style="2741"/>
    <col min="12288" max="12288" width="4.28515625" style="2741" customWidth="1"/>
    <col min="12289" max="12289" width="18.28515625" style="2741" customWidth="1"/>
    <col min="12290" max="12290" width="44.5703125" style="2741" customWidth="1"/>
    <col min="12291" max="12291" width="17" style="2741" customWidth="1"/>
    <col min="12292" max="12299" width="16.7109375" style="2741" customWidth="1"/>
    <col min="12300" max="12300" width="16.42578125" style="2741" customWidth="1"/>
    <col min="12301" max="12301" width="20.28515625" style="2741" customWidth="1"/>
    <col min="12302" max="12302" width="21" style="2741" customWidth="1"/>
    <col min="12303" max="12303" width="9.140625" style="2741"/>
    <col min="12304" max="12304" width="14" style="2741" bestFit="1" customWidth="1"/>
    <col min="12305" max="12543" width="9.140625" style="2741"/>
    <col min="12544" max="12544" width="4.28515625" style="2741" customWidth="1"/>
    <col min="12545" max="12545" width="18.28515625" style="2741" customWidth="1"/>
    <col min="12546" max="12546" width="44.5703125" style="2741" customWidth="1"/>
    <col min="12547" max="12547" width="17" style="2741" customWidth="1"/>
    <col min="12548" max="12555" width="16.7109375" style="2741" customWidth="1"/>
    <col min="12556" max="12556" width="16.42578125" style="2741" customWidth="1"/>
    <col min="12557" max="12557" width="20.28515625" style="2741" customWidth="1"/>
    <col min="12558" max="12558" width="21" style="2741" customWidth="1"/>
    <col min="12559" max="12559" width="9.140625" style="2741"/>
    <col min="12560" max="12560" width="14" style="2741" bestFit="1" customWidth="1"/>
    <col min="12561" max="12799" width="9.140625" style="2741"/>
    <col min="12800" max="12800" width="4.28515625" style="2741" customWidth="1"/>
    <col min="12801" max="12801" width="18.28515625" style="2741" customWidth="1"/>
    <col min="12802" max="12802" width="44.5703125" style="2741" customWidth="1"/>
    <col min="12803" max="12803" width="17" style="2741" customWidth="1"/>
    <col min="12804" max="12811" width="16.7109375" style="2741" customWidth="1"/>
    <col min="12812" max="12812" width="16.42578125" style="2741" customWidth="1"/>
    <col min="12813" max="12813" width="20.28515625" style="2741" customWidth="1"/>
    <col min="12814" max="12814" width="21" style="2741" customWidth="1"/>
    <col min="12815" max="12815" width="9.140625" style="2741"/>
    <col min="12816" max="12816" width="14" style="2741" bestFit="1" customWidth="1"/>
    <col min="12817" max="13055" width="9.140625" style="2741"/>
    <col min="13056" max="13056" width="4.28515625" style="2741" customWidth="1"/>
    <col min="13057" max="13057" width="18.28515625" style="2741" customWidth="1"/>
    <col min="13058" max="13058" width="44.5703125" style="2741" customWidth="1"/>
    <col min="13059" max="13059" width="17" style="2741" customWidth="1"/>
    <col min="13060" max="13067" width="16.7109375" style="2741" customWidth="1"/>
    <col min="13068" max="13068" width="16.42578125" style="2741" customWidth="1"/>
    <col min="13069" max="13069" width="20.28515625" style="2741" customWidth="1"/>
    <col min="13070" max="13070" width="21" style="2741" customWidth="1"/>
    <col min="13071" max="13071" width="9.140625" style="2741"/>
    <col min="13072" max="13072" width="14" style="2741" bestFit="1" customWidth="1"/>
    <col min="13073" max="13311" width="9.140625" style="2741"/>
    <col min="13312" max="13312" width="4.28515625" style="2741" customWidth="1"/>
    <col min="13313" max="13313" width="18.28515625" style="2741" customWidth="1"/>
    <col min="13314" max="13314" width="44.5703125" style="2741" customWidth="1"/>
    <col min="13315" max="13315" width="17" style="2741" customWidth="1"/>
    <col min="13316" max="13323" width="16.7109375" style="2741" customWidth="1"/>
    <col min="13324" max="13324" width="16.42578125" style="2741" customWidth="1"/>
    <col min="13325" max="13325" width="20.28515625" style="2741" customWidth="1"/>
    <col min="13326" max="13326" width="21" style="2741" customWidth="1"/>
    <col min="13327" max="13327" width="9.140625" style="2741"/>
    <col min="13328" max="13328" width="14" style="2741" bestFit="1" customWidth="1"/>
    <col min="13329" max="13567" width="9.140625" style="2741"/>
    <col min="13568" max="13568" width="4.28515625" style="2741" customWidth="1"/>
    <col min="13569" max="13569" width="18.28515625" style="2741" customWidth="1"/>
    <col min="13570" max="13570" width="44.5703125" style="2741" customWidth="1"/>
    <col min="13571" max="13571" width="17" style="2741" customWidth="1"/>
    <col min="13572" max="13579" width="16.7109375" style="2741" customWidth="1"/>
    <col min="13580" max="13580" width="16.42578125" style="2741" customWidth="1"/>
    <col min="13581" max="13581" width="20.28515625" style="2741" customWidth="1"/>
    <col min="13582" max="13582" width="21" style="2741" customWidth="1"/>
    <col min="13583" max="13583" width="9.140625" style="2741"/>
    <col min="13584" max="13584" width="14" style="2741" bestFit="1" customWidth="1"/>
    <col min="13585" max="13823" width="9.140625" style="2741"/>
    <col min="13824" max="13824" width="4.28515625" style="2741" customWidth="1"/>
    <col min="13825" max="13825" width="18.28515625" style="2741" customWidth="1"/>
    <col min="13826" max="13826" width="44.5703125" style="2741" customWidth="1"/>
    <col min="13827" max="13827" width="17" style="2741" customWidth="1"/>
    <col min="13828" max="13835" width="16.7109375" style="2741" customWidth="1"/>
    <col min="13836" max="13836" width="16.42578125" style="2741" customWidth="1"/>
    <col min="13837" max="13837" width="20.28515625" style="2741" customWidth="1"/>
    <col min="13838" max="13838" width="21" style="2741" customWidth="1"/>
    <col min="13839" max="13839" width="9.140625" style="2741"/>
    <col min="13840" max="13840" width="14" style="2741" bestFit="1" customWidth="1"/>
    <col min="13841" max="14079" width="9.140625" style="2741"/>
    <col min="14080" max="14080" width="4.28515625" style="2741" customWidth="1"/>
    <col min="14081" max="14081" width="18.28515625" style="2741" customWidth="1"/>
    <col min="14082" max="14082" width="44.5703125" style="2741" customWidth="1"/>
    <col min="14083" max="14083" width="17" style="2741" customWidth="1"/>
    <col min="14084" max="14091" width="16.7109375" style="2741" customWidth="1"/>
    <col min="14092" max="14092" width="16.42578125" style="2741" customWidth="1"/>
    <col min="14093" max="14093" width="20.28515625" style="2741" customWidth="1"/>
    <col min="14094" max="14094" width="21" style="2741" customWidth="1"/>
    <col min="14095" max="14095" width="9.140625" style="2741"/>
    <col min="14096" max="14096" width="14" style="2741" bestFit="1" customWidth="1"/>
    <col min="14097" max="14335" width="9.140625" style="2741"/>
    <col min="14336" max="14336" width="4.28515625" style="2741" customWidth="1"/>
    <col min="14337" max="14337" width="18.28515625" style="2741" customWidth="1"/>
    <col min="14338" max="14338" width="44.5703125" style="2741" customWidth="1"/>
    <col min="14339" max="14339" width="17" style="2741" customWidth="1"/>
    <col min="14340" max="14347" width="16.7109375" style="2741" customWidth="1"/>
    <col min="14348" max="14348" width="16.42578125" style="2741" customWidth="1"/>
    <col min="14349" max="14349" width="20.28515625" style="2741" customWidth="1"/>
    <col min="14350" max="14350" width="21" style="2741" customWidth="1"/>
    <col min="14351" max="14351" width="9.140625" style="2741"/>
    <col min="14352" max="14352" width="14" style="2741" bestFit="1" customWidth="1"/>
    <col min="14353" max="14591" width="9.140625" style="2741"/>
    <col min="14592" max="14592" width="4.28515625" style="2741" customWidth="1"/>
    <col min="14593" max="14593" width="18.28515625" style="2741" customWidth="1"/>
    <col min="14594" max="14594" width="44.5703125" style="2741" customWidth="1"/>
    <col min="14595" max="14595" width="17" style="2741" customWidth="1"/>
    <col min="14596" max="14603" width="16.7109375" style="2741" customWidth="1"/>
    <col min="14604" max="14604" width="16.42578125" style="2741" customWidth="1"/>
    <col min="14605" max="14605" width="20.28515625" style="2741" customWidth="1"/>
    <col min="14606" max="14606" width="21" style="2741" customWidth="1"/>
    <col min="14607" max="14607" width="9.140625" style="2741"/>
    <col min="14608" max="14608" width="14" style="2741" bestFit="1" customWidth="1"/>
    <col min="14609" max="14847" width="9.140625" style="2741"/>
    <col min="14848" max="14848" width="4.28515625" style="2741" customWidth="1"/>
    <col min="14849" max="14849" width="18.28515625" style="2741" customWidth="1"/>
    <col min="14850" max="14850" width="44.5703125" style="2741" customWidth="1"/>
    <col min="14851" max="14851" width="17" style="2741" customWidth="1"/>
    <col min="14852" max="14859" width="16.7109375" style="2741" customWidth="1"/>
    <col min="14860" max="14860" width="16.42578125" style="2741" customWidth="1"/>
    <col min="14861" max="14861" width="20.28515625" style="2741" customWidth="1"/>
    <col min="14862" max="14862" width="21" style="2741" customWidth="1"/>
    <col min="14863" max="14863" width="9.140625" style="2741"/>
    <col min="14864" max="14864" width="14" style="2741" bestFit="1" customWidth="1"/>
    <col min="14865" max="15103" width="9.140625" style="2741"/>
    <col min="15104" max="15104" width="4.28515625" style="2741" customWidth="1"/>
    <col min="15105" max="15105" width="18.28515625" style="2741" customWidth="1"/>
    <col min="15106" max="15106" width="44.5703125" style="2741" customWidth="1"/>
    <col min="15107" max="15107" width="17" style="2741" customWidth="1"/>
    <col min="15108" max="15115" width="16.7109375" style="2741" customWidth="1"/>
    <col min="15116" max="15116" width="16.42578125" style="2741" customWidth="1"/>
    <col min="15117" max="15117" width="20.28515625" style="2741" customWidth="1"/>
    <col min="15118" max="15118" width="21" style="2741" customWidth="1"/>
    <col min="15119" max="15119" width="9.140625" style="2741"/>
    <col min="15120" max="15120" width="14" style="2741" bestFit="1" customWidth="1"/>
    <col min="15121" max="15359" width="9.140625" style="2741"/>
    <col min="15360" max="15360" width="4.28515625" style="2741" customWidth="1"/>
    <col min="15361" max="15361" width="18.28515625" style="2741" customWidth="1"/>
    <col min="15362" max="15362" width="44.5703125" style="2741" customWidth="1"/>
    <col min="15363" max="15363" width="17" style="2741" customWidth="1"/>
    <col min="15364" max="15371" width="16.7109375" style="2741" customWidth="1"/>
    <col min="15372" max="15372" width="16.42578125" style="2741" customWidth="1"/>
    <col min="15373" max="15373" width="20.28515625" style="2741" customWidth="1"/>
    <col min="15374" max="15374" width="21" style="2741" customWidth="1"/>
    <col min="15375" max="15375" width="9.140625" style="2741"/>
    <col min="15376" max="15376" width="14" style="2741" bestFit="1" customWidth="1"/>
    <col min="15377" max="15615" width="9.140625" style="2741"/>
    <col min="15616" max="15616" width="4.28515625" style="2741" customWidth="1"/>
    <col min="15617" max="15617" width="18.28515625" style="2741" customWidth="1"/>
    <col min="15618" max="15618" width="44.5703125" style="2741" customWidth="1"/>
    <col min="15619" max="15619" width="17" style="2741" customWidth="1"/>
    <col min="15620" max="15627" width="16.7109375" style="2741" customWidth="1"/>
    <col min="15628" max="15628" width="16.42578125" style="2741" customWidth="1"/>
    <col min="15629" max="15629" width="20.28515625" style="2741" customWidth="1"/>
    <col min="15630" max="15630" width="21" style="2741" customWidth="1"/>
    <col min="15631" max="15631" width="9.140625" style="2741"/>
    <col min="15632" max="15632" width="14" style="2741" bestFit="1" customWidth="1"/>
    <col min="15633" max="15871" width="9.140625" style="2741"/>
    <col min="15872" max="15872" width="4.28515625" style="2741" customWidth="1"/>
    <col min="15873" max="15873" width="18.28515625" style="2741" customWidth="1"/>
    <col min="15874" max="15874" width="44.5703125" style="2741" customWidth="1"/>
    <col min="15875" max="15875" width="17" style="2741" customWidth="1"/>
    <col min="15876" max="15883" width="16.7109375" style="2741" customWidth="1"/>
    <col min="15884" max="15884" width="16.42578125" style="2741" customWidth="1"/>
    <col min="15885" max="15885" width="20.28515625" style="2741" customWidth="1"/>
    <col min="15886" max="15886" width="21" style="2741" customWidth="1"/>
    <col min="15887" max="15887" width="9.140625" style="2741"/>
    <col min="15888" max="15888" width="14" style="2741" bestFit="1" customWidth="1"/>
    <col min="15889" max="16127" width="9.140625" style="2741"/>
    <col min="16128" max="16128" width="4.28515625" style="2741" customWidth="1"/>
    <col min="16129" max="16129" width="18.28515625" style="2741" customWidth="1"/>
    <col min="16130" max="16130" width="44.5703125" style="2741" customWidth="1"/>
    <col min="16131" max="16131" width="17" style="2741" customWidth="1"/>
    <col min="16132" max="16139" width="16.7109375" style="2741" customWidth="1"/>
    <col min="16140" max="16140" width="16.42578125" style="2741" customWidth="1"/>
    <col min="16141" max="16141" width="20.28515625" style="2741" customWidth="1"/>
    <col min="16142" max="16142" width="21" style="2741" customWidth="1"/>
    <col min="16143" max="16143" width="9.140625" style="2741"/>
    <col min="16144" max="16144" width="14" style="2741" bestFit="1" customWidth="1"/>
    <col min="16145" max="16384" width="9.140625" style="2741"/>
  </cols>
  <sheetData>
    <row r="1" spans="1:11" s="2740" customFormat="1" ht="20.25">
      <c r="A1" s="3563" t="s">
        <v>55</v>
      </c>
      <c r="B1" s="3563"/>
      <c r="C1" s="3563"/>
      <c r="D1" s="3563"/>
      <c r="E1" s="3563"/>
      <c r="F1" s="3563"/>
      <c r="G1" s="3563"/>
      <c r="H1" s="3563"/>
      <c r="I1" s="3563"/>
      <c r="J1" s="3563"/>
      <c r="K1" s="3563"/>
    </row>
    <row r="2" spans="1:11" s="2740" customFormat="1" ht="20.25">
      <c r="A2" s="3563" t="s">
        <v>2299</v>
      </c>
      <c r="B2" s="3563"/>
      <c r="C2" s="3563"/>
      <c r="D2" s="3563"/>
      <c r="E2" s="3563"/>
      <c r="F2" s="3563"/>
      <c r="G2" s="3563"/>
      <c r="H2" s="3563"/>
      <c r="I2" s="3563"/>
      <c r="J2" s="3563"/>
      <c r="K2" s="3563"/>
    </row>
    <row r="3" spans="1:11">
      <c r="B3" s="2742"/>
      <c r="C3" s="2743"/>
      <c r="D3" s="2743"/>
      <c r="E3" s="2743"/>
      <c r="F3" s="2743"/>
      <c r="G3" s="2743"/>
      <c r="H3" s="2743"/>
      <c r="I3" s="2743"/>
      <c r="J3" s="2743"/>
      <c r="K3" s="2743"/>
    </row>
    <row r="4" spans="1:11" s="2719" customFormat="1" ht="15.75">
      <c r="A4" s="2720" t="s">
        <v>2</v>
      </c>
      <c r="B4" s="2744"/>
      <c r="C4" s="2716" t="s">
        <v>2296</v>
      </c>
      <c r="F4" s="2720"/>
      <c r="G4" s="2745" t="s">
        <v>3</v>
      </c>
      <c r="I4" s="2717" t="str">
        <f>'Bank DOK PERNC'!J4</f>
        <v>: Februari 2016</v>
      </c>
    </row>
    <row r="5" spans="1:11" s="2719" customFormat="1" ht="15.75">
      <c r="A5" s="2720" t="s">
        <v>4</v>
      </c>
      <c r="B5" s="2744"/>
      <c r="C5" s="2716" t="s">
        <v>2297</v>
      </c>
      <c r="F5" s="2720"/>
      <c r="G5" s="2745" t="s">
        <v>56</v>
      </c>
      <c r="I5" s="2717" t="s">
        <v>2300</v>
      </c>
    </row>
    <row r="6" spans="1:11" s="2719" customFormat="1" ht="15.75">
      <c r="A6" s="2720" t="s">
        <v>6</v>
      </c>
      <c r="B6" s="2744"/>
      <c r="C6" s="2716" t="s">
        <v>2298</v>
      </c>
      <c r="F6" s="2720"/>
      <c r="G6" s="2745" t="s">
        <v>488</v>
      </c>
      <c r="I6" s="2717" t="s">
        <v>2301</v>
      </c>
    </row>
    <row r="7" spans="1:11" s="2719" customFormat="1" ht="16.5" thickBot="1">
      <c r="A7" s="2720"/>
      <c r="B7" s="2744"/>
      <c r="C7" s="2746"/>
      <c r="E7" s="2720"/>
      <c r="F7" s="2720"/>
      <c r="G7" s="2747"/>
      <c r="H7" s="2716"/>
    </row>
    <row r="8" spans="1:11" s="2719" customFormat="1" ht="27">
      <c r="A8" s="3564" t="s">
        <v>57</v>
      </c>
      <c r="B8" s="3567" t="s">
        <v>7</v>
      </c>
      <c r="C8" s="3564" t="s">
        <v>8</v>
      </c>
      <c r="D8" s="3564" t="s">
        <v>9</v>
      </c>
      <c r="E8" s="3570" t="s">
        <v>10</v>
      </c>
      <c r="F8" s="3571"/>
      <c r="G8" s="3572"/>
      <c r="H8" s="3570" t="s">
        <v>11</v>
      </c>
      <c r="I8" s="3571"/>
      <c r="J8" s="3572"/>
      <c r="K8" s="3564" t="s">
        <v>12</v>
      </c>
    </row>
    <row r="9" spans="1:11" s="2719" customFormat="1" ht="15.75">
      <c r="A9" s="3565"/>
      <c r="B9" s="3568"/>
      <c r="C9" s="3565"/>
      <c r="D9" s="3565"/>
      <c r="E9" s="3574" t="s">
        <v>58</v>
      </c>
      <c r="F9" s="3575"/>
      <c r="G9" s="3557" t="s">
        <v>59</v>
      </c>
      <c r="H9" s="3559" t="s">
        <v>60</v>
      </c>
      <c r="I9" s="3561" t="s">
        <v>61</v>
      </c>
      <c r="J9" s="3557" t="s">
        <v>62</v>
      </c>
      <c r="K9" s="3573"/>
    </row>
    <row r="10" spans="1:11" s="2719" customFormat="1" ht="32.25" thickBot="1">
      <c r="A10" s="3566"/>
      <c r="B10" s="3569"/>
      <c r="C10" s="3566"/>
      <c r="D10" s="2748" t="s">
        <v>13</v>
      </c>
      <c r="E10" s="2801" t="s">
        <v>886</v>
      </c>
      <c r="F10" s="2802" t="s">
        <v>571</v>
      </c>
      <c r="G10" s="3558"/>
      <c r="H10" s="3560"/>
      <c r="I10" s="3562"/>
      <c r="J10" s="3558"/>
      <c r="K10" s="3573"/>
    </row>
    <row r="11" spans="1:11" s="2719" customFormat="1" ht="16.5" thickTop="1">
      <c r="A11" s="2749"/>
      <c r="B11" s="2750"/>
      <c r="C11" s="2751" t="s">
        <v>258</v>
      </c>
      <c r="D11" s="2752"/>
      <c r="E11" s="2753">
        <v>169182000</v>
      </c>
      <c r="F11" s="2754">
        <v>2200000</v>
      </c>
      <c r="G11" s="2754">
        <v>370978</v>
      </c>
      <c r="H11" s="2794">
        <v>171409884</v>
      </c>
      <c r="I11" s="2718">
        <v>69594</v>
      </c>
      <c r="J11" s="2755">
        <v>184500</v>
      </c>
      <c r="K11" s="2792">
        <f>(SUM((E11:G11))-(SUM((H11:J11))))</f>
        <v>89000</v>
      </c>
    </row>
    <row r="12" spans="1:11" s="2720" customFormat="1" ht="16.5" thickBot="1">
      <c r="A12" s="2756"/>
      <c r="B12" s="2757"/>
      <c r="C12" s="2758" t="s">
        <v>539</v>
      </c>
      <c r="D12" s="2759"/>
      <c r="E12" s="2760"/>
      <c r="F12" s="2761"/>
      <c r="G12" s="2761"/>
      <c r="H12" s="2795"/>
      <c r="I12" s="2762"/>
      <c r="J12" s="2763"/>
      <c r="K12" s="2793">
        <f>K11+(SUM((E12:G12))-(SUM((H12:J12))))</f>
        <v>89000</v>
      </c>
    </row>
    <row r="13" spans="1:11" s="2719" customFormat="1" ht="16.5" thickTop="1">
      <c r="A13" s="2764"/>
      <c r="B13" s="2834"/>
      <c r="C13" s="2854"/>
      <c r="D13" s="2765"/>
      <c r="E13" s="2766"/>
      <c r="F13" s="2766"/>
      <c r="G13" s="2791"/>
      <c r="H13" s="2796"/>
      <c r="I13" s="2766"/>
      <c r="J13" s="2797"/>
      <c r="K13" s="2767">
        <f>K12+(SUM((E13:G13))-(SUM(H13:J13)))</f>
        <v>89000</v>
      </c>
    </row>
    <row r="14" spans="1:11" s="2719" customFormat="1" ht="15.75">
      <c r="A14" s="2768"/>
      <c r="B14" s="2987"/>
      <c r="C14" s="2854"/>
      <c r="D14" s="2769"/>
      <c r="E14" s="2766"/>
      <c r="F14" s="2766"/>
      <c r="G14" s="2791"/>
      <c r="H14" s="2796"/>
      <c r="I14" s="2766"/>
      <c r="J14" s="2797"/>
      <c r="K14" s="2767">
        <f>K13+(SUM((E14:G14))-(SUM(H14:J14)))</f>
        <v>89000</v>
      </c>
    </row>
    <row r="15" spans="1:11" s="2719" customFormat="1" ht="15.75">
      <c r="A15" s="2768"/>
      <c r="B15" s="2835"/>
      <c r="C15" s="2854"/>
      <c r="D15" s="2769"/>
      <c r="E15" s="2766"/>
      <c r="F15" s="2766"/>
      <c r="G15" s="2791"/>
      <c r="H15" s="2796"/>
      <c r="I15" s="2766"/>
      <c r="J15" s="2797"/>
      <c r="K15" s="2767">
        <f t="shared" ref="K15:K27" si="0">K14+(SUM((E15:G15))-(SUM(H15:J15)))</f>
        <v>89000</v>
      </c>
    </row>
    <row r="16" spans="1:11" s="2719" customFormat="1" ht="15.75">
      <c r="A16" s="2768"/>
      <c r="B16" s="2835"/>
      <c r="C16" s="2854"/>
      <c r="D16" s="2769"/>
      <c r="E16" s="2766"/>
      <c r="F16" s="2766"/>
      <c r="G16" s="2791"/>
      <c r="H16" s="2796"/>
      <c r="I16" s="2766"/>
      <c r="J16" s="2797"/>
      <c r="K16" s="2767">
        <f t="shared" si="0"/>
        <v>89000</v>
      </c>
    </row>
    <row r="17" spans="1:16" s="2719" customFormat="1" ht="15.75">
      <c r="A17" s="2768"/>
      <c r="B17" s="2835"/>
      <c r="C17" s="2854"/>
      <c r="D17" s="2769"/>
      <c r="E17" s="2766"/>
      <c r="F17" s="2766"/>
      <c r="G17" s="2791"/>
      <c r="H17" s="2796"/>
      <c r="I17" s="2766"/>
      <c r="J17" s="2797"/>
      <c r="K17" s="2767">
        <f t="shared" si="0"/>
        <v>89000</v>
      </c>
    </row>
    <row r="18" spans="1:16" s="2719" customFormat="1" ht="15.75">
      <c r="A18" s="2768"/>
      <c r="B18" s="2836"/>
      <c r="C18" s="2855"/>
      <c r="D18" s="2769"/>
      <c r="E18" s="2766"/>
      <c r="F18" s="2766"/>
      <c r="G18" s="2791"/>
      <c r="H18" s="2796"/>
      <c r="I18" s="2766"/>
      <c r="J18" s="2797"/>
      <c r="K18" s="2767">
        <f t="shared" si="0"/>
        <v>89000</v>
      </c>
    </row>
    <row r="19" spans="1:16" s="2719" customFormat="1" ht="15.75">
      <c r="A19" s="2768"/>
      <c r="B19" s="2770"/>
      <c r="C19" s="2789"/>
      <c r="D19" s="2769"/>
      <c r="E19" s="2766"/>
      <c r="F19" s="2766"/>
      <c r="G19" s="2791"/>
      <c r="H19" s="2796"/>
      <c r="I19" s="2766"/>
      <c r="J19" s="2797"/>
      <c r="K19" s="2767">
        <f t="shared" si="0"/>
        <v>89000</v>
      </c>
    </row>
    <row r="20" spans="1:16" s="2719" customFormat="1" ht="15.75">
      <c r="A20" s="2768"/>
      <c r="B20" s="2770"/>
      <c r="C20" s="2789"/>
      <c r="D20" s="2769"/>
      <c r="E20" s="2766"/>
      <c r="F20" s="2766"/>
      <c r="G20" s="2791"/>
      <c r="H20" s="2796"/>
      <c r="I20" s="2766"/>
      <c r="J20" s="2797"/>
      <c r="K20" s="2767">
        <f t="shared" si="0"/>
        <v>89000</v>
      </c>
    </row>
    <row r="21" spans="1:16" s="2719" customFormat="1" ht="15.75">
      <c r="A21" s="2768"/>
      <c r="B21" s="2770"/>
      <c r="C21" s="2769"/>
      <c r="D21" s="2769"/>
      <c r="E21" s="2766"/>
      <c r="F21" s="2766"/>
      <c r="G21" s="2791"/>
      <c r="H21" s="2796"/>
      <c r="I21" s="2766"/>
      <c r="J21" s="2797"/>
      <c r="K21" s="2767">
        <f t="shared" si="0"/>
        <v>89000</v>
      </c>
    </row>
    <row r="22" spans="1:16" s="2719" customFormat="1" ht="15.75">
      <c r="A22" s="2768"/>
      <c r="B22" s="2770"/>
      <c r="C22" s="2769"/>
      <c r="D22" s="2769"/>
      <c r="E22" s="2766"/>
      <c r="F22" s="2766"/>
      <c r="G22" s="2791"/>
      <c r="H22" s="2796"/>
      <c r="I22" s="2766"/>
      <c r="J22" s="2797"/>
      <c r="K22" s="2767">
        <f t="shared" si="0"/>
        <v>89000</v>
      </c>
    </row>
    <row r="23" spans="1:16" s="2719" customFormat="1" ht="15.75">
      <c r="A23" s="2768"/>
      <c r="B23" s="2770"/>
      <c r="C23" s="2769"/>
      <c r="D23" s="2769"/>
      <c r="E23" s="2766"/>
      <c r="F23" s="2766"/>
      <c r="G23" s="2791"/>
      <c r="H23" s="2796"/>
      <c r="I23" s="2766"/>
      <c r="J23" s="2797"/>
      <c r="K23" s="2767">
        <f t="shared" si="0"/>
        <v>89000</v>
      </c>
    </row>
    <row r="24" spans="1:16" s="2719" customFormat="1" ht="15.75">
      <c r="A24" s="2768"/>
      <c r="B24" s="2770"/>
      <c r="C24" s="2769"/>
      <c r="D24" s="2769"/>
      <c r="E24" s="2766"/>
      <c r="F24" s="2766"/>
      <c r="G24" s="2791"/>
      <c r="H24" s="2796"/>
      <c r="I24" s="2766"/>
      <c r="J24" s="2797"/>
      <c r="K24" s="2767">
        <f t="shared" si="0"/>
        <v>89000</v>
      </c>
    </row>
    <row r="25" spans="1:16" s="2719" customFormat="1" ht="15.75">
      <c r="A25" s="2768"/>
      <c r="B25" s="2770"/>
      <c r="C25" s="2769"/>
      <c r="D25" s="2769"/>
      <c r="E25" s="2766"/>
      <c r="F25" s="2766"/>
      <c r="G25" s="2791"/>
      <c r="H25" s="2796"/>
      <c r="I25" s="2766"/>
      <c r="J25" s="2797"/>
      <c r="K25" s="2767">
        <f t="shared" si="0"/>
        <v>89000</v>
      </c>
    </row>
    <row r="26" spans="1:16" s="2719" customFormat="1" ht="15.75">
      <c r="A26" s="2768"/>
      <c r="B26" s="2770"/>
      <c r="C26" s="2769"/>
      <c r="D26" s="2769"/>
      <c r="E26" s="2766"/>
      <c r="F26" s="2766"/>
      <c r="G26" s="2791"/>
      <c r="H26" s="2796"/>
      <c r="I26" s="2766"/>
      <c r="J26" s="2797"/>
      <c r="K26" s="2767">
        <f t="shared" si="0"/>
        <v>89000</v>
      </c>
    </row>
    <row r="27" spans="1:16" s="2719" customFormat="1" ht="16.5" thickBot="1">
      <c r="A27" s="2771"/>
      <c r="B27" s="2772"/>
      <c r="C27" s="2773"/>
      <c r="D27" s="2773"/>
      <c r="E27" s="2766"/>
      <c r="F27" s="2766"/>
      <c r="G27" s="2791"/>
      <c r="H27" s="2798"/>
      <c r="I27" s="2799"/>
      <c r="J27" s="2800"/>
      <c r="K27" s="2767">
        <f t="shared" si="0"/>
        <v>89000</v>
      </c>
    </row>
    <row r="28" spans="1:16" s="2719" customFormat="1" ht="17.25" thickTop="1" thickBot="1">
      <c r="A28" s="2722"/>
      <c r="B28" s="2723"/>
      <c r="C28" s="2774" t="s">
        <v>19</v>
      </c>
      <c r="D28" s="2775"/>
      <c r="E28" s="2803">
        <f t="shared" ref="E28:J28" si="1">SUM(E13:E27)</f>
        <v>0</v>
      </c>
      <c r="F28" s="2803">
        <f t="shared" si="1"/>
        <v>0</v>
      </c>
      <c r="G28" s="2804">
        <f t="shared" si="1"/>
        <v>0</v>
      </c>
      <c r="H28" s="2805">
        <f t="shared" si="1"/>
        <v>0</v>
      </c>
      <c r="I28" s="2806">
        <f t="shared" si="1"/>
        <v>0</v>
      </c>
      <c r="J28" s="2807">
        <f t="shared" si="1"/>
        <v>0</v>
      </c>
      <c r="K28" s="2808">
        <f>(SUM((E28:G28))-(SUM((H28:J28))))</f>
        <v>0</v>
      </c>
      <c r="N28" s="2776"/>
      <c r="P28" s="2776"/>
    </row>
    <row r="29" spans="1:16" s="2719" customFormat="1" ht="17.25" thickTop="1" thickBot="1">
      <c r="A29" s="2722"/>
      <c r="B29" s="2723"/>
      <c r="C29" s="2774" t="s">
        <v>257</v>
      </c>
      <c r="D29" s="2775"/>
      <c r="E29" s="2803">
        <f t="shared" ref="E29:J29" si="2">E12+E28</f>
        <v>0</v>
      </c>
      <c r="F29" s="2803">
        <f t="shared" si="2"/>
        <v>0</v>
      </c>
      <c r="G29" s="2804">
        <f t="shared" si="2"/>
        <v>0</v>
      </c>
      <c r="H29" s="2809">
        <f t="shared" si="2"/>
        <v>0</v>
      </c>
      <c r="I29" s="2803">
        <f t="shared" si="2"/>
        <v>0</v>
      </c>
      <c r="J29" s="2804">
        <f t="shared" si="2"/>
        <v>0</v>
      </c>
      <c r="K29" s="2808">
        <f>(SUM((E29:G29))-(SUM((H29:J29))))</f>
        <v>0</v>
      </c>
    </row>
    <row r="30" spans="1:16" s="2719" customFormat="1" ht="17.25" thickTop="1" thickBot="1">
      <c r="A30" s="2724"/>
      <c r="B30" s="2725"/>
      <c r="C30" s="2777" t="s">
        <v>20</v>
      </c>
      <c r="D30" s="2778"/>
      <c r="E30" s="2810">
        <f t="shared" ref="E30:J30" si="3">E11+E29</f>
        <v>169182000</v>
      </c>
      <c r="F30" s="2810">
        <f t="shared" si="3"/>
        <v>2200000</v>
      </c>
      <c r="G30" s="2811">
        <f t="shared" si="3"/>
        <v>370978</v>
      </c>
      <c r="H30" s="2812">
        <f t="shared" si="3"/>
        <v>171409884</v>
      </c>
      <c r="I30" s="2810">
        <f t="shared" si="3"/>
        <v>69594</v>
      </c>
      <c r="J30" s="2811">
        <f t="shared" si="3"/>
        <v>184500</v>
      </c>
      <c r="K30" s="2813">
        <f>(SUM((E30:G30))-(SUM((H30:J30))))</f>
        <v>89000</v>
      </c>
    </row>
    <row r="31" spans="1:16" s="2719" customFormat="1" ht="15.75">
      <c r="B31" s="2744"/>
    </row>
    <row r="32" spans="1:16" s="2719" customFormat="1" ht="15.75">
      <c r="A32" s="2779"/>
      <c r="B32" s="2744"/>
      <c r="C32" s="2714"/>
      <c r="D32" s="2714"/>
      <c r="E32" s="2714"/>
      <c r="F32" s="2714"/>
      <c r="G32" s="2714"/>
      <c r="H32" s="2714"/>
      <c r="I32" s="2730" t="str">
        <f>'Bank DOK PERNC'!J32</f>
        <v>Nagrak, 29 Februari 2016 2016</v>
      </c>
      <c r="M32" s="2776">
        <f>G30-(I30+J30)</f>
        <v>116884</v>
      </c>
    </row>
    <row r="33" spans="1:11" s="2719" customFormat="1" ht="15.75">
      <c r="B33" s="2729"/>
      <c r="C33" s="2731" t="s">
        <v>2293</v>
      </c>
      <c r="D33" s="2731"/>
      <c r="E33" s="2714"/>
      <c r="F33" s="2731" t="s">
        <v>21</v>
      </c>
      <c r="G33" s="2714"/>
      <c r="H33" s="2714"/>
      <c r="I33" s="2731" t="s">
        <v>22</v>
      </c>
    </row>
    <row r="34" spans="1:11" s="2719" customFormat="1" ht="15.75">
      <c r="B34" s="2729" t="s">
        <v>211</v>
      </c>
      <c r="C34" s="2731"/>
      <c r="D34" s="2730" t="s">
        <v>2294</v>
      </c>
      <c r="E34" s="2714"/>
      <c r="F34" s="2731" t="s">
        <v>23</v>
      </c>
      <c r="G34" s="2714"/>
      <c r="H34" s="2714"/>
      <c r="I34" s="2733" t="s">
        <v>24</v>
      </c>
    </row>
    <row r="35" spans="1:11" s="2719" customFormat="1" ht="15.75">
      <c r="B35" s="2729"/>
      <c r="C35" s="2731"/>
      <c r="D35" s="2730"/>
      <c r="E35" s="2714"/>
      <c r="F35" s="2731"/>
      <c r="G35" s="2714"/>
      <c r="H35" s="2714"/>
      <c r="I35" s="2733"/>
    </row>
    <row r="36" spans="1:11" ht="15.75">
      <c r="A36" s="2719"/>
      <c r="B36" s="2729"/>
      <c r="C36" s="2731"/>
      <c r="D36" s="2730"/>
      <c r="E36" s="2714"/>
      <c r="F36" s="2731"/>
      <c r="G36" s="2714"/>
      <c r="H36" s="2714"/>
      <c r="I36" s="2733"/>
      <c r="J36" s="2719"/>
      <c r="K36" s="2719"/>
    </row>
    <row r="37" spans="1:11" ht="15.75">
      <c r="A37" s="2719"/>
      <c r="B37" s="2729"/>
      <c r="C37" s="2731"/>
      <c r="D37" s="2730"/>
      <c r="E37" s="2714"/>
      <c r="F37" s="2731"/>
      <c r="G37" s="2714"/>
      <c r="H37" s="2714"/>
      <c r="I37" s="2733"/>
    </row>
    <row r="38" spans="1:11">
      <c r="B38" s="2780"/>
      <c r="C38" s="2781"/>
      <c r="D38" s="2781"/>
      <c r="F38" s="2781"/>
    </row>
    <row r="39" spans="1:11">
      <c r="B39" s="2780"/>
      <c r="C39" s="2781"/>
      <c r="D39" s="2781"/>
      <c r="F39" s="2781"/>
    </row>
    <row r="40" spans="1:11">
      <c r="B40" s="2780"/>
      <c r="C40" s="2781"/>
      <c r="D40" s="2781"/>
      <c r="F40" s="2781"/>
      <c r="J40" s="2782"/>
      <c r="K40" s="2782"/>
    </row>
    <row r="41" spans="1:11" ht="15.75">
      <c r="B41" s="2738" t="s">
        <v>2295</v>
      </c>
      <c r="C41" s="2743"/>
      <c r="D41" s="2738" t="s">
        <v>2642</v>
      </c>
      <c r="F41" s="2738" t="str">
        <f>'Bank DOK PERNC'!C39</f>
        <v>Endang Taryana</v>
      </c>
      <c r="I41" s="2738" t="str">
        <f>'Bank DOK PERNC'!J39</f>
        <v>Arin Yustini, SE</v>
      </c>
    </row>
  </sheetData>
  <mergeCells count="14">
    <mergeCell ref="G9:G10"/>
    <mergeCell ref="H9:H10"/>
    <mergeCell ref="I9:I10"/>
    <mergeCell ref="J9:J10"/>
    <mergeCell ref="A1:K1"/>
    <mergeCell ref="A2:K2"/>
    <mergeCell ref="A8:A10"/>
    <mergeCell ref="B8:B10"/>
    <mergeCell ref="C8:C10"/>
    <mergeCell ref="D8:D9"/>
    <mergeCell ref="E8:G8"/>
    <mergeCell ref="H8:J8"/>
    <mergeCell ref="K8:K10"/>
    <mergeCell ref="E9:F9"/>
  </mergeCells>
  <pageMargins left="0.70866141732283472" right="0.70866141732283472" top="0.53" bottom="0.49" header="0.31496062992125984" footer="0.31496062992125984"/>
  <pageSetup paperSize="5" scale="75" orientation="landscape" horizontalDpi="4294967293" verticalDpi="4294967293"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8" tint="0.39997558519241921"/>
  </sheetPr>
  <dimension ref="A1:Q39"/>
  <sheetViews>
    <sheetView topLeftCell="A4" zoomScale="70" zoomScaleNormal="70" workbookViewId="0">
      <selection activeCell="E12" sqref="E12:K18"/>
    </sheetView>
  </sheetViews>
  <sheetFormatPr defaultColWidth="9.140625" defaultRowHeight="12.75"/>
  <cols>
    <col min="1" max="1" width="4.28515625" style="15" customWidth="1"/>
    <col min="2" max="2" width="20.140625" style="19" customWidth="1"/>
    <col min="3" max="3" width="44.5703125" style="15" customWidth="1"/>
    <col min="4" max="4" width="17" style="15" customWidth="1"/>
    <col min="5" max="12" width="16.7109375" style="15" customWidth="1"/>
    <col min="13" max="13" width="16.42578125" style="15" customWidth="1"/>
    <col min="14" max="14" width="20.28515625" style="15" customWidth="1"/>
    <col min="15" max="15" width="21" style="15" customWidth="1"/>
    <col min="16" max="16" width="9.140625" style="15"/>
    <col min="17" max="17" width="14" style="15" bestFit="1" customWidth="1"/>
    <col min="18" max="16384" width="9.140625" style="15"/>
  </cols>
  <sheetData>
    <row r="1" spans="1:12" s="24" customFormat="1" ht="20.25">
      <c r="A1" s="3396" t="s">
        <v>55</v>
      </c>
      <c r="B1" s="3396"/>
      <c r="C1" s="3396"/>
      <c r="D1" s="3396"/>
      <c r="E1" s="3396"/>
      <c r="F1" s="3396"/>
      <c r="G1" s="3396"/>
      <c r="H1" s="3396"/>
      <c r="I1" s="3396"/>
      <c r="J1" s="3396"/>
      <c r="K1" s="3396"/>
      <c r="L1" s="3396"/>
    </row>
    <row r="2" spans="1:12" s="24" customFormat="1" ht="20.25">
      <c r="A2" s="3396" t="s">
        <v>586</v>
      </c>
      <c r="B2" s="3396"/>
      <c r="C2" s="3396"/>
      <c r="D2" s="3396"/>
      <c r="E2" s="3396"/>
      <c r="F2" s="3396"/>
      <c r="G2" s="3396"/>
      <c r="H2" s="3396"/>
      <c r="I2" s="3396"/>
      <c r="J2" s="3396"/>
      <c r="K2" s="3396"/>
      <c r="L2" s="3396"/>
    </row>
    <row r="3" spans="1:12">
      <c r="B3" s="16"/>
      <c r="C3" s="17"/>
      <c r="D3" s="17"/>
      <c r="E3" s="17"/>
      <c r="F3" s="17"/>
      <c r="G3" s="17"/>
      <c r="H3" s="17"/>
      <c r="I3" s="17"/>
      <c r="J3" s="17"/>
      <c r="K3" s="17"/>
      <c r="L3" s="17"/>
    </row>
    <row r="4" spans="1:12" s="1" customFormat="1" ht="15.75">
      <c r="A4" s="23" t="s">
        <v>2</v>
      </c>
      <c r="B4" s="10"/>
      <c r="C4" s="4" t="str">
        <f>": "&amp;DT!D3</f>
        <v>: Nagrak</v>
      </c>
      <c r="G4" s="23"/>
      <c r="H4" s="542" t="s">
        <v>3</v>
      </c>
      <c r="J4" s="6" t="str">
        <f>": "&amp;DT!D25</f>
        <v>: Februari 2016</v>
      </c>
    </row>
    <row r="5" spans="1:12" s="1" customFormat="1" ht="15.75">
      <c r="A5" s="23" t="s">
        <v>4</v>
      </c>
      <c r="B5" s="10"/>
      <c r="C5" s="4" t="str">
        <f>": "&amp;DT!D4</f>
        <v>: Sukabumi</v>
      </c>
      <c r="G5" s="23"/>
      <c r="H5" s="542" t="s">
        <v>56</v>
      </c>
      <c r="J5" s="6" t="s">
        <v>357</v>
      </c>
    </row>
    <row r="6" spans="1:12" s="1" customFormat="1" ht="15.75">
      <c r="A6" s="23" t="s">
        <v>6</v>
      </c>
      <c r="B6" s="10"/>
      <c r="C6" s="4" t="str">
        <f>": "&amp;DT!D5</f>
        <v>: Jawa Barat</v>
      </c>
      <c r="G6" s="23"/>
      <c r="H6" s="542" t="s">
        <v>488</v>
      </c>
      <c r="J6" s="6" t="str">
        <f>": "&amp;DT!D40</f>
        <v>: .................................</v>
      </c>
    </row>
    <row r="7" spans="1:12" s="1" customFormat="1" ht="16.5" thickBot="1">
      <c r="A7" s="23"/>
      <c r="B7" s="10"/>
      <c r="C7" s="5"/>
      <c r="E7" s="23"/>
      <c r="F7" s="23"/>
      <c r="G7" s="23"/>
      <c r="H7" s="25"/>
      <c r="I7" s="4"/>
    </row>
    <row r="8" spans="1:12" s="1" customFormat="1" ht="25.5" customHeight="1">
      <c r="A8" s="3545" t="s">
        <v>57</v>
      </c>
      <c r="B8" s="3545" t="s">
        <v>7</v>
      </c>
      <c r="C8" s="3545" t="s">
        <v>8</v>
      </c>
      <c r="D8" s="2339" t="s">
        <v>9</v>
      </c>
      <c r="E8" s="3450" t="s">
        <v>10</v>
      </c>
      <c r="F8" s="3445"/>
      <c r="G8" s="3445"/>
      <c r="H8" s="3548"/>
      <c r="I8" s="3541" t="s">
        <v>11</v>
      </c>
      <c r="J8" s="3445"/>
      <c r="K8" s="3456"/>
      <c r="L8" s="3576" t="s">
        <v>12</v>
      </c>
    </row>
    <row r="9" spans="1:12" s="1" customFormat="1" ht="15.75">
      <c r="A9" s="3546"/>
      <c r="B9" s="3546"/>
      <c r="C9" s="3546"/>
      <c r="D9" s="2340"/>
      <c r="E9" s="3549" t="s">
        <v>58</v>
      </c>
      <c r="F9" s="3446"/>
      <c r="G9" s="3446"/>
      <c r="H9" s="3452" t="s">
        <v>59</v>
      </c>
      <c r="I9" s="3542" t="s">
        <v>60</v>
      </c>
      <c r="J9" s="3446" t="s">
        <v>61</v>
      </c>
      <c r="K9" s="3460" t="s">
        <v>62</v>
      </c>
      <c r="L9" s="3577"/>
    </row>
    <row r="10" spans="1:12" s="1" customFormat="1" ht="30.75" thickBot="1">
      <c r="A10" s="3547"/>
      <c r="B10" s="3547"/>
      <c r="C10" s="3547"/>
      <c r="D10" s="2341" t="s">
        <v>13</v>
      </c>
      <c r="E10" s="2338" t="s">
        <v>886</v>
      </c>
      <c r="F10" s="2206" t="s">
        <v>885</v>
      </c>
      <c r="G10" s="2206" t="s">
        <v>571</v>
      </c>
      <c r="H10" s="3453"/>
      <c r="I10" s="3543"/>
      <c r="J10" s="3447"/>
      <c r="K10" s="3461"/>
      <c r="L10" s="3578"/>
    </row>
    <row r="11" spans="1:12" s="1" customFormat="1" ht="28.5" customHeight="1" thickBot="1">
      <c r="A11" s="2814"/>
      <c r="B11" s="2815"/>
      <c r="C11" s="2816" t="s">
        <v>258</v>
      </c>
      <c r="D11" s="2817"/>
      <c r="E11" s="2331">
        <v>204200000</v>
      </c>
      <c r="F11" s="2332">
        <v>0</v>
      </c>
      <c r="G11" s="2333">
        <v>500000</v>
      </c>
      <c r="H11" s="2333">
        <v>1478143</v>
      </c>
      <c r="I11" s="2337">
        <v>205470761</v>
      </c>
      <c r="J11" s="2334">
        <v>446200</v>
      </c>
      <c r="K11" s="2335">
        <v>261182</v>
      </c>
      <c r="L11" s="2336">
        <f>(SUM((E11:H11))-(SUM((I11:K11))))</f>
        <v>0</v>
      </c>
    </row>
    <row r="12" spans="1:12" s="23" customFormat="1" ht="28.5" customHeight="1" thickTop="1" thickBot="1">
      <c r="A12" s="2819"/>
      <c r="B12" s="2820"/>
      <c r="C12" s="2821" t="s">
        <v>539</v>
      </c>
      <c r="D12" s="2822"/>
      <c r="E12" s="991"/>
      <c r="F12" s="1030"/>
      <c r="G12" s="992"/>
      <c r="H12" s="992"/>
      <c r="I12" s="2283"/>
      <c r="J12" s="961"/>
      <c r="K12" s="962"/>
      <c r="L12" s="994">
        <f>L11+(SUM((E12:H12))-(SUM((I12:K12))))</f>
        <v>0</v>
      </c>
    </row>
    <row r="13" spans="1:12" s="1" customFormat="1" ht="16.5" thickTop="1">
      <c r="A13" s="229"/>
      <c r="B13" s="2818"/>
      <c r="C13" s="229"/>
      <c r="D13" s="2145"/>
      <c r="E13" s="459"/>
      <c r="F13" s="1031"/>
      <c r="G13" s="520"/>
      <c r="H13" s="520"/>
      <c r="I13" s="2303"/>
      <c r="J13" s="457"/>
      <c r="K13" s="524"/>
      <c r="L13" s="995">
        <f t="shared" ref="L13:L27" si="0">L12+(SUM((E13:H13))-(SUM((I13:K13))))</f>
        <v>0</v>
      </c>
    </row>
    <row r="14" spans="1:12" s="1" customFormat="1" ht="15.75">
      <c r="A14" s="71"/>
      <c r="B14" s="536"/>
      <c r="C14" s="71"/>
      <c r="D14" s="537"/>
      <c r="E14" s="145"/>
      <c r="F14" s="1032"/>
      <c r="G14" s="521"/>
      <c r="H14" s="521"/>
      <c r="I14" s="2284"/>
      <c r="J14" s="146"/>
      <c r="K14" s="525"/>
      <c r="L14" s="995">
        <f t="shared" si="0"/>
        <v>0</v>
      </c>
    </row>
    <row r="15" spans="1:12" s="1" customFormat="1" ht="15.75">
      <c r="A15" s="71"/>
      <c r="B15" s="536"/>
      <c r="C15" s="71"/>
      <c r="D15" s="537"/>
      <c r="E15" s="145"/>
      <c r="F15" s="1032"/>
      <c r="G15" s="521"/>
      <c r="H15" s="521"/>
      <c r="I15" s="2284"/>
      <c r="J15" s="146"/>
      <c r="K15" s="525"/>
      <c r="L15" s="995">
        <f t="shared" si="0"/>
        <v>0</v>
      </c>
    </row>
    <row r="16" spans="1:12" s="1" customFormat="1" ht="15.75">
      <c r="A16" s="71"/>
      <c r="B16" s="536"/>
      <c r="C16" s="71"/>
      <c r="D16" s="537"/>
      <c r="E16" s="145"/>
      <c r="F16" s="1032"/>
      <c r="G16" s="521"/>
      <c r="H16" s="521"/>
      <c r="I16" s="2284"/>
      <c r="J16" s="146"/>
      <c r="K16" s="525"/>
      <c r="L16" s="995">
        <f t="shared" si="0"/>
        <v>0</v>
      </c>
    </row>
    <row r="17" spans="1:17" s="1" customFormat="1" ht="15.75">
      <c r="A17" s="71"/>
      <c r="B17" s="536"/>
      <c r="C17" s="71"/>
      <c r="D17" s="2311"/>
      <c r="E17" s="145"/>
      <c r="F17" s="1032"/>
      <c r="G17" s="521"/>
      <c r="H17" s="521"/>
      <c r="I17" s="2284"/>
      <c r="J17" s="146"/>
      <c r="K17" s="525"/>
      <c r="L17" s="995">
        <f t="shared" si="0"/>
        <v>0</v>
      </c>
    </row>
    <row r="18" spans="1:17" s="1" customFormat="1" ht="15.75">
      <c r="A18" s="535"/>
      <c r="B18" s="536"/>
      <c r="C18" s="537"/>
      <c r="D18" s="537"/>
      <c r="E18" s="145"/>
      <c r="F18" s="1032"/>
      <c r="G18" s="521"/>
      <c r="H18" s="521"/>
      <c r="I18" s="2284"/>
      <c r="J18" s="146"/>
      <c r="K18" s="525"/>
      <c r="L18" s="995">
        <f t="shared" si="0"/>
        <v>0</v>
      </c>
    </row>
    <row r="19" spans="1:17" s="1" customFormat="1" ht="15.75">
      <c r="A19" s="535"/>
      <c r="B19" s="536"/>
      <c r="C19" s="537"/>
      <c r="D19" s="537"/>
      <c r="E19" s="145"/>
      <c r="F19" s="1032"/>
      <c r="G19" s="521"/>
      <c r="H19" s="521"/>
      <c r="I19" s="2284"/>
      <c r="J19" s="146"/>
      <c r="K19" s="525"/>
      <c r="L19" s="995">
        <f t="shared" si="0"/>
        <v>0</v>
      </c>
    </row>
    <row r="20" spans="1:17" s="1" customFormat="1" ht="15.75">
      <c r="A20" s="535"/>
      <c r="B20" s="536"/>
      <c r="C20" s="537"/>
      <c r="D20" s="537"/>
      <c r="E20" s="145"/>
      <c r="F20" s="1032"/>
      <c r="G20" s="521"/>
      <c r="H20" s="521"/>
      <c r="I20" s="2284"/>
      <c r="J20" s="146"/>
      <c r="K20" s="525"/>
      <c r="L20" s="995">
        <f t="shared" si="0"/>
        <v>0</v>
      </c>
    </row>
    <row r="21" spans="1:17" s="1" customFormat="1" ht="15.75">
      <c r="A21" s="535"/>
      <c r="B21" s="536"/>
      <c r="C21" s="537"/>
      <c r="D21" s="537"/>
      <c r="E21" s="145"/>
      <c r="F21" s="1032"/>
      <c r="G21" s="521"/>
      <c r="H21" s="521"/>
      <c r="I21" s="2284"/>
      <c r="J21" s="146"/>
      <c r="K21" s="525"/>
      <c r="L21" s="995">
        <f t="shared" si="0"/>
        <v>0</v>
      </c>
    </row>
    <row r="22" spans="1:17" s="1" customFormat="1" ht="15.75">
      <c r="A22" s="535"/>
      <c r="B22" s="536"/>
      <c r="C22" s="537"/>
      <c r="D22" s="537"/>
      <c r="E22" s="145"/>
      <c r="F22" s="1032"/>
      <c r="G22" s="521"/>
      <c r="H22" s="521"/>
      <c r="I22" s="2284"/>
      <c r="J22" s="146"/>
      <c r="K22" s="525"/>
      <c r="L22" s="995">
        <f t="shared" si="0"/>
        <v>0</v>
      </c>
    </row>
    <row r="23" spans="1:17" s="1" customFormat="1" ht="15.75">
      <c r="A23" s="535"/>
      <c r="B23" s="536"/>
      <c r="C23" s="537"/>
      <c r="D23" s="537"/>
      <c r="E23" s="145"/>
      <c r="F23" s="1032"/>
      <c r="G23" s="521"/>
      <c r="H23" s="144"/>
      <c r="I23" s="145"/>
      <c r="J23" s="146"/>
      <c r="K23" s="525"/>
      <c r="L23" s="995">
        <f t="shared" si="0"/>
        <v>0</v>
      </c>
    </row>
    <row r="24" spans="1:17" s="1" customFormat="1" ht="15.75">
      <c r="A24" s="535"/>
      <c r="B24" s="536"/>
      <c r="C24" s="537"/>
      <c r="D24" s="537"/>
      <c r="E24" s="145"/>
      <c r="F24" s="1032"/>
      <c r="G24" s="521"/>
      <c r="H24" s="144"/>
      <c r="I24" s="145"/>
      <c r="J24" s="146"/>
      <c r="K24" s="525"/>
      <c r="L24" s="995">
        <f t="shared" si="0"/>
        <v>0</v>
      </c>
    </row>
    <row r="25" spans="1:17" s="1" customFormat="1" ht="15.75">
      <c r="A25" s="535"/>
      <c r="B25" s="536"/>
      <c r="C25" s="537"/>
      <c r="D25" s="537"/>
      <c r="E25" s="145"/>
      <c r="F25" s="1032"/>
      <c r="G25" s="521"/>
      <c r="H25" s="144"/>
      <c r="I25" s="145"/>
      <c r="J25" s="146"/>
      <c r="K25" s="525"/>
      <c r="L25" s="996">
        <f t="shared" si="0"/>
        <v>0</v>
      </c>
    </row>
    <row r="26" spans="1:17" s="1" customFormat="1" ht="15.75">
      <c r="A26" s="535"/>
      <c r="B26" s="536"/>
      <c r="C26" s="537"/>
      <c r="D26" s="537"/>
      <c r="E26" s="145"/>
      <c r="F26" s="1032"/>
      <c r="G26" s="521"/>
      <c r="H26" s="144"/>
      <c r="I26" s="145"/>
      <c r="J26" s="146"/>
      <c r="K26" s="525"/>
      <c r="L26" s="996">
        <f t="shared" si="0"/>
        <v>0</v>
      </c>
    </row>
    <row r="27" spans="1:17" s="1" customFormat="1" ht="16.5" thickBot="1">
      <c r="A27" s="538"/>
      <c r="B27" s="539"/>
      <c r="C27" s="540"/>
      <c r="D27" s="540"/>
      <c r="E27" s="462"/>
      <c r="F27" s="1033"/>
      <c r="G27" s="522"/>
      <c r="H27" s="461"/>
      <c r="I27" s="462"/>
      <c r="J27" s="460"/>
      <c r="K27" s="526"/>
      <c r="L27" s="996">
        <f t="shared" si="0"/>
        <v>0</v>
      </c>
    </row>
    <row r="28" spans="1:17" s="1" customFormat="1" ht="26.25" customHeight="1" thickTop="1" thickBot="1">
      <c r="A28" s="214"/>
      <c r="B28" s="218"/>
      <c r="C28" s="82" t="s">
        <v>19</v>
      </c>
      <c r="D28" s="220"/>
      <c r="E28" s="948">
        <f t="shared" ref="E28:K28" si="1">SUM(E13:E27)</f>
        <v>0</v>
      </c>
      <c r="F28" s="948">
        <f>SUM(F13:F27)</f>
        <v>0</v>
      </c>
      <c r="G28" s="999">
        <f t="shared" si="1"/>
        <v>0</v>
      </c>
      <c r="H28" s="949">
        <f t="shared" si="1"/>
        <v>0</v>
      </c>
      <c r="I28" s="950">
        <f t="shared" si="1"/>
        <v>0</v>
      </c>
      <c r="J28" s="948">
        <f t="shared" si="1"/>
        <v>0</v>
      </c>
      <c r="K28" s="957">
        <f t="shared" si="1"/>
        <v>0</v>
      </c>
      <c r="L28" s="997">
        <f>(SUM((E28:H28))-(SUM((I28:K28))))</f>
        <v>0</v>
      </c>
      <c r="O28" s="7"/>
      <c r="Q28" s="7"/>
    </row>
    <row r="29" spans="1:17" s="1" customFormat="1" ht="26.25" customHeight="1" thickTop="1" thickBot="1">
      <c r="A29" s="214"/>
      <c r="B29" s="218"/>
      <c r="C29" s="82" t="s">
        <v>257</v>
      </c>
      <c r="D29" s="220"/>
      <c r="E29" s="948">
        <f t="shared" ref="E29:K29" si="2">E12+E28</f>
        <v>0</v>
      </c>
      <c r="F29" s="948">
        <f>F12+F28</f>
        <v>0</v>
      </c>
      <c r="G29" s="999">
        <f t="shared" si="2"/>
        <v>0</v>
      </c>
      <c r="H29" s="949">
        <f t="shared" si="2"/>
        <v>0</v>
      </c>
      <c r="I29" s="950">
        <f t="shared" si="2"/>
        <v>0</v>
      </c>
      <c r="J29" s="948">
        <f t="shared" si="2"/>
        <v>0</v>
      </c>
      <c r="K29" s="957">
        <f t="shared" si="2"/>
        <v>0</v>
      </c>
      <c r="L29" s="997">
        <f>(SUM((E29:H29))-(SUM((I29:K29))))</f>
        <v>0</v>
      </c>
    </row>
    <row r="30" spans="1:17" s="1" customFormat="1" ht="26.25" customHeight="1" thickTop="1" thickBot="1">
      <c r="A30" s="215"/>
      <c r="B30" s="219"/>
      <c r="C30" s="216" t="s">
        <v>20</v>
      </c>
      <c r="D30" s="221"/>
      <c r="E30" s="952">
        <f t="shared" ref="E30:K30" si="3">E11+E29</f>
        <v>204200000</v>
      </c>
      <c r="F30" s="952">
        <f>F11+F29</f>
        <v>0</v>
      </c>
      <c r="G30" s="1000">
        <f t="shared" si="3"/>
        <v>500000</v>
      </c>
      <c r="H30" s="953">
        <f t="shared" si="3"/>
        <v>1478143</v>
      </c>
      <c r="I30" s="954">
        <f t="shared" si="3"/>
        <v>205470761</v>
      </c>
      <c r="J30" s="952">
        <f t="shared" si="3"/>
        <v>446200</v>
      </c>
      <c r="K30" s="947">
        <f t="shared" si="3"/>
        <v>261182</v>
      </c>
      <c r="L30" s="998">
        <f>(SUM((E30:H30))-(SUM((I30:K30))))</f>
        <v>0</v>
      </c>
    </row>
    <row r="31" spans="1:17" s="1" customFormat="1" ht="15.75">
      <c r="B31" s="10"/>
    </row>
    <row r="32" spans="1:17" s="1" customFormat="1" ht="15.75">
      <c r="A32" s="147"/>
      <c r="B32" s="10"/>
      <c r="C32" s="123"/>
      <c r="D32" s="123"/>
      <c r="E32" s="123"/>
      <c r="F32" s="123"/>
      <c r="G32" s="123"/>
      <c r="H32" s="123"/>
      <c r="I32" s="123"/>
      <c r="J32" s="11" t="str">
        <f>DT!D28</f>
        <v>Nagrak, 29 Februari 2016 2016</v>
      </c>
    </row>
    <row r="33" spans="2:10" s="1" customFormat="1" ht="15.75">
      <c r="B33" s="10"/>
      <c r="C33" s="148" t="s">
        <v>21</v>
      </c>
      <c r="D33" s="123"/>
      <c r="E33" s="123"/>
      <c r="F33" s="123"/>
      <c r="G33" s="123"/>
      <c r="H33" s="123"/>
      <c r="I33" s="123"/>
      <c r="J33" s="148" t="s">
        <v>22</v>
      </c>
    </row>
    <row r="34" spans="2:10" s="1" customFormat="1" ht="15.75">
      <c r="B34" s="10"/>
      <c r="C34" s="148" t="s">
        <v>23</v>
      </c>
      <c r="E34" s="123"/>
      <c r="F34" s="123"/>
      <c r="G34" s="123"/>
      <c r="H34" s="123"/>
      <c r="I34" s="123"/>
      <c r="J34" s="149" t="s">
        <v>24</v>
      </c>
    </row>
    <row r="35" spans="2:10" s="1" customFormat="1" ht="15.75">
      <c r="B35" s="10"/>
      <c r="C35" s="148"/>
      <c r="E35" s="123"/>
      <c r="F35" s="123"/>
      <c r="G35" s="123"/>
      <c r="H35" s="123"/>
      <c r="I35" s="123"/>
      <c r="J35" s="149"/>
    </row>
    <row r="39" spans="2:10">
      <c r="C39" s="488" t="str">
        <f>DT!D14</f>
        <v>Endang Taryana</v>
      </c>
      <c r="J39" s="488" t="str">
        <f>DT!D15</f>
        <v>Arin Yustini, SE</v>
      </c>
    </row>
  </sheetData>
  <mergeCells count="13">
    <mergeCell ref="A1:L1"/>
    <mergeCell ref="A2:L2"/>
    <mergeCell ref="A8:A10"/>
    <mergeCell ref="B8:B10"/>
    <mergeCell ref="C8:C10"/>
    <mergeCell ref="E8:H8"/>
    <mergeCell ref="I8:K8"/>
    <mergeCell ref="L8:L10"/>
    <mergeCell ref="E9:G9"/>
    <mergeCell ref="H9:H10"/>
    <mergeCell ref="I9:I10"/>
    <mergeCell ref="J9:J10"/>
    <mergeCell ref="K9:K10"/>
  </mergeCells>
  <printOptions horizontalCentered="1" verticalCentered="1"/>
  <pageMargins left="0.23622047244094491" right="0.23622047244094491" top="0.98425196850393704" bottom="0.23622047244094491" header="0.51181102362204722" footer="0.51181102362204722"/>
  <pageSetup paperSize="9" scale="65" orientation="landscape" horizontalDpi="4294967293" verticalDpi="4294967293" r:id="rId1"/>
  <headerFooter alignWithMargins="0"/>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8" tint="0.39997558519241921"/>
  </sheetPr>
  <dimension ref="A1:Q39"/>
  <sheetViews>
    <sheetView topLeftCell="A10" zoomScale="70" zoomScaleNormal="70" workbookViewId="0">
      <selection activeCell="K25" sqref="K25"/>
    </sheetView>
  </sheetViews>
  <sheetFormatPr defaultColWidth="9.140625" defaultRowHeight="12.75"/>
  <cols>
    <col min="1" max="1" width="4.28515625" style="15" customWidth="1"/>
    <col min="2" max="2" width="18.28515625" style="19" customWidth="1"/>
    <col min="3" max="3" width="44.5703125" style="15" customWidth="1"/>
    <col min="4" max="4" width="17" style="15" customWidth="1"/>
    <col min="5" max="12" width="16.7109375" style="15" customWidth="1"/>
    <col min="13" max="13" width="16.42578125" style="15" customWidth="1"/>
    <col min="14" max="14" width="20.28515625" style="15" customWidth="1"/>
    <col min="15" max="15" width="21" style="15" customWidth="1"/>
    <col min="16" max="16" width="9.140625" style="15"/>
    <col min="17" max="17" width="14" style="15" bestFit="1" customWidth="1"/>
    <col min="18" max="16384" width="9.140625" style="15"/>
  </cols>
  <sheetData>
    <row r="1" spans="1:12" s="24" customFormat="1" ht="20.25">
      <c r="A1" s="3396" t="s">
        <v>55</v>
      </c>
      <c r="B1" s="3396"/>
      <c r="C1" s="3396"/>
      <c r="D1" s="3396"/>
      <c r="E1" s="3396"/>
      <c r="F1" s="3396"/>
      <c r="G1" s="3396"/>
      <c r="H1" s="3396"/>
      <c r="I1" s="3396"/>
      <c r="J1" s="3396"/>
      <c r="K1" s="3396"/>
      <c r="L1" s="3396"/>
    </row>
    <row r="2" spans="1:12" s="24" customFormat="1" ht="20.25">
      <c r="A2" s="3396" t="s">
        <v>587</v>
      </c>
      <c r="B2" s="3396"/>
      <c r="C2" s="3396"/>
      <c r="D2" s="3396"/>
      <c r="E2" s="3396"/>
      <c r="F2" s="3396"/>
      <c r="G2" s="3396"/>
      <c r="H2" s="3396"/>
      <c r="I2" s="3396"/>
      <c r="J2" s="3396"/>
      <c r="K2" s="3396"/>
      <c r="L2" s="3396"/>
    </row>
    <row r="3" spans="1:12">
      <c r="B3" s="16"/>
      <c r="C3" s="17"/>
      <c r="D3" s="17"/>
      <c r="E3" s="17"/>
      <c r="F3" s="17"/>
      <c r="G3" s="17"/>
      <c r="H3" s="17"/>
      <c r="I3" s="17"/>
      <c r="J3" s="17"/>
      <c r="K3" s="17"/>
      <c r="L3" s="17"/>
    </row>
    <row r="4" spans="1:12" s="1" customFormat="1" ht="15.75">
      <c r="A4" s="23" t="s">
        <v>2</v>
      </c>
      <c r="B4" s="10"/>
      <c r="C4" s="4" t="str">
        <f>": "&amp;DT!D3</f>
        <v>: Nagrak</v>
      </c>
      <c r="G4" s="23"/>
      <c r="H4" s="542" t="s">
        <v>3</v>
      </c>
      <c r="J4" s="6" t="str">
        <f>": "&amp;DT!D25</f>
        <v>: Februari 2016</v>
      </c>
    </row>
    <row r="5" spans="1:12" s="1" customFormat="1" ht="15.75">
      <c r="A5" s="23" t="s">
        <v>4</v>
      </c>
      <c r="B5" s="10"/>
      <c r="C5" s="4" t="str">
        <f>": "&amp;DT!D4</f>
        <v>: Sukabumi</v>
      </c>
      <c r="G5" s="23"/>
      <c r="H5" s="542" t="s">
        <v>56</v>
      </c>
      <c r="J5" s="6" t="s">
        <v>357</v>
      </c>
    </row>
    <row r="6" spans="1:12" s="1" customFormat="1" ht="15.75">
      <c r="A6" s="23" t="s">
        <v>6</v>
      </c>
      <c r="B6" s="10"/>
      <c r="C6" s="4" t="str">
        <f>": "&amp;DT!D5</f>
        <v>: Jawa Barat</v>
      </c>
      <c r="G6" s="23"/>
      <c r="H6" s="542" t="s">
        <v>488</v>
      </c>
      <c r="J6" s="6" t="str">
        <f>": "&amp;DT!D41</f>
        <v>: 4097-01-002963-53-8</v>
      </c>
    </row>
    <row r="7" spans="1:12" s="1" customFormat="1" ht="16.5" thickBot="1">
      <c r="A7" s="23"/>
      <c r="B7" s="10"/>
      <c r="C7" s="5"/>
      <c r="E7" s="23"/>
      <c r="F7" s="23"/>
      <c r="G7" s="23"/>
      <c r="H7" s="25"/>
      <c r="I7" s="4"/>
    </row>
    <row r="8" spans="1:12" s="1" customFormat="1" ht="25.5" customHeight="1">
      <c r="A8" s="3551" t="s">
        <v>57</v>
      </c>
      <c r="B8" s="3551" t="s">
        <v>7</v>
      </c>
      <c r="C8" s="3551" t="s">
        <v>8</v>
      </c>
      <c r="D8" s="3551" t="s">
        <v>9</v>
      </c>
      <c r="E8" s="3506" t="s">
        <v>10</v>
      </c>
      <c r="F8" s="3500"/>
      <c r="G8" s="3500"/>
      <c r="H8" s="3507"/>
      <c r="I8" s="3502" t="s">
        <v>11</v>
      </c>
      <c r="J8" s="3500"/>
      <c r="K8" s="3497"/>
      <c r="L8" s="3554" t="s">
        <v>12</v>
      </c>
    </row>
    <row r="9" spans="1:12" s="1" customFormat="1" ht="15.75">
      <c r="A9" s="3552"/>
      <c r="B9" s="3552"/>
      <c r="C9" s="3552"/>
      <c r="D9" s="3552"/>
      <c r="E9" s="3511" t="s">
        <v>58</v>
      </c>
      <c r="F9" s="3499"/>
      <c r="G9" s="3499"/>
      <c r="H9" s="3505" t="s">
        <v>59</v>
      </c>
      <c r="I9" s="3503" t="s">
        <v>60</v>
      </c>
      <c r="J9" s="3499" t="s">
        <v>61</v>
      </c>
      <c r="K9" s="3498" t="s">
        <v>62</v>
      </c>
      <c r="L9" s="3555"/>
    </row>
    <row r="10" spans="1:12" s="1" customFormat="1" ht="32.25" thickBot="1">
      <c r="A10" s="3553"/>
      <c r="B10" s="3553"/>
      <c r="C10" s="3553"/>
      <c r="D10" s="2326" t="s">
        <v>13</v>
      </c>
      <c r="E10" s="2242" t="s">
        <v>886</v>
      </c>
      <c r="F10" s="2241" t="s">
        <v>885</v>
      </c>
      <c r="G10" s="2241" t="s">
        <v>571</v>
      </c>
      <c r="H10" s="3579"/>
      <c r="I10" s="3526"/>
      <c r="J10" s="3523"/>
      <c r="K10" s="3524"/>
      <c r="L10" s="3556"/>
    </row>
    <row r="11" spans="1:12" s="1" customFormat="1" ht="28.5" customHeight="1" thickBot="1">
      <c r="A11" s="2327"/>
      <c r="B11" s="2328"/>
      <c r="C11" s="2329" t="s">
        <v>258</v>
      </c>
      <c r="D11" s="2330"/>
      <c r="E11" s="2331">
        <v>111830000</v>
      </c>
      <c r="F11" s="2332">
        <v>0</v>
      </c>
      <c r="G11" s="2333">
        <v>4601500</v>
      </c>
      <c r="H11" s="2333">
        <v>1833102</v>
      </c>
      <c r="I11" s="2337">
        <v>117470082</v>
      </c>
      <c r="J11" s="2334">
        <v>529051</v>
      </c>
      <c r="K11" s="2335">
        <v>265469</v>
      </c>
      <c r="L11" s="2336">
        <f>(SUM((E11:H11))-(SUM((I11:K11))))</f>
        <v>0</v>
      </c>
    </row>
    <row r="12" spans="1:12" s="23" customFormat="1" ht="28.5" customHeight="1" thickTop="1" thickBot="1">
      <c r="A12" s="987"/>
      <c r="B12" s="988"/>
      <c r="C12" s="989" t="s">
        <v>539</v>
      </c>
      <c r="D12" s="990"/>
      <c r="E12" s="991"/>
      <c r="F12" s="1030"/>
      <c r="G12" s="992"/>
      <c r="H12" s="992"/>
      <c r="I12" s="2283"/>
      <c r="J12" s="961"/>
      <c r="K12" s="962"/>
      <c r="L12" s="994">
        <f>L11+(SUM((E12:H12))-(SUM((I12:K12))))</f>
        <v>0</v>
      </c>
    </row>
    <row r="13" spans="1:12" s="1" customFormat="1" ht="16.5" thickTop="1">
      <c r="A13" s="532"/>
      <c r="B13" s="2391"/>
      <c r="C13" s="534"/>
      <c r="D13" s="534"/>
      <c r="E13" s="459"/>
      <c r="F13" s="1031"/>
      <c r="G13" s="520"/>
      <c r="H13" s="520"/>
      <c r="I13" s="2303"/>
      <c r="J13" s="457"/>
      <c r="K13" s="524"/>
      <c r="L13" s="995">
        <f t="shared" ref="L13:L27" si="0">L12+(SUM((E13:H13))-(SUM((I13:K13))))</f>
        <v>0</v>
      </c>
    </row>
    <row r="14" spans="1:12" s="1" customFormat="1" ht="15.75">
      <c r="A14" s="535"/>
      <c r="B14" s="536"/>
      <c r="C14" s="537"/>
      <c r="D14" s="2145"/>
      <c r="E14" s="2695"/>
      <c r="F14" s="2696"/>
      <c r="G14" s="2697"/>
      <c r="H14" s="2697"/>
      <c r="I14" s="2698"/>
      <c r="J14" s="2699"/>
      <c r="K14" s="2700"/>
      <c r="L14" s="995">
        <f t="shared" si="0"/>
        <v>0</v>
      </c>
    </row>
    <row r="15" spans="1:12" s="1" customFormat="1" ht="15.75">
      <c r="A15" s="535"/>
      <c r="B15" s="536"/>
      <c r="C15" s="537"/>
      <c r="D15" s="537"/>
      <c r="E15" s="145"/>
      <c r="F15" s="1032"/>
      <c r="G15" s="521"/>
      <c r="H15" s="521"/>
      <c r="I15" s="2284"/>
      <c r="J15" s="146"/>
      <c r="K15" s="525"/>
      <c r="L15" s="995">
        <f t="shared" si="0"/>
        <v>0</v>
      </c>
    </row>
    <row r="16" spans="1:12" s="1" customFormat="1" ht="15.75">
      <c r="A16" s="535"/>
      <c r="B16" s="536"/>
      <c r="C16" s="537"/>
      <c r="D16" s="537"/>
      <c r="E16" s="145"/>
      <c r="F16" s="1032"/>
      <c r="G16" s="521"/>
      <c r="H16" s="521"/>
      <c r="I16" s="2284"/>
      <c r="J16" s="146"/>
      <c r="K16" s="525"/>
      <c r="L16" s="995">
        <f t="shared" si="0"/>
        <v>0</v>
      </c>
    </row>
    <row r="17" spans="1:17" s="1" customFormat="1" ht="15.75">
      <c r="A17" s="535"/>
      <c r="B17" s="536"/>
      <c r="C17" s="537"/>
      <c r="D17" s="537"/>
      <c r="E17" s="145"/>
      <c r="F17" s="1032"/>
      <c r="G17" s="521"/>
      <c r="H17" s="521"/>
      <c r="I17" s="2284"/>
      <c r="J17" s="146"/>
      <c r="K17" s="525"/>
      <c r="L17" s="995">
        <f t="shared" si="0"/>
        <v>0</v>
      </c>
    </row>
    <row r="18" spans="1:17" s="1" customFormat="1" ht="15.75">
      <c r="A18" s="535"/>
      <c r="B18" s="536"/>
      <c r="C18" s="537"/>
      <c r="D18" s="537"/>
      <c r="E18" s="145"/>
      <c r="F18" s="1032"/>
      <c r="G18" s="521"/>
      <c r="H18" s="521"/>
      <c r="I18" s="2284"/>
      <c r="J18" s="146"/>
      <c r="K18" s="525"/>
      <c r="L18" s="995">
        <f t="shared" si="0"/>
        <v>0</v>
      </c>
    </row>
    <row r="19" spans="1:17" s="1" customFormat="1" ht="15.75">
      <c r="A19" s="535"/>
      <c r="B19" s="536"/>
      <c r="C19" s="537"/>
      <c r="D19" s="537"/>
      <c r="E19" s="145"/>
      <c r="F19" s="1032"/>
      <c r="G19" s="521"/>
      <c r="H19" s="521"/>
      <c r="I19" s="2284"/>
      <c r="J19" s="146"/>
      <c r="K19" s="525"/>
      <c r="L19" s="995">
        <f t="shared" si="0"/>
        <v>0</v>
      </c>
    </row>
    <row r="20" spans="1:17" s="1" customFormat="1" ht="15.75">
      <c r="A20" s="535"/>
      <c r="B20" s="536"/>
      <c r="C20" s="537"/>
      <c r="D20" s="537"/>
      <c r="E20" s="145"/>
      <c r="F20" s="1032"/>
      <c r="G20" s="521"/>
      <c r="H20" s="144"/>
      <c r="I20" s="145"/>
      <c r="J20" s="146"/>
      <c r="K20" s="525"/>
      <c r="L20" s="995">
        <f t="shared" si="0"/>
        <v>0</v>
      </c>
    </row>
    <row r="21" spans="1:17" s="1" customFormat="1" ht="15.75">
      <c r="A21" s="535"/>
      <c r="B21" s="536"/>
      <c r="C21" s="537"/>
      <c r="D21" s="537"/>
      <c r="E21" s="145"/>
      <c r="F21" s="1032"/>
      <c r="G21" s="521"/>
      <c r="H21" s="144"/>
      <c r="I21" s="145"/>
      <c r="J21" s="146"/>
      <c r="K21" s="525"/>
      <c r="L21" s="995">
        <f t="shared" si="0"/>
        <v>0</v>
      </c>
    </row>
    <row r="22" spans="1:17" s="1" customFormat="1" ht="15.75">
      <c r="A22" s="535"/>
      <c r="B22" s="536"/>
      <c r="C22" s="537"/>
      <c r="D22" s="537"/>
      <c r="E22" s="145"/>
      <c r="F22" s="1032"/>
      <c r="G22" s="521"/>
      <c r="H22" s="144"/>
      <c r="I22" s="145"/>
      <c r="J22" s="146"/>
      <c r="K22" s="525"/>
      <c r="L22" s="995">
        <f t="shared" si="0"/>
        <v>0</v>
      </c>
    </row>
    <row r="23" spans="1:17" s="1" customFormat="1" ht="15.75">
      <c r="A23" s="535"/>
      <c r="B23" s="536"/>
      <c r="C23" s="537"/>
      <c r="D23" s="537"/>
      <c r="E23" s="145"/>
      <c r="F23" s="1032"/>
      <c r="G23" s="521"/>
      <c r="H23" s="144"/>
      <c r="I23" s="145"/>
      <c r="J23" s="146"/>
      <c r="K23" s="525"/>
      <c r="L23" s="995">
        <f t="shared" si="0"/>
        <v>0</v>
      </c>
    </row>
    <row r="24" spans="1:17" s="1" customFormat="1" ht="15.75">
      <c r="A24" s="535"/>
      <c r="B24" s="536"/>
      <c r="C24" s="537"/>
      <c r="D24" s="537"/>
      <c r="E24" s="145"/>
      <c r="F24" s="1032"/>
      <c r="G24" s="521"/>
      <c r="H24" s="144"/>
      <c r="I24" s="145"/>
      <c r="J24" s="146"/>
      <c r="K24" s="525"/>
      <c r="L24" s="995">
        <f t="shared" si="0"/>
        <v>0</v>
      </c>
    </row>
    <row r="25" spans="1:17" s="1" customFormat="1" ht="15.75">
      <c r="A25" s="535"/>
      <c r="B25" s="536"/>
      <c r="C25" s="537"/>
      <c r="D25" s="537"/>
      <c r="E25" s="145"/>
      <c r="F25" s="1032"/>
      <c r="G25" s="521"/>
      <c r="H25" s="144"/>
      <c r="I25" s="145"/>
      <c r="J25" s="146"/>
      <c r="K25" s="525"/>
      <c r="L25" s="996">
        <f t="shared" si="0"/>
        <v>0</v>
      </c>
    </row>
    <row r="26" spans="1:17" s="1" customFormat="1" ht="15.75">
      <c r="A26" s="535"/>
      <c r="B26" s="536"/>
      <c r="C26" s="537"/>
      <c r="D26" s="537"/>
      <c r="E26" s="145"/>
      <c r="F26" s="1032"/>
      <c r="G26" s="521"/>
      <c r="H26" s="144"/>
      <c r="I26" s="145"/>
      <c r="J26" s="146"/>
      <c r="K26" s="525"/>
      <c r="L26" s="996">
        <f t="shared" si="0"/>
        <v>0</v>
      </c>
    </row>
    <row r="27" spans="1:17" s="1" customFormat="1" ht="16.5" thickBot="1">
      <c r="A27" s="538"/>
      <c r="B27" s="539"/>
      <c r="C27" s="540"/>
      <c r="D27" s="540"/>
      <c r="E27" s="462"/>
      <c r="F27" s="1033"/>
      <c r="G27" s="522"/>
      <c r="H27" s="461"/>
      <c r="I27" s="462"/>
      <c r="J27" s="460"/>
      <c r="K27" s="526"/>
      <c r="L27" s="996">
        <f t="shared" si="0"/>
        <v>0</v>
      </c>
    </row>
    <row r="28" spans="1:17" s="1" customFormat="1" ht="26.25" customHeight="1" thickTop="1" thickBot="1">
      <c r="A28" s="214"/>
      <c r="B28" s="218"/>
      <c r="C28" s="82" t="s">
        <v>19</v>
      </c>
      <c r="D28" s="220"/>
      <c r="E28" s="948">
        <f t="shared" ref="E28:K28" si="1">SUM(E13:E27)</f>
        <v>0</v>
      </c>
      <c r="F28" s="948">
        <f>SUM(F13:F27)</f>
        <v>0</v>
      </c>
      <c r="G28" s="999">
        <f t="shared" si="1"/>
        <v>0</v>
      </c>
      <c r="H28" s="949">
        <f t="shared" si="1"/>
        <v>0</v>
      </c>
      <c r="I28" s="950">
        <f t="shared" si="1"/>
        <v>0</v>
      </c>
      <c r="J28" s="948">
        <f t="shared" si="1"/>
        <v>0</v>
      </c>
      <c r="K28" s="957">
        <f t="shared" si="1"/>
        <v>0</v>
      </c>
      <c r="L28" s="997">
        <f>(SUM((E28:H28))-(SUM((I28:K28))))</f>
        <v>0</v>
      </c>
      <c r="O28" s="7"/>
      <c r="Q28" s="7"/>
    </row>
    <row r="29" spans="1:17" s="1" customFormat="1" ht="26.25" customHeight="1" thickTop="1" thickBot="1">
      <c r="A29" s="214"/>
      <c r="B29" s="218"/>
      <c r="C29" s="82" t="s">
        <v>257</v>
      </c>
      <c r="D29" s="220"/>
      <c r="E29" s="948">
        <f t="shared" ref="E29:K29" si="2">E12+E28</f>
        <v>0</v>
      </c>
      <c r="F29" s="948">
        <f>F12+F28</f>
        <v>0</v>
      </c>
      <c r="G29" s="999">
        <f t="shared" si="2"/>
        <v>0</v>
      </c>
      <c r="H29" s="949">
        <f t="shared" si="2"/>
        <v>0</v>
      </c>
      <c r="I29" s="950">
        <f t="shared" si="2"/>
        <v>0</v>
      </c>
      <c r="J29" s="948">
        <f t="shared" si="2"/>
        <v>0</v>
      </c>
      <c r="K29" s="957">
        <f t="shared" si="2"/>
        <v>0</v>
      </c>
      <c r="L29" s="997">
        <f>(SUM((E29:H29))-(SUM((I29:K29))))</f>
        <v>0</v>
      </c>
    </row>
    <row r="30" spans="1:17" s="1" customFormat="1" ht="26.25" customHeight="1" thickTop="1" thickBot="1">
      <c r="A30" s="215"/>
      <c r="B30" s="219"/>
      <c r="C30" s="216" t="s">
        <v>20</v>
      </c>
      <c r="D30" s="221"/>
      <c r="E30" s="952">
        <f t="shared" ref="E30:K30" si="3">E11+E29</f>
        <v>111830000</v>
      </c>
      <c r="F30" s="952">
        <f>F11+F29</f>
        <v>0</v>
      </c>
      <c r="G30" s="1000">
        <f t="shared" si="3"/>
        <v>4601500</v>
      </c>
      <c r="H30" s="953">
        <f t="shared" si="3"/>
        <v>1833102</v>
      </c>
      <c r="I30" s="954">
        <f t="shared" si="3"/>
        <v>117470082</v>
      </c>
      <c r="J30" s="952">
        <f t="shared" si="3"/>
        <v>529051</v>
      </c>
      <c r="K30" s="947">
        <f t="shared" si="3"/>
        <v>265469</v>
      </c>
      <c r="L30" s="998">
        <f>(SUM((E30:H30))-(SUM((I30:K30))))</f>
        <v>0</v>
      </c>
    </row>
    <row r="31" spans="1:17" s="1" customFormat="1" ht="15.75">
      <c r="B31" s="10"/>
    </row>
    <row r="32" spans="1:17" s="1" customFormat="1" ht="15.75">
      <c r="A32" s="147"/>
      <c r="B32" s="10"/>
      <c r="C32" s="123"/>
      <c r="D32" s="123"/>
      <c r="E32" s="123"/>
      <c r="F32" s="123"/>
      <c r="G32" s="123"/>
      <c r="H32" s="123"/>
      <c r="I32" s="123"/>
      <c r="J32" s="11" t="str">
        <f>DT!D28</f>
        <v>Nagrak, 29 Februari 2016 2016</v>
      </c>
    </row>
    <row r="33" spans="2:10" s="1" customFormat="1" ht="15.75">
      <c r="B33" s="10"/>
      <c r="C33" s="148" t="s">
        <v>21</v>
      </c>
      <c r="D33" s="123"/>
      <c r="E33" s="123"/>
      <c r="F33" s="123"/>
      <c r="G33" s="123"/>
      <c r="H33" s="123"/>
      <c r="I33" s="123"/>
      <c r="J33" s="148" t="s">
        <v>22</v>
      </c>
    </row>
    <row r="34" spans="2:10" s="1" customFormat="1" ht="15.75">
      <c r="B34" s="10"/>
      <c r="C34" s="148" t="s">
        <v>23</v>
      </c>
      <c r="E34" s="123"/>
      <c r="F34" s="123"/>
      <c r="G34" s="123"/>
      <c r="H34" s="123"/>
      <c r="I34" s="123"/>
      <c r="J34" s="149" t="s">
        <v>24</v>
      </c>
    </row>
    <row r="35" spans="2:10" s="1" customFormat="1" ht="15.75">
      <c r="B35" s="10"/>
      <c r="C35" s="148"/>
      <c r="E35" s="123"/>
      <c r="F35" s="123"/>
      <c r="G35" s="123"/>
      <c r="H35" s="123"/>
      <c r="I35" s="123"/>
      <c r="J35" s="149"/>
    </row>
    <row r="39" spans="2:10">
      <c r="C39" s="488" t="str">
        <f>DT!D14</f>
        <v>Endang Taryana</v>
      </c>
      <c r="J39" s="488" t="str">
        <f>DT!D15</f>
        <v>Arin Yustini, SE</v>
      </c>
    </row>
  </sheetData>
  <mergeCells count="14">
    <mergeCell ref="A1:L1"/>
    <mergeCell ref="A2:L2"/>
    <mergeCell ref="A8:A10"/>
    <mergeCell ref="B8:B10"/>
    <mergeCell ref="C8:C10"/>
    <mergeCell ref="D8:D9"/>
    <mergeCell ref="E8:H8"/>
    <mergeCell ref="I8:K8"/>
    <mergeCell ref="L8:L10"/>
    <mergeCell ref="E9:G9"/>
    <mergeCell ref="H9:H10"/>
    <mergeCell ref="I9:I10"/>
    <mergeCell ref="J9:J10"/>
    <mergeCell ref="K9:K10"/>
  </mergeCells>
  <printOptions horizontalCentered="1" verticalCentered="1"/>
  <pageMargins left="0.23622047244094491" right="0.23622047244094491" top="0.98425196850393704" bottom="0.23622047244094491" header="0.51181102362204722" footer="0.51181102362204722"/>
  <pageSetup paperSize="9" scale="65" orientation="landscape" horizontalDpi="4294967293" verticalDpi="4294967293" r:id="rId1"/>
  <headerFooter alignWithMargins="0"/>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8" tint="0.39997558519241921"/>
  </sheetPr>
  <dimension ref="A1:P39"/>
  <sheetViews>
    <sheetView topLeftCell="A10" zoomScale="90" zoomScaleNormal="90" workbookViewId="0">
      <selection activeCell="E12" sqref="E12:J19"/>
    </sheetView>
  </sheetViews>
  <sheetFormatPr defaultColWidth="9.140625" defaultRowHeight="12.75"/>
  <cols>
    <col min="1" max="1" width="4.28515625" style="15" customWidth="1"/>
    <col min="2" max="2" width="20.28515625" style="19" customWidth="1"/>
    <col min="3" max="3" width="44.5703125" style="15" customWidth="1"/>
    <col min="4" max="4" width="17" style="15" customWidth="1"/>
    <col min="5" max="11" width="16.7109375" style="15" customWidth="1"/>
    <col min="12" max="12" width="16.42578125" style="15" customWidth="1"/>
    <col min="13" max="13" width="20.28515625" style="15" customWidth="1"/>
    <col min="14" max="14" width="21" style="15" customWidth="1"/>
    <col min="15" max="15" width="9.140625" style="15"/>
    <col min="16" max="16" width="14" style="15" bestFit="1" customWidth="1"/>
    <col min="17" max="16384" width="9.140625" style="15"/>
  </cols>
  <sheetData>
    <row r="1" spans="1:11" s="24" customFormat="1" ht="20.25">
      <c r="A1" s="3396" t="s">
        <v>55</v>
      </c>
      <c r="B1" s="3396"/>
      <c r="C1" s="3396"/>
      <c r="D1" s="3396"/>
      <c r="E1" s="3396"/>
      <c r="F1" s="3396"/>
      <c r="G1" s="3396"/>
      <c r="H1" s="3396"/>
      <c r="I1" s="3396"/>
      <c r="J1" s="3396"/>
      <c r="K1" s="3396"/>
    </row>
    <row r="2" spans="1:11" s="24" customFormat="1" ht="20.25">
      <c r="A2" s="3396" t="s">
        <v>2453</v>
      </c>
      <c r="B2" s="3396"/>
      <c r="C2" s="3396"/>
      <c r="D2" s="3396"/>
      <c r="E2" s="3396"/>
      <c r="F2" s="3396"/>
      <c r="G2" s="3396"/>
      <c r="H2" s="3396"/>
      <c r="I2" s="3396"/>
      <c r="J2" s="3396"/>
      <c r="K2" s="3396"/>
    </row>
    <row r="3" spans="1:11">
      <c r="B3" s="16"/>
      <c r="C3" s="17"/>
      <c r="D3" s="17"/>
      <c r="E3" s="17"/>
      <c r="F3" s="17"/>
      <c r="G3" s="17"/>
      <c r="H3" s="17"/>
      <c r="I3" s="17"/>
      <c r="J3" s="17"/>
      <c r="K3" s="17"/>
    </row>
    <row r="4" spans="1:11" s="1" customFormat="1" ht="15.75">
      <c r="A4" s="23" t="s">
        <v>2</v>
      </c>
      <c r="B4" s="10"/>
      <c r="C4" s="4" t="str">
        <f>": "&amp;DT!D3</f>
        <v>: Nagrak</v>
      </c>
      <c r="F4" s="23"/>
      <c r="G4" s="542" t="s">
        <v>3</v>
      </c>
      <c r="I4" s="6" t="str">
        <f>": "&amp;DT!D25</f>
        <v>: Februari 2016</v>
      </c>
    </row>
    <row r="5" spans="1:11" s="1" customFormat="1" ht="15.75">
      <c r="A5" s="23" t="s">
        <v>4</v>
      </c>
      <c r="B5" s="10"/>
      <c r="C5" s="4" t="str">
        <f>": "&amp;DT!D4</f>
        <v>: Sukabumi</v>
      </c>
      <c r="F5" s="23"/>
      <c r="G5" s="542" t="s">
        <v>56</v>
      </c>
      <c r="I5" s="6" t="s">
        <v>357</v>
      </c>
    </row>
    <row r="6" spans="1:11" s="1" customFormat="1" ht="15.75">
      <c r="A6" s="23" t="s">
        <v>6</v>
      </c>
      <c r="B6" s="10"/>
      <c r="C6" s="4" t="str">
        <f>": "&amp;DT!D5</f>
        <v>: Jawa Barat</v>
      </c>
      <c r="F6" s="23"/>
      <c r="G6" s="542" t="s">
        <v>488</v>
      </c>
      <c r="I6" s="6" t="str">
        <f>": "&amp;DT!D42</f>
        <v>: 4097-01-002964-53-4</v>
      </c>
    </row>
    <row r="7" spans="1:11" s="1" customFormat="1" ht="16.5" thickBot="1">
      <c r="A7" s="23"/>
      <c r="B7" s="10"/>
      <c r="C7" s="5"/>
      <c r="E7" s="23"/>
      <c r="F7" s="23"/>
      <c r="G7" s="25"/>
      <c r="H7" s="4"/>
    </row>
    <row r="8" spans="1:11" s="1" customFormat="1" ht="25.5" customHeight="1">
      <c r="A8" s="3580" t="s">
        <v>57</v>
      </c>
      <c r="B8" s="3580" t="s">
        <v>7</v>
      </c>
      <c r="C8" s="3580" t="s">
        <v>8</v>
      </c>
      <c r="D8" s="3580" t="s">
        <v>9</v>
      </c>
      <c r="E8" s="3580" t="s">
        <v>10</v>
      </c>
      <c r="F8" s="3580"/>
      <c r="G8" s="3580"/>
      <c r="H8" s="3580" t="s">
        <v>11</v>
      </c>
      <c r="I8" s="3580"/>
      <c r="J8" s="3580"/>
      <c r="K8" s="3580" t="s">
        <v>12</v>
      </c>
    </row>
    <row r="9" spans="1:11" s="1" customFormat="1" ht="15.75">
      <c r="A9" s="3581"/>
      <c r="B9" s="3581"/>
      <c r="C9" s="3581"/>
      <c r="D9" s="3581"/>
      <c r="E9" s="3581" t="s">
        <v>58</v>
      </c>
      <c r="F9" s="3581"/>
      <c r="G9" s="3581" t="s">
        <v>59</v>
      </c>
      <c r="H9" s="3581" t="s">
        <v>60</v>
      </c>
      <c r="I9" s="3581" t="s">
        <v>61</v>
      </c>
      <c r="J9" s="3581" t="s">
        <v>62</v>
      </c>
      <c r="K9" s="3581"/>
    </row>
    <row r="10" spans="1:11" s="1" customFormat="1" ht="16.5" thickBot="1">
      <c r="A10" s="3582"/>
      <c r="B10" s="3582"/>
      <c r="C10" s="3582"/>
      <c r="D10" s="3003" t="s">
        <v>13</v>
      </c>
      <c r="E10" s="3004" t="s">
        <v>886</v>
      </c>
      <c r="F10" s="3003" t="s">
        <v>571</v>
      </c>
      <c r="G10" s="3582"/>
      <c r="H10" s="3582"/>
      <c r="I10" s="3582"/>
      <c r="J10" s="3582"/>
      <c r="K10" s="3582"/>
    </row>
    <row r="11" spans="1:11" s="1" customFormat="1" ht="28.5" customHeight="1">
      <c r="A11" s="2997"/>
      <c r="B11" s="2998"/>
      <c r="C11" s="2999" t="s">
        <v>258</v>
      </c>
      <c r="D11" s="3000"/>
      <c r="E11" s="2180">
        <v>12000000</v>
      </c>
      <c r="F11" s="3001">
        <v>200000</v>
      </c>
      <c r="G11" s="2153">
        <v>42837</v>
      </c>
      <c r="H11" s="2180">
        <v>12039943</v>
      </c>
      <c r="I11" s="2152">
        <v>4394</v>
      </c>
      <c r="J11" s="2182">
        <v>109500</v>
      </c>
      <c r="K11" s="3002">
        <f>(SUM((E11:G11))-(SUM((H11:J11))))</f>
        <v>89000</v>
      </c>
    </row>
    <row r="12" spans="1:11" s="23" customFormat="1" ht="28.5" customHeight="1" thickBot="1">
      <c r="A12" s="987"/>
      <c r="B12" s="988"/>
      <c r="C12" s="989" t="s">
        <v>539</v>
      </c>
      <c r="D12" s="990"/>
      <c r="E12" s="991"/>
      <c r="F12" s="992"/>
      <c r="G12" s="993"/>
      <c r="H12" s="991"/>
      <c r="I12" s="961"/>
      <c r="J12" s="962"/>
      <c r="K12" s="994">
        <f>K11+(SUM((E12:G12))-(SUM((H12:J12))))</f>
        <v>89000</v>
      </c>
    </row>
    <row r="13" spans="1:11" s="1" customFormat="1" ht="16.5" thickTop="1">
      <c r="A13" s="532"/>
      <c r="B13" s="533"/>
      <c r="C13" s="534"/>
      <c r="D13" s="534"/>
      <c r="E13" s="459"/>
      <c r="F13" s="520"/>
      <c r="G13" s="458"/>
      <c r="H13" s="459"/>
      <c r="I13" s="457"/>
      <c r="J13" s="524"/>
      <c r="K13" s="995">
        <f>K12+(SUM((E13:G13))-(SUM((H13:J13))))</f>
        <v>89000</v>
      </c>
    </row>
    <row r="14" spans="1:11" s="1" customFormat="1" ht="15.75">
      <c r="A14" s="535"/>
      <c r="B14" s="536"/>
      <c r="C14" s="537"/>
      <c r="D14" s="537"/>
      <c r="E14" s="145"/>
      <c r="F14" s="521"/>
      <c r="G14" s="144"/>
      <c r="H14" s="145"/>
      <c r="I14" s="146"/>
      <c r="J14" s="525"/>
      <c r="K14" s="995">
        <f>K13+(SUM((E14:G14))-(SUM((H14:J14))))</f>
        <v>89000</v>
      </c>
    </row>
    <row r="15" spans="1:11" s="1" customFormat="1" ht="15.75">
      <c r="A15" s="535"/>
      <c r="B15" s="536"/>
      <c r="C15" s="537"/>
      <c r="D15" s="537"/>
      <c r="E15" s="145"/>
      <c r="F15" s="521"/>
      <c r="G15" s="144"/>
      <c r="H15" s="145"/>
      <c r="I15" s="146"/>
      <c r="J15" s="525"/>
      <c r="K15" s="995">
        <f t="shared" ref="K15:K27" si="0">K14+(SUM((E15:G15))-(SUM((H15:J15))))</f>
        <v>89000</v>
      </c>
    </row>
    <row r="16" spans="1:11" s="1" customFormat="1" ht="15.75">
      <c r="A16" s="535"/>
      <c r="B16" s="536"/>
      <c r="C16" s="537"/>
      <c r="D16" s="537"/>
      <c r="E16" s="145"/>
      <c r="F16" s="521"/>
      <c r="G16" s="144"/>
      <c r="H16" s="145"/>
      <c r="I16" s="146"/>
      <c r="J16" s="525"/>
      <c r="K16" s="995">
        <f t="shared" si="0"/>
        <v>89000</v>
      </c>
    </row>
    <row r="17" spans="1:16" s="1" customFormat="1" ht="15.75">
      <c r="A17" s="535"/>
      <c r="B17" s="536"/>
      <c r="C17" s="537"/>
      <c r="D17" s="537"/>
      <c r="E17" s="145"/>
      <c r="F17" s="521"/>
      <c r="G17" s="144"/>
      <c r="H17" s="145"/>
      <c r="I17" s="146"/>
      <c r="J17" s="525"/>
      <c r="K17" s="995">
        <f t="shared" si="0"/>
        <v>89000</v>
      </c>
    </row>
    <row r="18" spans="1:16" s="1" customFormat="1" ht="15.75">
      <c r="A18" s="535"/>
      <c r="B18" s="536"/>
      <c r="C18" s="537"/>
      <c r="D18" s="537"/>
      <c r="E18" s="145"/>
      <c r="F18" s="521"/>
      <c r="G18" s="144"/>
      <c r="H18" s="145"/>
      <c r="I18" s="146"/>
      <c r="J18" s="525"/>
      <c r="K18" s="995">
        <f t="shared" si="0"/>
        <v>89000</v>
      </c>
    </row>
    <row r="19" spans="1:16" s="1" customFormat="1" ht="15.75">
      <c r="A19" s="535"/>
      <c r="B19" s="536"/>
      <c r="C19" s="537"/>
      <c r="D19" s="537"/>
      <c r="E19" s="145"/>
      <c r="F19" s="521"/>
      <c r="G19" s="144"/>
      <c r="H19" s="145"/>
      <c r="I19" s="146"/>
      <c r="J19" s="525"/>
      <c r="K19" s="995">
        <f t="shared" si="0"/>
        <v>89000</v>
      </c>
    </row>
    <row r="20" spans="1:16" s="1" customFormat="1" ht="15.75">
      <c r="A20" s="535"/>
      <c r="B20" s="536"/>
      <c r="C20" s="537"/>
      <c r="D20" s="537"/>
      <c r="E20" s="145"/>
      <c r="F20" s="521"/>
      <c r="G20" s="144"/>
      <c r="H20" s="145"/>
      <c r="I20" s="146"/>
      <c r="J20" s="525"/>
      <c r="K20" s="995">
        <f t="shared" si="0"/>
        <v>89000</v>
      </c>
    </row>
    <row r="21" spans="1:16" s="1" customFormat="1" ht="15.75">
      <c r="A21" s="535"/>
      <c r="B21" s="536"/>
      <c r="C21" s="537"/>
      <c r="D21" s="537"/>
      <c r="E21" s="145"/>
      <c r="F21" s="521"/>
      <c r="G21" s="144"/>
      <c r="H21" s="145"/>
      <c r="I21" s="146"/>
      <c r="J21" s="525"/>
      <c r="K21" s="995">
        <f t="shared" si="0"/>
        <v>89000</v>
      </c>
    </row>
    <row r="22" spans="1:16" s="1" customFormat="1" ht="15.75">
      <c r="A22" s="535"/>
      <c r="B22" s="536"/>
      <c r="C22" s="537"/>
      <c r="D22" s="537"/>
      <c r="E22" s="145"/>
      <c r="F22" s="521"/>
      <c r="G22" s="144"/>
      <c r="H22" s="145"/>
      <c r="I22" s="146"/>
      <c r="J22" s="525"/>
      <c r="K22" s="995">
        <f t="shared" si="0"/>
        <v>89000</v>
      </c>
    </row>
    <row r="23" spans="1:16" s="1" customFormat="1" ht="15.75">
      <c r="A23" s="535"/>
      <c r="B23" s="536"/>
      <c r="C23" s="537"/>
      <c r="D23" s="537"/>
      <c r="E23" s="145"/>
      <c r="F23" s="521"/>
      <c r="G23" s="144"/>
      <c r="H23" s="145"/>
      <c r="I23" s="146"/>
      <c r="J23" s="525"/>
      <c r="K23" s="995">
        <f t="shared" si="0"/>
        <v>89000</v>
      </c>
    </row>
    <row r="24" spans="1:16" s="1" customFormat="1" ht="15.75">
      <c r="A24" s="535"/>
      <c r="B24" s="536"/>
      <c r="C24" s="537"/>
      <c r="D24" s="537"/>
      <c r="E24" s="145"/>
      <c r="F24" s="521"/>
      <c r="G24" s="144"/>
      <c r="H24" s="145"/>
      <c r="I24" s="146"/>
      <c r="J24" s="525"/>
      <c r="K24" s="995">
        <f t="shared" si="0"/>
        <v>89000</v>
      </c>
    </row>
    <row r="25" spans="1:16" s="1" customFormat="1" ht="15.75">
      <c r="A25" s="535"/>
      <c r="B25" s="536"/>
      <c r="C25" s="537"/>
      <c r="D25" s="537"/>
      <c r="E25" s="145"/>
      <c r="F25" s="521"/>
      <c r="G25" s="144"/>
      <c r="H25" s="145"/>
      <c r="I25" s="146"/>
      <c r="J25" s="525"/>
      <c r="K25" s="996">
        <f t="shared" si="0"/>
        <v>89000</v>
      </c>
    </row>
    <row r="26" spans="1:16" s="1" customFormat="1" ht="15.75">
      <c r="A26" s="535"/>
      <c r="B26" s="536"/>
      <c r="C26" s="537"/>
      <c r="D26" s="537"/>
      <c r="E26" s="145"/>
      <c r="F26" s="521"/>
      <c r="G26" s="144"/>
      <c r="H26" s="145"/>
      <c r="I26" s="146"/>
      <c r="J26" s="525"/>
      <c r="K26" s="996">
        <f t="shared" si="0"/>
        <v>89000</v>
      </c>
    </row>
    <row r="27" spans="1:16" s="1" customFormat="1" ht="16.5" thickBot="1">
      <c r="A27" s="538"/>
      <c r="B27" s="539"/>
      <c r="C27" s="540"/>
      <c r="D27" s="540"/>
      <c r="E27" s="462"/>
      <c r="F27" s="522"/>
      <c r="G27" s="461"/>
      <c r="H27" s="462"/>
      <c r="I27" s="460"/>
      <c r="J27" s="526"/>
      <c r="K27" s="996">
        <f t="shared" si="0"/>
        <v>89000</v>
      </c>
    </row>
    <row r="28" spans="1:16" s="1" customFormat="1" ht="26.25" customHeight="1" thickTop="1" thickBot="1">
      <c r="A28" s="214"/>
      <c r="B28" s="218"/>
      <c r="C28" s="82" t="s">
        <v>19</v>
      </c>
      <c r="D28" s="220"/>
      <c r="E28" s="948">
        <f t="shared" ref="E28:J28" si="1">SUM(E13:E27)</f>
        <v>0</v>
      </c>
      <c r="F28" s="999">
        <f t="shared" si="1"/>
        <v>0</v>
      </c>
      <c r="G28" s="949">
        <f t="shared" si="1"/>
        <v>0</v>
      </c>
      <c r="H28" s="950">
        <f t="shared" si="1"/>
        <v>0</v>
      </c>
      <c r="I28" s="948">
        <f t="shared" si="1"/>
        <v>0</v>
      </c>
      <c r="J28" s="957">
        <f t="shared" si="1"/>
        <v>0</v>
      </c>
      <c r="K28" s="997">
        <f>(SUM((E28:G28))-(SUM((H28:J28))))</f>
        <v>0</v>
      </c>
      <c r="N28" s="7"/>
      <c r="P28" s="7"/>
    </row>
    <row r="29" spans="1:16" s="1" customFormat="1" ht="26.25" customHeight="1" thickTop="1" thickBot="1">
      <c r="A29" s="214"/>
      <c r="B29" s="218"/>
      <c r="C29" s="82" t="s">
        <v>257</v>
      </c>
      <c r="D29" s="220"/>
      <c r="E29" s="948">
        <f t="shared" ref="E29:J29" si="2">E12+E28</f>
        <v>0</v>
      </c>
      <c r="F29" s="999">
        <f t="shared" si="2"/>
        <v>0</v>
      </c>
      <c r="G29" s="949">
        <f t="shared" si="2"/>
        <v>0</v>
      </c>
      <c r="H29" s="950">
        <f t="shared" si="2"/>
        <v>0</v>
      </c>
      <c r="I29" s="948">
        <f t="shared" si="2"/>
        <v>0</v>
      </c>
      <c r="J29" s="957">
        <f t="shared" si="2"/>
        <v>0</v>
      </c>
      <c r="K29" s="997">
        <f>(SUM((E29:G29))-(SUM((H29:J29))))</f>
        <v>0</v>
      </c>
    </row>
    <row r="30" spans="1:16" s="1" customFormat="1" ht="26.25" customHeight="1" thickTop="1" thickBot="1">
      <c r="A30" s="215"/>
      <c r="B30" s="219"/>
      <c r="C30" s="216" t="s">
        <v>20</v>
      </c>
      <c r="D30" s="221"/>
      <c r="E30" s="952">
        <f t="shared" ref="E30:J30" si="3">E11+E29</f>
        <v>12000000</v>
      </c>
      <c r="F30" s="1000">
        <f t="shared" si="3"/>
        <v>200000</v>
      </c>
      <c r="G30" s="953">
        <f t="shared" si="3"/>
        <v>42837</v>
      </c>
      <c r="H30" s="954">
        <f t="shared" si="3"/>
        <v>12039943</v>
      </c>
      <c r="I30" s="952">
        <f t="shared" si="3"/>
        <v>4394</v>
      </c>
      <c r="J30" s="947">
        <f t="shared" si="3"/>
        <v>109500</v>
      </c>
      <c r="K30" s="998">
        <f>(SUM((E30:G30))-(SUM((H30:J30))))</f>
        <v>89000</v>
      </c>
    </row>
    <row r="31" spans="1:16" s="1" customFormat="1" ht="15.75">
      <c r="B31" s="10"/>
    </row>
    <row r="32" spans="1:16" s="1" customFormat="1" ht="15.75">
      <c r="A32" s="147"/>
      <c r="B32" s="10"/>
      <c r="C32" s="123"/>
      <c r="D32" s="123"/>
      <c r="E32" s="123"/>
      <c r="F32" s="123"/>
      <c r="G32" s="123"/>
      <c r="H32" s="123"/>
      <c r="I32" s="11" t="str">
        <f>DT!D28</f>
        <v>Nagrak, 29 Februari 2016 2016</v>
      </c>
    </row>
    <row r="33" spans="2:9" s="1" customFormat="1" ht="15.75">
      <c r="B33" s="10"/>
      <c r="C33" s="148" t="s">
        <v>21</v>
      </c>
      <c r="D33" s="123"/>
      <c r="E33" s="123"/>
      <c r="F33" s="123"/>
      <c r="G33" s="123"/>
      <c r="H33" s="123"/>
      <c r="I33" s="148" t="s">
        <v>22</v>
      </c>
    </row>
    <row r="34" spans="2:9" s="1" customFormat="1" ht="15.75">
      <c r="B34" s="10"/>
      <c r="C34" s="148" t="s">
        <v>23</v>
      </c>
      <c r="E34" s="123"/>
      <c r="F34" s="123"/>
      <c r="G34" s="123"/>
      <c r="H34" s="123"/>
      <c r="I34" s="149" t="s">
        <v>24</v>
      </c>
    </row>
    <row r="35" spans="2:9" s="1" customFormat="1" ht="15.75">
      <c r="B35" s="10"/>
      <c r="C35" s="148"/>
      <c r="E35" s="123"/>
      <c r="F35" s="123"/>
      <c r="G35" s="123"/>
      <c r="H35" s="123"/>
      <c r="I35" s="149"/>
    </row>
    <row r="39" spans="2:9">
      <c r="C39" s="488" t="str">
        <f>DT!D14</f>
        <v>Endang Taryana</v>
      </c>
      <c r="I39" s="488" t="str">
        <f>DT!D15</f>
        <v>Arin Yustini, SE</v>
      </c>
    </row>
  </sheetData>
  <mergeCells count="14">
    <mergeCell ref="A1:K1"/>
    <mergeCell ref="A2:K2"/>
    <mergeCell ref="A8:A10"/>
    <mergeCell ref="B8:B10"/>
    <mergeCell ref="C8:C10"/>
    <mergeCell ref="D8:D9"/>
    <mergeCell ref="E8:G8"/>
    <mergeCell ref="H8:J8"/>
    <mergeCell ref="K8:K10"/>
    <mergeCell ref="E9:F9"/>
    <mergeCell ref="G9:G10"/>
    <mergeCell ref="H9:H10"/>
    <mergeCell ref="I9:I10"/>
    <mergeCell ref="J9:J10"/>
  </mergeCells>
  <printOptions horizontalCentered="1" verticalCentered="1"/>
  <pageMargins left="0.25" right="0.25" top="1" bottom="0.25" header="0.511811023622047" footer="0.511811023622047"/>
  <pageSetup paperSize="9" scale="70" orientation="landscape" horizontalDpi="4294967293" verticalDpi="4294967293" r:id="rId1"/>
  <headerFooter alignWithMargins="0"/>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8" tint="0.39997558519241921"/>
  </sheetPr>
  <dimension ref="A1:Q39"/>
  <sheetViews>
    <sheetView topLeftCell="A7" zoomScale="70" zoomScaleNormal="70" workbookViewId="0">
      <selection activeCell="K36" sqref="K36"/>
    </sheetView>
  </sheetViews>
  <sheetFormatPr defaultColWidth="9.140625" defaultRowHeight="12.75"/>
  <cols>
    <col min="1" max="1" width="4.28515625" style="15" customWidth="1"/>
    <col min="2" max="2" width="18.28515625" style="19" customWidth="1"/>
    <col min="3" max="3" width="44.5703125" style="15" customWidth="1"/>
    <col min="4" max="4" width="17" style="15" customWidth="1"/>
    <col min="5" max="12" width="16.7109375" style="15" customWidth="1"/>
    <col min="13" max="13" width="16.42578125" style="15" customWidth="1"/>
    <col min="14" max="14" width="20.28515625" style="15" customWidth="1"/>
    <col min="15" max="15" width="21" style="15" customWidth="1"/>
    <col min="16" max="16" width="9.140625" style="15"/>
    <col min="17" max="17" width="14" style="15" bestFit="1" customWidth="1"/>
    <col min="18" max="16384" width="9.140625" style="15"/>
  </cols>
  <sheetData>
    <row r="1" spans="1:12" s="24" customFormat="1" ht="20.25">
      <c r="A1" s="3396" t="s">
        <v>55</v>
      </c>
      <c r="B1" s="3396"/>
      <c r="C1" s="3396"/>
      <c r="D1" s="3396"/>
      <c r="E1" s="3396"/>
      <c r="F1" s="3396"/>
      <c r="G1" s="3396"/>
      <c r="H1" s="3396"/>
      <c r="I1" s="3396"/>
      <c r="J1" s="3396"/>
      <c r="K1" s="3396"/>
      <c r="L1" s="3396"/>
    </row>
    <row r="2" spans="1:12" s="24" customFormat="1" ht="30">
      <c r="A2" s="3396" t="s">
        <v>588</v>
      </c>
      <c r="B2" s="3396"/>
      <c r="C2" s="3396"/>
      <c r="D2" s="3396"/>
      <c r="E2" s="3396"/>
      <c r="F2" s="3396"/>
      <c r="G2" s="3396"/>
      <c r="H2" s="3396"/>
      <c r="I2" s="3396"/>
      <c r="J2" s="3396"/>
      <c r="K2" s="3396"/>
      <c r="L2" s="3396"/>
    </row>
    <row r="3" spans="1:12">
      <c r="B3" s="16"/>
      <c r="C3" s="17"/>
      <c r="D3" s="17"/>
      <c r="E3" s="17"/>
      <c r="F3" s="17"/>
      <c r="G3" s="17"/>
      <c r="H3" s="17"/>
      <c r="I3" s="17"/>
      <c r="J3" s="17"/>
      <c r="K3" s="17"/>
      <c r="L3" s="17"/>
    </row>
    <row r="4" spans="1:12" s="1" customFormat="1" ht="15.75">
      <c r="A4" s="23" t="s">
        <v>2</v>
      </c>
      <c r="B4" s="10"/>
      <c r="C4" s="4" t="str">
        <f>": "&amp;DT!D3</f>
        <v>: Nagrak</v>
      </c>
      <c r="G4" s="23"/>
      <c r="H4" s="542" t="s">
        <v>3</v>
      </c>
      <c r="J4" s="6" t="str">
        <f>": "&amp;DT!D25</f>
        <v>: Februari 2016</v>
      </c>
    </row>
    <row r="5" spans="1:12" s="1" customFormat="1" ht="15.75">
      <c r="A5" s="23" t="s">
        <v>4</v>
      </c>
      <c r="B5" s="10"/>
      <c r="C5" s="4" t="str">
        <f>": "&amp;DT!D4</f>
        <v>: Sukabumi</v>
      </c>
      <c r="G5" s="23"/>
      <c r="H5" s="542" t="s">
        <v>56</v>
      </c>
      <c r="J5" s="6" t="s">
        <v>357</v>
      </c>
    </row>
    <row r="6" spans="1:12" s="1" customFormat="1" ht="15.75">
      <c r="A6" s="23" t="s">
        <v>6</v>
      </c>
      <c r="B6" s="10"/>
      <c r="C6" s="4" t="str">
        <f>": "&amp;DT!D5</f>
        <v>: Jawa Barat</v>
      </c>
      <c r="G6" s="23"/>
      <c r="H6" s="542" t="s">
        <v>488</v>
      </c>
      <c r="J6" s="6" t="str">
        <f>": "&amp;DT!D43</f>
        <v>: .................................</v>
      </c>
    </row>
    <row r="7" spans="1:12" s="1" customFormat="1" ht="16.5" thickBot="1">
      <c r="A7" s="23"/>
      <c r="B7" s="10"/>
      <c r="C7" s="5"/>
      <c r="E7" s="23"/>
      <c r="F7" s="23"/>
      <c r="G7" s="23"/>
      <c r="H7" s="25"/>
      <c r="I7" s="4"/>
    </row>
    <row r="8" spans="1:12" s="1" customFormat="1" ht="25.5" customHeight="1" thickBot="1">
      <c r="A8" s="3410" t="s">
        <v>57</v>
      </c>
      <c r="B8" s="3410" t="s">
        <v>7</v>
      </c>
      <c r="C8" s="3410" t="s">
        <v>8</v>
      </c>
      <c r="D8" s="3410" t="s">
        <v>9</v>
      </c>
      <c r="E8" s="3410" t="s">
        <v>10</v>
      </c>
      <c r="F8" s="3410"/>
      <c r="G8" s="3410"/>
      <c r="H8" s="3410"/>
      <c r="I8" s="3410" t="s">
        <v>11</v>
      </c>
      <c r="J8" s="3410"/>
      <c r="K8" s="3410"/>
      <c r="L8" s="3410" t="s">
        <v>12</v>
      </c>
    </row>
    <row r="9" spans="1:12" s="1" customFormat="1" ht="16.5" thickBot="1">
      <c r="A9" s="3410"/>
      <c r="B9" s="3410"/>
      <c r="C9" s="3410"/>
      <c r="D9" s="3410"/>
      <c r="E9" s="3410" t="s">
        <v>58</v>
      </c>
      <c r="F9" s="3410"/>
      <c r="G9" s="3410"/>
      <c r="H9" s="3410" t="s">
        <v>59</v>
      </c>
      <c r="I9" s="3410" t="s">
        <v>60</v>
      </c>
      <c r="J9" s="3410" t="s">
        <v>61</v>
      </c>
      <c r="K9" s="3410" t="s">
        <v>62</v>
      </c>
      <c r="L9" s="3410"/>
    </row>
    <row r="10" spans="1:12" s="1" customFormat="1" ht="32.25" thickBot="1">
      <c r="A10" s="3410"/>
      <c r="B10" s="3410"/>
      <c r="C10" s="3410"/>
      <c r="D10" s="490" t="s">
        <v>13</v>
      </c>
      <c r="E10" s="1034" t="s">
        <v>886</v>
      </c>
      <c r="F10" s="1034" t="s">
        <v>885</v>
      </c>
      <c r="G10" s="489" t="s">
        <v>571</v>
      </c>
      <c r="H10" s="3410"/>
      <c r="I10" s="3410"/>
      <c r="J10" s="3410"/>
      <c r="K10" s="3410"/>
      <c r="L10" s="3410"/>
    </row>
    <row r="11" spans="1:12" s="1" customFormat="1" ht="28.5" customHeight="1" thickTop="1">
      <c r="A11" s="528"/>
      <c r="B11" s="529"/>
      <c r="C11" s="530" t="s">
        <v>258</v>
      </c>
      <c r="D11" s="531"/>
      <c r="E11" s="510"/>
      <c r="F11" s="1029"/>
      <c r="G11" s="519"/>
      <c r="H11" s="509"/>
      <c r="I11" s="510"/>
      <c r="J11" s="508"/>
      <c r="K11" s="512"/>
      <c r="L11" s="523">
        <f>(SUM((E11:H11))-(SUM((I11:K11))))</f>
        <v>0</v>
      </c>
    </row>
    <row r="12" spans="1:12" s="23" customFormat="1" ht="28.5" customHeight="1" thickBot="1">
      <c r="A12" s="987"/>
      <c r="B12" s="988"/>
      <c r="C12" s="989" t="s">
        <v>539</v>
      </c>
      <c r="D12" s="990"/>
      <c r="E12" s="991"/>
      <c r="F12" s="1030"/>
      <c r="G12" s="992"/>
      <c r="H12" s="993"/>
      <c r="I12" s="991"/>
      <c r="J12" s="961"/>
      <c r="K12" s="962"/>
      <c r="L12" s="994">
        <f>L11+(SUM((E12:H12))-(SUM((I12:K12))))</f>
        <v>0</v>
      </c>
    </row>
    <row r="13" spans="1:12" s="1" customFormat="1" ht="16.5" thickTop="1">
      <c r="A13" s="532"/>
      <c r="B13" s="533"/>
      <c r="C13" s="534"/>
      <c r="D13" s="534"/>
      <c r="E13" s="459"/>
      <c r="F13" s="1031"/>
      <c r="G13" s="520"/>
      <c r="H13" s="458"/>
      <c r="I13" s="459"/>
      <c r="J13" s="457"/>
      <c r="K13" s="524"/>
      <c r="L13" s="995">
        <f t="shared" ref="L13:L27" si="0">L12+(SUM((E13:H13))-(SUM((I13:K13))))</f>
        <v>0</v>
      </c>
    </row>
    <row r="14" spans="1:12" s="1" customFormat="1" ht="15.75">
      <c r="A14" s="535"/>
      <c r="B14" s="536"/>
      <c r="C14" s="537"/>
      <c r="D14" s="537"/>
      <c r="E14" s="145"/>
      <c r="F14" s="1032"/>
      <c r="G14" s="521"/>
      <c r="H14" s="144"/>
      <c r="I14" s="145"/>
      <c r="J14" s="146"/>
      <c r="K14" s="525"/>
      <c r="L14" s="995">
        <f t="shared" si="0"/>
        <v>0</v>
      </c>
    </row>
    <row r="15" spans="1:12" s="1" customFormat="1" ht="15.75">
      <c r="A15" s="535"/>
      <c r="B15" s="536"/>
      <c r="C15" s="537"/>
      <c r="D15" s="537"/>
      <c r="E15" s="145"/>
      <c r="F15" s="1032"/>
      <c r="G15" s="521"/>
      <c r="H15" s="144"/>
      <c r="I15" s="145"/>
      <c r="J15" s="146"/>
      <c r="K15" s="525"/>
      <c r="L15" s="995">
        <f t="shared" si="0"/>
        <v>0</v>
      </c>
    </row>
    <row r="16" spans="1:12" s="1" customFormat="1" ht="15.75">
      <c r="A16" s="535"/>
      <c r="B16" s="536"/>
      <c r="C16" s="537"/>
      <c r="D16" s="537"/>
      <c r="E16" s="145"/>
      <c r="F16" s="1032"/>
      <c r="G16" s="521"/>
      <c r="H16" s="144"/>
      <c r="I16" s="145"/>
      <c r="J16" s="146"/>
      <c r="K16" s="525"/>
      <c r="L16" s="995">
        <f t="shared" si="0"/>
        <v>0</v>
      </c>
    </row>
    <row r="17" spans="1:17" s="1" customFormat="1" ht="15.75">
      <c r="A17" s="535"/>
      <c r="B17" s="536"/>
      <c r="C17" s="537"/>
      <c r="D17" s="537"/>
      <c r="E17" s="145"/>
      <c r="F17" s="1032"/>
      <c r="G17" s="521"/>
      <c r="H17" s="144"/>
      <c r="I17" s="145"/>
      <c r="J17" s="146"/>
      <c r="K17" s="525"/>
      <c r="L17" s="995">
        <f t="shared" si="0"/>
        <v>0</v>
      </c>
    </row>
    <row r="18" spans="1:17" s="1" customFormat="1" ht="15.75">
      <c r="A18" s="535"/>
      <c r="B18" s="536"/>
      <c r="C18" s="537"/>
      <c r="D18" s="537"/>
      <c r="E18" s="145"/>
      <c r="F18" s="1032"/>
      <c r="G18" s="521"/>
      <c r="H18" s="144"/>
      <c r="I18" s="145"/>
      <c r="J18" s="146"/>
      <c r="K18" s="525"/>
      <c r="L18" s="995">
        <f t="shared" si="0"/>
        <v>0</v>
      </c>
    </row>
    <row r="19" spans="1:17" s="1" customFormat="1" ht="15.75">
      <c r="A19" s="535"/>
      <c r="B19" s="536"/>
      <c r="C19" s="537"/>
      <c r="D19" s="537"/>
      <c r="E19" s="145"/>
      <c r="F19" s="1032"/>
      <c r="G19" s="521"/>
      <c r="H19" s="144"/>
      <c r="I19" s="145"/>
      <c r="J19" s="146"/>
      <c r="K19" s="525"/>
      <c r="L19" s="995">
        <f t="shared" si="0"/>
        <v>0</v>
      </c>
    </row>
    <row r="20" spans="1:17" s="1" customFormat="1" ht="15.75">
      <c r="A20" s="535"/>
      <c r="B20" s="536"/>
      <c r="C20" s="537"/>
      <c r="D20" s="537"/>
      <c r="E20" s="145"/>
      <c r="F20" s="1032"/>
      <c r="G20" s="521"/>
      <c r="H20" s="144"/>
      <c r="I20" s="145"/>
      <c r="J20" s="146"/>
      <c r="K20" s="525"/>
      <c r="L20" s="995">
        <f t="shared" si="0"/>
        <v>0</v>
      </c>
    </row>
    <row r="21" spans="1:17" s="1" customFormat="1" ht="15.75">
      <c r="A21" s="535"/>
      <c r="B21" s="536"/>
      <c r="C21" s="537"/>
      <c r="D21" s="537"/>
      <c r="E21" s="145"/>
      <c r="F21" s="1032"/>
      <c r="G21" s="521"/>
      <c r="H21" s="144"/>
      <c r="I21" s="145"/>
      <c r="J21" s="146"/>
      <c r="K21" s="525"/>
      <c r="L21" s="995">
        <f t="shared" si="0"/>
        <v>0</v>
      </c>
    </row>
    <row r="22" spans="1:17" s="1" customFormat="1" ht="15.75">
      <c r="A22" s="535"/>
      <c r="B22" s="536"/>
      <c r="C22" s="537"/>
      <c r="D22" s="537"/>
      <c r="E22" s="145"/>
      <c r="F22" s="1032"/>
      <c r="G22" s="521"/>
      <c r="H22" s="144"/>
      <c r="I22" s="145"/>
      <c r="J22" s="146"/>
      <c r="K22" s="525"/>
      <c r="L22" s="995">
        <f t="shared" si="0"/>
        <v>0</v>
      </c>
    </row>
    <row r="23" spans="1:17" s="1" customFormat="1" ht="15.75">
      <c r="A23" s="535"/>
      <c r="B23" s="536"/>
      <c r="C23" s="537"/>
      <c r="D23" s="537"/>
      <c r="E23" s="145"/>
      <c r="F23" s="1032"/>
      <c r="G23" s="521"/>
      <c r="H23" s="144"/>
      <c r="I23" s="145"/>
      <c r="J23" s="146"/>
      <c r="K23" s="525"/>
      <c r="L23" s="995">
        <f t="shared" si="0"/>
        <v>0</v>
      </c>
    </row>
    <row r="24" spans="1:17" s="1" customFormat="1" ht="15.75">
      <c r="A24" s="535"/>
      <c r="B24" s="536"/>
      <c r="C24" s="537"/>
      <c r="D24" s="537"/>
      <c r="E24" s="145"/>
      <c r="F24" s="1032"/>
      <c r="G24" s="521"/>
      <c r="H24" s="144"/>
      <c r="I24" s="145"/>
      <c r="J24" s="146"/>
      <c r="K24" s="525"/>
      <c r="L24" s="995">
        <f t="shared" si="0"/>
        <v>0</v>
      </c>
    </row>
    <row r="25" spans="1:17" s="1" customFormat="1" ht="15.75">
      <c r="A25" s="535"/>
      <c r="B25" s="536"/>
      <c r="C25" s="537"/>
      <c r="D25" s="537"/>
      <c r="E25" s="145"/>
      <c r="F25" s="1032"/>
      <c r="G25" s="521"/>
      <c r="H25" s="144"/>
      <c r="I25" s="145"/>
      <c r="J25" s="146"/>
      <c r="K25" s="525"/>
      <c r="L25" s="996">
        <f t="shared" si="0"/>
        <v>0</v>
      </c>
    </row>
    <row r="26" spans="1:17" s="1" customFormat="1" ht="15.75">
      <c r="A26" s="535"/>
      <c r="B26" s="536"/>
      <c r="C26" s="537"/>
      <c r="D26" s="537"/>
      <c r="E26" s="145"/>
      <c r="F26" s="1032"/>
      <c r="G26" s="521"/>
      <c r="H26" s="144"/>
      <c r="I26" s="145"/>
      <c r="J26" s="146"/>
      <c r="K26" s="525"/>
      <c r="L26" s="996">
        <f t="shared" si="0"/>
        <v>0</v>
      </c>
    </row>
    <row r="27" spans="1:17" s="1" customFormat="1" ht="16.5" thickBot="1">
      <c r="A27" s="538"/>
      <c r="B27" s="539"/>
      <c r="C27" s="540"/>
      <c r="D27" s="540"/>
      <c r="E27" s="462"/>
      <c r="F27" s="1033"/>
      <c r="G27" s="522"/>
      <c r="H27" s="461"/>
      <c r="I27" s="462"/>
      <c r="J27" s="460"/>
      <c r="K27" s="526"/>
      <c r="L27" s="996">
        <f t="shared" si="0"/>
        <v>0</v>
      </c>
    </row>
    <row r="28" spans="1:17" s="1" customFormat="1" ht="26.25" customHeight="1" thickTop="1" thickBot="1">
      <c r="A28" s="214"/>
      <c r="B28" s="218"/>
      <c r="C28" s="82" t="s">
        <v>19</v>
      </c>
      <c r="D28" s="220"/>
      <c r="E28" s="948">
        <f t="shared" ref="E28:K28" si="1">SUM(E13:E27)</f>
        <v>0</v>
      </c>
      <c r="F28" s="948">
        <f>SUM(F13:F27)</f>
        <v>0</v>
      </c>
      <c r="G28" s="999">
        <f t="shared" si="1"/>
        <v>0</v>
      </c>
      <c r="H28" s="949">
        <f t="shared" si="1"/>
        <v>0</v>
      </c>
      <c r="I28" s="950">
        <f t="shared" si="1"/>
        <v>0</v>
      </c>
      <c r="J28" s="948">
        <f t="shared" si="1"/>
        <v>0</v>
      </c>
      <c r="K28" s="957">
        <f t="shared" si="1"/>
        <v>0</v>
      </c>
      <c r="L28" s="997">
        <f>(SUM((E28:H28))-(SUM((I28:K28))))</f>
        <v>0</v>
      </c>
      <c r="O28" s="7"/>
      <c r="Q28" s="7"/>
    </row>
    <row r="29" spans="1:17" s="1" customFormat="1" ht="26.25" customHeight="1" thickTop="1" thickBot="1">
      <c r="A29" s="214"/>
      <c r="B29" s="218"/>
      <c r="C29" s="82" t="s">
        <v>257</v>
      </c>
      <c r="D29" s="220"/>
      <c r="E29" s="948">
        <f t="shared" ref="E29:K29" si="2">E12+E28</f>
        <v>0</v>
      </c>
      <c r="F29" s="948">
        <f>F12+F28</f>
        <v>0</v>
      </c>
      <c r="G29" s="999">
        <f t="shared" si="2"/>
        <v>0</v>
      </c>
      <c r="H29" s="949">
        <f t="shared" si="2"/>
        <v>0</v>
      </c>
      <c r="I29" s="950">
        <f t="shared" si="2"/>
        <v>0</v>
      </c>
      <c r="J29" s="948">
        <f t="shared" si="2"/>
        <v>0</v>
      </c>
      <c r="K29" s="957">
        <f t="shared" si="2"/>
        <v>0</v>
      </c>
      <c r="L29" s="997">
        <f>(SUM((E29:H29))-(SUM((I29:K29))))</f>
        <v>0</v>
      </c>
    </row>
    <row r="30" spans="1:17" s="1" customFormat="1" ht="26.25" customHeight="1" thickTop="1" thickBot="1">
      <c r="A30" s="215"/>
      <c r="B30" s="219"/>
      <c r="C30" s="216" t="s">
        <v>20</v>
      </c>
      <c r="D30" s="221"/>
      <c r="E30" s="952">
        <f t="shared" ref="E30:K30" si="3">E11+E29</f>
        <v>0</v>
      </c>
      <c r="F30" s="952">
        <f>F11+F29</f>
        <v>0</v>
      </c>
      <c r="G30" s="1000">
        <f t="shared" si="3"/>
        <v>0</v>
      </c>
      <c r="H30" s="953">
        <f t="shared" si="3"/>
        <v>0</v>
      </c>
      <c r="I30" s="954">
        <f t="shared" si="3"/>
        <v>0</v>
      </c>
      <c r="J30" s="952">
        <f t="shared" si="3"/>
        <v>0</v>
      </c>
      <c r="K30" s="947">
        <f t="shared" si="3"/>
        <v>0</v>
      </c>
      <c r="L30" s="998">
        <f>(SUM((E30:H30))-(SUM((I30:K30))))</f>
        <v>0</v>
      </c>
    </row>
    <row r="31" spans="1:17" s="1" customFormat="1" ht="15.75">
      <c r="B31" s="10"/>
    </row>
    <row r="32" spans="1:17" s="1" customFormat="1" ht="15.75">
      <c r="A32" s="147"/>
      <c r="B32" s="10"/>
      <c r="C32" s="123"/>
      <c r="D32" s="123"/>
      <c r="E32" s="123"/>
      <c r="F32" s="123"/>
      <c r="G32" s="123"/>
      <c r="H32" s="123"/>
      <c r="I32" s="123"/>
      <c r="J32" s="11" t="str">
        <f>DT!D28</f>
        <v>Nagrak, 29 Februari 2016 2016</v>
      </c>
    </row>
    <row r="33" spans="2:10" s="1" customFormat="1" ht="15.75">
      <c r="B33" s="10"/>
      <c r="C33" s="148" t="s">
        <v>21</v>
      </c>
      <c r="D33" s="123"/>
      <c r="E33" s="123"/>
      <c r="F33" s="123"/>
      <c r="G33" s="123"/>
      <c r="H33" s="123"/>
      <c r="I33" s="123"/>
      <c r="J33" s="148" t="s">
        <v>22</v>
      </c>
    </row>
    <row r="34" spans="2:10" s="1" customFormat="1" ht="15.75">
      <c r="B34" s="10"/>
      <c r="C34" s="148" t="s">
        <v>23</v>
      </c>
      <c r="E34" s="123"/>
      <c r="F34" s="123"/>
      <c r="G34" s="123"/>
      <c r="H34" s="123"/>
      <c r="I34" s="123"/>
      <c r="J34" s="149" t="s">
        <v>24</v>
      </c>
    </row>
    <row r="35" spans="2:10" s="1" customFormat="1" ht="15.75">
      <c r="B35" s="10"/>
      <c r="C35" s="148"/>
      <c r="E35" s="123"/>
      <c r="F35" s="123"/>
      <c r="G35" s="123"/>
      <c r="H35" s="123"/>
      <c r="I35" s="123"/>
      <c r="J35" s="149"/>
    </row>
    <row r="39" spans="2:10">
      <c r="C39" s="488" t="str">
        <f>DT!D14</f>
        <v>Endang Taryana</v>
      </c>
      <c r="J39" s="488" t="str">
        <f>DT!D15</f>
        <v>Arin Yustini, SE</v>
      </c>
    </row>
  </sheetData>
  <mergeCells count="14">
    <mergeCell ref="A1:L1"/>
    <mergeCell ref="A2:L2"/>
    <mergeCell ref="A8:A10"/>
    <mergeCell ref="B8:B10"/>
    <mergeCell ref="C8:C10"/>
    <mergeCell ref="D8:D9"/>
    <mergeCell ref="E8:H8"/>
    <mergeCell ref="I8:K8"/>
    <mergeCell ref="L8:L10"/>
    <mergeCell ref="E9:G9"/>
    <mergeCell ref="H9:H10"/>
    <mergeCell ref="I9:I10"/>
    <mergeCell ref="J9:J10"/>
    <mergeCell ref="K9:K10"/>
  </mergeCells>
  <printOptions horizontalCentered="1" verticalCentered="1"/>
  <pageMargins left="0.25" right="0.25" top="1" bottom="0.25" header="0.511811023622047" footer="0.511811023622047"/>
  <pageSetup paperSize="9" scale="70" orientation="landscape" horizontalDpi="300" verticalDpi="300" r:id="rId1"/>
  <headerFooter alignWithMargins="0"/>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8" tint="0.39997558519241921"/>
  </sheetPr>
  <dimension ref="A1:Q39"/>
  <sheetViews>
    <sheetView topLeftCell="A16" zoomScale="70" zoomScaleNormal="70" workbookViewId="0">
      <selection activeCell="E28" sqref="E28:F30"/>
    </sheetView>
  </sheetViews>
  <sheetFormatPr defaultColWidth="9.140625" defaultRowHeight="12.75"/>
  <cols>
    <col min="1" max="1" width="4.28515625" style="15" customWidth="1"/>
    <col min="2" max="2" width="18.28515625" style="19" customWidth="1"/>
    <col min="3" max="3" width="44.5703125" style="15" customWidth="1"/>
    <col min="4" max="4" width="17" style="15" customWidth="1"/>
    <col min="5" max="12" width="16.7109375" style="15" customWidth="1"/>
    <col min="13" max="13" width="16.42578125" style="15" customWidth="1"/>
    <col min="14" max="14" width="20.28515625" style="15" customWidth="1"/>
    <col min="15" max="15" width="21" style="15" customWidth="1"/>
    <col min="16" max="16" width="9.140625" style="15"/>
    <col min="17" max="17" width="14" style="15" bestFit="1" customWidth="1"/>
    <col min="18" max="16384" width="9.140625" style="15"/>
  </cols>
  <sheetData>
    <row r="1" spans="1:12" s="24" customFormat="1" ht="20.25">
      <c r="A1" s="3396" t="s">
        <v>55</v>
      </c>
      <c r="B1" s="3396"/>
      <c r="C1" s="3396"/>
      <c r="D1" s="3396"/>
      <c r="E1" s="3396"/>
      <c r="F1" s="3396"/>
      <c r="G1" s="3396"/>
      <c r="H1" s="3396"/>
      <c r="I1" s="3396"/>
      <c r="J1" s="3396"/>
      <c r="K1" s="3396"/>
      <c r="L1" s="3396"/>
    </row>
    <row r="2" spans="1:12" s="24" customFormat="1" ht="30">
      <c r="A2" s="3396" t="s">
        <v>887</v>
      </c>
      <c r="B2" s="3396"/>
      <c r="C2" s="3396"/>
      <c r="D2" s="3396"/>
      <c r="E2" s="3396"/>
      <c r="F2" s="3396"/>
      <c r="G2" s="3396"/>
      <c r="H2" s="3396"/>
      <c r="I2" s="3396"/>
      <c r="J2" s="3396"/>
      <c r="K2" s="3396"/>
      <c r="L2" s="3396"/>
    </row>
    <row r="3" spans="1:12">
      <c r="B3" s="16"/>
      <c r="C3" s="17"/>
      <c r="D3" s="17"/>
      <c r="E3" s="17"/>
      <c r="F3" s="17"/>
      <c r="G3" s="17"/>
      <c r="H3" s="17"/>
      <c r="I3" s="17"/>
      <c r="J3" s="17"/>
      <c r="K3" s="17"/>
      <c r="L3" s="17"/>
    </row>
    <row r="4" spans="1:12" s="1" customFormat="1" ht="15.75">
      <c r="A4" s="23" t="s">
        <v>2</v>
      </c>
      <c r="B4" s="10"/>
      <c r="C4" s="4" t="str">
        <f>": "&amp;DT!D3</f>
        <v>: Nagrak</v>
      </c>
      <c r="G4" s="23"/>
      <c r="H4" s="542" t="s">
        <v>3</v>
      </c>
      <c r="J4" s="6" t="str">
        <f>": "&amp;DT!D25</f>
        <v>: Februari 2016</v>
      </c>
    </row>
    <row r="5" spans="1:12" s="1" customFormat="1" ht="15.75">
      <c r="A5" s="23" t="s">
        <v>4</v>
      </c>
      <c r="B5" s="10"/>
      <c r="C5" s="4" t="str">
        <f>": "&amp;DT!D4</f>
        <v>: Sukabumi</v>
      </c>
      <c r="G5" s="23"/>
      <c r="H5" s="542" t="s">
        <v>56</v>
      </c>
      <c r="J5" s="6" t="s">
        <v>357</v>
      </c>
    </row>
    <row r="6" spans="1:12" s="1" customFormat="1" ht="15.75">
      <c r="A6" s="23" t="s">
        <v>6</v>
      </c>
      <c r="B6" s="10"/>
      <c r="C6" s="4" t="str">
        <f>": "&amp;DT!D5</f>
        <v>: Jawa Barat</v>
      </c>
      <c r="G6" s="23"/>
      <c r="H6" s="542" t="s">
        <v>488</v>
      </c>
      <c r="J6" s="6" t="str">
        <f>": "&amp;DT!D44</f>
        <v>: .................................</v>
      </c>
    </row>
    <row r="7" spans="1:12" s="1" customFormat="1" ht="16.5" thickBot="1">
      <c r="A7" s="23"/>
      <c r="B7" s="10"/>
      <c r="C7" s="5"/>
      <c r="E7" s="23"/>
      <c r="F7" s="23"/>
      <c r="G7" s="23"/>
      <c r="H7" s="25"/>
      <c r="I7" s="4"/>
    </row>
    <row r="8" spans="1:12" s="1" customFormat="1" ht="25.5" customHeight="1" thickBot="1">
      <c r="A8" s="3410" t="s">
        <v>57</v>
      </c>
      <c r="B8" s="3410" t="s">
        <v>7</v>
      </c>
      <c r="C8" s="3410" t="s">
        <v>8</v>
      </c>
      <c r="D8" s="3410" t="s">
        <v>9</v>
      </c>
      <c r="E8" s="3410" t="s">
        <v>10</v>
      </c>
      <c r="F8" s="3410"/>
      <c r="G8" s="3410"/>
      <c r="H8" s="3410"/>
      <c r="I8" s="3410" t="s">
        <v>11</v>
      </c>
      <c r="J8" s="3410"/>
      <c r="K8" s="3410"/>
      <c r="L8" s="3410" t="s">
        <v>12</v>
      </c>
    </row>
    <row r="9" spans="1:12" s="1" customFormat="1" ht="16.5" thickBot="1">
      <c r="A9" s="3410"/>
      <c r="B9" s="3410"/>
      <c r="C9" s="3410"/>
      <c r="D9" s="3410"/>
      <c r="E9" s="3410" t="s">
        <v>58</v>
      </c>
      <c r="F9" s="3410"/>
      <c r="G9" s="3410"/>
      <c r="H9" s="3410" t="s">
        <v>59</v>
      </c>
      <c r="I9" s="3410" t="s">
        <v>60</v>
      </c>
      <c r="J9" s="3410" t="s">
        <v>61</v>
      </c>
      <c r="K9" s="3410" t="s">
        <v>62</v>
      </c>
      <c r="L9" s="3410"/>
    </row>
    <row r="10" spans="1:12" s="1" customFormat="1" ht="32.25" thickBot="1">
      <c r="A10" s="3410"/>
      <c r="B10" s="3410"/>
      <c r="C10" s="3410"/>
      <c r="D10" s="490" t="s">
        <v>13</v>
      </c>
      <c r="E10" s="1034" t="s">
        <v>886</v>
      </c>
      <c r="F10" s="1034" t="s">
        <v>885</v>
      </c>
      <c r="G10" s="489" t="s">
        <v>571</v>
      </c>
      <c r="H10" s="3410"/>
      <c r="I10" s="3410"/>
      <c r="J10" s="3410"/>
      <c r="K10" s="3410"/>
      <c r="L10" s="3410"/>
    </row>
    <row r="11" spans="1:12" s="1" customFormat="1" ht="28.5" customHeight="1" thickTop="1">
      <c r="A11" s="528"/>
      <c r="B11" s="529"/>
      <c r="C11" s="530" t="s">
        <v>258</v>
      </c>
      <c r="D11" s="531"/>
      <c r="E11" s="510"/>
      <c r="F11" s="1029"/>
      <c r="G11" s="519"/>
      <c r="H11" s="509"/>
      <c r="I11" s="510"/>
      <c r="J11" s="508"/>
      <c r="K11" s="512"/>
      <c r="L11" s="523">
        <f>(SUM((E11:H11))-(SUM((I11:K11))))</f>
        <v>0</v>
      </c>
    </row>
    <row r="12" spans="1:12" s="23" customFormat="1" ht="28.5" customHeight="1" thickBot="1">
      <c r="A12" s="987"/>
      <c r="B12" s="988"/>
      <c r="C12" s="989" t="s">
        <v>539</v>
      </c>
      <c r="D12" s="990"/>
      <c r="E12" s="991"/>
      <c r="F12" s="1030"/>
      <c r="G12" s="992"/>
      <c r="H12" s="993"/>
      <c r="I12" s="991"/>
      <c r="J12" s="961"/>
      <c r="K12" s="962"/>
      <c r="L12" s="994">
        <f>L11+(SUM((E12:H12))-(SUM((I12:K12))))</f>
        <v>0</v>
      </c>
    </row>
    <row r="13" spans="1:12" s="1" customFormat="1" ht="16.5" thickTop="1">
      <c r="A13" s="532"/>
      <c r="B13" s="533"/>
      <c r="C13" s="534"/>
      <c r="D13" s="534"/>
      <c r="E13" s="459"/>
      <c r="F13" s="1031"/>
      <c r="G13" s="520"/>
      <c r="H13" s="458"/>
      <c r="I13" s="459"/>
      <c r="J13" s="457"/>
      <c r="K13" s="524"/>
      <c r="L13" s="995">
        <f t="shared" ref="L13:L27" si="0">L12+(SUM((E13:H13))-(SUM((I13:K13))))</f>
        <v>0</v>
      </c>
    </row>
    <row r="14" spans="1:12" s="1" customFormat="1" ht="15.75">
      <c r="A14" s="535"/>
      <c r="B14" s="536"/>
      <c r="C14" s="537"/>
      <c r="D14" s="537"/>
      <c r="E14" s="145"/>
      <c r="F14" s="1032"/>
      <c r="G14" s="521"/>
      <c r="H14" s="144"/>
      <c r="I14" s="145"/>
      <c r="J14" s="146"/>
      <c r="K14" s="525"/>
      <c r="L14" s="995">
        <f t="shared" si="0"/>
        <v>0</v>
      </c>
    </row>
    <row r="15" spans="1:12" s="1" customFormat="1" ht="15.75">
      <c r="A15" s="535"/>
      <c r="B15" s="536"/>
      <c r="C15" s="537"/>
      <c r="D15" s="537"/>
      <c r="E15" s="145"/>
      <c r="F15" s="1032"/>
      <c r="G15" s="521"/>
      <c r="H15" s="144"/>
      <c r="I15" s="145"/>
      <c r="J15" s="146"/>
      <c r="K15" s="525"/>
      <c r="L15" s="995">
        <f t="shared" si="0"/>
        <v>0</v>
      </c>
    </row>
    <row r="16" spans="1:12" s="1" customFormat="1" ht="15.75">
      <c r="A16" s="535"/>
      <c r="B16" s="536"/>
      <c r="C16" s="537"/>
      <c r="D16" s="537"/>
      <c r="E16" s="145"/>
      <c r="F16" s="1032"/>
      <c r="G16" s="521"/>
      <c r="H16" s="144"/>
      <c r="I16" s="145"/>
      <c r="J16" s="146"/>
      <c r="K16" s="525"/>
      <c r="L16" s="995">
        <f t="shared" si="0"/>
        <v>0</v>
      </c>
    </row>
    <row r="17" spans="1:17" s="1" customFormat="1" ht="15.75">
      <c r="A17" s="535"/>
      <c r="B17" s="536"/>
      <c r="C17" s="537"/>
      <c r="D17" s="537"/>
      <c r="E17" s="145"/>
      <c r="F17" s="1032"/>
      <c r="G17" s="521"/>
      <c r="H17" s="144"/>
      <c r="I17" s="145"/>
      <c r="J17" s="146"/>
      <c r="K17" s="525"/>
      <c r="L17" s="995">
        <f t="shared" si="0"/>
        <v>0</v>
      </c>
    </row>
    <row r="18" spans="1:17" s="1" customFormat="1" ht="15.75">
      <c r="A18" s="535"/>
      <c r="B18" s="536"/>
      <c r="C18" s="537"/>
      <c r="D18" s="537"/>
      <c r="E18" s="145"/>
      <c r="F18" s="1032"/>
      <c r="G18" s="521"/>
      <c r="H18" s="144"/>
      <c r="I18" s="145"/>
      <c r="J18" s="146"/>
      <c r="K18" s="525"/>
      <c r="L18" s="995">
        <f t="shared" si="0"/>
        <v>0</v>
      </c>
    </row>
    <row r="19" spans="1:17" s="1" customFormat="1" ht="15.75">
      <c r="A19" s="535"/>
      <c r="B19" s="536"/>
      <c r="C19" s="537"/>
      <c r="D19" s="537"/>
      <c r="E19" s="145"/>
      <c r="F19" s="1032"/>
      <c r="G19" s="521"/>
      <c r="H19" s="144"/>
      <c r="I19" s="145"/>
      <c r="J19" s="146"/>
      <c r="K19" s="525"/>
      <c r="L19" s="995">
        <f t="shared" si="0"/>
        <v>0</v>
      </c>
    </row>
    <row r="20" spans="1:17" s="1" customFormat="1" ht="15.75">
      <c r="A20" s="535"/>
      <c r="B20" s="536"/>
      <c r="C20" s="537"/>
      <c r="D20" s="537"/>
      <c r="E20" s="145"/>
      <c r="F20" s="1032"/>
      <c r="G20" s="521"/>
      <c r="H20" s="144"/>
      <c r="I20" s="145"/>
      <c r="J20" s="146"/>
      <c r="K20" s="525"/>
      <c r="L20" s="995">
        <f t="shared" si="0"/>
        <v>0</v>
      </c>
    </row>
    <row r="21" spans="1:17" s="1" customFormat="1" ht="15.75">
      <c r="A21" s="535"/>
      <c r="B21" s="536"/>
      <c r="C21" s="537"/>
      <c r="D21" s="537"/>
      <c r="E21" s="145"/>
      <c r="F21" s="1032"/>
      <c r="G21" s="521"/>
      <c r="H21" s="144"/>
      <c r="I21" s="145"/>
      <c r="J21" s="146"/>
      <c r="K21" s="525"/>
      <c r="L21" s="995">
        <f t="shared" si="0"/>
        <v>0</v>
      </c>
    </row>
    <row r="22" spans="1:17" s="1" customFormat="1" ht="15.75">
      <c r="A22" s="535"/>
      <c r="B22" s="536"/>
      <c r="C22" s="537"/>
      <c r="D22" s="537"/>
      <c r="E22" s="145"/>
      <c r="F22" s="1032"/>
      <c r="G22" s="521"/>
      <c r="H22" s="144"/>
      <c r="I22" s="145"/>
      <c r="J22" s="146"/>
      <c r="K22" s="525"/>
      <c r="L22" s="995">
        <f t="shared" si="0"/>
        <v>0</v>
      </c>
    </row>
    <row r="23" spans="1:17" s="1" customFormat="1" ht="15.75">
      <c r="A23" s="535"/>
      <c r="B23" s="536"/>
      <c r="C23" s="537"/>
      <c r="D23" s="537"/>
      <c r="E23" s="145"/>
      <c r="F23" s="1032"/>
      <c r="G23" s="521"/>
      <c r="H23" s="144"/>
      <c r="I23" s="145"/>
      <c r="J23" s="146"/>
      <c r="K23" s="525"/>
      <c r="L23" s="995">
        <f t="shared" si="0"/>
        <v>0</v>
      </c>
    </row>
    <row r="24" spans="1:17" s="1" customFormat="1" ht="15.75">
      <c r="A24" s="535"/>
      <c r="B24" s="536"/>
      <c r="C24" s="537"/>
      <c r="D24" s="537"/>
      <c r="E24" s="145"/>
      <c r="F24" s="1032"/>
      <c r="G24" s="521"/>
      <c r="H24" s="144"/>
      <c r="I24" s="145"/>
      <c r="J24" s="146"/>
      <c r="K24" s="525"/>
      <c r="L24" s="995">
        <f t="shared" si="0"/>
        <v>0</v>
      </c>
    </row>
    <row r="25" spans="1:17" s="1" customFormat="1" ht="15.75">
      <c r="A25" s="535"/>
      <c r="B25" s="536"/>
      <c r="C25" s="537"/>
      <c r="D25" s="537"/>
      <c r="E25" s="145"/>
      <c r="F25" s="1032"/>
      <c r="G25" s="521"/>
      <c r="H25" s="144"/>
      <c r="I25" s="145"/>
      <c r="J25" s="146"/>
      <c r="K25" s="525"/>
      <c r="L25" s="996">
        <f t="shared" si="0"/>
        <v>0</v>
      </c>
    </row>
    <row r="26" spans="1:17" s="1" customFormat="1" ht="15.75">
      <c r="A26" s="535"/>
      <c r="B26" s="536"/>
      <c r="C26" s="537"/>
      <c r="D26" s="537"/>
      <c r="E26" s="145"/>
      <c r="F26" s="1032"/>
      <c r="G26" s="521"/>
      <c r="H26" s="144"/>
      <c r="I26" s="145"/>
      <c r="J26" s="146"/>
      <c r="K26" s="525"/>
      <c r="L26" s="996">
        <f t="shared" si="0"/>
        <v>0</v>
      </c>
    </row>
    <row r="27" spans="1:17" s="1" customFormat="1" ht="16.5" thickBot="1">
      <c r="A27" s="538"/>
      <c r="B27" s="539"/>
      <c r="C27" s="540"/>
      <c r="D27" s="540"/>
      <c r="E27" s="462"/>
      <c r="F27" s="1033"/>
      <c r="G27" s="522"/>
      <c r="H27" s="461"/>
      <c r="I27" s="462"/>
      <c r="J27" s="460"/>
      <c r="K27" s="526"/>
      <c r="L27" s="996">
        <f t="shared" si="0"/>
        <v>0</v>
      </c>
    </row>
    <row r="28" spans="1:17" s="1" customFormat="1" ht="26.25" customHeight="1" thickTop="1" thickBot="1">
      <c r="A28" s="214"/>
      <c r="B28" s="218"/>
      <c r="C28" s="82" t="s">
        <v>19</v>
      </c>
      <c r="D28" s="220"/>
      <c r="E28" s="948">
        <f t="shared" ref="E28:K28" si="1">SUM(E13:E27)</f>
        <v>0</v>
      </c>
      <c r="F28" s="948">
        <f>SUM(F13:F27)</f>
        <v>0</v>
      </c>
      <c r="G28" s="999">
        <f t="shared" si="1"/>
        <v>0</v>
      </c>
      <c r="H28" s="949">
        <f t="shared" si="1"/>
        <v>0</v>
      </c>
      <c r="I28" s="950">
        <f t="shared" si="1"/>
        <v>0</v>
      </c>
      <c r="J28" s="948">
        <f t="shared" si="1"/>
        <v>0</v>
      </c>
      <c r="K28" s="957">
        <f t="shared" si="1"/>
        <v>0</v>
      </c>
      <c r="L28" s="997">
        <f>(SUM((E28:H28))-(SUM((I28:K28))))</f>
        <v>0</v>
      </c>
      <c r="O28" s="7"/>
      <c r="Q28" s="7"/>
    </row>
    <row r="29" spans="1:17" s="1" customFormat="1" ht="26.25" customHeight="1" thickTop="1" thickBot="1">
      <c r="A29" s="214"/>
      <c r="B29" s="218"/>
      <c r="C29" s="82" t="s">
        <v>257</v>
      </c>
      <c r="D29" s="220"/>
      <c r="E29" s="948">
        <f t="shared" ref="E29:K29" si="2">E12+E28</f>
        <v>0</v>
      </c>
      <c r="F29" s="948">
        <f>F12+F28</f>
        <v>0</v>
      </c>
      <c r="G29" s="999">
        <f t="shared" si="2"/>
        <v>0</v>
      </c>
      <c r="H29" s="949">
        <f t="shared" si="2"/>
        <v>0</v>
      </c>
      <c r="I29" s="950">
        <f t="shared" si="2"/>
        <v>0</v>
      </c>
      <c r="J29" s="948">
        <f t="shared" si="2"/>
        <v>0</v>
      </c>
      <c r="K29" s="957">
        <f t="shared" si="2"/>
        <v>0</v>
      </c>
      <c r="L29" s="997">
        <f>(SUM((E29:H29))-(SUM((I29:K29))))</f>
        <v>0</v>
      </c>
    </row>
    <row r="30" spans="1:17" s="1" customFormat="1" ht="26.25" customHeight="1" thickTop="1" thickBot="1">
      <c r="A30" s="215"/>
      <c r="B30" s="219"/>
      <c r="C30" s="216" t="s">
        <v>20</v>
      </c>
      <c r="D30" s="221"/>
      <c r="E30" s="952">
        <f t="shared" ref="E30:K30" si="3">E11+E29</f>
        <v>0</v>
      </c>
      <c r="F30" s="952">
        <f>F11+F29</f>
        <v>0</v>
      </c>
      <c r="G30" s="1000">
        <f t="shared" si="3"/>
        <v>0</v>
      </c>
      <c r="H30" s="953">
        <f t="shared" si="3"/>
        <v>0</v>
      </c>
      <c r="I30" s="954">
        <f t="shared" si="3"/>
        <v>0</v>
      </c>
      <c r="J30" s="952">
        <f t="shared" si="3"/>
        <v>0</v>
      </c>
      <c r="K30" s="947">
        <f t="shared" si="3"/>
        <v>0</v>
      </c>
      <c r="L30" s="998">
        <f>(SUM((E30:H30))-(SUM((I30:K30))))</f>
        <v>0</v>
      </c>
    </row>
    <row r="31" spans="1:17" s="1" customFormat="1" ht="15.75">
      <c r="B31" s="10"/>
    </row>
    <row r="32" spans="1:17" s="1" customFormat="1" ht="15.75">
      <c r="A32" s="147"/>
      <c r="B32" s="10"/>
      <c r="C32" s="123"/>
      <c r="D32" s="123"/>
      <c r="E32" s="123"/>
      <c r="F32" s="123"/>
      <c r="G32" s="123"/>
      <c r="H32" s="123"/>
      <c r="I32" s="123"/>
      <c r="J32" s="11" t="str">
        <f>DT!D28</f>
        <v>Nagrak, 29 Februari 2016 2016</v>
      </c>
    </row>
    <row r="33" spans="2:10" s="1" customFormat="1" ht="15.75">
      <c r="B33" s="10"/>
      <c r="C33" s="148" t="s">
        <v>21</v>
      </c>
      <c r="D33" s="123"/>
      <c r="E33" s="123"/>
      <c r="F33" s="123"/>
      <c r="G33" s="123"/>
      <c r="H33" s="123"/>
      <c r="I33" s="123"/>
      <c r="J33" s="148" t="s">
        <v>22</v>
      </c>
    </row>
    <row r="34" spans="2:10" s="1" customFormat="1" ht="15.75">
      <c r="B34" s="10"/>
      <c r="C34" s="148" t="s">
        <v>23</v>
      </c>
      <c r="E34" s="123"/>
      <c r="F34" s="123"/>
      <c r="G34" s="123"/>
      <c r="H34" s="123"/>
      <c r="I34" s="123"/>
      <c r="J34" s="149" t="s">
        <v>24</v>
      </c>
    </row>
    <row r="35" spans="2:10" s="1" customFormat="1" ht="15.75">
      <c r="B35" s="10"/>
      <c r="C35" s="148"/>
      <c r="E35" s="123"/>
      <c r="F35" s="123"/>
      <c r="G35" s="123"/>
      <c r="H35" s="123"/>
      <c r="I35" s="123"/>
      <c r="J35" s="149"/>
    </row>
    <row r="39" spans="2:10">
      <c r="C39" s="488" t="str">
        <f>DT!D14</f>
        <v>Endang Taryana</v>
      </c>
      <c r="J39" s="488" t="str">
        <f>DT!D15</f>
        <v>Arin Yustini, SE</v>
      </c>
    </row>
  </sheetData>
  <mergeCells count="14">
    <mergeCell ref="A1:L1"/>
    <mergeCell ref="A2:L2"/>
    <mergeCell ref="A8:A10"/>
    <mergeCell ref="B8:B10"/>
    <mergeCell ref="C8:C10"/>
    <mergeCell ref="D8:D9"/>
    <mergeCell ref="E8:H8"/>
    <mergeCell ref="I8:K8"/>
    <mergeCell ref="L8:L10"/>
    <mergeCell ref="E9:G9"/>
    <mergeCell ref="H9:H10"/>
    <mergeCell ref="I9:I10"/>
    <mergeCell ref="J9:J10"/>
    <mergeCell ref="K9:K10"/>
  </mergeCells>
  <printOptions horizontalCentered="1" verticalCentered="1"/>
  <pageMargins left="0.25" right="0.25" top="1" bottom="0.25" header="0.511811023622047" footer="0.511811023622047"/>
  <pageSetup paperSize="9" scale="70" orientation="landscape" horizontalDpi="300" verticalDpi="300"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8" tint="0.39997558519241921"/>
  </sheetPr>
  <dimension ref="A1:P39"/>
  <sheetViews>
    <sheetView topLeftCell="A16" zoomScale="90" zoomScaleNormal="90" workbookViewId="0">
      <selection activeCell="E12" sqref="E12:J13"/>
    </sheetView>
  </sheetViews>
  <sheetFormatPr defaultColWidth="9.140625" defaultRowHeight="12.75"/>
  <cols>
    <col min="1" max="1" width="4.28515625" style="15" customWidth="1"/>
    <col min="2" max="2" width="18.28515625" style="19" customWidth="1"/>
    <col min="3" max="3" width="44.5703125" style="15" customWidth="1"/>
    <col min="4" max="4" width="17" style="15" customWidth="1"/>
    <col min="5" max="11" width="16.7109375" style="15" customWidth="1"/>
    <col min="12" max="12" width="16.42578125" style="15" customWidth="1"/>
    <col min="13" max="13" width="20.28515625" style="15" customWidth="1"/>
    <col min="14" max="14" width="21" style="15" customWidth="1"/>
    <col min="15" max="15" width="9.140625" style="15"/>
    <col min="16" max="16" width="14" style="15" bestFit="1" customWidth="1"/>
    <col min="17" max="16384" width="9.140625" style="15"/>
  </cols>
  <sheetData>
    <row r="1" spans="1:11" s="24" customFormat="1" ht="20.25">
      <c r="A1" s="3396" t="s">
        <v>55</v>
      </c>
      <c r="B1" s="3396"/>
      <c r="C1" s="3396"/>
      <c r="D1" s="3396"/>
      <c r="E1" s="3396"/>
      <c r="F1" s="3396"/>
      <c r="G1" s="3396"/>
      <c r="H1" s="3396"/>
      <c r="I1" s="3396"/>
      <c r="J1" s="3396"/>
      <c r="K1" s="3396"/>
    </row>
    <row r="2" spans="1:11" s="24" customFormat="1" ht="20.25">
      <c r="A2" s="3396" t="s">
        <v>589</v>
      </c>
      <c r="B2" s="3396"/>
      <c r="C2" s="3396"/>
      <c r="D2" s="3396"/>
      <c r="E2" s="3396"/>
      <c r="F2" s="3396"/>
      <c r="G2" s="3396"/>
      <c r="H2" s="3396"/>
      <c r="I2" s="3396"/>
      <c r="J2" s="3396"/>
      <c r="K2" s="3396"/>
    </row>
    <row r="3" spans="1:11">
      <c r="B3" s="16"/>
      <c r="C3" s="17"/>
      <c r="D3" s="17"/>
      <c r="E3" s="17"/>
      <c r="F3" s="17"/>
      <c r="G3" s="17"/>
      <c r="H3" s="17"/>
      <c r="I3" s="17"/>
      <c r="J3" s="17"/>
      <c r="K3" s="17"/>
    </row>
    <row r="4" spans="1:11" s="1" customFormat="1" ht="15.75">
      <c r="A4" s="23" t="s">
        <v>2</v>
      </c>
      <c r="B4" s="10"/>
      <c r="C4" s="4" t="str">
        <f>": "&amp;DT!D3</f>
        <v>: Nagrak</v>
      </c>
      <c r="F4" s="23"/>
      <c r="G4" s="542" t="s">
        <v>3</v>
      </c>
      <c r="I4" s="6" t="str">
        <f>": "&amp;DT!D25</f>
        <v>: Februari 2016</v>
      </c>
    </row>
    <row r="5" spans="1:11" s="1" customFormat="1" ht="15.75">
      <c r="A5" s="23" t="s">
        <v>4</v>
      </c>
      <c r="B5" s="10"/>
      <c r="C5" s="4" t="str">
        <f>": "&amp;DT!D4</f>
        <v>: Sukabumi</v>
      </c>
      <c r="F5" s="23"/>
      <c r="G5" s="542" t="s">
        <v>56</v>
      </c>
      <c r="I5" s="6" t="s">
        <v>357</v>
      </c>
    </row>
    <row r="6" spans="1:11" s="1" customFormat="1" ht="15.75">
      <c r="A6" s="23" t="s">
        <v>6</v>
      </c>
      <c r="B6" s="10"/>
      <c r="C6" s="4" t="str">
        <f>": "&amp;DT!D5</f>
        <v>: Jawa Barat</v>
      </c>
      <c r="F6" s="23"/>
      <c r="G6" s="542" t="s">
        <v>488</v>
      </c>
      <c r="I6" s="6" t="str">
        <f>": "&amp;DT!D45</f>
        <v>: 4097-01-005759-53-0</v>
      </c>
    </row>
    <row r="7" spans="1:11" s="1" customFormat="1" ht="16.5" thickBot="1">
      <c r="A7" s="23"/>
      <c r="B7" s="10"/>
      <c r="C7" s="5"/>
      <c r="E7" s="23"/>
      <c r="F7" s="23"/>
      <c r="G7" s="25"/>
      <c r="H7" s="4"/>
    </row>
    <row r="8" spans="1:11" s="1" customFormat="1" ht="25.5" customHeight="1">
      <c r="A8" s="3583" t="s">
        <v>57</v>
      </c>
      <c r="B8" s="3583" t="s">
        <v>7</v>
      </c>
      <c r="C8" s="3583" t="s">
        <v>8</v>
      </c>
      <c r="D8" s="3583" t="s">
        <v>9</v>
      </c>
      <c r="E8" s="3586" t="s">
        <v>10</v>
      </c>
      <c r="F8" s="3587"/>
      <c r="G8" s="3588"/>
      <c r="H8" s="3586" t="s">
        <v>11</v>
      </c>
      <c r="I8" s="3587"/>
      <c r="J8" s="3587"/>
      <c r="K8" s="3588" t="s">
        <v>12</v>
      </c>
    </row>
    <row r="9" spans="1:11" s="1" customFormat="1" ht="15.75">
      <c r="A9" s="3584"/>
      <c r="B9" s="3584"/>
      <c r="C9" s="3584"/>
      <c r="D9" s="3584"/>
      <c r="E9" s="3591" t="s">
        <v>58</v>
      </c>
      <c r="F9" s="3592"/>
      <c r="G9" s="3589" t="s">
        <v>59</v>
      </c>
      <c r="H9" s="3591" t="s">
        <v>60</v>
      </c>
      <c r="I9" s="3592" t="s">
        <v>61</v>
      </c>
      <c r="J9" s="3592" t="s">
        <v>62</v>
      </c>
      <c r="K9" s="3589"/>
    </row>
    <row r="10" spans="1:11" s="1" customFormat="1" ht="30.75" thickBot="1">
      <c r="A10" s="3585"/>
      <c r="B10" s="3585"/>
      <c r="C10" s="3585"/>
      <c r="D10" s="2351" t="s">
        <v>13</v>
      </c>
      <c r="E10" s="2352" t="s">
        <v>886</v>
      </c>
      <c r="F10" s="2353" t="s">
        <v>571</v>
      </c>
      <c r="G10" s="3590"/>
      <c r="H10" s="3593"/>
      <c r="I10" s="3594"/>
      <c r="J10" s="3594"/>
      <c r="K10" s="3590"/>
    </row>
    <row r="11" spans="1:11" s="1" customFormat="1" ht="28.5" customHeight="1">
      <c r="A11" s="2354"/>
      <c r="B11" s="2354"/>
      <c r="C11" s="2354" t="s">
        <v>258</v>
      </c>
      <c r="D11" s="2355"/>
      <c r="E11" s="2356">
        <v>50000000</v>
      </c>
      <c r="F11" s="2357">
        <v>0</v>
      </c>
      <c r="G11" s="2358">
        <v>666121</v>
      </c>
      <c r="H11" s="2356">
        <v>50000000</v>
      </c>
      <c r="I11" s="2357">
        <v>132245</v>
      </c>
      <c r="J11" s="2357">
        <v>226500</v>
      </c>
      <c r="K11" s="2358">
        <f>(SUM((E11:G11))-(SUM((H11:J11))))</f>
        <v>307376</v>
      </c>
    </row>
    <row r="12" spans="1:11" s="23" customFormat="1" ht="28.5" customHeight="1" thickBot="1">
      <c r="A12" s="987"/>
      <c r="B12" s="988"/>
      <c r="C12" s="988" t="s">
        <v>539</v>
      </c>
      <c r="D12" s="988"/>
      <c r="E12" s="2342"/>
      <c r="F12" s="2343"/>
      <c r="G12" s="2348"/>
      <c r="H12" s="2342"/>
      <c r="I12" s="2343"/>
      <c r="J12" s="2343"/>
      <c r="K12" s="2344">
        <f>K11+(SUM((E12:G12))-(SUM((H12:J12))))</f>
        <v>307376</v>
      </c>
    </row>
    <row r="13" spans="1:11" s="1" customFormat="1" ht="16.5" thickTop="1">
      <c r="A13" s="532"/>
      <c r="B13" s="2397"/>
      <c r="C13" s="2350"/>
      <c r="D13" s="2145"/>
      <c r="E13" s="2345"/>
      <c r="F13" s="2346"/>
      <c r="G13" s="2349"/>
      <c r="H13" s="2345"/>
      <c r="I13" s="2346"/>
      <c r="J13" s="2709"/>
      <c r="K13" s="2347">
        <f>K12+(SUM((E13:G13))-(SUM((H13:J13))))</f>
        <v>307376</v>
      </c>
    </row>
    <row r="14" spans="1:11" s="1" customFormat="1" ht="15.75">
      <c r="A14" s="535"/>
      <c r="B14" s="2397"/>
      <c r="C14" s="537"/>
      <c r="D14" s="537"/>
      <c r="E14" s="2284"/>
      <c r="F14" s="146"/>
      <c r="G14" s="525"/>
      <c r="H14" s="2284"/>
      <c r="I14" s="146"/>
      <c r="J14" s="146"/>
      <c r="K14" s="2347">
        <f>K13+(SUM((E14:G14))-(SUM((H14:J14))))</f>
        <v>307376</v>
      </c>
    </row>
    <row r="15" spans="1:11" s="1" customFormat="1" ht="15.75">
      <c r="A15" s="535"/>
      <c r="B15" s="2397"/>
      <c r="C15" s="537"/>
      <c r="D15" s="537"/>
      <c r="E15" s="2284"/>
      <c r="F15" s="146"/>
      <c r="G15" s="525"/>
      <c r="H15" s="2284"/>
      <c r="I15" s="146"/>
      <c r="J15" s="146"/>
      <c r="K15" s="2347">
        <f t="shared" ref="K15:K27" si="0">K14+(SUM((E15:G15))-(SUM((H15:J15))))</f>
        <v>307376</v>
      </c>
    </row>
    <row r="16" spans="1:11" s="1" customFormat="1" ht="15.75">
      <c r="A16" s="535"/>
      <c r="B16" s="536"/>
      <c r="C16" s="537"/>
      <c r="D16" s="537"/>
      <c r="E16" s="2284"/>
      <c r="F16" s="146"/>
      <c r="G16" s="525"/>
      <c r="H16" s="2284"/>
      <c r="I16" s="146"/>
      <c r="J16" s="146"/>
      <c r="K16" s="2347">
        <f t="shared" si="0"/>
        <v>307376</v>
      </c>
    </row>
    <row r="17" spans="1:16" s="1" customFormat="1" ht="15.75">
      <c r="A17" s="535"/>
      <c r="B17" s="536"/>
      <c r="C17" s="537"/>
      <c r="D17" s="537"/>
      <c r="E17" s="2284"/>
      <c r="F17" s="146"/>
      <c r="G17" s="525"/>
      <c r="H17" s="2284"/>
      <c r="I17" s="146"/>
      <c r="J17" s="146"/>
      <c r="K17" s="2347">
        <f t="shared" si="0"/>
        <v>307376</v>
      </c>
    </row>
    <row r="18" spans="1:16" s="1" customFormat="1" ht="15.75">
      <c r="A18" s="535"/>
      <c r="B18" s="536"/>
      <c r="C18" s="537"/>
      <c r="D18" s="537"/>
      <c r="E18" s="2284"/>
      <c r="F18" s="146"/>
      <c r="G18" s="525"/>
      <c r="H18" s="2284"/>
      <c r="I18" s="146"/>
      <c r="J18" s="146"/>
      <c r="K18" s="2347">
        <f t="shared" si="0"/>
        <v>307376</v>
      </c>
    </row>
    <row r="19" spans="1:16" s="1" customFormat="1" ht="15.75">
      <c r="A19" s="535"/>
      <c r="B19" s="536"/>
      <c r="C19" s="537"/>
      <c r="D19" s="537"/>
      <c r="E19" s="2284"/>
      <c r="F19" s="146"/>
      <c r="G19" s="525"/>
      <c r="H19" s="2284"/>
      <c r="I19" s="146"/>
      <c r="J19" s="146"/>
      <c r="K19" s="2347">
        <f t="shared" si="0"/>
        <v>307376</v>
      </c>
    </row>
    <row r="20" spans="1:16" s="1" customFormat="1" ht="15.75">
      <c r="A20" s="535"/>
      <c r="B20" s="536"/>
      <c r="C20" s="537"/>
      <c r="D20" s="537"/>
      <c r="E20" s="2284"/>
      <c r="F20" s="146"/>
      <c r="G20" s="525"/>
      <c r="H20" s="2284"/>
      <c r="I20" s="146"/>
      <c r="J20" s="146"/>
      <c r="K20" s="2347">
        <f t="shared" si="0"/>
        <v>307376</v>
      </c>
    </row>
    <row r="21" spans="1:16" s="1" customFormat="1" ht="15.75">
      <c r="A21" s="535"/>
      <c r="B21" s="536"/>
      <c r="C21" s="537"/>
      <c r="D21" s="2281"/>
      <c r="E21" s="2284"/>
      <c r="F21" s="146"/>
      <c r="G21" s="525"/>
      <c r="H21" s="2284"/>
      <c r="I21" s="146"/>
      <c r="J21" s="146"/>
      <c r="K21" s="2347">
        <f t="shared" si="0"/>
        <v>307376</v>
      </c>
    </row>
    <row r="22" spans="1:16" s="1" customFormat="1" ht="15.75">
      <c r="A22" s="535"/>
      <c r="B22" s="536"/>
      <c r="C22" s="537"/>
      <c r="D22" s="2281"/>
      <c r="E22" s="2284"/>
      <c r="F22" s="146"/>
      <c r="G22" s="525"/>
      <c r="H22" s="2284"/>
      <c r="I22" s="146"/>
      <c r="J22" s="146"/>
      <c r="K22" s="2347">
        <f t="shared" si="0"/>
        <v>307376</v>
      </c>
    </row>
    <row r="23" spans="1:16" s="1" customFormat="1" ht="15.75">
      <c r="A23" s="535"/>
      <c r="B23" s="536"/>
      <c r="C23" s="537"/>
      <c r="D23" s="2281"/>
      <c r="E23" s="2284"/>
      <c r="F23" s="146"/>
      <c r="G23" s="525"/>
      <c r="H23" s="2284"/>
      <c r="I23" s="146"/>
      <c r="J23" s="146"/>
      <c r="K23" s="2347">
        <f t="shared" si="0"/>
        <v>307376</v>
      </c>
    </row>
    <row r="24" spans="1:16" s="1" customFormat="1" ht="15.75">
      <c r="A24" s="535"/>
      <c r="B24" s="536"/>
      <c r="C24" s="537"/>
      <c r="D24" s="2281"/>
      <c r="E24" s="2284"/>
      <c r="F24" s="146"/>
      <c r="G24" s="525"/>
      <c r="H24" s="2284"/>
      <c r="I24" s="146"/>
      <c r="J24" s="146"/>
      <c r="K24" s="2347">
        <f t="shared" si="0"/>
        <v>307376</v>
      </c>
    </row>
    <row r="25" spans="1:16" s="1" customFormat="1" ht="15.75">
      <c r="A25" s="535"/>
      <c r="B25" s="536"/>
      <c r="C25" s="537"/>
      <c r="D25" s="537"/>
      <c r="E25" s="145"/>
      <c r="F25" s="521"/>
      <c r="G25" s="521"/>
      <c r="H25" s="2284"/>
      <c r="I25" s="146"/>
      <c r="J25" s="146"/>
      <c r="K25" s="2257">
        <f t="shared" si="0"/>
        <v>307376</v>
      </c>
    </row>
    <row r="26" spans="1:16" s="1" customFormat="1" ht="15.75">
      <c r="A26" s="535"/>
      <c r="B26" s="536"/>
      <c r="C26" s="537"/>
      <c r="D26" s="537"/>
      <c r="E26" s="145"/>
      <c r="F26" s="521"/>
      <c r="G26" s="521"/>
      <c r="H26" s="2284"/>
      <c r="I26" s="146"/>
      <c r="J26" s="146"/>
      <c r="K26" s="2257">
        <f t="shared" si="0"/>
        <v>307376</v>
      </c>
    </row>
    <row r="27" spans="1:16" s="1" customFormat="1" ht="16.5" thickBot="1">
      <c r="A27" s="538"/>
      <c r="B27" s="539"/>
      <c r="C27" s="540"/>
      <c r="D27" s="540"/>
      <c r="E27" s="462"/>
      <c r="F27" s="522"/>
      <c r="G27" s="461"/>
      <c r="H27" s="462"/>
      <c r="I27" s="460"/>
      <c r="J27" s="526"/>
      <c r="K27" s="996">
        <f t="shared" si="0"/>
        <v>307376</v>
      </c>
    </row>
    <row r="28" spans="1:16" s="1" customFormat="1" ht="26.25" customHeight="1" thickTop="1" thickBot="1">
      <c r="A28" s="214"/>
      <c r="B28" s="218"/>
      <c r="C28" s="82" t="s">
        <v>19</v>
      </c>
      <c r="D28" s="220"/>
      <c r="E28" s="948">
        <f t="shared" ref="E28:J28" si="1">SUM(E13:E27)</f>
        <v>0</v>
      </c>
      <c r="F28" s="999">
        <f t="shared" si="1"/>
        <v>0</v>
      </c>
      <c r="G28" s="949">
        <f t="shared" si="1"/>
        <v>0</v>
      </c>
      <c r="H28" s="950">
        <f t="shared" si="1"/>
        <v>0</v>
      </c>
      <c r="I28" s="948">
        <f t="shared" si="1"/>
        <v>0</v>
      </c>
      <c r="J28" s="957">
        <f t="shared" si="1"/>
        <v>0</v>
      </c>
      <c r="K28" s="997">
        <f>(SUM((E28:G28))-(SUM((H28:J28))))</f>
        <v>0</v>
      </c>
      <c r="N28" s="7"/>
      <c r="P28" s="7"/>
    </row>
    <row r="29" spans="1:16" s="1" customFormat="1" ht="26.25" customHeight="1" thickTop="1" thickBot="1">
      <c r="A29" s="214"/>
      <c r="B29" s="218"/>
      <c r="C29" s="82" t="s">
        <v>257</v>
      </c>
      <c r="D29" s="220"/>
      <c r="E29" s="948">
        <f t="shared" ref="E29:J29" si="2">E12+E28</f>
        <v>0</v>
      </c>
      <c r="F29" s="999">
        <f t="shared" si="2"/>
        <v>0</v>
      </c>
      <c r="G29" s="949">
        <f t="shared" si="2"/>
        <v>0</v>
      </c>
      <c r="H29" s="950">
        <f t="shared" si="2"/>
        <v>0</v>
      </c>
      <c r="I29" s="948">
        <f t="shared" si="2"/>
        <v>0</v>
      </c>
      <c r="J29" s="957">
        <f t="shared" si="2"/>
        <v>0</v>
      </c>
      <c r="K29" s="997">
        <f>(SUM((E29:G29))-(SUM((H29:J29))))</f>
        <v>0</v>
      </c>
    </row>
    <row r="30" spans="1:16" s="1" customFormat="1" ht="26.25" customHeight="1" thickTop="1" thickBot="1">
      <c r="A30" s="215"/>
      <c r="B30" s="219"/>
      <c r="C30" s="216" t="s">
        <v>20</v>
      </c>
      <c r="D30" s="221"/>
      <c r="E30" s="952">
        <f t="shared" ref="E30:J30" si="3">E11+E29</f>
        <v>50000000</v>
      </c>
      <c r="F30" s="1000">
        <f t="shared" si="3"/>
        <v>0</v>
      </c>
      <c r="G30" s="953">
        <f t="shared" si="3"/>
        <v>666121</v>
      </c>
      <c r="H30" s="954">
        <f t="shared" si="3"/>
        <v>50000000</v>
      </c>
      <c r="I30" s="952">
        <f t="shared" si="3"/>
        <v>132245</v>
      </c>
      <c r="J30" s="947">
        <f t="shared" si="3"/>
        <v>226500</v>
      </c>
      <c r="K30" s="998">
        <f>(SUM((E30:G30))-(SUM((H30:J30))))</f>
        <v>307376</v>
      </c>
    </row>
    <row r="31" spans="1:16" s="1" customFormat="1" ht="15.75">
      <c r="B31" s="10"/>
    </row>
    <row r="32" spans="1:16" s="1" customFormat="1" ht="15.75">
      <c r="A32" s="147"/>
      <c r="B32" s="10"/>
      <c r="C32" s="123"/>
      <c r="D32" s="123"/>
      <c r="E32" s="123"/>
      <c r="F32" s="123"/>
      <c r="G32" s="123"/>
      <c r="H32" s="123"/>
      <c r="I32" s="11" t="str">
        <f>DT!D28</f>
        <v>Nagrak, 29 Februari 2016 2016</v>
      </c>
    </row>
    <row r="33" spans="2:9" s="1" customFormat="1" ht="15.75">
      <c r="B33" s="10"/>
      <c r="C33" s="148" t="s">
        <v>21</v>
      </c>
      <c r="D33" s="123"/>
      <c r="E33" s="123"/>
      <c r="F33" s="123"/>
      <c r="G33" s="123"/>
      <c r="H33" s="123"/>
      <c r="I33" s="148" t="s">
        <v>22</v>
      </c>
    </row>
    <row r="34" spans="2:9" s="1" customFormat="1" ht="15.75">
      <c r="B34" s="10"/>
      <c r="C34" s="148" t="s">
        <v>23</v>
      </c>
      <c r="E34" s="123"/>
      <c r="F34" s="123"/>
      <c r="G34" s="123"/>
      <c r="H34" s="123"/>
      <c r="I34" s="149" t="s">
        <v>24</v>
      </c>
    </row>
    <row r="35" spans="2:9" s="1" customFormat="1" ht="15.75">
      <c r="B35" s="10"/>
      <c r="C35" s="148"/>
      <c r="E35" s="123"/>
      <c r="F35" s="123"/>
      <c r="G35" s="123"/>
      <c r="H35" s="123"/>
      <c r="I35" s="149"/>
    </row>
    <row r="39" spans="2:9">
      <c r="C39" s="488" t="str">
        <f>DT!D14</f>
        <v>Endang Taryana</v>
      </c>
      <c r="I39" s="488" t="str">
        <f>DT!D15</f>
        <v>Arin Yustini, SE</v>
      </c>
    </row>
  </sheetData>
  <mergeCells count="14">
    <mergeCell ref="A1:K1"/>
    <mergeCell ref="A2:K2"/>
    <mergeCell ref="A8:A10"/>
    <mergeCell ref="B8:B10"/>
    <mergeCell ref="C8:C10"/>
    <mergeCell ref="D8:D9"/>
    <mergeCell ref="E8:G8"/>
    <mergeCell ref="H8:J8"/>
    <mergeCell ref="K8:K10"/>
    <mergeCell ref="E9:F9"/>
    <mergeCell ref="G9:G10"/>
    <mergeCell ref="H9:H10"/>
    <mergeCell ref="I9:I10"/>
    <mergeCell ref="J9:J10"/>
  </mergeCells>
  <printOptions horizontalCentered="1" verticalCentered="1"/>
  <pageMargins left="0.25" right="0.25" top="1" bottom="0.25" header="0.511811023622047" footer="0.511811023622047"/>
  <pageSetup paperSize="9" scale="70" orientation="landscape" horizontalDpi="4294967293" verticalDpi="4294967293"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8" tint="0.39997558519241921"/>
  </sheetPr>
  <dimension ref="A1:P39"/>
  <sheetViews>
    <sheetView topLeftCell="A16" zoomScale="70" zoomScaleNormal="70" workbookViewId="0">
      <selection activeCell="J21" sqref="J21"/>
    </sheetView>
  </sheetViews>
  <sheetFormatPr defaultColWidth="9.140625" defaultRowHeight="12.75"/>
  <cols>
    <col min="1" max="1" width="4.28515625" style="15" customWidth="1"/>
    <col min="2" max="2" width="18.28515625" style="19" customWidth="1"/>
    <col min="3" max="3" width="44.5703125" style="15" customWidth="1"/>
    <col min="4" max="4" width="17" style="15" customWidth="1"/>
    <col min="5" max="11" width="16.7109375" style="15" customWidth="1"/>
    <col min="12" max="12" width="16.42578125" style="15" customWidth="1"/>
    <col min="13" max="13" width="20.28515625" style="15" customWidth="1"/>
    <col min="14" max="14" width="21" style="15" customWidth="1"/>
    <col min="15" max="15" width="9.140625" style="15"/>
    <col min="16" max="16" width="14" style="15" bestFit="1" customWidth="1"/>
    <col min="17" max="16384" width="9.140625" style="15"/>
  </cols>
  <sheetData>
    <row r="1" spans="1:11" s="24" customFormat="1" ht="20.25">
      <c r="A1" s="3396" t="s">
        <v>55</v>
      </c>
      <c r="B1" s="3396"/>
      <c r="C1" s="3396"/>
      <c r="D1" s="3396"/>
      <c r="E1" s="3396"/>
      <c r="F1" s="3396"/>
      <c r="G1" s="3396"/>
      <c r="H1" s="3396"/>
      <c r="I1" s="3396"/>
      <c r="J1" s="3396"/>
      <c r="K1" s="3396"/>
    </row>
    <row r="2" spans="1:11" s="24" customFormat="1" ht="20.25">
      <c r="A2" s="3396" t="s">
        <v>590</v>
      </c>
      <c r="B2" s="3396"/>
      <c r="C2" s="3396"/>
      <c r="D2" s="3396"/>
      <c r="E2" s="3396"/>
      <c r="F2" s="3396"/>
      <c r="G2" s="3396"/>
      <c r="H2" s="3396"/>
      <c r="I2" s="3396"/>
      <c r="J2" s="3396"/>
      <c r="K2" s="3396"/>
    </row>
    <row r="3" spans="1:11">
      <c r="B3" s="16"/>
      <c r="C3" s="17"/>
      <c r="D3" s="17"/>
      <c r="E3" s="17"/>
      <c r="F3" s="17"/>
      <c r="G3" s="17"/>
      <c r="H3" s="17"/>
      <c r="I3" s="17"/>
      <c r="J3" s="17"/>
      <c r="K3" s="17"/>
    </row>
    <row r="4" spans="1:11" s="1" customFormat="1" ht="15.75">
      <c r="A4" s="23" t="s">
        <v>2</v>
      </c>
      <c r="B4" s="10"/>
      <c r="C4" s="4" t="str">
        <f>": "&amp;DT!D3</f>
        <v>: Nagrak</v>
      </c>
      <c r="F4" s="23"/>
      <c r="G4" s="542" t="s">
        <v>3</v>
      </c>
      <c r="I4" s="6" t="str">
        <f>": "&amp;DT!D25</f>
        <v>: Februari 2016</v>
      </c>
    </row>
    <row r="5" spans="1:11" s="1" customFormat="1" ht="15.75">
      <c r="A5" s="23" t="s">
        <v>4</v>
      </c>
      <c r="B5" s="10"/>
      <c r="C5" s="4" t="str">
        <f>": "&amp;DT!D4</f>
        <v>: Sukabumi</v>
      </c>
      <c r="F5" s="23"/>
      <c r="G5" s="542" t="s">
        <v>56</v>
      </c>
      <c r="I5" s="6" t="s">
        <v>357</v>
      </c>
    </row>
    <row r="6" spans="1:11" s="1" customFormat="1" ht="15.75">
      <c r="A6" s="23" t="s">
        <v>6</v>
      </c>
      <c r="B6" s="10"/>
      <c r="C6" s="4" t="str">
        <f>": "&amp;DT!D5</f>
        <v>: Jawa Barat</v>
      </c>
      <c r="F6" s="23"/>
      <c r="G6" s="542" t="s">
        <v>488</v>
      </c>
      <c r="I6" s="6" t="str">
        <f>": "&amp;DT!D46</f>
        <v>: 4097-01-005570-53-8</v>
      </c>
    </row>
    <row r="7" spans="1:11" s="1" customFormat="1" ht="16.5" thickBot="1">
      <c r="A7" s="23"/>
      <c r="B7" s="10"/>
      <c r="C7" s="5"/>
      <c r="E7" s="23"/>
      <c r="F7" s="23"/>
      <c r="G7" s="25"/>
      <c r="H7" s="4"/>
    </row>
    <row r="8" spans="1:11" s="1" customFormat="1" ht="25.5" customHeight="1">
      <c r="A8" s="3541" t="s">
        <v>57</v>
      </c>
      <c r="B8" s="3445" t="s">
        <v>7</v>
      </c>
      <c r="C8" s="2290" t="s">
        <v>8</v>
      </c>
      <c r="D8" s="3445" t="s">
        <v>9</v>
      </c>
      <c r="E8" s="3445" t="s">
        <v>10</v>
      </c>
      <c r="F8" s="3445"/>
      <c r="G8" s="3445"/>
      <c r="H8" s="3445" t="s">
        <v>11</v>
      </c>
      <c r="I8" s="3445"/>
      <c r="J8" s="3445"/>
      <c r="K8" s="3456" t="s">
        <v>12</v>
      </c>
    </row>
    <row r="9" spans="1:11" s="1" customFormat="1" ht="15.75">
      <c r="A9" s="3542"/>
      <c r="B9" s="3446"/>
      <c r="C9" s="2202"/>
      <c r="D9" s="3446"/>
      <c r="E9" s="3446" t="s">
        <v>58</v>
      </c>
      <c r="F9" s="3446"/>
      <c r="G9" s="2202" t="s">
        <v>59</v>
      </c>
      <c r="H9" s="3446" t="s">
        <v>60</v>
      </c>
      <c r="I9" s="3446" t="s">
        <v>61</v>
      </c>
      <c r="J9" s="3446" t="s">
        <v>62</v>
      </c>
      <c r="K9" s="3460"/>
    </row>
    <row r="10" spans="1:11" s="1" customFormat="1" ht="30.75" thickBot="1">
      <c r="A10" s="3543"/>
      <c r="B10" s="3447"/>
      <c r="C10" s="2206"/>
      <c r="D10" s="2206" t="s">
        <v>13</v>
      </c>
      <c r="E10" s="2206" t="s">
        <v>886</v>
      </c>
      <c r="F10" s="2206" t="s">
        <v>571</v>
      </c>
      <c r="G10" s="2206"/>
      <c r="H10" s="3447"/>
      <c r="I10" s="3447"/>
      <c r="J10" s="3447"/>
      <c r="K10" s="3461"/>
    </row>
    <row r="11" spans="1:11" s="1" customFormat="1" ht="28.5" customHeight="1">
      <c r="A11" s="2359"/>
      <c r="B11" s="2359"/>
      <c r="C11" s="2370" t="s">
        <v>258</v>
      </c>
      <c r="D11" s="2370"/>
      <c r="E11" s="2371">
        <v>18525000</v>
      </c>
      <c r="F11" s="2372">
        <v>100000</v>
      </c>
      <c r="G11" s="2373">
        <v>139350</v>
      </c>
      <c r="H11" s="2371">
        <v>18525000</v>
      </c>
      <c r="I11" s="2374">
        <v>13298</v>
      </c>
      <c r="J11" s="2375">
        <v>100000</v>
      </c>
      <c r="K11" s="2360">
        <f>(SUM((E11:G11))-(SUM((H11:J11))))</f>
        <v>126052</v>
      </c>
    </row>
    <row r="12" spans="1:11" s="23" customFormat="1" ht="28.5" customHeight="1">
      <c r="A12" s="2361"/>
      <c r="B12" s="2362"/>
      <c r="C12" s="2363" t="s">
        <v>539</v>
      </c>
      <c r="D12" s="2363"/>
      <c r="E12" s="2364"/>
      <c r="F12" s="2365"/>
      <c r="G12" s="2366"/>
      <c r="H12" s="2364"/>
      <c r="I12" s="2367"/>
      <c r="J12" s="2368"/>
      <c r="K12" s="2369">
        <f>K11+(SUM((E12:G12))-(SUM((H12:J12))))</f>
        <v>126052</v>
      </c>
    </row>
    <row r="13" spans="1:11" s="1" customFormat="1" ht="15.75">
      <c r="A13" s="2144"/>
      <c r="B13" s="2383"/>
      <c r="C13" s="2382"/>
      <c r="D13" s="537"/>
      <c r="E13" s="145"/>
      <c r="F13" s="521"/>
      <c r="G13" s="144"/>
      <c r="H13" s="145"/>
      <c r="I13" s="146"/>
      <c r="J13" s="525"/>
      <c r="K13" s="995">
        <f t="shared" ref="K13:K27" si="0">K12+(SUM((E13:G13))-(SUM((H13:J13))))</f>
        <v>126052</v>
      </c>
    </row>
    <row r="14" spans="1:11" s="1" customFormat="1" ht="15.75">
      <c r="A14" s="2144"/>
      <c r="B14" s="2383"/>
      <c r="C14" s="537"/>
      <c r="D14" s="537"/>
      <c r="E14" s="145"/>
      <c r="F14" s="521"/>
      <c r="G14" s="144"/>
      <c r="H14" s="145"/>
      <c r="I14" s="146"/>
      <c r="J14" s="525"/>
      <c r="K14" s="995">
        <f t="shared" si="0"/>
        <v>126052</v>
      </c>
    </row>
    <row r="15" spans="1:11" s="1" customFormat="1" ht="15.75">
      <c r="A15" s="535"/>
      <c r="B15" s="2383"/>
      <c r="C15" s="537"/>
      <c r="D15" s="537"/>
      <c r="E15" s="145"/>
      <c r="F15" s="521"/>
      <c r="G15" s="144"/>
      <c r="H15" s="145"/>
      <c r="I15" s="146"/>
      <c r="J15" s="525"/>
      <c r="K15" s="995">
        <f t="shared" si="0"/>
        <v>126052</v>
      </c>
    </row>
    <row r="16" spans="1:11" s="1" customFormat="1" ht="15.75">
      <c r="A16" s="535"/>
      <c r="B16" s="536"/>
      <c r="C16" s="537"/>
      <c r="D16" s="537"/>
      <c r="E16" s="145"/>
      <c r="F16" s="521"/>
      <c r="G16" s="144"/>
      <c r="H16" s="145"/>
      <c r="I16" s="146"/>
      <c r="J16" s="525"/>
      <c r="K16" s="995">
        <f t="shared" si="0"/>
        <v>126052</v>
      </c>
    </row>
    <row r="17" spans="1:16" s="1" customFormat="1" ht="15.75">
      <c r="A17" s="535"/>
      <c r="B17" s="536"/>
      <c r="C17" s="537"/>
      <c r="D17" s="537"/>
      <c r="E17" s="145"/>
      <c r="F17" s="521"/>
      <c r="G17" s="144"/>
      <c r="H17" s="145"/>
      <c r="I17" s="146"/>
      <c r="J17" s="525"/>
      <c r="K17" s="995">
        <f t="shared" si="0"/>
        <v>126052</v>
      </c>
    </row>
    <row r="18" spans="1:16" s="1" customFormat="1" ht="15.75">
      <c r="A18" s="535"/>
      <c r="B18" s="536"/>
      <c r="C18" s="537"/>
      <c r="D18" s="537"/>
      <c r="E18" s="145"/>
      <c r="F18" s="521"/>
      <c r="G18" s="144"/>
      <c r="H18" s="145"/>
      <c r="I18" s="146"/>
      <c r="J18" s="525"/>
      <c r="K18" s="995">
        <f t="shared" si="0"/>
        <v>126052</v>
      </c>
    </row>
    <row r="19" spans="1:16" s="1" customFormat="1" ht="15.75">
      <c r="A19" s="535"/>
      <c r="B19" s="536"/>
      <c r="C19" s="537"/>
      <c r="D19" s="537"/>
      <c r="E19" s="145"/>
      <c r="F19" s="521"/>
      <c r="G19" s="144"/>
      <c r="H19" s="145"/>
      <c r="I19" s="146"/>
      <c r="J19" s="525"/>
      <c r="K19" s="995">
        <f t="shared" si="0"/>
        <v>126052</v>
      </c>
    </row>
    <row r="20" spans="1:16" s="1" customFormat="1" ht="15.75">
      <c r="A20" s="535"/>
      <c r="B20" s="536"/>
      <c r="C20" s="537"/>
      <c r="D20" s="537"/>
      <c r="E20" s="145"/>
      <c r="F20" s="521"/>
      <c r="G20" s="144"/>
      <c r="H20" s="145"/>
      <c r="I20" s="146"/>
      <c r="J20" s="525"/>
      <c r="K20" s="995">
        <f t="shared" si="0"/>
        <v>126052</v>
      </c>
    </row>
    <row r="21" spans="1:16" s="1" customFormat="1" ht="15.75">
      <c r="A21" s="535"/>
      <c r="B21" s="536"/>
      <c r="C21" s="537"/>
      <c r="D21" s="537"/>
      <c r="E21" s="145"/>
      <c r="F21" s="521"/>
      <c r="G21" s="144"/>
      <c r="H21" s="145"/>
      <c r="I21" s="146"/>
      <c r="J21" s="525"/>
      <c r="K21" s="995">
        <f t="shared" si="0"/>
        <v>126052</v>
      </c>
    </row>
    <row r="22" spans="1:16" s="1" customFormat="1" ht="15.75">
      <c r="A22" s="535"/>
      <c r="B22" s="536"/>
      <c r="C22" s="537"/>
      <c r="D22" s="537"/>
      <c r="E22" s="145"/>
      <c r="F22" s="521"/>
      <c r="G22" s="144"/>
      <c r="H22" s="145"/>
      <c r="I22" s="146"/>
      <c r="J22" s="525"/>
      <c r="K22" s="995">
        <f t="shared" si="0"/>
        <v>126052</v>
      </c>
    </row>
    <row r="23" spans="1:16" s="1" customFormat="1" ht="15.75">
      <c r="A23" s="535"/>
      <c r="B23" s="536"/>
      <c r="C23" s="537"/>
      <c r="D23" s="537"/>
      <c r="E23" s="145"/>
      <c r="F23" s="521"/>
      <c r="G23" s="144"/>
      <c r="H23" s="145"/>
      <c r="I23" s="146"/>
      <c r="J23" s="525"/>
      <c r="K23" s="995">
        <f t="shared" si="0"/>
        <v>126052</v>
      </c>
    </row>
    <row r="24" spans="1:16" s="1" customFormat="1" ht="15.75">
      <c r="A24" s="535"/>
      <c r="B24" s="536"/>
      <c r="C24" s="537"/>
      <c r="D24" s="537"/>
      <c r="E24" s="145"/>
      <c r="F24" s="521"/>
      <c r="G24" s="144"/>
      <c r="H24" s="145"/>
      <c r="I24" s="146"/>
      <c r="J24" s="525"/>
      <c r="K24" s="995">
        <f t="shared" si="0"/>
        <v>126052</v>
      </c>
    </row>
    <row r="25" spans="1:16" s="1" customFormat="1" ht="15.75">
      <c r="A25" s="535"/>
      <c r="B25" s="536"/>
      <c r="C25" s="537"/>
      <c r="D25" s="537"/>
      <c r="E25" s="145"/>
      <c r="F25" s="521"/>
      <c r="G25" s="144"/>
      <c r="H25" s="145"/>
      <c r="I25" s="146"/>
      <c r="J25" s="525"/>
      <c r="K25" s="996">
        <f t="shared" si="0"/>
        <v>126052</v>
      </c>
    </row>
    <row r="26" spans="1:16" s="1" customFormat="1" ht="15.75">
      <c r="A26" s="535"/>
      <c r="B26" s="536"/>
      <c r="C26" s="537"/>
      <c r="D26" s="537"/>
      <c r="E26" s="145"/>
      <c r="F26" s="521"/>
      <c r="G26" s="144"/>
      <c r="H26" s="145"/>
      <c r="I26" s="146"/>
      <c r="J26" s="525"/>
      <c r="K26" s="996">
        <f t="shared" si="0"/>
        <v>126052</v>
      </c>
    </row>
    <row r="27" spans="1:16" s="1" customFormat="1" ht="16.5" thickBot="1">
      <c r="A27" s="538"/>
      <c r="B27" s="539"/>
      <c r="C27" s="540"/>
      <c r="D27" s="540"/>
      <c r="E27" s="462"/>
      <c r="F27" s="522"/>
      <c r="G27" s="461"/>
      <c r="H27" s="462"/>
      <c r="I27" s="460"/>
      <c r="J27" s="526"/>
      <c r="K27" s="996">
        <f t="shared" si="0"/>
        <v>126052</v>
      </c>
    </row>
    <row r="28" spans="1:16" s="1" customFormat="1" ht="26.25" customHeight="1" thickTop="1" thickBot="1">
      <c r="A28" s="214"/>
      <c r="B28" s="218"/>
      <c r="C28" s="82" t="s">
        <v>19</v>
      </c>
      <c r="D28" s="220"/>
      <c r="E28" s="948">
        <f t="shared" ref="E28:J28" si="1">SUM(E13:E27)</f>
        <v>0</v>
      </c>
      <c r="F28" s="999">
        <f t="shared" si="1"/>
        <v>0</v>
      </c>
      <c r="G28" s="949">
        <f t="shared" si="1"/>
        <v>0</v>
      </c>
      <c r="H28" s="950">
        <f t="shared" si="1"/>
        <v>0</v>
      </c>
      <c r="I28" s="948">
        <f t="shared" si="1"/>
        <v>0</v>
      </c>
      <c r="J28" s="957">
        <f t="shared" si="1"/>
        <v>0</v>
      </c>
      <c r="K28" s="997">
        <f>(SUM((E28:G28))-(SUM((H28:J28))))</f>
        <v>0</v>
      </c>
      <c r="N28" s="7"/>
      <c r="P28" s="7"/>
    </row>
    <row r="29" spans="1:16" s="1" customFormat="1" ht="26.25" customHeight="1" thickTop="1" thickBot="1">
      <c r="A29" s="214"/>
      <c r="B29" s="218"/>
      <c r="C29" s="82" t="s">
        <v>257</v>
      </c>
      <c r="D29" s="220"/>
      <c r="E29" s="948">
        <f t="shared" ref="E29:J29" si="2">E12+E28</f>
        <v>0</v>
      </c>
      <c r="F29" s="999">
        <f t="shared" si="2"/>
        <v>0</v>
      </c>
      <c r="G29" s="949">
        <f t="shared" si="2"/>
        <v>0</v>
      </c>
      <c r="H29" s="950">
        <f t="shared" si="2"/>
        <v>0</v>
      </c>
      <c r="I29" s="948">
        <f t="shared" si="2"/>
        <v>0</v>
      </c>
      <c r="J29" s="957">
        <f t="shared" si="2"/>
        <v>0</v>
      </c>
      <c r="K29" s="997">
        <f>(SUM((E29:G29))-(SUM((H29:J29))))</f>
        <v>0</v>
      </c>
    </row>
    <row r="30" spans="1:16" s="1" customFormat="1" ht="26.25" customHeight="1" thickTop="1" thickBot="1">
      <c r="A30" s="215"/>
      <c r="B30" s="219"/>
      <c r="C30" s="216" t="s">
        <v>20</v>
      </c>
      <c r="D30" s="221"/>
      <c r="E30" s="952">
        <f t="shared" ref="E30:J30" si="3">E11+E29</f>
        <v>18525000</v>
      </c>
      <c r="F30" s="1000">
        <f t="shared" si="3"/>
        <v>100000</v>
      </c>
      <c r="G30" s="953">
        <f t="shared" si="3"/>
        <v>139350</v>
      </c>
      <c r="H30" s="954">
        <f t="shared" si="3"/>
        <v>18525000</v>
      </c>
      <c r="I30" s="952">
        <f t="shared" si="3"/>
        <v>13298</v>
      </c>
      <c r="J30" s="947">
        <f t="shared" si="3"/>
        <v>100000</v>
      </c>
      <c r="K30" s="998">
        <f>(SUM((E30:G30))-(SUM((H30:J30))))</f>
        <v>126052</v>
      </c>
    </row>
    <row r="31" spans="1:16" s="1" customFormat="1" ht="15.75">
      <c r="B31" s="10"/>
    </row>
    <row r="32" spans="1:16" s="1" customFormat="1" ht="15.75">
      <c r="A32" s="147"/>
      <c r="B32" s="10"/>
      <c r="C32" s="123"/>
      <c r="D32" s="123"/>
      <c r="E32" s="123"/>
      <c r="F32" s="123"/>
      <c r="G32" s="123"/>
      <c r="H32" s="123"/>
      <c r="I32" s="11" t="str">
        <f>DT!D28</f>
        <v>Nagrak, 29 Februari 2016 2016</v>
      </c>
    </row>
    <row r="33" spans="2:9" s="1" customFormat="1" ht="15.75">
      <c r="B33" s="10"/>
      <c r="C33" s="148" t="s">
        <v>21</v>
      </c>
      <c r="D33" s="123"/>
      <c r="E33" s="123"/>
      <c r="F33" s="123"/>
      <c r="G33" s="123"/>
      <c r="H33" s="123"/>
      <c r="I33" s="148" t="s">
        <v>22</v>
      </c>
    </row>
    <row r="34" spans="2:9" s="1" customFormat="1" ht="15.75">
      <c r="B34" s="10"/>
      <c r="C34" s="148" t="s">
        <v>23</v>
      </c>
      <c r="E34" s="123"/>
      <c r="F34" s="123"/>
      <c r="G34" s="123"/>
      <c r="H34" s="123"/>
      <c r="I34" s="149" t="s">
        <v>24</v>
      </c>
    </row>
    <row r="35" spans="2:9" s="1" customFormat="1" ht="15.75">
      <c r="B35" s="10"/>
      <c r="C35" s="148"/>
      <c r="E35" s="123"/>
      <c r="F35" s="123"/>
      <c r="G35" s="123"/>
      <c r="H35" s="123"/>
      <c r="I35" s="149"/>
    </row>
    <row r="39" spans="2:9">
      <c r="C39" s="488" t="str">
        <f>DT!D14</f>
        <v>Endang Taryana</v>
      </c>
      <c r="I39" s="488" t="str">
        <f>DT!D15</f>
        <v>Arin Yustini, SE</v>
      </c>
    </row>
  </sheetData>
  <mergeCells count="12">
    <mergeCell ref="H9:H10"/>
    <mergeCell ref="A8:A10"/>
    <mergeCell ref="I9:I10"/>
    <mergeCell ref="J9:J10"/>
    <mergeCell ref="A1:K1"/>
    <mergeCell ref="A2:K2"/>
    <mergeCell ref="B8:B10"/>
    <mergeCell ref="D8:D9"/>
    <mergeCell ref="E8:G8"/>
    <mergeCell ref="H8:J8"/>
    <mergeCell ref="K8:K10"/>
    <mergeCell ref="E9:F9"/>
  </mergeCells>
  <printOptions horizontalCentered="1" verticalCentered="1"/>
  <pageMargins left="0.25" right="0.25" top="1" bottom="0.25" header="0.511811023622047" footer="0.511811023622047"/>
  <pageSetup paperSize="9" scale="70" orientation="landscape" horizontalDpi="4294967293" verticalDpi="4294967293"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B1:H40"/>
  <sheetViews>
    <sheetView zoomScale="70" zoomScaleNormal="70" workbookViewId="0">
      <selection activeCell="H14" sqref="H14"/>
    </sheetView>
  </sheetViews>
  <sheetFormatPr defaultColWidth="9.140625" defaultRowHeight="12.75"/>
  <cols>
    <col min="1" max="1" width="11.85546875" style="243" customWidth="1"/>
    <col min="2" max="2" width="4.7109375" style="243" customWidth="1"/>
    <col min="3" max="4" width="32.140625" style="243" customWidth="1"/>
    <col min="5" max="5" width="16.28515625" style="243" customWidth="1"/>
    <col min="6" max="6" width="21" style="243" customWidth="1"/>
    <col min="7" max="7" width="22.42578125" style="243" customWidth="1"/>
    <col min="8" max="8" width="20.85546875" style="243" customWidth="1"/>
    <col min="9" max="9" width="10.7109375" style="243" customWidth="1"/>
    <col min="10" max="10" width="9.140625" style="243"/>
    <col min="11" max="11" width="9.42578125" style="243" customWidth="1"/>
    <col min="12" max="12" width="16.42578125" style="243" customWidth="1"/>
    <col min="13" max="16384" width="9.140625" style="243"/>
  </cols>
  <sheetData>
    <row r="1" spans="2:8" ht="18">
      <c r="B1" s="3595" t="s">
        <v>55</v>
      </c>
      <c r="C1" s="3595"/>
      <c r="D1" s="3595"/>
      <c r="E1" s="3595"/>
      <c r="F1" s="3595"/>
      <c r="G1" s="3595"/>
      <c r="H1" s="3595"/>
    </row>
    <row r="2" spans="2:8" ht="18">
      <c r="B2" s="3595" t="s">
        <v>1827</v>
      </c>
      <c r="C2" s="3595"/>
      <c r="D2" s="3595"/>
      <c r="E2" s="3595"/>
      <c r="F2" s="3595"/>
      <c r="G2" s="3595"/>
      <c r="H2" s="3595"/>
    </row>
    <row r="4" spans="2:8" s="247" customFormat="1" ht="15.75">
      <c r="B4" s="244"/>
      <c r="C4" s="245" t="s">
        <v>2</v>
      </c>
      <c r="D4" s="5" t="str">
        <f>": "&amp;DT!D3</f>
        <v>: Nagrak</v>
      </c>
      <c r="E4" s="246"/>
    </row>
    <row r="5" spans="2:8" s="247" customFormat="1" ht="15.75">
      <c r="B5" s="244"/>
      <c r="C5" s="245" t="s">
        <v>4</v>
      </c>
      <c r="D5" s="5" t="str">
        <f>": "&amp;DT!D4</f>
        <v>: Sukabumi</v>
      </c>
      <c r="E5" s="246"/>
    </row>
    <row r="6" spans="2:8" s="247" customFormat="1" ht="15.75">
      <c r="B6" s="244"/>
      <c r="C6" s="245" t="s">
        <v>6</v>
      </c>
      <c r="D6" s="5" t="str">
        <f>": "&amp;DT!D5</f>
        <v>: Jawa Barat</v>
      </c>
      <c r="E6" s="246"/>
    </row>
    <row r="7" spans="2:8" s="247" customFormat="1" ht="15.75" thickBot="1"/>
    <row r="8" spans="2:8" s="247" customFormat="1" ht="15.75">
      <c r="B8" s="3596" t="s">
        <v>57</v>
      </c>
      <c r="C8" s="248" t="s">
        <v>1776</v>
      </c>
      <c r="D8" s="248" t="s">
        <v>169</v>
      </c>
      <c r="E8" s="249" t="s">
        <v>152</v>
      </c>
      <c r="F8" s="248" t="s">
        <v>153</v>
      </c>
      <c r="G8" s="248" t="s">
        <v>158</v>
      </c>
      <c r="H8" s="250" t="s">
        <v>158</v>
      </c>
    </row>
    <row r="9" spans="2:8" s="247" customFormat="1" ht="15.75">
      <c r="B9" s="3597"/>
      <c r="C9" s="251" t="s">
        <v>1828</v>
      </c>
      <c r="D9" s="251" t="s">
        <v>1828</v>
      </c>
      <c r="E9" s="252" t="s">
        <v>410</v>
      </c>
      <c r="F9" s="251" t="s">
        <v>410</v>
      </c>
      <c r="G9" s="251" t="s">
        <v>410</v>
      </c>
      <c r="H9" s="253" t="s">
        <v>165</v>
      </c>
    </row>
    <row r="10" spans="2:8" s="247" customFormat="1" ht="16.5" thickBot="1">
      <c r="B10" s="3598"/>
      <c r="C10" s="251" t="s">
        <v>1232</v>
      </c>
      <c r="D10" s="251" t="s">
        <v>1232</v>
      </c>
      <c r="E10" s="252"/>
      <c r="F10" s="251"/>
      <c r="G10" s="252"/>
      <c r="H10" s="253"/>
    </row>
    <row r="11" spans="2:8" s="258" customFormat="1" ht="15.75" thickBot="1">
      <c r="B11" s="3198">
        <v>1</v>
      </c>
      <c r="C11" s="256">
        <v>2</v>
      </c>
      <c r="D11" s="256"/>
      <c r="E11" s="256">
        <v>3</v>
      </c>
      <c r="F11" s="256">
        <v>4</v>
      </c>
      <c r="G11" s="256">
        <v>5</v>
      </c>
      <c r="H11" s="257" t="s">
        <v>419</v>
      </c>
    </row>
    <row r="12" spans="2:8" s="247" customFormat="1" ht="15" customHeight="1">
      <c r="B12" s="3410" t="s">
        <v>1829</v>
      </c>
      <c r="C12" s="3410"/>
      <c r="D12" s="3410"/>
      <c r="E12" s="3410"/>
      <c r="F12" s="3410"/>
      <c r="G12" s="3410"/>
      <c r="H12" s="3410"/>
    </row>
    <row r="13" spans="2:8" s="247" customFormat="1" ht="15">
      <c r="B13" s="264">
        <v>1</v>
      </c>
      <c r="C13" s="265" t="s">
        <v>1831</v>
      </c>
      <c r="D13" s="265"/>
      <c r="E13" s="266">
        <v>42250</v>
      </c>
      <c r="F13" s="267"/>
      <c r="G13" s="1002">
        <v>200000000</v>
      </c>
      <c r="H13" s="268">
        <f>G13</f>
        <v>200000000</v>
      </c>
    </row>
    <row r="14" spans="2:8" s="247" customFormat="1" ht="15">
      <c r="B14" s="264">
        <v>2</v>
      </c>
      <c r="C14" s="265" t="s">
        <v>2736</v>
      </c>
      <c r="D14" s="265"/>
      <c r="E14" s="266">
        <v>42387</v>
      </c>
      <c r="F14" s="267"/>
      <c r="G14" s="1002">
        <v>50000000</v>
      </c>
      <c r="H14" s="268">
        <f t="shared" ref="H14:H19" si="0">G14</f>
        <v>50000000</v>
      </c>
    </row>
    <row r="15" spans="2:8" s="247" customFormat="1" ht="15">
      <c r="B15" s="264">
        <v>3</v>
      </c>
      <c r="C15" s="265"/>
      <c r="D15" s="265"/>
      <c r="E15" s="266"/>
      <c r="F15" s="267"/>
      <c r="G15" s="1002"/>
      <c r="H15" s="268">
        <f t="shared" si="0"/>
        <v>0</v>
      </c>
    </row>
    <row r="16" spans="2:8" s="247" customFormat="1" ht="15">
      <c r="B16" s="264">
        <v>4</v>
      </c>
      <c r="C16" s="265"/>
      <c r="D16" s="265"/>
      <c r="E16" s="266"/>
      <c r="F16" s="267"/>
      <c r="G16" s="1002"/>
      <c r="H16" s="268">
        <f t="shared" si="0"/>
        <v>0</v>
      </c>
    </row>
    <row r="17" spans="2:8" s="247" customFormat="1" ht="15">
      <c r="B17" s="264">
        <v>5</v>
      </c>
      <c r="C17" s="265"/>
      <c r="D17" s="265"/>
      <c r="E17" s="266"/>
      <c r="F17" s="267"/>
      <c r="G17" s="1002"/>
      <c r="H17" s="268">
        <f t="shared" si="0"/>
        <v>0</v>
      </c>
    </row>
    <row r="18" spans="2:8" s="247" customFormat="1" ht="15">
      <c r="B18" s="264">
        <v>6</v>
      </c>
      <c r="C18" s="265"/>
      <c r="D18" s="265"/>
      <c r="E18" s="266"/>
      <c r="F18" s="267"/>
      <c r="G18" s="1002"/>
      <c r="H18" s="268">
        <f t="shared" si="0"/>
        <v>0</v>
      </c>
    </row>
    <row r="19" spans="2:8" s="247" customFormat="1" ht="15">
      <c r="B19" s="264">
        <v>7</v>
      </c>
      <c r="C19" s="265"/>
      <c r="D19" s="265"/>
      <c r="E19" s="266"/>
      <c r="F19" s="267"/>
      <c r="G19" s="1002"/>
      <c r="H19" s="268">
        <f t="shared" si="0"/>
        <v>0</v>
      </c>
    </row>
    <row r="20" spans="2:8" s="247" customFormat="1" ht="15.75" thickBot="1">
      <c r="B20" s="264"/>
      <c r="C20" s="265"/>
      <c r="D20" s="265"/>
      <c r="E20" s="266"/>
      <c r="F20" s="267"/>
      <c r="G20" s="1002"/>
      <c r="H20" s="268"/>
    </row>
    <row r="21" spans="2:8" s="247" customFormat="1" ht="18.75" customHeight="1" thickBot="1">
      <c r="B21" s="2130"/>
      <c r="C21" s="2131" t="s">
        <v>77</v>
      </c>
      <c r="D21" s="2131"/>
      <c r="E21" s="2132"/>
      <c r="F21" s="2132"/>
      <c r="G21" s="2132">
        <f>SUM(G13:G20)</f>
        <v>250000000</v>
      </c>
      <c r="H21" s="2133">
        <f>SUM(H13:H20)</f>
        <v>250000000</v>
      </c>
    </row>
    <row r="22" spans="2:8" s="247" customFormat="1" ht="15" customHeight="1">
      <c r="B22" s="3410" t="s">
        <v>1830</v>
      </c>
      <c r="C22" s="3410"/>
      <c r="D22" s="3410"/>
      <c r="E22" s="3410"/>
      <c r="F22" s="3410"/>
      <c r="G22" s="3410"/>
      <c r="H22" s="3410"/>
    </row>
    <row r="23" spans="2:8" s="247" customFormat="1" ht="15">
      <c r="B23" s="264">
        <v>1</v>
      </c>
      <c r="C23" s="265" t="s">
        <v>1832</v>
      </c>
      <c r="D23" s="265"/>
      <c r="E23" s="266"/>
      <c r="F23" s="267"/>
      <c r="G23" s="1002"/>
      <c r="H23" s="268">
        <f>G23</f>
        <v>0</v>
      </c>
    </row>
    <row r="24" spans="2:8" s="247" customFormat="1" ht="15">
      <c r="B24" s="264">
        <v>2</v>
      </c>
      <c r="C24" s="265"/>
      <c r="D24" s="265"/>
      <c r="E24" s="266"/>
      <c r="F24" s="267"/>
      <c r="G24" s="1002"/>
      <c r="H24" s="268">
        <f t="shared" ref="H24:H29" si="1">G24</f>
        <v>0</v>
      </c>
    </row>
    <row r="25" spans="2:8" s="247" customFormat="1" ht="15">
      <c r="B25" s="264">
        <v>3</v>
      </c>
      <c r="C25" s="265"/>
      <c r="D25" s="265"/>
      <c r="E25" s="266"/>
      <c r="F25" s="267"/>
      <c r="G25" s="1002"/>
      <c r="H25" s="268">
        <f t="shared" si="1"/>
        <v>0</v>
      </c>
    </row>
    <row r="26" spans="2:8" s="247" customFormat="1" ht="15">
      <c r="B26" s="264">
        <v>4</v>
      </c>
      <c r="C26" s="265"/>
      <c r="D26" s="265"/>
      <c r="E26" s="266"/>
      <c r="F26" s="267"/>
      <c r="G26" s="1002"/>
      <c r="H26" s="268">
        <f t="shared" si="1"/>
        <v>0</v>
      </c>
    </row>
    <row r="27" spans="2:8" s="247" customFormat="1" ht="15">
      <c r="B27" s="264">
        <v>5</v>
      </c>
      <c r="C27" s="265"/>
      <c r="D27" s="265"/>
      <c r="E27" s="266"/>
      <c r="F27" s="267"/>
      <c r="G27" s="1002"/>
      <c r="H27" s="268">
        <f t="shared" si="1"/>
        <v>0</v>
      </c>
    </row>
    <row r="28" spans="2:8" s="247" customFormat="1" ht="15">
      <c r="B28" s="264">
        <v>6</v>
      </c>
      <c r="C28" s="265"/>
      <c r="D28" s="265"/>
      <c r="E28" s="266"/>
      <c r="F28" s="267"/>
      <c r="G28" s="1002"/>
      <c r="H28" s="268">
        <f t="shared" si="1"/>
        <v>0</v>
      </c>
    </row>
    <row r="29" spans="2:8" s="247" customFormat="1" ht="15">
      <c r="B29" s="264">
        <v>7</v>
      </c>
      <c r="C29" s="265"/>
      <c r="D29" s="265"/>
      <c r="E29" s="266"/>
      <c r="F29" s="267"/>
      <c r="G29" s="1002"/>
      <c r="H29" s="268">
        <f t="shared" si="1"/>
        <v>0</v>
      </c>
    </row>
    <row r="30" spans="2:8" s="247" customFormat="1" ht="15.75" thickBot="1">
      <c r="B30" s="269"/>
      <c r="C30" s="270"/>
      <c r="D30" s="270"/>
      <c r="E30" s="271"/>
      <c r="F30" s="272"/>
      <c r="G30" s="1003"/>
      <c r="H30" s="273"/>
    </row>
    <row r="31" spans="2:8" s="247" customFormat="1" ht="18.75" customHeight="1" thickBot="1">
      <c r="B31" s="2134"/>
      <c r="C31" s="2135" t="s">
        <v>77</v>
      </c>
      <c r="D31" s="2135"/>
      <c r="E31" s="2136"/>
      <c r="F31" s="2136"/>
      <c r="G31" s="2136">
        <f>SUM(G23:G30)</f>
        <v>0</v>
      </c>
      <c r="H31" s="2137">
        <f>SUM(H23:H30)</f>
        <v>0</v>
      </c>
    </row>
    <row r="32" spans="2:8" s="247" customFormat="1" ht="15"/>
    <row r="33" spans="2:8" s="247" customFormat="1" ht="15">
      <c r="B33" s="283"/>
      <c r="G33" s="3410" t="str">
        <f>DT!D28</f>
        <v>Nagrak, 29 Februari 2016 2016</v>
      </c>
      <c r="H33" s="3410"/>
    </row>
    <row r="34" spans="2:8" s="247" customFormat="1" ht="15">
      <c r="C34" s="284" t="s">
        <v>21</v>
      </c>
      <c r="D34" s="284"/>
      <c r="G34" s="3410" t="s">
        <v>22</v>
      </c>
      <c r="H34" s="3410"/>
    </row>
    <row r="35" spans="2:8" s="247" customFormat="1" ht="15">
      <c r="C35" s="284" t="s">
        <v>23</v>
      </c>
      <c r="D35" s="284"/>
      <c r="G35" s="3410" t="s">
        <v>24</v>
      </c>
      <c r="H35" s="3410"/>
    </row>
    <row r="36" spans="2:8" s="247" customFormat="1" ht="15"/>
    <row r="37" spans="2:8" s="247" customFormat="1" ht="15"/>
    <row r="38" spans="2:8" s="247" customFormat="1" ht="15"/>
    <row r="39" spans="2:8" s="247" customFormat="1" ht="15">
      <c r="C39" s="285"/>
      <c r="D39" s="285"/>
    </row>
    <row r="40" spans="2:8" s="247" customFormat="1" ht="15">
      <c r="C40" s="284" t="str">
        <f>DT!D14</f>
        <v>Endang Taryana</v>
      </c>
      <c r="D40" s="284"/>
      <c r="G40" s="3410" t="str">
        <f>DT!D15</f>
        <v>Arin Yustini, SE</v>
      </c>
      <c r="H40" s="3410"/>
    </row>
  </sheetData>
  <sheetProtection formatColumns="0" formatRows="0"/>
  <protectedRanges>
    <protectedRange sqref="B13:H20 B23:H30" name="Range1"/>
  </protectedRanges>
  <mergeCells count="9">
    <mergeCell ref="G35:H35"/>
    <mergeCell ref="G40:H40"/>
    <mergeCell ref="B12:H12"/>
    <mergeCell ref="B22:H22"/>
    <mergeCell ref="B1:H1"/>
    <mergeCell ref="B2:H2"/>
    <mergeCell ref="B8:B10"/>
    <mergeCell ref="G33:H33"/>
    <mergeCell ref="G34:H34"/>
  </mergeCells>
  <printOptions horizontalCentered="1" verticalCentered="1"/>
  <pageMargins left="0" right="0" top="0.62992125984251968" bottom="0.19685039370078741" header="0.35433070866141736" footer="0.59055118110236227"/>
  <pageSetup paperSize="9" scale="70" orientation="landscape" r:id="rId1"/>
  <headerFooter alignWithMargins="0"/>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theme="9" tint="-0.499984740745262"/>
  </sheetPr>
  <dimension ref="B1:O38"/>
  <sheetViews>
    <sheetView topLeftCell="A4" zoomScale="80" zoomScaleNormal="80" workbookViewId="0">
      <selection activeCell="F16" sqref="F16"/>
    </sheetView>
  </sheetViews>
  <sheetFormatPr defaultColWidth="9.140625" defaultRowHeight="12.75"/>
  <cols>
    <col min="1" max="1" width="11.85546875" style="243" customWidth="1"/>
    <col min="2" max="2" width="4.7109375" style="243" customWidth="1"/>
    <col min="3" max="3" width="28.7109375" style="243" customWidth="1"/>
    <col min="4" max="4" width="13.7109375" style="243" customWidth="1"/>
    <col min="5" max="5" width="14.42578125" style="243" customWidth="1"/>
    <col min="6" max="6" width="14" style="243" customWidth="1"/>
    <col min="7" max="8" width="10.7109375" style="243" customWidth="1"/>
    <col min="9" max="9" width="12.85546875" style="243" customWidth="1"/>
    <col min="10" max="10" width="16" style="243" customWidth="1"/>
    <col min="11" max="14" width="13.5703125" style="243" customWidth="1"/>
    <col min="15" max="15" width="13.7109375" style="243" customWidth="1"/>
    <col min="16" max="16" width="10.7109375" style="243" customWidth="1"/>
    <col min="17" max="17" width="9.140625" style="243"/>
    <col min="18" max="18" width="9.42578125" style="243" customWidth="1"/>
    <col min="19" max="19" width="16.42578125" style="243" customWidth="1"/>
    <col min="20" max="16384" width="9.140625" style="243"/>
  </cols>
  <sheetData>
    <row r="1" spans="2:15" ht="15.75">
      <c r="B1" s="3599" t="s">
        <v>55</v>
      </c>
      <c r="C1" s="3599"/>
      <c r="D1" s="3599"/>
      <c r="E1" s="3599"/>
      <c r="F1" s="3599"/>
      <c r="G1" s="3599"/>
      <c r="H1" s="3599"/>
      <c r="I1" s="3599"/>
      <c r="J1" s="3599"/>
      <c r="K1" s="3599"/>
      <c r="L1" s="3599"/>
      <c r="M1" s="3599"/>
      <c r="N1" s="3599"/>
      <c r="O1" s="3599"/>
    </row>
    <row r="2" spans="2:15" ht="15.75">
      <c r="B2" s="3599" t="s">
        <v>404</v>
      </c>
      <c r="C2" s="3599"/>
      <c r="D2" s="3599"/>
      <c r="E2" s="3599"/>
      <c r="F2" s="3599"/>
      <c r="G2" s="3599"/>
      <c r="H2" s="3599"/>
      <c r="I2" s="3599"/>
      <c r="J2" s="3599"/>
      <c r="K2" s="3599"/>
      <c r="L2" s="3599"/>
      <c r="M2" s="3599"/>
      <c r="N2" s="3599"/>
      <c r="O2" s="3599"/>
    </row>
    <row r="4" spans="2:15" s="247" customFormat="1" ht="15.75">
      <c r="B4" s="244"/>
      <c r="C4" s="245" t="s">
        <v>2</v>
      </c>
      <c r="D4" s="246"/>
      <c r="E4" s="5" t="str">
        <f>": "&amp;DT!D3</f>
        <v>: Nagrak</v>
      </c>
    </row>
    <row r="5" spans="2:15" s="247" customFormat="1" ht="15.75">
      <c r="B5" s="244"/>
      <c r="C5" s="245" t="s">
        <v>4</v>
      </c>
      <c r="D5" s="246"/>
      <c r="E5" s="5" t="str">
        <f>": "&amp;DT!D4</f>
        <v>: Sukabumi</v>
      </c>
    </row>
    <row r="6" spans="2:15" s="247" customFormat="1" ht="15.75">
      <c r="B6" s="244"/>
      <c r="C6" s="245" t="s">
        <v>6</v>
      </c>
      <c r="D6" s="246"/>
      <c r="E6" s="5" t="str">
        <f>": "&amp;DT!D5</f>
        <v>: Jawa Barat</v>
      </c>
    </row>
    <row r="7" spans="2:15" s="247" customFormat="1" ht="15.75" thickBot="1"/>
    <row r="8" spans="2:15" s="247" customFormat="1" ht="15.75">
      <c r="B8" s="3600" t="s">
        <v>57</v>
      </c>
      <c r="C8" s="248" t="s">
        <v>169</v>
      </c>
      <c r="D8" s="249" t="s">
        <v>152</v>
      </c>
      <c r="E8" s="248" t="s">
        <v>153</v>
      </c>
      <c r="F8" s="248" t="s">
        <v>158</v>
      </c>
      <c r="G8" s="248" t="s">
        <v>405</v>
      </c>
      <c r="H8" s="248" t="s">
        <v>406</v>
      </c>
      <c r="I8" s="249" t="s">
        <v>407</v>
      </c>
      <c r="J8" s="1021" t="s">
        <v>408</v>
      </c>
      <c r="K8" s="3603" t="s">
        <v>359</v>
      </c>
      <c r="L8" s="3604"/>
      <c r="M8" s="3605"/>
      <c r="N8" s="248" t="s">
        <v>408</v>
      </c>
      <c r="O8" s="250" t="s">
        <v>158</v>
      </c>
    </row>
    <row r="9" spans="2:15" s="247" customFormat="1" ht="15.75">
      <c r="B9" s="3601"/>
      <c r="C9" s="251" t="s">
        <v>409</v>
      </c>
      <c r="D9" s="252" t="s">
        <v>410</v>
      </c>
      <c r="E9" s="251" t="s">
        <v>410</v>
      </c>
      <c r="F9" s="251" t="s">
        <v>410</v>
      </c>
      <c r="G9" s="251" t="s">
        <v>411</v>
      </c>
      <c r="H9" s="251" t="s">
        <v>164</v>
      </c>
      <c r="I9" s="252" t="s">
        <v>163</v>
      </c>
      <c r="J9" s="1022" t="s">
        <v>407</v>
      </c>
      <c r="K9" s="1014" t="s">
        <v>407</v>
      </c>
      <c r="L9" s="1014" t="s">
        <v>407</v>
      </c>
      <c r="M9" s="1014" t="s">
        <v>407</v>
      </c>
      <c r="N9" s="251" t="s">
        <v>407</v>
      </c>
      <c r="O9" s="253" t="s">
        <v>165</v>
      </c>
    </row>
    <row r="10" spans="2:15" s="247" customFormat="1" ht="16.5" thickBot="1">
      <c r="B10" s="3602"/>
      <c r="C10" s="254"/>
      <c r="D10" s="3100"/>
      <c r="E10" s="254"/>
      <c r="F10" s="3100" t="s">
        <v>412</v>
      </c>
      <c r="G10" s="254" t="s">
        <v>167</v>
      </c>
      <c r="H10" s="254" t="s">
        <v>167</v>
      </c>
      <c r="I10" s="254"/>
      <c r="J10" s="1023" t="s">
        <v>413</v>
      </c>
      <c r="K10" s="1015" t="s">
        <v>414</v>
      </c>
      <c r="L10" s="1015" t="s">
        <v>125</v>
      </c>
      <c r="M10" s="1015" t="s">
        <v>415</v>
      </c>
      <c r="N10" s="254" t="s">
        <v>362</v>
      </c>
      <c r="O10" s="3101"/>
    </row>
    <row r="11" spans="2:15" s="258" customFormat="1" ht="15.75" thickBot="1">
      <c r="B11" s="255">
        <v>1</v>
      </c>
      <c r="C11" s="256">
        <v>2</v>
      </c>
      <c r="D11" s="256">
        <v>3</v>
      </c>
      <c r="E11" s="256">
        <v>4</v>
      </c>
      <c r="F11" s="256">
        <v>5</v>
      </c>
      <c r="G11" s="256">
        <v>6</v>
      </c>
      <c r="H11" s="256">
        <v>7</v>
      </c>
      <c r="I11" s="256" t="s">
        <v>416</v>
      </c>
      <c r="J11" s="1024">
        <v>9</v>
      </c>
      <c r="K11" s="1016">
        <v>10</v>
      </c>
      <c r="L11" s="1016">
        <v>11</v>
      </c>
      <c r="M11" s="1016" t="s">
        <v>417</v>
      </c>
      <c r="N11" s="256" t="s">
        <v>418</v>
      </c>
      <c r="O11" s="257" t="s">
        <v>419</v>
      </c>
    </row>
    <row r="12" spans="2:15" s="247" customFormat="1" ht="15">
      <c r="B12" s="259">
        <v>1</v>
      </c>
      <c r="C12" s="260" t="s">
        <v>2554</v>
      </c>
      <c r="D12" s="261"/>
      <c r="E12" s="262"/>
      <c r="F12" s="1001">
        <v>1800000</v>
      </c>
      <c r="G12" s="1001">
        <v>12</v>
      </c>
      <c r="H12" s="1001">
        <v>13</v>
      </c>
      <c r="I12" s="260">
        <f>F12/G12</f>
        <v>150000</v>
      </c>
      <c r="J12" s="1025">
        <v>1800000</v>
      </c>
      <c r="K12" s="1017">
        <f>IF(H12=0,0,IF(H12&gt;G12,(F12-J12),IF(G12&gt;=H12,((I12*(H12-1))-J12),IF(F12=J12,(F12-J12),IF(G12=H12,(F12-J12))))))</f>
        <v>0</v>
      </c>
      <c r="L12" s="1017">
        <f>IF(H12=0,0,IF(G12&gt;=H12,I12,IF(F12=J12,(F12-J12),IF(G12&lt;=(H12+1),0))))</f>
        <v>0</v>
      </c>
      <c r="M12" s="1017">
        <f>K12+L12</f>
        <v>0</v>
      </c>
      <c r="N12" s="260">
        <f>J12+M12</f>
        <v>1800000</v>
      </c>
      <c r="O12" s="263">
        <f>+F12-N12</f>
        <v>0</v>
      </c>
    </row>
    <row r="13" spans="2:15" s="247" customFormat="1" ht="15">
      <c r="B13" s="264">
        <v>2</v>
      </c>
      <c r="C13" s="265" t="s">
        <v>2636</v>
      </c>
      <c r="D13" s="266"/>
      <c r="E13" s="267"/>
      <c r="F13" s="1002">
        <v>1800000</v>
      </c>
      <c r="G13" s="1002">
        <v>12</v>
      </c>
      <c r="H13" s="1002">
        <v>13</v>
      </c>
      <c r="I13" s="265">
        <f t="shared" ref="I13:I26" si="0">F13/G13</f>
        <v>150000</v>
      </c>
      <c r="J13" s="1026">
        <v>1800000</v>
      </c>
      <c r="K13" s="1018">
        <f t="shared" ref="K13:K26" si="1">IF(H13=0,0,IF(H13&gt;G13,(F13-J13),IF(G13&gt;=H13,((I13*(H13-1))-J13),IF(F13=J13,(F13-J13),IF(G13=H13,(F13-J13))))))</f>
        <v>0</v>
      </c>
      <c r="L13" s="1017">
        <f t="shared" ref="L13:L26" si="2">IF(H13=0,0,IF(G13&gt;=H13,I13,IF(F13=J13,(F13-J13),IF(G13&lt;=(H13+1),0))))</f>
        <v>0</v>
      </c>
      <c r="M13" s="1017">
        <f t="shared" ref="M13:M26" si="3">K13+L13</f>
        <v>0</v>
      </c>
      <c r="N13" s="260">
        <f t="shared" ref="N13:N26" si="4">J13+M13</f>
        <v>1800000</v>
      </c>
      <c r="O13" s="268">
        <f t="shared" ref="O13:O26" si="5">+F13-N13</f>
        <v>0</v>
      </c>
    </row>
    <row r="14" spans="2:15" s="247" customFormat="1" ht="15">
      <c r="B14" s="264">
        <v>3</v>
      </c>
      <c r="C14" s="265" t="s">
        <v>2724</v>
      </c>
      <c r="D14" s="266"/>
      <c r="E14" s="267"/>
      <c r="F14" s="1002">
        <v>1800000</v>
      </c>
      <c r="G14" s="1002">
        <v>12</v>
      </c>
      <c r="H14" s="1002">
        <v>0</v>
      </c>
      <c r="I14" s="265">
        <f t="shared" si="0"/>
        <v>150000</v>
      </c>
      <c r="J14" s="1026"/>
      <c r="K14" s="1018">
        <f t="shared" si="1"/>
        <v>0</v>
      </c>
      <c r="L14" s="1017">
        <f t="shared" si="2"/>
        <v>0</v>
      </c>
      <c r="M14" s="1017">
        <f t="shared" si="3"/>
        <v>0</v>
      </c>
      <c r="N14" s="260">
        <f t="shared" si="4"/>
        <v>0</v>
      </c>
      <c r="O14" s="268">
        <f t="shared" si="5"/>
        <v>1800000</v>
      </c>
    </row>
    <row r="15" spans="2:15" s="247" customFormat="1" ht="15">
      <c r="B15" s="264"/>
      <c r="C15" s="265"/>
      <c r="D15" s="266"/>
      <c r="E15" s="267"/>
      <c r="F15" s="1002"/>
      <c r="G15" s="1002">
        <v>12</v>
      </c>
      <c r="H15" s="1002"/>
      <c r="I15" s="265">
        <f>F15/G15</f>
        <v>0</v>
      </c>
      <c r="J15" s="1026"/>
      <c r="K15" s="1018">
        <f t="shared" si="1"/>
        <v>0</v>
      </c>
      <c r="L15" s="1017">
        <f t="shared" si="2"/>
        <v>0</v>
      </c>
      <c r="M15" s="1017">
        <f t="shared" si="3"/>
        <v>0</v>
      </c>
      <c r="N15" s="260">
        <f t="shared" si="4"/>
        <v>0</v>
      </c>
      <c r="O15" s="268">
        <f t="shared" si="5"/>
        <v>0</v>
      </c>
    </row>
    <row r="16" spans="2:15" s="247" customFormat="1" ht="15">
      <c r="B16" s="264"/>
      <c r="C16" s="265"/>
      <c r="D16" s="266"/>
      <c r="E16" s="267"/>
      <c r="F16" s="1002"/>
      <c r="G16" s="1002">
        <v>12</v>
      </c>
      <c r="H16" s="1002"/>
      <c r="I16" s="265">
        <f t="shared" si="0"/>
        <v>0</v>
      </c>
      <c r="J16" s="1026"/>
      <c r="K16" s="1018">
        <f t="shared" si="1"/>
        <v>0</v>
      </c>
      <c r="L16" s="1017">
        <f t="shared" si="2"/>
        <v>0</v>
      </c>
      <c r="M16" s="1017">
        <f t="shared" si="3"/>
        <v>0</v>
      </c>
      <c r="N16" s="260">
        <f t="shared" si="4"/>
        <v>0</v>
      </c>
      <c r="O16" s="268">
        <f t="shared" si="5"/>
        <v>0</v>
      </c>
    </row>
    <row r="17" spans="2:15" s="247" customFormat="1" ht="15">
      <c r="B17" s="264"/>
      <c r="C17" s="265"/>
      <c r="D17" s="266"/>
      <c r="E17" s="267"/>
      <c r="F17" s="1002"/>
      <c r="G17" s="1002">
        <v>12</v>
      </c>
      <c r="H17" s="1002"/>
      <c r="I17" s="265">
        <f t="shared" si="0"/>
        <v>0</v>
      </c>
      <c r="J17" s="1026"/>
      <c r="K17" s="1018">
        <f t="shared" si="1"/>
        <v>0</v>
      </c>
      <c r="L17" s="1017">
        <f t="shared" si="2"/>
        <v>0</v>
      </c>
      <c r="M17" s="1017">
        <f t="shared" si="3"/>
        <v>0</v>
      </c>
      <c r="N17" s="260">
        <f t="shared" si="4"/>
        <v>0</v>
      </c>
      <c r="O17" s="268">
        <f t="shared" si="5"/>
        <v>0</v>
      </c>
    </row>
    <row r="18" spans="2:15" s="247" customFormat="1" ht="15">
      <c r="B18" s="264"/>
      <c r="C18" s="265"/>
      <c r="D18" s="266"/>
      <c r="E18" s="267"/>
      <c r="F18" s="1002"/>
      <c r="G18" s="1002">
        <v>12</v>
      </c>
      <c r="H18" s="1002"/>
      <c r="I18" s="265">
        <f t="shared" si="0"/>
        <v>0</v>
      </c>
      <c r="J18" s="1026"/>
      <c r="K18" s="1018">
        <f t="shared" si="1"/>
        <v>0</v>
      </c>
      <c r="L18" s="1017">
        <f t="shared" si="2"/>
        <v>0</v>
      </c>
      <c r="M18" s="1017">
        <f t="shared" si="3"/>
        <v>0</v>
      </c>
      <c r="N18" s="260">
        <f t="shared" si="4"/>
        <v>0</v>
      </c>
      <c r="O18" s="268">
        <f t="shared" si="5"/>
        <v>0</v>
      </c>
    </row>
    <row r="19" spans="2:15" s="247" customFormat="1" ht="15">
      <c r="B19" s="264"/>
      <c r="C19" s="265"/>
      <c r="D19" s="266"/>
      <c r="E19" s="267"/>
      <c r="F19" s="1002"/>
      <c r="G19" s="1002">
        <v>12</v>
      </c>
      <c r="H19" s="1002"/>
      <c r="I19" s="265">
        <f t="shared" si="0"/>
        <v>0</v>
      </c>
      <c r="J19" s="1026"/>
      <c r="K19" s="1018">
        <f t="shared" si="1"/>
        <v>0</v>
      </c>
      <c r="L19" s="1017">
        <f t="shared" si="2"/>
        <v>0</v>
      </c>
      <c r="M19" s="1017">
        <f t="shared" si="3"/>
        <v>0</v>
      </c>
      <c r="N19" s="260">
        <f t="shared" si="4"/>
        <v>0</v>
      </c>
      <c r="O19" s="268">
        <f t="shared" si="5"/>
        <v>0</v>
      </c>
    </row>
    <row r="20" spans="2:15" s="247" customFormat="1" ht="15">
      <c r="B20" s="264"/>
      <c r="C20" s="265"/>
      <c r="D20" s="266"/>
      <c r="E20" s="267"/>
      <c r="F20" s="1002"/>
      <c r="G20" s="1002">
        <v>12</v>
      </c>
      <c r="H20" s="1002"/>
      <c r="I20" s="265">
        <f t="shared" si="0"/>
        <v>0</v>
      </c>
      <c r="J20" s="1026"/>
      <c r="K20" s="1018">
        <f t="shared" si="1"/>
        <v>0</v>
      </c>
      <c r="L20" s="1017">
        <f t="shared" si="2"/>
        <v>0</v>
      </c>
      <c r="M20" s="1017">
        <f t="shared" si="3"/>
        <v>0</v>
      </c>
      <c r="N20" s="260">
        <f t="shared" si="4"/>
        <v>0</v>
      </c>
      <c r="O20" s="268">
        <f t="shared" si="5"/>
        <v>0</v>
      </c>
    </row>
    <row r="21" spans="2:15" s="247" customFormat="1" ht="15">
      <c r="B21" s="264"/>
      <c r="C21" s="265"/>
      <c r="D21" s="266"/>
      <c r="E21" s="267"/>
      <c r="F21" s="1002"/>
      <c r="G21" s="1002">
        <v>12</v>
      </c>
      <c r="H21" s="1002"/>
      <c r="I21" s="265">
        <f t="shared" si="0"/>
        <v>0</v>
      </c>
      <c r="J21" s="1026"/>
      <c r="K21" s="1018">
        <f t="shared" si="1"/>
        <v>0</v>
      </c>
      <c r="L21" s="1017">
        <f t="shared" si="2"/>
        <v>0</v>
      </c>
      <c r="M21" s="1017">
        <f t="shared" si="3"/>
        <v>0</v>
      </c>
      <c r="N21" s="260">
        <f t="shared" si="4"/>
        <v>0</v>
      </c>
      <c r="O21" s="268">
        <f t="shared" si="5"/>
        <v>0</v>
      </c>
    </row>
    <row r="22" spans="2:15" s="247" customFormat="1" ht="15">
      <c r="B22" s="264"/>
      <c r="C22" s="265"/>
      <c r="D22" s="266"/>
      <c r="E22" s="267"/>
      <c r="F22" s="1002"/>
      <c r="G22" s="1002">
        <v>12</v>
      </c>
      <c r="H22" s="1002"/>
      <c r="I22" s="265">
        <f t="shared" si="0"/>
        <v>0</v>
      </c>
      <c r="J22" s="1026"/>
      <c r="K22" s="1018">
        <f t="shared" si="1"/>
        <v>0</v>
      </c>
      <c r="L22" s="1017">
        <f t="shared" si="2"/>
        <v>0</v>
      </c>
      <c r="M22" s="1017">
        <f t="shared" si="3"/>
        <v>0</v>
      </c>
      <c r="N22" s="260">
        <f t="shared" si="4"/>
        <v>0</v>
      </c>
      <c r="O22" s="268">
        <f t="shared" si="5"/>
        <v>0</v>
      </c>
    </row>
    <row r="23" spans="2:15" s="247" customFormat="1" ht="15">
      <c r="B23" s="264"/>
      <c r="C23" s="265"/>
      <c r="D23" s="266"/>
      <c r="E23" s="267"/>
      <c r="F23" s="1002"/>
      <c r="G23" s="1002">
        <v>12</v>
      </c>
      <c r="H23" s="1002"/>
      <c r="I23" s="265">
        <f t="shared" si="0"/>
        <v>0</v>
      </c>
      <c r="J23" s="1026"/>
      <c r="K23" s="1018">
        <f t="shared" si="1"/>
        <v>0</v>
      </c>
      <c r="L23" s="1017">
        <f t="shared" si="2"/>
        <v>0</v>
      </c>
      <c r="M23" s="1017">
        <f t="shared" si="3"/>
        <v>0</v>
      </c>
      <c r="N23" s="260">
        <f t="shared" si="4"/>
        <v>0</v>
      </c>
      <c r="O23" s="268">
        <f t="shared" si="5"/>
        <v>0</v>
      </c>
    </row>
    <row r="24" spans="2:15" s="247" customFormat="1" ht="15">
      <c r="B24" s="264"/>
      <c r="C24" s="265"/>
      <c r="D24" s="266"/>
      <c r="E24" s="267"/>
      <c r="F24" s="1002"/>
      <c r="G24" s="1002">
        <v>12</v>
      </c>
      <c r="H24" s="1002"/>
      <c r="I24" s="265">
        <f t="shared" si="0"/>
        <v>0</v>
      </c>
      <c r="J24" s="1026"/>
      <c r="K24" s="1018">
        <f t="shared" si="1"/>
        <v>0</v>
      </c>
      <c r="L24" s="1017">
        <f t="shared" si="2"/>
        <v>0</v>
      </c>
      <c r="M24" s="1017">
        <f t="shared" si="3"/>
        <v>0</v>
      </c>
      <c r="N24" s="260">
        <f t="shared" si="4"/>
        <v>0</v>
      </c>
      <c r="O24" s="268">
        <f t="shared" si="5"/>
        <v>0</v>
      </c>
    </row>
    <row r="25" spans="2:15" s="247" customFormat="1" ht="15">
      <c r="B25" s="264"/>
      <c r="C25" s="265"/>
      <c r="D25" s="266"/>
      <c r="E25" s="267"/>
      <c r="F25" s="1002"/>
      <c r="G25" s="1002">
        <v>12</v>
      </c>
      <c r="H25" s="1002"/>
      <c r="I25" s="265">
        <f t="shared" si="0"/>
        <v>0</v>
      </c>
      <c r="J25" s="1026"/>
      <c r="K25" s="1018">
        <f t="shared" si="1"/>
        <v>0</v>
      </c>
      <c r="L25" s="1017">
        <f t="shared" si="2"/>
        <v>0</v>
      </c>
      <c r="M25" s="1017">
        <f t="shared" si="3"/>
        <v>0</v>
      </c>
      <c r="N25" s="260">
        <f t="shared" si="4"/>
        <v>0</v>
      </c>
      <c r="O25" s="268">
        <f t="shared" si="5"/>
        <v>0</v>
      </c>
    </row>
    <row r="26" spans="2:15" s="247" customFormat="1" ht="15">
      <c r="B26" s="264"/>
      <c r="C26" s="265"/>
      <c r="D26" s="266"/>
      <c r="E26" s="267"/>
      <c r="F26" s="1002"/>
      <c r="G26" s="1002">
        <v>12</v>
      </c>
      <c r="H26" s="1002"/>
      <c r="I26" s="265">
        <f t="shared" si="0"/>
        <v>0</v>
      </c>
      <c r="J26" s="1026"/>
      <c r="K26" s="1018">
        <f t="shared" si="1"/>
        <v>0</v>
      </c>
      <c r="L26" s="1017">
        <f t="shared" si="2"/>
        <v>0</v>
      </c>
      <c r="M26" s="1017">
        <f t="shared" si="3"/>
        <v>0</v>
      </c>
      <c r="N26" s="260">
        <f t="shared" si="4"/>
        <v>0</v>
      </c>
      <c r="O26" s="268">
        <f t="shared" si="5"/>
        <v>0</v>
      </c>
    </row>
    <row r="27" spans="2:15" s="247" customFormat="1" ht="15.75" thickBot="1">
      <c r="B27" s="269"/>
      <c r="C27" s="270"/>
      <c r="D27" s="271"/>
      <c r="E27" s="272"/>
      <c r="F27" s="1003"/>
      <c r="G27" s="1003"/>
      <c r="H27" s="1003"/>
      <c r="I27" s="270"/>
      <c r="J27" s="1027"/>
      <c r="K27" s="1019"/>
      <c r="L27" s="1019"/>
      <c r="M27" s="1019"/>
      <c r="N27" s="270"/>
      <c r="O27" s="273"/>
    </row>
    <row r="28" spans="2:15" s="247" customFormat="1" ht="18.75" customHeight="1" thickBot="1">
      <c r="B28" s="274"/>
      <c r="C28" s="275" t="s">
        <v>77</v>
      </c>
      <c r="D28" s="276"/>
      <c r="E28" s="276"/>
      <c r="F28" s="276">
        <f>SUM(F12:F27)</f>
        <v>5400000</v>
      </c>
      <c r="G28" s="276"/>
      <c r="H28" s="276"/>
      <c r="I28" s="276">
        <f t="shared" ref="I28:O28" si="6">SUM(I12:I27)</f>
        <v>450000</v>
      </c>
      <c r="J28" s="1028">
        <f t="shared" si="6"/>
        <v>3600000</v>
      </c>
      <c r="K28" s="1020">
        <f t="shared" si="6"/>
        <v>0</v>
      </c>
      <c r="L28" s="1020">
        <f t="shared" si="6"/>
        <v>0</v>
      </c>
      <c r="M28" s="1020">
        <f t="shared" si="6"/>
        <v>0</v>
      </c>
      <c r="N28" s="276">
        <f t="shared" si="6"/>
        <v>3600000</v>
      </c>
      <c r="O28" s="277">
        <f t="shared" si="6"/>
        <v>1800000</v>
      </c>
    </row>
    <row r="29" spans="2:15" s="247" customFormat="1" ht="18.75" customHeight="1">
      <c r="B29" s="278"/>
      <c r="C29" s="279" t="s">
        <v>420</v>
      </c>
      <c r="D29" s="280"/>
      <c r="E29" s="281"/>
      <c r="F29" s="282">
        <f>'Kas OP-UPK'!O90</f>
        <v>5400000</v>
      </c>
      <c r="G29" s="281"/>
      <c r="H29" s="281"/>
      <c r="I29" s="281"/>
      <c r="J29" s="281"/>
      <c r="K29" s="281"/>
      <c r="L29" s="281"/>
      <c r="M29" s="281"/>
      <c r="N29" s="281"/>
      <c r="O29" s="281"/>
    </row>
    <row r="30" spans="2:15" s="247" customFormat="1" ht="15"/>
    <row r="31" spans="2:15" s="247" customFormat="1" ht="15">
      <c r="B31" s="283"/>
      <c r="N31" s="284" t="str">
        <f>DT!D28</f>
        <v>Nagrak, 29 Februari 2016 2016</v>
      </c>
    </row>
    <row r="32" spans="2:15" s="247" customFormat="1" ht="15">
      <c r="C32" s="284" t="s">
        <v>21</v>
      </c>
      <c r="N32" s="284" t="s">
        <v>22</v>
      </c>
    </row>
    <row r="33" spans="3:14" s="247" customFormat="1" ht="15">
      <c r="C33" s="284" t="s">
        <v>23</v>
      </c>
      <c r="N33" s="284" t="s">
        <v>24</v>
      </c>
    </row>
    <row r="34" spans="3:14" s="247" customFormat="1" ht="15">
      <c r="N34" s="284"/>
    </row>
    <row r="35" spans="3:14" s="247" customFormat="1" ht="15">
      <c r="N35" s="284"/>
    </row>
    <row r="36" spans="3:14" s="247" customFormat="1" ht="15">
      <c r="N36" s="284"/>
    </row>
    <row r="37" spans="3:14" s="247" customFormat="1" ht="15">
      <c r="C37" s="285"/>
      <c r="N37" s="285"/>
    </row>
    <row r="38" spans="3:14" s="247" customFormat="1" ht="15">
      <c r="C38" s="284" t="str">
        <f>DT!D14</f>
        <v>Endang Taryana</v>
      </c>
      <c r="N38" s="258" t="str">
        <f>DT!D15</f>
        <v>Arin Yustini, SE</v>
      </c>
    </row>
  </sheetData>
  <sheetProtection formatColumns="0" formatRows="0"/>
  <protectedRanges>
    <protectedRange sqref="J12:J27 B12:H27" name="Range1"/>
  </protectedRanges>
  <mergeCells count="4">
    <mergeCell ref="B1:O1"/>
    <mergeCell ref="B2:O2"/>
    <mergeCell ref="B8:B10"/>
    <mergeCell ref="K8:M8"/>
  </mergeCells>
  <printOptions horizontalCentered="1"/>
  <pageMargins left="0" right="0" top="0.62992125984251968" bottom="0.19685039370078741" header="0.35433070866141736" footer="0.59055118110236227"/>
  <pageSetup paperSize="9" scale="70" orientation="landscape" horizontalDpi="4294967294" verticalDpi="4294967294" r:id="rId1"/>
  <headerFooter alignWithMargins="0"/>
  <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7">
    <tabColor theme="9" tint="-0.499984740745262"/>
  </sheetPr>
  <dimension ref="B1:Z88"/>
  <sheetViews>
    <sheetView topLeftCell="I52" zoomScale="70" zoomScaleNormal="70" zoomScaleSheetLayoutView="50" workbookViewId="0">
      <selection activeCell="M47" sqref="M47"/>
    </sheetView>
  </sheetViews>
  <sheetFormatPr defaultColWidth="9.140625" defaultRowHeight="12.75"/>
  <cols>
    <col min="1" max="1" width="5.7109375" style="491" customWidth="1"/>
    <col min="2" max="2" width="5.5703125" style="491" customWidth="1"/>
    <col min="3" max="3" width="29.42578125" style="491" bestFit="1" customWidth="1"/>
    <col min="4" max="4" width="12.5703125" style="491" bestFit="1" customWidth="1"/>
    <col min="5" max="5" width="20.5703125" style="491" customWidth="1"/>
    <col min="6" max="6" width="13.85546875" style="491" customWidth="1"/>
    <col min="7" max="7" width="6" style="491" customWidth="1"/>
    <col min="8" max="8" width="15.7109375" style="491" bestFit="1" customWidth="1"/>
    <col min="9" max="10" width="16.42578125" style="491" customWidth="1"/>
    <col min="11" max="11" width="12.85546875" style="491" customWidth="1"/>
    <col min="12" max="12" width="14.85546875" style="491" bestFit="1" customWidth="1"/>
    <col min="13" max="13" width="14" style="491" customWidth="1"/>
    <col min="14" max="14" width="14.5703125" style="491" bestFit="1" customWidth="1"/>
    <col min="15" max="16" width="14.5703125" style="491" customWidth="1"/>
    <col min="17" max="17" width="17.7109375" style="491" customWidth="1"/>
    <col min="18" max="18" width="16" style="491" customWidth="1"/>
    <col min="19" max="19" width="14.85546875" style="491" bestFit="1" customWidth="1"/>
    <col min="20" max="20" width="14" style="491" customWidth="1"/>
    <col min="21" max="21" width="14.85546875" style="491" bestFit="1" customWidth="1"/>
    <col min="22" max="23" width="14.42578125" style="491" bestFit="1" customWidth="1"/>
    <col min="24" max="24" width="16.42578125" style="491" customWidth="1"/>
    <col min="25" max="16384" width="9.140625" style="491"/>
  </cols>
  <sheetData>
    <row r="1" spans="2:26" ht="20.25">
      <c r="B1" s="3610" t="s">
        <v>55</v>
      </c>
      <c r="C1" s="3610"/>
      <c r="D1" s="3610"/>
      <c r="E1" s="3610"/>
      <c r="F1" s="3610"/>
      <c r="G1" s="3610"/>
      <c r="H1" s="3610"/>
      <c r="I1" s="3610"/>
      <c r="J1" s="3610"/>
      <c r="K1" s="3610"/>
      <c r="L1" s="3610"/>
      <c r="M1" s="3610"/>
      <c r="N1" s="3610"/>
      <c r="O1" s="3610"/>
      <c r="P1" s="3610"/>
      <c r="Q1" s="3610"/>
      <c r="R1" s="3610"/>
      <c r="S1" s="3610"/>
      <c r="T1" s="3610"/>
      <c r="U1" s="3610"/>
      <c r="V1" s="3610"/>
    </row>
    <row r="2" spans="2:26" ht="20.25">
      <c r="B2" s="3610" t="s">
        <v>150</v>
      </c>
      <c r="C2" s="3610"/>
      <c r="D2" s="3610"/>
      <c r="E2" s="3610"/>
      <c r="F2" s="3610"/>
      <c r="G2" s="3610"/>
      <c r="H2" s="3610"/>
      <c r="I2" s="3610"/>
      <c r="J2" s="3610"/>
      <c r="K2" s="3610"/>
      <c r="L2" s="3610"/>
      <c r="M2" s="3610"/>
      <c r="N2" s="3610"/>
      <c r="O2" s="3610"/>
      <c r="P2" s="3610"/>
      <c r="Q2" s="3610"/>
      <c r="R2" s="3610"/>
      <c r="S2" s="3610"/>
      <c r="T2" s="3610"/>
      <c r="U2" s="3610"/>
      <c r="V2" s="3610"/>
    </row>
    <row r="4" spans="2:26" s="123" customFormat="1" ht="15.75">
      <c r="B4" s="74"/>
      <c r="C4" s="23" t="s">
        <v>2</v>
      </c>
      <c r="D4" s="23"/>
      <c r="E4" s="5" t="str">
        <f>": "&amp;DT!D3</f>
        <v>: Nagrak</v>
      </c>
    </row>
    <row r="5" spans="2:26" s="123" customFormat="1" ht="15.75">
      <c r="B5" s="74"/>
      <c r="C5" s="23" t="s">
        <v>4</v>
      </c>
      <c r="D5" s="23"/>
      <c r="E5" s="5" t="str">
        <f>": "&amp;DT!D4</f>
        <v>: Sukabumi</v>
      </c>
    </row>
    <row r="6" spans="2:26" s="123" customFormat="1" ht="15.75">
      <c r="B6" s="74"/>
      <c r="C6" s="23" t="s">
        <v>6</v>
      </c>
      <c r="D6" s="23"/>
      <c r="E6" s="5" t="str">
        <f>": "&amp;DT!D5</f>
        <v>: Jawa Barat</v>
      </c>
    </row>
    <row r="7" spans="2:26" s="123" customFormat="1" ht="15.75" thickBot="1"/>
    <row r="8" spans="2:26" s="123" customFormat="1" ht="15">
      <c r="B8" s="3541" t="s">
        <v>57</v>
      </c>
      <c r="C8" s="3445" t="s">
        <v>151</v>
      </c>
      <c r="D8" s="2453" t="s">
        <v>1798</v>
      </c>
      <c r="E8" s="2453" t="s">
        <v>152</v>
      </c>
      <c r="F8" s="2453" t="s">
        <v>153</v>
      </c>
      <c r="G8" s="3611" t="s">
        <v>154</v>
      </c>
      <c r="H8" s="2453" t="s">
        <v>155</v>
      </c>
      <c r="I8" s="2453" t="s">
        <v>155</v>
      </c>
      <c r="J8" s="2453" t="s">
        <v>557</v>
      </c>
      <c r="K8" s="2453" t="s">
        <v>156</v>
      </c>
      <c r="L8" s="2453" t="s">
        <v>157</v>
      </c>
      <c r="M8" s="2453" t="s">
        <v>156</v>
      </c>
      <c r="N8" s="3611" t="s">
        <v>928</v>
      </c>
      <c r="O8" s="3611"/>
      <c r="P8" s="3611"/>
      <c r="Q8" s="2454" t="s">
        <v>360</v>
      </c>
      <c r="R8" s="3611" t="s">
        <v>359</v>
      </c>
      <c r="S8" s="3611"/>
      <c r="T8" s="3611"/>
      <c r="U8" s="2453" t="s">
        <v>360</v>
      </c>
      <c r="V8" s="2455" t="s">
        <v>158</v>
      </c>
    </row>
    <row r="9" spans="2:26" s="123" customFormat="1" ht="15">
      <c r="B9" s="3542"/>
      <c r="C9" s="3446"/>
      <c r="D9" s="3606" t="s">
        <v>34</v>
      </c>
      <c r="E9" s="2456" t="s">
        <v>159</v>
      </c>
      <c r="F9" s="3606" t="s">
        <v>159</v>
      </c>
      <c r="G9" s="3606"/>
      <c r="H9" s="3606" t="s">
        <v>160</v>
      </c>
      <c r="I9" s="3606" t="s">
        <v>161</v>
      </c>
      <c r="J9" s="3606" t="s">
        <v>558</v>
      </c>
      <c r="K9" s="2456" t="s">
        <v>162</v>
      </c>
      <c r="L9" s="3606" t="s">
        <v>163</v>
      </c>
      <c r="M9" s="2456" t="s">
        <v>164</v>
      </c>
      <c r="N9" s="3606" t="s">
        <v>930</v>
      </c>
      <c r="O9" s="3606" t="s">
        <v>359</v>
      </c>
      <c r="P9" s="3606"/>
      <c r="Q9" s="2457" t="s">
        <v>157</v>
      </c>
      <c r="R9" s="2458" t="s">
        <v>157</v>
      </c>
      <c r="S9" s="2458" t="s">
        <v>157</v>
      </c>
      <c r="T9" s="2458" t="s">
        <v>157</v>
      </c>
      <c r="U9" s="2456" t="s">
        <v>157</v>
      </c>
      <c r="V9" s="3608" t="s">
        <v>165</v>
      </c>
    </row>
    <row r="10" spans="2:26" s="123" customFormat="1" ht="15.75" thickBot="1">
      <c r="B10" s="3543"/>
      <c r="C10" s="3447"/>
      <c r="D10" s="3607"/>
      <c r="E10" s="2462" t="s">
        <v>166</v>
      </c>
      <c r="F10" s="3607"/>
      <c r="G10" s="3607"/>
      <c r="H10" s="3607"/>
      <c r="I10" s="3607"/>
      <c r="J10" s="3607"/>
      <c r="K10" s="2460" t="s">
        <v>167</v>
      </c>
      <c r="L10" s="3607"/>
      <c r="M10" s="2460" t="s">
        <v>167</v>
      </c>
      <c r="N10" s="3607"/>
      <c r="O10" s="2462" t="s">
        <v>929</v>
      </c>
      <c r="P10" s="2462" t="s">
        <v>125</v>
      </c>
      <c r="Q10" s="2461" t="s">
        <v>365</v>
      </c>
      <c r="R10" s="2459" t="s">
        <v>364</v>
      </c>
      <c r="S10" s="2459" t="s">
        <v>125</v>
      </c>
      <c r="T10" s="2459" t="s">
        <v>362</v>
      </c>
      <c r="U10" s="2462" t="s">
        <v>362</v>
      </c>
      <c r="V10" s="3609"/>
    </row>
    <row r="11" spans="2:26" s="123" customFormat="1" ht="15.75" thickBot="1">
      <c r="B11" s="152">
        <v>1</v>
      </c>
      <c r="C11" s="153">
        <v>2</v>
      </c>
      <c r="D11" s="153">
        <v>3</v>
      </c>
      <c r="E11" s="2080">
        <v>4</v>
      </c>
      <c r="F11" s="153">
        <v>5</v>
      </c>
      <c r="G11" s="153">
        <v>6</v>
      </c>
      <c r="H11" s="153">
        <v>7</v>
      </c>
      <c r="I11" s="153" t="s">
        <v>1799</v>
      </c>
      <c r="J11" s="230">
        <v>9</v>
      </c>
      <c r="K11" s="153">
        <v>10</v>
      </c>
      <c r="L11" s="153" t="s">
        <v>1800</v>
      </c>
      <c r="M11" s="153">
        <v>12</v>
      </c>
      <c r="N11" s="153">
        <v>13</v>
      </c>
      <c r="O11" s="153">
        <v>14</v>
      </c>
      <c r="P11" s="153">
        <v>15</v>
      </c>
      <c r="Q11" s="1010">
        <v>16</v>
      </c>
      <c r="R11" s="1006">
        <v>17</v>
      </c>
      <c r="S11" s="1006">
        <v>18</v>
      </c>
      <c r="T11" s="1006" t="s">
        <v>1801</v>
      </c>
      <c r="U11" s="230" t="s">
        <v>1802</v>
      </c>
      <c r="V11" s="154" t="s">
        <v>1803</v>
      </c>
    </row>
    <row r="12" spans="2:26" s="123" customFormat="1" ht="15" customHeight="1">
      <c r="B12" s="142">
        <v>1</v>
      </c>
      <c r="C12" s="1308" t="s">
        <v>884</v>
      </c>
      <c r="D12" s="2082" t="s">
        <v>1889</v>
      </c>
      <c r="E12" s="2081">
        <v>40232</v>
      </c>
      <c r="F12" s="155"/>
      <c r="G12" s="1004">
        <v>1</v>
      </c>
      <c r="H12" s="1004">
        <v>30000000</v>
      </c>
      <c r="I12" s="156">
        <f t="shared" ref="I12:I22" si="0">+G12*H12</f>
        <v>30000000</v>
      </c>
      <c r="J12" s="1305">
        <f>I12*75%</f>
        <v>22500000</v>
      </c>
      <c r="K12" s="494">
        <v>180</v>
      </c>
      <c r="L12" s="156">
        <f t="shared" ref="L12:L22" si="1">J12/K12</f>
        <v>125000</v>
      </c>
      <c r="M12" s="2918">
        <v>70</v>
      </c>
      <c r="N12" s="2703"/>
      <c r="O12" s="156"/>
      <c r="P12" s="156"/>
      <c r="Q12" s="3030">
        <v>8625000</v>
      </c>
      <c r="R12" s="1007">
        <f t="shared" ref="R12:R22" si="2">IF(M12=0,0,IF(M12&gt;K12,(J12-Q12),IF(K12&gt;=M12,((L12*(M12-1))-Q12),IF(J12=Q12,(J12-Q12),IF(K12=M12,(J12-Q12))))))</f>
        <v>0</v>
      </c>
      <c r="S12" s="1007">
        <f t="shared" ref="S12:S22" si="3">IF(M12=0,0,IF(K12&gt;=M12,L12,IF(J12=Q12,(J12-Q12),IF(K12&lt;=L12+1,0))))</f>
        <v>125000</v>
      </c>
      <c r="T12" s="1008">
        <f t="shared" ref="T12:T35" si="4">R12+S12</f>
        <v>125000</v>
      </c>
      <c r="U12" s="231">
        <f t="shared" ref="U12:U22" si="5">Q12+T12</f>
        <v>8750000</v>
      </c>
      <c r="V12" s="157">
        <f t="shared" ref="V12:V22" si="6">(I12-U12)</f>
        <v>21250000</v>
      </c>
      <c r="W12" s="123">
        <v>50</v>
      </c>
      <c r="X12" s="2856">
        <v>1125000</v>
      </c>
      <c r="Y12" s="123">
        <f>W12+1</f>
        <v>51</v>
      </c>
      <c r="Z12" s="166">
        <f>M12-Y12</f>
        <v>19</v>
      </c>
    </row>
    <row r="13" spans="2:26" s="123" customFormat="1" ht="15" customHeight="1">
      <c r="B13" s="143">
        <f>B12+1</f>
        <v>2</v>
      </c>
      <c r="C13" s="137" t="s">
        <v>1872</v>
      </c>
      <c r="D13" s="2082" t="s">
        <v>1889</v>
      </c>
      <c r="E13" s="2081">
        <v>39793</v>
      </c>
      <c r="F13" s="158"/>
      <c r="G13" s="1005">
        <v>1</v>
      </c>
      <c r="H13" s="1005">
        <v>350000</v>
      </c>
      <c r="I13" s="156">
        <f t="shared" si="0"/>
        <v>350000</v>
      </c>
      <c r="J13" s="231">
        <f t="shared" ref="J13:J21" si="7">I13*95%</f>
        <v>332500</v>
      </c>
      <c r="K13" s="1307">
        <v>36</v>
      </c>
      <c r="L13" s="156">
        <f t="shared" si="1"/>
        <v>9236.1111111111113</v>
      </c>
      <c r="M13" s="2985">
        <v>37</v>
      </c>
      <c r="N13" s="2704"/>
      <c r="O13" s="156"/>
      <c r="P13" s="156"/>
      <c r="Q13" s="3030">
        <v>332500</v>
      </c>
      <c r="R13" s="1007">
        <f t="shared" si="2"/>
        <v>0</v>
      </c>
      <c r="S13" s="1007">
        <f t="shared" si="3"/>
        <v>0</v>
      </c>
      <c r="T13" s="1008">
        <f t="shared" si="4"/>
        <v>0</v>
      </c>
      <c r="U13" s="231">
        <f t="shared" si="5"/>
        <v>332500</v>
      </c>
      <c r="V13" s="157">
        <f t="shared" si="6"/>
        <v>17500</v>
      </c>
      <c r="W13" s="123">
        <v>37</v>
      </c>
      <c r="X13" s="2856">
        <v>0</v>
      </c>
      <c r="Y13" s="123">
        <f t="shared" ref="Y13:Y45" si="8">W13+1</f>
        <v>38</v>
      </c>
      <c r="Z13" s="3008">
        <f t="shared" ref="Z13:Z45" si="9">M13-Y13</f>
        <v>-1</v>
      </c>
    </row>
    <row r="14" spans="2:26" s="123" customFormat="1" ht="15" customHeight="1">
      <c r="B14" s="143">
        <f t="shared" ref="B14:B69" si="10">B13+1</f>
        <v>3</v>
      </c>
      <c r="C14" s="137" t="s">
        <v>1873</v>
      </c>
      <c r="D14" s="2083" t="s">
        <v>1889</v>
      </c>
      <c r="E14" s="159">
        <v>39828</v>
      </c>
      <c r="F14" s="158"/>
      <c r="G14" s="1005">
        <v>1</v>
      </c>
      <c r="H14" s="1005">
        <v>375000</v>
      </c>
      <c r="I14" s="156">
        <f t="shared" si="0"/>
        <v>375000</v>
      </c>
      <c r="J14" s="231">
        <f t="shared" si="7"/>
        <v>356250</v>
      </c>
      <c r="K14" s="1307">
        <v>24</v>
      </c>
      <c r="L14" s="156">
        <f t="shared" si="1"/>
        <v>14843.75</v>
      </c>
      <c r="M14" s="2985">
        <v>25</v>
      </c>
      <c r="N14" s="2704"/>
      <c r="O14" s="156"/>
      <c r="P14" s="156"/>
      <c r="Q14" s="3030">
        <v>356250</v>
      </c>
      <c r="R14" s="1007">
        <f t="shared" si="2"/>
        <v>0</v>
      </c>
      <c r="S14" s="1007">
        <f t="shared" si="3"/>
        <v>0</v>
      </c>
      <c r="T14" s="1008">
        <f t="shared" si="4"/>
        <v>0</v>
      </c>
      <c r="U14" s="231">
        <f t="shared" si="5"/>
        <v>356250</v>
      </c>
      <c r="V14" s="157">
        <f t="shared" si="6"/>
        <v>18750</v>
      </c>
      <c r="W14" s="123">
        <v>25</v>
      </c>
      <c r="X14" s="2856">
        <v>0</v>
      </c>
      <c r="Y14" s="123">
        <f t="shared" si="8"/>
        <v>26</v>
      </c>
      <c r="Z14" s="3008">
        <f t="shared" si="9"/>
        <v>-1</v>
      </c>
    </row>
    <row r="15" spans="2:26" s="123" customFormat="1" ht="15" customHeight="1">
      <c r="B15" s="143">
        <f t="shared" si="10"/>
        <v>4</v>
      </c>
      <c r="C15" s="137" t="s">
        <v>1874</v>
      </c>
      <c r="D15" s="2083" t="s">
        <v>1889</v>
      </c>
      <c r="E15" s="159">
        <v>39829</v>
      </c>
      <c r="F15" s="158"/>
      <c r="G15" s="1005">
        <v>1</v>
      </c>
      <c r="H15" s="1005">
        <v>208000</v>
      </c>
      <c r="I15" s="156">
        <f t="shared" si="0"/>
        <v>208000</v>
      </c>
      <c r="J15" s="231">
        <f t="shared" si="7"/>
        <v>197600</v>
      </c>
      <c r="K15" s="1307">
        <v>36</v>
      </c>
      <c r="L15" s="156">
        <f t="shared" si="1"/>
        <v>5488.8888888888887</v>
      </c>
      <c r="M15" s="2985">
        <v>37</v>
      </c>
      <c r="N15" s="2704"/>
      <c r="O15" s="156"/>
      <c r="P15" s="156"/>
      <c r="Q15" s="3030">
        <v>197600</v>
      </c>
      <c r="R15" s="1007">
        <f t="shared" si="2"/>
        <v>0</v>
      </c>
      <c r="S15" s="1007">
        <f t="shared" si="3"/>
        <v>0</v>
      </c>
      <c r="T15" s="1008">
        <f t="shared" si="4"/>
        <v>0</v>
      </c>
      <c r="U15" s="231">
        <f t="shared" si="5"/>
        <v>197600</v>
      </c>
      <c r="V15" s="157">
        <f t="shared" si="6"/>
        <v>10400</v>
      </c>
      <c r="W15" s="123">
        <v>37</v>
      </c>
      <c r="X15" s="2856">
        <v>0</v>
      </c>
      <c r="Y15" s="123">
        <f t="shared" si="8"/>
        <v>38</v>
      </c>
      <c r="Z15" s="3008">
        <f t="shared" si="9"/>
        <v>-1</v>
      </c>
    </row>
    <row r="16" spans="2:26" s="123" customFormat="1" ht="15" customHeight="1">
      <c r="B16" s="143">
        <f t="shared" si="10"/>
        <v>5</v>
      </c>
      <c r="C16" s="137" t="s">
        <v>1875</v>
      </c>
      <c r="D16" s="2083" t="s">
        <v>1889</v>
      </c>
      <c r="E16" s="159">
        <v>39833</v>
      </c>
      <c r="F16" s="158"/>
      <c r="G16" s="1005">
        <v>1</v>
      </c>
      <c r="H16" s="1005">
        <v>95000</v>
      </c>
      <c r="I16" s="156">
        <f t="shared" si="0"/>
        <v>95000</v>
      </c>
      <c r="J16" s="231">
        <f t="shared" si="7"/>
        <v>90250</v>
      </c>
      <c r="K16" s="1307">
        <v>24</v>
      </c>
      <c r="L16" s="156">
        <f t="shared" si="1"/>
        <v>3760.4166666666665</v>
      </c>
      <c r="M16" s="2985">
        <v>25</v>
      </c>
      <c r="N16" s="2704"/>
      <c r="O16" s="156"/>
      <c r="P16" s="156"/>
      <c r="Q16" s="3030">
        <v>90250</v>
      </c>
      <c r="R16" s="1007">
        <f t="shared" si="2"/>
        <v>0</v>
      </c>
      <c r="S16" s="1007">
        <f t="shared" si="3"/>
        <v>0</v>
      </c>
      <c r="T16" s="1008">
        <f t="shared" si="4"/>
        <v>0</v>
      </c>
      <c r="U16" s="231">
        <f t="shared" si="5"/>
        <v>90250</v>
      </c>
      <c r="V16" s="157">
        <f t="shared" si="6"/>
        <v>4750</v>
      </c>
      <c r="W16" s="123">
        <v>25</v>
      </c>
      <c r="X16" s="2856">
        <v>0</v>
      </c>
      <c r="Y16" s="123">
        <f t="shared" si="8"/>
        <v>26</v>
      </c>
      <c r="Z16" s="3008">
        <f t="shared" si="9"/>
        <v>-1</v>
      </c>
    </row>
    <row r="17" spans="2:26" s="123" customFormat="1" ht="15" customHeight="1">
      <c r="B17" s="143">
        <f t="shared" si="10"/>
        <v>6</v>
      </c>
      <c r="C17" s="137" t="s">
        <v>1876</v>
      </c>
      <c r="D17" s="2083" t="s">
        <v>1889</v>
      </c>
      <c r="E17" s="159">
        <v>39842</v>
      </c>
      <c r="F17" s="158"/>
      <c r="G17" s="1005">
        <v>1</v>
      </c>
      <c r="H17" s="1005">
        <v>675000</v>
      </c>
      <c r="I17" s="156">
        <f t="shared" si="0"/>
        <v>675000</v>
      </c>
      <c r="J17" s="231">
        <f t="shared" si="7"/>
        <v>641250</v>
      </c>
      <c r="K17" s="1307">
        <v>36</v>
      </c>
      <c r="L17" s="156">
        <f t="shared" si="1"/>
        <v>17812.5</v>
      </c>
      <c r="M17" s="2985">
        <v>37</v>
      </c>
      <c r="N17" s="2704"/>
      <c r="O17" s="156"/>
      <c r="P17" s="156"/>
      <c r="Q17" s="3030">
        <v>641250</v>
      </c>
      <c r="R17" s="1007">
        <f t="shared" si="2"/>
        <v>0</v>
      </c>
      <c r="S17" s="1007">
        <f t="shared" si="3"/>
        <v>0</v>
      </c>
      <c r="T17" s="1008">
        <f t="shared" si="4"/>
        <v>0</v>
      </c>
      <c r="U17" s="231">
        <f t="shared" si="5"/>
        <v>641250</v>
      </c>
      <c r="V17" s="157">
        <f t="shared" si="6"/>
        <v>33750</v>
      </c>
      <c r="W17" s="123">
        <v>37</v>
      </c>
      <c r="X17" s="2856">
        <v>0</v>
      </c>
      <c r="Y17" s="123">
        <f t="shared" si="8"/>
        <v>38</v>
      </c>
      <c r="Z17" s="3008">
        <f t="shared" si="9"/>
        <v>-1</v>
      </c>
    </row>
    <row r="18" spans="2:26" s="123" customFormat="1" ht="15" customHeight="1">
      <c r="B18" s="143">
        <f t="shared" si="10"/>
        <v>7</v>
      </c>
      <c r="C18" s="137" t="s">
        <v>1877</v>
      </c>
      <c r="D18" s="2083" t="s">
        <v>1889</v>
      </c>
      <c r="E18" s="159">
        <v>39818</v>
      </c>
      <c r="F18" s="158"/>
      <c r="G18" s="1005">
        <v>1</v>
      </c>
      <c r="H18" s="1005">
        <v>5000000</v>
      </c>
      <c r="I18" s="156">
        <f t="shared" si="0"/>
        <v>5000000</v>
      </c>
      <c r="J18" s="231">
        <f t="shared" si="7"/>
        <v>4750000</v>
      </c>
      <c r="K18" s="1307">
        <v>36</v>
      </c>
      <c r="L18" s="156">
        <f t="shared" si="1"/>
        <v>131944.44444444444</v>
      </c>
      <c r="M18" s="2985">
        <v>37</v>
      </c>
      <c r="N18" s="2704"/>
      <c r="O18" s="156"/>
      <c r="P18" s="156"/>
      <c r="Q18" s="3030">
        <v>4750000</v>
      </c>
      <c r="R18" s="1007">
        <f t="shared" si="2"/>
        <v>0</v>
      </c>
      <c r="S18" s="1007">
        <f t="shared" si="3"/>
        <v>0</v>
      </c>
      <c r="T18" s="1008">
        <f t="shared" si="4"/>
        <v>0</v>
      </c>
      <c r="U18" s="231">
        <f t="shared" si="5"/>
        <v>4750000</v>
      </c>
      <c r="V18" s="157">
        <f t="shared" si="6"/>
        <v>250000</v>
      </c>
      <c r="W18" s="123">
        <v>37</v>
      </c>
      <c r="X18" s="2856">
        <v>0</v>
      </c>
      <c r="Y18" s="123">
        <f t="shared" si="8"/>
        <v>38</v>
      </c>
      <c r="Z18" s="3008">
        <f t="shared" si="9"/>
        <v>-1</v>
      </c>
    </row>
    <row r="19" spans="2:26" s="123" customFormat="1" ht="15" customHeight="1">
      <c r="B19" s="143">
        <f t="shared" si="10"/>
        <v>8</v>
      </c>
      <c r="C19" s="137" t="s">
        <v>1878</v>
      </c>
      <c r="D19" s="2083" t="s">
        <v>1889</v>
      </c>
      <c r="E19" s="159">
        <v>39850</v>
      </c>
      <c r="F19" s="158"/>
      <c r="G19" s="1005">
        <v>1</v>
      </c>
      <c r="H19" s="1005">
        <v>200000</v>
      </c>
      <c r="I19" s="156">
        <f t="shared" si="0"/>
        <v>200000</v>
      </c>
      <c r="J19" s="231">
        <f t="shared" si="7"/>
        <v>190000</v>
      </c>
      <c r="K19" s="1307">
        <v>36</v>
      </c>
      <c r="L19" s="156">
        <f t="shared" si="1"/>
        <v>5277.7777777777774</v>
      </c>
      <c r="M19" s="2985">
        <v>37</v>
      </c>
      <c r="N19" s="2704"/>
      <c r="O19" s="156"/>
      <c r="P19" s="156"/>
      <c r="Q19" s="3030">
        <v>190000</v>
      </c>
      <c r="R19" s="1007">
        <f t="shared" si="2"/>
        <v>0</v>
      </c>
      <c r="S19" s="1007">
        <f t="shared" si="3"/>
        <v>0</v>
      </c>
      <c r="T19" s="1008">
        <f t="shared" si="4"/>
        <v>0</v>
      </c>
      <c r="U19" s="231">
        <f t="shared" si="5"/>
        <v>190000</v>
      </c>
      <c r="V19" s="157">
        <f t="shared" si="6"/>
        <v>10000</v>
      </c>
      <c r="W19" s="123">
        <v>37</v>
      </c>
      <c r="X19" s="2856">
        <v>0</v>
      </c>
      <c r="Y19" s="123">
        <f t="shared" si="8"/>
        <v>38</v>
      </c>
      <c r="Z19" s="3008">
        <f t="shared" si="9"/>
        <v>-1</v>
      </c>
    </row>
    <row r="20" spans="2:26" s="123" customFormat="1" ht="15" customHeight="1">
      <c r="B20" s="143">
        <f t="shared" si="10"/>
        <v>9</v>
      </c>
      <c r="C20" s="137" t="s">
        <v>1879</v>
      </c>
      <c r="D20" s="2083" t="s">
        <v>1889</v>
      </c>
      <c r="E20" s="159">
        <v>39961</v>
      </c>
      <c r="F20" s="158"/>
      <c r="G20" s="1005">
        <v>1</v>
      </c>
      <c r="H20" s="1005">
        <v>500000</v>
      </c>
      <c r="I20" s="156">
        <f t="shared" si="0"/>
        <v>500000</v>
      </c>
      <c r="J20" s="231">
        <f t="shared" si="7"/>
        <v>475000</v>
      </c>
      <c r="K20" s="1307">
        <v>24</v>
      </c>
      <c r="L20" s="156">
        <f t="shared" si="1"/>
        <v>19791.666666666668</v>
      </c>
      <c r="M20" s="2984">
        <v>25</v>
      </c>
      <c r="N20" s="2704"/>
      <c r="O20" s="156"/>
      <c r="P20" s="156"/>
      <c r="Q20" s="3030">
        <v>475000</v>
      </c>
      <c r="R20" s="1008">
        <f t="shared" si="2"/>
        <v>0</v>
      </c>
      <c r="S20" s="1007">
        <f t="shared" si="3"/>
        <v>0</v>
      </c>
      <c r="T20" s="1008">
        <f t="shared" si="4"/>
        <v>0</v>
      </c>
      <c r="U20" s="231">
        <f t="shared" si="5"/>
        <v>475000</v>
      </c>
      <c r="V20" s="157">
        <f t="shared" si="6"/>
        <v>25000</v>
      </c>
      <c r="W20" s="123">
        <v>25</v>
      </c>
      <c r="X20" s="2856">
        <v>0</v>
      </c>
      <c r="Y20" s="123">
        <f t="shared" si="8"/>
        <v>26</v>
      </c>
      <c r="Z20" s="3008">
        <f t="shared" si="9"/>
        <v>-1</v>
      </c>
    </row>
    <row r="21" spans="2:26" s="123" customFormat="1" ht="15" customHeight="1">
      <c r="B21" s="143">
        <f t="shared" si="10"/>
        <v>10</v>
      </c>
      <c r="C21" s="137" t="s">
        <v>1880</v>
      </c>
      <c r="D21" s="2083" t="s">
        <v>1889</v>
      </c>
      <c r="E21" s="159">
        <v>40136</v>
      </c>
      <c r="F21" s="158"/>
      <c r="G21" s="1005">
        <v>1</v>
      </c>
      <c r="H21" s="1005">
        <v>850000</v>
      </c>
      <c r="I21" s="156">
        <f t="shared" si="0"/>
        <v>850000</v>
      </c>
      <c r="J21" s="231">
        <f t="shared" si="7"/>
        <v>807500</v>
      </c>
      <c r="K21" s="1307">
        <v>36</v>
      </c>
      <c r="L21" s="156">
        <f t="shared" si="1"/>
        <v>22430.555555555555</v>
      </c>
      <c r="M21" s="2984">
        <v>37</v>
      </c>
      <c r="N21" s="2704"/>
      <c r="O21" s="156"/>
      <c r="P21" s="156"/>
      <c r="Q21" s="3030">
        <v>807500</v>
      </c>
      <c r="R21" s="1008">
        <f t="shared" si="2"/>
        <v>0</v>
      </c>
      <c r="S21" s="1007">
        <f t="shared" si="3"/>
        <v>0</v>
      </c>
      <c r="T21" s="1008">
        <f t="shared" si="4"/>
        <v>0</v>
      </c>
      <c r="U21" s="231">
        <f t="shared" si="5"/>
        <v>807500</v>
      </c>
      <c r="V21" s="157">
        <f t="shared" si="6"/>
        <v>42500</v>
      </c>
      <c r="W21" s="123">
        <v>37</v>
      </c>
      <c r="X21" s="2856">
        <v>22430.555555555504</v>
      </c>
      <c r="Y21" s="123">
        <f t="shared" si="8"/>
        <v>38</v>
      </c>
      <c r="Z21" s="3008">
        <f t="shared" si="9"/>
        <v>-1</v>
      </c>
    </row>
    <row r="22" spans="2:26" s="123" customFormat="1" ht="15" customHeight="1">
      <c r="B22" s="143">
        <f t="shared" si="10"/>
        <v>11</v>
      </c>
      <c r="C22" s="137" t="s">
        <v>1881</v>
      </c>
      <c r="D22" s="137" t="s">
        <v>1890</v>
      </c>
      <c r="E22" s="159">
        <v>39830</v>
      </c>
      <c r="F22" s="158"/>
      <c r="G22" s="1307">
        <v>1</v>
      </c>
      <c r="H22" s="1307">
        <v>5600000</v>
      </c>
      <c r="I22" s="156">
        <f t="shared" si="0"/>
        <v>5600000</v>
      </c>
      <c r="J22" s="231">
        <f>I22*100%</f>
        <v>5600000</v>
      </c>
      <c r="K22" s="1307">
        <v>36</v>
      </c>
      <c r="L22" s="156">
        <f t="shared" si="1"/>
        <v>155555.55555555556</v>
      </c>
      <c r="M22" s="2984">
        <v>37</v>
      </c>
      <c r="N22" s="2704"/>
      <c r="O22" s="156"/>
      <c r="P22" s="156"/>
      <c r="Q22" s="3030">
        <v>5600000</v>
      </c>
      <c r="R22" s="1008">
        <f t="shared" si="2"/>
        <v>0</v>
      </c>
      <c r="S22" s="1007">
        <f t="shared" si="3"/>
        <v>0</v>
      </c>
      <c r="T22" s="1008">
        <f t="shared" si="4"/>
        <v>0</v>
      </c>
      <c r="U22" s="231">
        <f t="shared" si="5"/>
        <v>5600000</v>
      </c>
      <c r="V22" s="157">
        <f t="shared" si="6"/>
        <v>0</v>
      </c>
      <c r="W22" s="123">
        <v>37</v>
      </c>
      <c r="X22" s="2856">
        <v>0</v>
      </c>
      <c r="Y22" s="123">
        <f t="shared" si="8"/>
        <v>38</v>
      </c>
      <c r="Z22" s="3008">
        <f t="shared" si="9"/>
        <v>-1</v>
      </c>
    </row>
    <row r="23" spans="2:26" s="123" customFormat="1" ht="15" customHeight="1">
      <c r="B23" s="143">
        <f t="shared" si="10"/>
        <v>12</v>
      </c>
      <c r="C23" s="137" t="s">
        <v>1882</v>
      </c>
      <c r="D23" s="2083" t="s">
        <v>1889</v>
      </c>
      <c r="E23" s="159">
        <v>40252</v>
      </c>
      <c r="F23" s="158"/>
      <c r="G23" s="1005">
        <v>1</v>
      </c>
      <c r="H23" s="1005">
        <v>340000</v>
      </c>
      <c r="I23" s="156">
        <f t="shared" ref="I23:I48" si="11">+G23*H23</f>
        <v>340000</v>
      </c>
      <c r="J23" s="231">
        <f t="shared" ref="J23:J48" si="12">I23*95%</f>
        <v>323000</v>
      </c>
      <c r="K23" s="1307">
        <v>24</v>
      </c>
      <c r="L23" s="156">
        <f t="shared" ref="L23:L48" si="13">J23/K23</f>
        <v>13458.333333333334</v>
      </c>
      <c r="M23" s="2984">
        <v>25</v>
      </c>
      <c r="N23" s="2704"/>
      <c r="O23" s="156"/>
      <c r="P23" s="156"/>
      <c r="Q23" s="3031">
        <v>323000</v>
      </c>
      <c r="R23" s="1008">
        <f t="shared" ref="R23:R48" si="14">IF(M23=0,0,IF(M23&gt;K23,(J23-Q23),IF(K23&gt;=M23,((L23*(M23-1))-Q23),IF(J23=Q23,(J23-Q23),IF(K23=M23,(J23-Q23))))))</f>
        <v>0</v>
      </c>
      <c r="S23" s="1007">
        <f t="shared" ref="S23:S48" si="15">IF(M23=0,0,IF(K23&gt;=M23,L23,IF(J23=Q23,(J23-Q23),IF(K23&lt;=L23+1,0))))</f>
        <v>0</v>
      </c>
      <c r="T23" s="1008">
        <f t="shared" si="4"/>
        <v>0</v>
      </c>
      <c r="U23" s="231">
        <f t="shared" ref="U23:U48" si="16">Q23+T23</f>
        <v>323000</v>
      </c>
      <c r="V23" s="157">
        <f t="shared" ref="V23:V48" si="17">(I23-U23)</f>
        <v>17000</v>
      </c>
      <c r="W23" s="123">
        <v>25</v>
      </c>
      <c r="X23" s="2856">
        <v>0</v>
      </c>
      <c r="Y23" s="123">
        <f t="shared" si="8"/>
        <v>26</v>
      </c>
      <c r="Z23" s="3008">
        <f t="shared" si="9"/>
        <v>-1</v>
      </c>
    </row>
    <row r="24" spans="2:26" s="123" customFormat="1" ht="15" customHeight="1">
      <c r="B24" s="143">
        <f t="shared" si="10"/>
        <v>13</v>
      </c>
      <c r="C24" s="137" t="s">
        <v>1883</v>
      </c>
      <c r="D24" s="2083" t="s">
        <v>1889</v>
      </c>
      <c r="E24" s="159">
        <v>40249</v>
      </c>
      <c r="F24" s="492"/>
      <c r="G24" s="1005">
        <v>1</v>
      </c>
      <c r="H24" s="1005">
        <v>1000000</v>
      </c>
      <c r="I24" s="156">
        <f t="shared" si="11"/>
        <v>1000000</v>
      </c>
      <c r="J24" s="231">
        <f t="shared" si="12"/>
        <v>950000</v>
      </c>
      <c r="K24" s="1307">
        <v>36</v>
      </c>
      <c r="L24" s="156">
        <f t="shared" si="13"/>
        <v>26388.888888888891</v>
      </c>
      <c r="M24" s="2984">
        <v>37</v>
      </c>
      <c r="N24" s="2704"/>
      <c r="O24" s="156"/>
      <c r="P24" s="156"/>
      <c r="Q24" s="3031">
        <v>950000</v>
      </c>
      <c r="R24" s="1008">
        <f t="shared" si="14"/>
        <v>0</v>
      </c>
      <c r="S24" s="1008">
        <f t="shared" si="15"/>
        <v>0</v>
      </c>
      <c r="T24" s="1008">
        <f t="shared" si="4"/>
        <v>0</v>
      </c>
      <c r="U24" s="231">
        <f t="shared" si="16"/>
        <v>950000</v>
      </c>
      <c r="V24" s="157">
        <f t="shared" si="17"/>
        <v>50000</v>
      </c>
      <c r="W24" s="123">
        <v>37</v>
      </c>
      <c r="X24" s="2856">
        <v>105555.5555555555</v>
      </c>
      <c r="Y24" s="123">
        <f t="shared" si="8"/>
        <v>38</v>
      </c>
      <c r="Z24" s="3008">
        <f t="shared" si="9"/>
        <v>-1</v>
      </c>
    </row>
    <row r="25" spans="2:26" s="123" customFormat="1" ht="15" customHeight="1">
      <c r="B25" s="143">
        <f t="shared" si="10"/>
        <v>14</v>
      </c>
      <c r="C25" s="137" t="s">
        <v>1884</v>
      </c>
      <c r="D25" s="2083" t="s">
        <v>1889</v>
      </c>
      <c r="E25" s="159">
        <v>40282</v>
      </c>
      <c r="F25" s="492"/>
      <c r="G25" s="1005">
        <v>2</v>
      </c>
      <c r="H25" s="1005">
        <v>240000</v>
      </c>
      <c r="I25" s="156">
        <f t="shared" si="11"/>
        <v>480000</v>
      </c>
      <c r="J25" s="231">
        <f t="shared" si="12"/>
        <v>456000</v>
      </c>
      <c r="K25" s="1307">
        <v>36</v>
      </c>
      <c r="L25" s="156">
        <f t="shared" si="13"/>
        <v>12666.666666666666</v>
      </c>
      <c r="M25" s="2984">
        <v>37</v>
      </c>
      <c r="N25" s="2704"/>
      <c r="O25" s="156"/>
      <c r="P25" s="156"/>
      <c r="Q25" s="3031">
        <v>456000</v>
      </c>
      <c r="R25" s="1008">
        <f t="shared" si="14"/>
        <v>0</v>
      </c>
      <c r="S25" s="1008">
        <f t="shared" si="15"/>
        <v>0</v>
      </c>
      <c r="T25" s="1008">
        <f t="shared" si="4"/>
        <v>0</v>
      </c>
      <c r="U25" s="231">
        <f t="shared" si="16"/>
        <v>456000</v>
      </c>
      <c r="V25" s="157">
        <f t="shared" si="17"/>
        <v>24000</v>
      </c>
      <c r="W25" s="123">
        <v>37</v>
      </c>
      <c r="X25" s="2856">
        <v>63333.333333333372</v>
      </c>
      <c r="Y25" s="123">
        <f t="shared" si="8"/>
        <v>38</v>
      </c>
      <c r="Z25" s="3008">
        <f t="shared" si="9"/>
        <v>-1</v>
      </c>
    </row>
    <row r="26" spans="2:26" s="123" customFormat="1" ht="15" customHeight="1">
      <c r="B26" s="143">
        <f t="shared" si="10"/>
        <v>15</v>
      </c>
      <c r="C26" s="137" t="s">
        <v>1885</v>
      </c>
      <c r="D26" s="2083" t="s">
        <v>1889</v>
      </c>
      <c r="E26" s="159">
        <v>40302</v>
      </c>
      <c r="F26" s="158"/>
      <c r="G26" s="1005">
        <v>1</v>
      </c>
      <c r="H26" s="1005">
        <v>725000</v>
      </c>
      <c r="I26" s="156">
        <f t="shared" si="11"/>
        <v>725000</v>
      </c>
      <c r="J26" s="231">
        <f t="shared" si="12"/>
        <v>688750</v>
      </c>
      <c r="K26" s="1307">
        <v>24</v>
      </c>
      <c r="L26" s="156">
        <f t="shared" si="13"/>
        <v>28697.916666666668</v>
      </c>
      <c r="M26" s="2984">
        <v>25</v>
      </c>
      <c r="N26" s="2704"/>
      <c r="O26" s="156"/>
      <c r="P26" s="156"/>
      <c r="Q26" s="3031">
        <v>688750</v>
      </c>
      <c r="R26" s="1008">
        <f t="shared" si="14"/>
        <v>0</v>
      </c>
      <c r="S26" s="1008">
        <f t="shared" si="15"/>
        <v>0</v>
      </c>
      <c r="T26" s="1008">
        <f t="shared" si="4"/>
        <v>0</v>
      </c>
      <c r="U26" s="231">
        <f t="shared" si="16"/>
        <v>688750</v>
      </c>
      <c r="V26" s="157">
        <f t="shared" si="17"/>
        <v>36250</v>
      </c>
      <c r="W26" s="123">
        <v>25</v>
      </c>
      <c r="X26" s="2856">
        <v>0</v>
      </c>
      <c r="Y26" s="123">
        <f t="shared" si="8"/>
        <v>26</v>
      </c>
      <c r="Z26" s="3008">
        <f t="shared" si="9"/>
        <v>-1</v>
      </c>
    </row>
    <row r="27" spans="2:26" s="123" customFormat="1" ht="15" customHeight="1">
      <c r="B27" s="143">
        <f t="shared" si="10"/>
        <v>16</v>
      </c>
      <c r="C27" s="137" t="s">
        <v>1872</v>
      </c>
      <c r="D27" s="2083" t="s">
        <v>1889</v>
      </c>
      <c r="E27" s="159">
        <v>40376</v>
      </c>
      <c r="F27" s="158"/>
      <c r="G27" s="1005">
        <v>1</v>
      </c>
      <c r="H27" s="1005">
        <v>700000</v>
      </c>
      <c r="I27" s="156">
        <f t="shared" si="11"/>
        <v>700000</v>
      </c>
      <c r="J27" s="231">
        <f t="shared" si="12"/>
        <v>665000</v>
      </c>
      <c r="K27" s="1307">
        <v>36</v>
      </c>
      <c r="L27" s="156">
        <f t="shared" si="13"/>
        <v>18472.222222222223</v>
      </c>
      <c r="M27" s="2984">
        <v>37</v>
      </c>
      <c r="N27" s="2704"/>
      <c r="O27" s="156"/>
      <c r="P27" s="156"/>
      <c r="Q27" s="3031">
        <v>665000</v>
      </c>
      <c r="R27" s="1008">
        <f t="shared" si="14"/>
        <v>0</v>
      </c>
      <c r="S27" s="1008">
        <f t="shared" si="15"/>
        <v>0</v>
      </c>
      <c r="T27" s="1008">
        <f t="shared" si="4"/>
        <v>0</v>
      </c>
      <c r="U27" s="231">
        <f t="shared" si="16"/>
        <v>665000</v>
      </c>
      <c r="V27" s="157">
        <f t="shared" si="17"/>
        <v>35000</v>
      </c>
      <c r="W27" s="123">
        <v>37</v>
      </c>
      <c r="X27" s="2856">
        <v>147777.77777777775</v>
      </c>
      <c r="Y27" s="123">
        <f t="shared" si="8"/>
        <v>38</v>
      </c>
      <c r="Z27" s="166">
        <f t="shared" si="9"/>
        <v>-1</v>
      </c>
    </row>
    <row r="28" spans="2:26" s="123" customFormat="1" ht="15" customHeight="1">
      <c r="B28" s="143">
        <f t="shared" si="10"/>
        <v>17</v>
      </c>
      <c r="C28" s="136" t="s">
        <v>1886</v>
      </c>
      <c r="D28" s="2084" t="s">
        <v>1889</v>
      </c>
      <c r="E28" s="159">
        <v>40373</v>
      </c>
      <c r="F28" s="158"/>
      <c r="G28" s="1005">
        <v>1</v>
      </c>
      <c r="H28" s="1005">
        <v>387000</v>
      </c>
      <c r="I28" s="156">
        <f t="shared" si="11"/>
        <v>387000</v>
      </c>
      <c r="J28" s="231">
        <f t="shared" si="12"/>
        <v>367650</v>
      </c>
      <c r="K28" s="1307">
        <v>24</v>
      </c>
      <c r="L28" s="156">
        <f t="shared" si="13"/>
        <v>15318.75</v>
      </c>
      <c r="M28" s="2984">
        <v>25</v>
      </c>
      <c r="N28" s="2704"/>
      <c r="O28" s="156"/>
      <c r="P28" s="156"/>
      <c r="Q28" s="3031">
        <v>367650</v>
      </c>
      <c r="R28" s="1008">
        <f t="shared" si="14"/>
        <v>0</v>
      </c>
      <c r="S28" s="1008">
        <f t="shared" si="15"/>
        <v>0</v>
      </c>
      <c r="T28" s="1008">
        <f t="shared" si="4"/>
        <v>0</v>
      </c>
      <c r="U28" s="231">
        <f t="shared" si="16"/>
        <v>367650</v>
      </c>
      <c r="V28" s="157">
        <f t="shared" si="17"/>
        <v>19350</v>
      </c>
      <c r="W28" s="123">
        <v>25</v>
      </c>
      <c r="X28" s="2856">
        <v>0</v>
      </c>
      <c r="Y28" s="123">
        <f t="shared" si="8"/>
        <v>26</v>
      </c>
      <c r="Z28" s="3008">
        <f t="shared" si="9"/>
        <v>-1</v>
      </c>
    </row>
    <row r="29" spans="2:26" s="123" customFormat="1" ht="15" customHeight="1">
      <c r="B29" s="143">
        <f t="shared" si="10"/>
        <v>18</v>
      </c>
      <c r="C29" s="136" t="s">
        <v>1887</v>
      </c>
      <c r="D29" s="2084" t="s">
        <v>1889</v>
      </c>
      <c r="E29" s="159">
        <v>40404</v>
      </c>
      <c r="F29" s="493"/>
      <c r="G29" s="1005">
        <v>1</v>
      </c>
      <c r="H29" s="1005">
        <v>1583000</v>
      </c>
      <c r="I29" s="156">
        <f t="shared" si="11"/>
        <v>1583000</v>
      </c>
      <c r="J29" s="231">
        <f t="shared" si="12"/>
        <v>1503850</v>
      </c>
      <c r="K29" s="1307">
        <v>24</v>
      </c>
      <c r="L29" s="156">
        <f t="shared" si="13"/>
        <v>62660.416666666664</v>
      </c>
      <c r="M29" s="2984">
        <v>25</v>
      </c>
      <c r="N29" s="2704"/>
      <c r="O29" s="156"/>
      <c r="P29" s="156"/>
      <c r="Q29" s="3031">
        <v>1503850</v>
      </c>
      <c r="R29" s="1008">
        <f t="shared" si="14"/>
        <v>0</v>
      </c>
      <c r="S29" s="1008">
        <f t="shared" si="15"/>
        <v>0</v>
      </c>
      <c r="T29" s="1008">
        <f t="shared" si="4"/>
        <v>0</v>
      </c>
      <c r="U29" s="231">
        <f t="shared" si="16"/>
        <v>1503850</v>
      </c>
      <c r="V29" s="157">
        <f t="shared" si="17"/>
        <v>79150</v>
      </c>
      <c r="W29" s="123">
        <v>25</v>
      </c>
      <c r="X29" s="2856">
        <v>0</v>
      </c>
      <c r="Y29" s="123">
        <f t="shared" si="8"/>
        <v>26</v>
      </c>
      <c r="Z29" s="3008">
        <f t="shared" si="9"/>
        <v>-1</v>
      </c>
    </row>
    <row r="30" spans="2:26" s="123" customFormat="1" ht="15" customHeight="1">
      <c r="B30" s="143">
        <f t="shared" si="10"/>
        <v>19</v>
      </c>
      <c r="C30" s="136" t="s">
        <v>1888</v>
      </c>
      <c r="D30" s="2084" t="s">
        <v>1889</v>
      </c>
      <c r="E30" s="159">
        <v>40191</v>
      </c>
      <c r="F30" s="493"/>
      <c r="G30" s="1005">
        <v>1</v>
      </c>
      <c r="H30" s="1005">
        <v>6379000</v>
      </c>
      <c r="I30" s="156">
        <f t="shared" si="11"/>
        <v>6379000</v>
      </c>
      <c r="J30" s="231">
        <f t="shared" si="12"/>
        <v>6060050</v>
      </c>
      <c r="K30" s="1307">
        <v>36</v>
      </c>
      <c r="L30" s="156">
        <f t="shared" si="13"/>
        <v>168334.72222222222</v>
      </c>
      <c r="M30" s="2984">
        <v>37</v>
      </c>
      <c r="N30" s="2704"/>
      <c r="O30" s="156"/>
      <c r="P30" s="156"/>
      <c r="Q30" s="3031">
        <v>6060050</v>
      </c>
      <c r="R30" s="1008">
        <f t="shared" si="14"/>
        <v>0</v>
      </c>
      <c r="S30" s="1008">
        <f t="shared" si="15"/>
        <v>0</v>
      </c>
      <c r="T30" s="1008">
        <f t="shared" si="4"/>
        <v>0</v>
      </c>
      <c r="U30" s="231">
        <f t="shared" si="16"/>
        <v>6060050</v>
      </c>
      <c r="V30" s="157">
        <f t="shared" si="17"/>
        <v>318950</v>
      </c>
      <c r="W30" s="123">
        <v>37</v>
      </c>
      <c r="X30" s="2856">
        <v>1515012.5000000002</v>
      </c>
      <c r="Y30" s="123">
        <f t="shared" si="8"/>
        <v>38</v>
      </c>
      <c r="Z30" s="166">
        <f t="shared" si="9"/>
        <v>-1</v>
      </c>
    </row>
    <row r="31" spans="2:26" s="123" customFormat="1" ht="15" customHeight="1">
      <c r="B31" s="143">
        <f t="shared" si="10"/>
        <v>20</v>
      </c>
      <c r="C31" s="136" t="s">
        <v>1881</v>
      </c>
      <c r="D31" s="2084" t="s">
        <v>1889</v>
      </c>
      <c r="E31" s="159">
        <v>40582</v>
      </c>
      <c r="F31" s="493"/>
      <c r="G31" s="1005">
        <v>1</v>
      </c>
      <c r="H31" s="1005">
        <v>4800000</v>
      </c>
      <c r="I31" s="156">
        <f t="shared" si="11"/>
        <v>4800000</v>
      </c>
      <c r="J31" s="231">
        <f t="shared" si="12"/>
        <v>4560000</v>
      </c>
      <c r="K31" s="1307">
        <v>36</v>
      </c>
      <c r="L31" s="156">
        <f t="shared" si="13"/>
        <v>126666.66666666667</v>
      </c>
      <c r="M31" s="2984">
        <v>37</v>
      </c>
      <c r="N31" s="2704"/>
      <c r="O31" s="156"/>
      <c r="P31" s="156"/>
      <c r="Q31" s="3031">
        <v>4560000</v>
      </c>
      <c r="R31" s="1008">
        <f t="shared" si="14"/>
        <v>0</v>
      </c>
      <c r="S31" s="1008">
        <f t="shared" si="15"/>
        <v>0</v>
      </c>
      <c r="T31" s="1008">
        <f t="shared" si="4"/>
        <v>0</v>
      </c>
      <c r="U31" s="231">
        <f t="shared" si="16"/>
        <v>4560000</v>
      </c>
      <c r="V31" s="157">
        <f t="shared" si="17"/>
        <v>240000</v>
      </c>
      <c r="W31" s="123">
        <v>36</v>
      </c>
      <c r="X31" s="2856">
        <v>1139999.9999999998</v>
      </c>
      <c r="Y31" s="123">
        <f t="shared" si="8"/>
        <v>37</v>
      </c>
      <c r="Z31" s="166">
        <f t="shared" si="9"/>
        <v>0</v>
      </c>
    </row>
    <row r="32" spans="2:26" s="123" customFormat="1" ht="15" customHeight="1">
      <c r="B32" s="143">
        <f t="shared" si="10"/>
        <v>21</v>
      </c>
      <c r="C32" s="136" t="s">
        <v>2206</v>
      </c>
      <c r="D32" s="2084" t="s">
        <v>1889</v>
      </c>
      <c r="E32" s="159">
        <v>40686</v>
      </c>
      <c r="F32" s="493"/>
      <c r="G32" s="1005">
        <v>1</v>
      </c>
      <c r="H32" s="1005">
        <v>500000</v>
      </c>
      <c r="I32" s="156">
        <f t="shared" si="11"/>
        <v>500000</v>
      </c>
      <c r="J32" s="231">
        <f t="shared" si="12"/>
        <v>475000</v>
      </c>
      <c r="K32" s="162">
        <v>36</v>
      </c>
      <c r="L32" s="156">
        <f t="shared" si="13"/>
        <v>13194.444444444445</v>
      </c>
      <c r="M32" s="2984">
        <v>37</v>
      </c>
      <c r="N32" s="2704"/>
      <c r="O32" s="156"/>
      <c r="P32" s="156"/>
      <c r="Q32" s="3031">
        <v>475000</v>
      </c>
      <c r="R32" s="1008">
        <f t="shared" si="14"/>
        <v>0</v>
      </c>
      <c r="S32" s="1008">
        <f t="shared" si="15"/>
        <v>0</v>
      </c>
      <c r="T32" s="1008">
        <f t="shared" si="4"/>
        <v>0</v>
      </c>
      <c r="U32" s="231">
        <f t="shared" si="16"/>
        <v>475000</v>
      </c>
      <c r="V32" s="157">
        <f t="shared" si="17"/>
        <v>25000</v>
      </c>
      <c r="W32" s="123">
        <v>36</v>
      </c>
      <c r="X32" s="2856">
        <v>118750</v>
      </c>
      <c r="Y32" s="123">
        <f t="shared" si="8"/>
        <v>37</v>
      </c>
      <c r="Z32" s="166">
        <f t="shared" si="9"/>
        <v>0</v>
      </c>
    </row>
    <row r="33" spans="2:26" s="123" customFormat="1" ht="15" customHeight="1">
      <c r="B33" s="143">
        <f t="shared" si="10"/>
        <v>22</v>
      </c>
      <c r="C33" s="136" t="s">
        <v>2251</v>
      </c>
      <c r="D33" s="2084" t="s">
        <v>1889</v>
      </c>
      <c r="E33" s="159">
        <v>40947</v>
      </c>
      <c r="F33" s="493"/>
      <c r="G33" s="1005">
        <v>1</v>
      </c>
      <c r="H33" s="1005">
        <v>5121000</v>
      </c>
      <c r="I33" s="156">
        <f t="shared" si="11"/>
        <v>5121000</v>
      </c>
      <c r="J33" s="231">
        <f t="shared" si="12"/>
        <v>4864950</v>
      </c>
      <c r="K33" s="162">
        <v>36</v>
      </c>
      <c r="L33" s="156">
        <f t="shared" si="13"/>
        <v>135137.5</v>
      </c>
      <c r="M33" s="2984">
        <v>37</v>
      </c>
      <c r="N33" s="2704"/>
      <c r="O33" s="156"/>
      <c r="P33" s="156"/>
      <c r="Q33" s="3031">
        <v>4864950</v>
      </c>
      <c r="R33" s="1008">
        <f t="shared" si="14"/>
        <v>0</v>
      </c>
      <c r="S33" s="1008">
        <f t="shared" si="15"/>
        <v>0</v>
      </c>
      <c r="T33" s="1008">
        <f t="shared" si="4"/>
        <v>0</v>
      </c>
      <c r="U33" s="231">
        <f t="shared" si="16"/>
        <v>4864950</v>
      </c>
      <c r="V33" s="157">
        <f t="shared" si="17"/>
        <v>256050</v>
      </c>
      <c r="W33" s="123">
        <v>27</v>
      </c>
      <c r="X33" s="2856">
        <v>1216237.5</v>
      </c>
      <c r="Y33" s="123">
        <f t="shared" si="8"/>
        <v>28</v>
      </c>
      <c r="Z33" s="166">
        <f t="shared" si="9"/>
        <v>9</v>
      </c>
    </row>
    <row r="34" spans="2:26" s="123" customFormat="1" ht="15" customHeight="1">
      <c r="B34" s="143">
        <f t="shared" si="10"/>
        <v>23</v>
      </c>
      <c r="C34" s="137" t="s">
        <v>2262</v>
      </c>
      <c r="D34" s="2083" t="s">
        <v>1889</v>
      </c>
      <c r="E34" s="159">
        <v>40969</v>
      </c>
      <c r="F34" s="158"/>
      <c r="G34" s="1005">
        <v>1</v>
      </c>
      <c r="H34" s="1005">
        <v>250000</v>
      </c>
      <c r="I34" s="156">
        <f t="shared" si="11"/>
        <v>250000</v>
      </c>
      <c r="J34" s="231">
        <f t="shared" si="12"/>
        <v>237500</v>
      </c>
      <c r="K34" s="1307">
        <v>12</v>
      </c>
      <c r="L34" s="156">
        <f t="shared" si="13"/>
        <v>19791.666666666668</v>
      </c>
      <c r="M34" s="2985">
        <v>13</v>
      </c>
      <c r="N34" s="2704"/>
      <c r="O34" s="156"/>
      <c r="P34" s="156"/>
      <c r="Q34" s="3030">
        <v>237500</v>
      </c>
      <c r="R34" s="1007">
        <f t="shared" si="14"/>
        <v>0</v>
      </c>
      <c r="S34" s="1007">
        <f t="shared" si="15"/>
        <v>0</v>
      </c>
      <c r="T34" s="1008">
        <f t="shared" si="4"/>
        <v>0</v>
      </c>
      <c r="U34" s="231">
        <f t="shared" si="16"/>
        <v>237500</v>
      </c>
      <c r="V34" s="157">
        <f t="shared" si="17"/>
        <v>12500</v>
      </c>
      <c r="W34" s="123">
        <v>13</v>
      </c>
      <c r="X34" s="2856">
        <v>59375</v>
      </c>
      <c r="Y34" s="123">
        <f t="shared" si="8"/>
        <v>14</v>
      </c>
      <c r="Z34" s="166">
        <f t="shared" si="9"/>
        <v>-1</v>
      </c>
    </row>
    <row r="35" spans="2:26" s="123" customFormat="1" ht="15" customHeight="1">
      <c r="B35" s="143">
        <f t="shared" si="10"/>
        <v>24</v>
      </c>
      <c r="C35" s="137" t="s">
        <v>2270</v>
      </c>
      <c r="D35" s="2083" t="s">
        <v>1889</v>
      </c>
      <c r="E35" s="159">
        <v>41017</v>
      </c>
      <c r="F35" s="158"/>
      <c r="G35" s="1005">
        <v>1</v>
      </c>
      <c r="H35" s="1005">
        <v>470000</v>
      </c>
      <c r="I35" s="156">
        <f t="shared" si="11"/>
        <v>470000</v>
      </c>
      <c r="J35" s="231">
        <f t="shared" si="12"/>
        <v>446500</v>
      </c>
      <c r="K35" s="1307">
        <v>24</v>
      </c>
      <c r="L35" s="156">
        <f t="shared" si="13"/>
        <v>18604.166666666668</v>
      </c>
      <c r="M35" s="2984">
        <v>27</v>
      </c>
      <c r="N35" s="2704"/>
      <c r="O35" s="156"/>
      <c r="P35" s="156"/>
      <c r="Q35" s="3030">
        <v>446500</v>
      </c>
      <c r="R35" s="1008">
        <f t="shared" si="14"/>
        <v>0</v>
      </c>
      <c r="S35" s="1007">
        <f t="shared" si="15"/>
        <v>0</v>
      </c>
      <c r="T35" s="1008">
        <f t="shared" si="4"/>
        <v>0</v>
      </c>
      <c r="U35" s="231">
        <f t="shared" si="16"/>
        <v>446500</v>
      </c>
      <c r="V35" s="157">
        <f t="shared" si="17"/>
        <v>23500</v>
      </c>
      <c r="W35" s="123">
        <v>25</v>
      </c>
      <c r="X35" s="2856">
        <v>167437.5</v>
      </c>
      <c r="Y35" s="123">
        <f t="shared" si="8"/>
        <v>26</v>
      </c>
      <c r="Z35" s="166">
        <f t="shared" si="9"/>
        <v>1</v>
      </c>
    </row>
    <row r="36" spans="2:26" s="123" customFormat="1" ht="15" customHeight="1">
      <c r="B36" s="143">
        <f t="shared" si="10"/>
        <v>25</v>
      </c>
      <c r="C36" s="137" t="s">
        <v>2285</v>
      </c>
      <c r="D36" s="2083" t="s">
        <v>1889</v>
      </c>
      <c r="E36" s="159">
        <v>41087</v>
      </c>
      <c r="F36" s="158"/>
      <c r="G36" s="1005">
        <v>1</v>
      </c>
      <c r="H36" s="1005">
        <v>800000</v>
      </c>
      <c r="I36" s="156">
        <f t="shared" si="11"/>
        <v>800000</v>
      </c>
      <c r="J36" s="231">
        <f t="shared" si="12"/>
        <v>760000</v>
      </c>
      <c r="K36" s="1307">
        <v>24</v>
      </c>
      <c r="L36" s="156">
        <f t="shared" si="13"/>
        <v>31666.666666666668</v>
      </c>
      <c r="M36" s="2984">
        <v>25</v>
      </c>
      <c r="N36" s="2704"/>
      <c r="O36" s="156"/>
      <c r="P36" s="156"/>
      <c r="Q36" s="3030">
        <v>760000</v>
      </c>
      <c r="R36" s="1008">
        <f t="shared" si="14"/>
        <v>0</v>
      </c>
      <c r="S36" s="1007">
        <f t="shared" si="15"/>
        <v>0</v>
      </c>
      <c r="T36" s="1008">
        <f t="shared" ref="T36:T48" si="18">R36+S36</f>
        <v>0</v>
      </c>
      <c r="U36" s="231">
        <f t="shared" si="16"/>
        <v>760000</v>
      </c>
      <c r="V36" s="157">
        <f t="shared" si="17"/>
        <v>40000</v>
      </c>
      <c r="W36" s="123">
        <v>23</v>
      </c>
      <c r="X36" s="2856">
        <v>285000.00000000006</v>
      </c>
      <c r="Y36" s="123">
        <f t="shared" si="8"/>
        <v>24</v>
      </c>
      <c r="Z36" s="166">
        <f t="shared" si="9"/>
        <v>1</v>
      </c>
    </row>
    <row r="37" spans="2:26" s="123" customFormat="1" ht="15" customHeight="1">
      <c r="B37" s="143">
        <f t="shared" si="10"/>
        <v>26</v>
      </c>
      <c r="C37" s="137" t="s">
        <v>2309</v>
      </c>
      <c r="D37" s="2083" t="s">
        <v>1889</v>
      </c>
      <c r="E37" s="159">
        <v>41102</v>
      </c>
      <c r="F37" s="158"/>
      <c r="G37" s="1005">
        <v>1</v>
      </c>
      <c r="H37" s="1005">
        <v>1000000</v>
      </c>
      <c r="I37" s="156">
        <f t="shared" si="11"/>
        <v>1000000</v>
      </c>
      <c r="J37" s="231">
        <f t="shared" si="12"/>
        <v>950000</v>
      </c>
      <c r="K37" s="1307">
        <v>36</v>
      </c>
      <c r="L37" s="156">
        <f t="shared" si="13"/>
        <v>26388.888888888891</v>
      </c>
      <c r="M37" s="2984">
        <v>38</v>
      </c>
      <c r="N37" s="2704"/>
      <c r="O37" s="156"/>
      <c r="P37" s="156"/>
      <c r="Q37" s="3031">
        <v>950000</v>
      </c>
      <c r="R37" s="1008">
        <f t="shared" si="14"/>
        <v>0</v>
      </c>
      <c r="S37" s="1008">
        <f t="shared" si="15"/>
        <v>0</v>
      </c>
      <c r="T37" s="1008">
        <f t="shared" si="18"/>
        <v>0</v>
      </c>
      <c r="U37" s="231">
        <f t="shared" si="16"/>
        <v>950000</v>
      </c>
      <c r="V37" s="157">
        <f t="shared" si="17"/>
        <v>50000</v>
      </c>
      <c r="W37" s="123">
        <v>22</v>
      </c>
      <c r="X37" s="2856">
        <v>237500</v>
      </c>
      <c r="Y37" s="123">
        <f t="shared" si="8"/>
        <v>23</v>
      </c>
      <c r="Z37" s="166">
        <f t="shared" si="9"/>
        <v>15</v>
      </c>
    </row>
    <row r="38" spans="2:26" s="123" customFormat="1" ht="15" customHeight="1">
      <c r="B38" s="143">
        <f t="shared" si="10"/>
        <v>27</v>
      </c>
      <c r="C38" s="137" t="s">
        <v>2334</v>
      </c>
      <c r="D38" s="2083" t="s">
        <v>1889</v>
      </c>
      <c r="E38" s="159">
        <v>41215</v>
      </c>
      <c r="F38" s="158"/>
      <c r="G38" s="1005">
        <v>2</v>
      </c>
      <c r="H38" s="1005">
        <v>1925000</v>
      </c>
      <c r="I38" s="156">
        <f t="shared" si="11"/>
        <v>3850000</v>
      </c>
      <c r="J38" s="231">
        <f t="shared" si="12"/>
        <v>3657500</v>
      </c>
      <c r="K38" s="1307">
        <v>24</v>
      </c>
      <c r="L38" s="156">
        <f t="shared" si="13"/>
        <v>152395.83333333334</v>
      </c>
      <c r="M38" s="2984">
        <v>32</v>
      </c>
      <c r="N38" s="2704"/>
      <c r="O38" s="156"/>
      <c r="P38" s="156"/>
      <c r="Q38" s="3031">
        <v>3657500</v>
      </c>
      <c r="R38" s="1008">
        <f t="shared" si="14"/>
        <v>0</v>
      </c>
      <c r="S38" s="1008">
        <f t="shared" si="15"/>
        <v>0</v>
      </c>
      <c r="T38" s="1008">
        <f t="shared" si="18"/>
        <v>0</v>
      </c>
      <c r="U38" s="231">
        <f t="shared" si="16"/>
        <v>3657500</v>
      </c>
      <c r="V38" s="157">
        <f t="shared" si="17"/>
        <v>192500</v>
      </c>
      <c r="W38" s="123">
        <v>18</v>
      </c>
      <c r="X38" s="2856">
        <v>1371562.5</v>
      </c>
      <c r="Y38" s="123">
        <f t="shared" si="8"/>
        <v>19</v>
      </c>
      <c r="Z38" s="166">
        <f t="shared" si="9"/>
        <v>13</v>
      </c>
    </row>
    <row r="39" spans="2:26" s="123" customFormat="1" ht="15" customHeight="1">
      <c r="B39" s="143">
        <f t="shared" si="10"/>
        <v>28</v>
      </c>
      <c r="C39" s="137" t="s">
        <v>1872</v>
      </c>
      <c r="D39" s="2083" t="s">
        <v>1889</v>
      </c>
      <c r="E39" s="159">
        <v>41305</v>
      </c>
      <c r="F39" s="492"/>
      <c r="G39" s="1005">
        <v>1</v>
      </c>
      <c r="H39" s="1005">
        <v>1250000</v>
      </c>
      <c r="I39" s="156">
        <f t="shared" si="11"/>
        <v>1250000</v>
      </c>
      <c r="J39" s="231">
        <f t="shared" si="12"/>
        <v>1187500</v>
      </c>
      <c r="K39" s="1307">
        <v>36</v>
      </c>
      <c r="L39" s="156">
        <f t="shared" si="13"/>
        <v>32986.111111111109</v>
      </c>
      <c r="M39" s="3196">
        <v>36</v>
      </c>
      <c r="N39" s="2704"/>
      <c r="O39" s="156"/>
      <c r="P39" s="156"/>
      <c r="Q39" s="3031">
        <v>1154513.888888889</v>
      </c>
      <c r="R39" s="1008">
        <f t="shared" si="14"/>
        <v>-2.3283064365386963E-10</v>
      </c>
      <c r="S39" s="1008">
        <f t="shared" si="15"/>
        <v>32986.111111111109</v>
      </c>
      <c r="T39" s="1008">
        <f t="shared" si="18"/>
        <v>32986.111111110877</v>
      </c>
      <c r="U39" s="231">
        <f t="shared" si="16"/>
        <v>1187499.9999999998</v>
      </c>
      <c r="V39" s="157">
        <f t="shared" si="17"/>
        <v>62500.000000000233</v>
      </c>
      <c r="W39" s="123">
        <v>16</v>
      </c>
      <c r="X39" s="2856">
        <v>263888.88888888888</v>
      </c>
      <c r="Y39" s="123">
        <f t="shared" si="8"/>
        <v>17</v>
      </c>
      <c r="Z39" s="166">
        <f t="shared" si="9"/>
        <v>19</v>
      </c>
    </row>
    <row r="40" spans="2:26" s="123" customFormat="1" ht="15" customHeight="1">
      <c r="B40" s="143">
        <f t="shared" si="10"/>
        <v>29</v>
      </c>
      <c r="C40" s="137" t="s">
        <v>2374</v>
      </c>
      <c r="D40" s="2083" t="s">
        <v>1889</v>
      </c>
      <c r="E40" s="159">
        <v>41318</v>
      </c>
      <c r="F40" s="492"/>
      <c r="G40" s="1005">
        <v>1</v>
      </c>
      <c r="H40" s="1005">
        <v>3549400</v>
      </c>
      <c r="I40" s="156">
        <f t="shared" si="11"/>
        <v>3549400</v>
      </c>
      <c r="J40" s="231">
        <f t="shared" si="12"/>
        <v>3371930</v>
      </c>
      <c r="K40" s="1307">
        <v>36</v>
      </c>
      <c r="L40" s="156">
        <f t="shared" si="13"/>
        <v>93664.722222222219</v>
      </c>
      <c r="M40" s="156">
        <v>35</v>
      </c>
      <c r="N40" s="2704"/>
      <c r="O40" s="156"/>
      <c r="P40" s="156"/>
      <c r="Q40" s="3031">
        <v>3184600.555555555</v>
      </c>
      <c r="R40" s="1008">
        <f t="shared" si="14"/>
        <v>4.6566128730773926E-10</v>
      </c>
      <c r="S40" s="1008">
        <f t="shared" si="15"/>
        <v>93664.722222222219</v>
      </c>
      <c r="T40" s="1008">
        <f t="shared" si="18"/>
        <v>93664.722222222685</v>
      </c>
      <c r="U40" s="231">
        <f t="shared" si="16"/>
        <v>3278265.2777777775</v>
      </c>
      <c r="V40" s="157">
        <f t="shared" si="17"/>
        <v>271134.72222222248</v>
      </c>
      <c r="W40" s="123">
        <v>15</v>
      </c>
      <c r="X40" s="2856">
        <v>655653.0555555555</v>
      </c>
      <c r="Y40" s="123">
        <f t="shared" si="8"/>
        <v>16</v>
      </c>
      <c r="Z40" s="166">
        <f t="shared" si="9"/>
        <v>19</v>
      </c>
    </row>
    <row r="41" spans="2:26" s="123" customFormat="1" ht="15" customHeight="1">
      <c r="B41" s="143">
        <f t="shared" si="10"/>
        <v>30</v>
      </c>
      <c r="C41" s="137" t="s">
        <v>2379</v>
      </c>
      <c r="D41" s="2083" t="s">
        <v>1889</v>
      </c>
      <c r="E41" s="159">
        <v>41334</v>
      </c>
      <c r="F41" s="158"/>
      <c r="G41" s="1005">
        <v>1</v>
      </c>
      <c r="H41" s="1005">
        <v>1250000</v>
      </c>
      <c r="I41" s="156">
        <f t="shared" si="11"/>
        <v>1250000</v>
      </c>
      <c r="J41" s="231">
        <f t="shared" si="12"/>
        <v>1187500</v>
      </c>
      <c r="K41" s="1307">
        <v>36</v>
      </c>
      <c r="L41" s="156">
        <f t="shared" si="13"/>
        <v>32986.111111111109</v>
      </c>
      <c r="M41" s="156">
        <v>34</v>
      </c>
      <c r="N41" s="2704"/>
      <c r="O41" s="156"/>
      <c r="P41" s="156"/>
      <c r="Q41" s="3031">
        <v>1088541.6666666665</v>
      </c>
      <c r="R41" s="1008">
        <f t="shared" si="14"/>
        <v>0</v>
      </c>
      <c r="S41" s="1008">
        <f t="shared" si="15"/>
        <v>32986.111111111109</v>
      </c>
      <c r="T41" s="1008">
        <f t="shared" si="18"/>
        <v>32986.111111111109</v>
      </c>
      <c r="U41" s="231">
        <f t="shared" si="16"/>
        <v>1121527.7777777775</v>
      </c>
      <c r="V41" s="157">
        <f t="shared" si="17"/>
        <v>128472.22222222248</v>
      </c>
      <c r="W41" s="123">
        <v>14</v>
      </c>
      <c r="X41" s="2856">
        <v>197916.66666666669</v>
      </c>
      <c r="Y41" s="123">
        <f t="shared" si="8"/>
        <v>15</v>
      </c>
      <c r="Z41" s="166">
        <f t="shared" si="9"/>
        <v>19</v>
      </c>
    </row>
    <row r="42" spans="2:26" s="123" customFormat="1" ht="15" customHeight="1">
      <c r="B42" s="143">
        <f t="shared" si="10"/>
        <v>31</v>
      </c>
      <c r="C42" s="137" t="s">
        <v>1875</v>
      </c>
      <c r="D42" s="2083" t="s">
        <v>1889</v>
      </c>
      <c r="E42" s="159">
        <v>41334</v>
      </c>
      <c r="F42" s="158"/>
      <c r="G42" s="1005">
        <v>1</v>
      </c>
      <c r="H42" s="1005">
        <v>200000</v>
      </c>
      <c r="I42" s="156">
        <f t="shared" si="11"/>
        <v>200000</v>
      </c>
      <c r="J42" s="231">
        <f t="shared" si="12"/>
        <v>190000</v>
      </c>
      <c r="K42" s="1307">
        <v>12</v>
      </c>
      <c r="L42" s="156">
        <f t="shared" si="13"/>
        <v>15833.333333333334</v>
      </c>
      <c r="M42" s="2984">
        <v>26</v>
      </c>
      <c r="N42" s="1307"/>
      <c r="O42" s="156"/>
      <c r="P42" s="156"/>
      <c r="Q42" s="3031">
        <v>190000</v>
      </c>
      <c r="R42" s="1008">
        <f t="shared" si="14"/>
        <v>0</v>
      </c>
      <c r="S42" s="1008">
        <f t="shared" si="15"/>
        <v>0</v>
      </c>
      <c r="T42" s="1008">
        <f t="shared" si="18"/>
        <v>0</v>
      </c>
      <c r="U42" s="231">
        <f t="shared" si="16"/>
        <v>190000</v>
      </c>
      <c r="V42" s="157">
        <f t="shared" si="17"/>
        <v>10000</v>
      </c>
      <c r="W42" s="123">
        <v>14</v>
      </c>
      <c r="X42" s="2856">
        <v>95000</v>
      </c>
      <c r="Y42" s="123">
        <f t="shared" si="8"/>
        <v>15</v>
      </c>
      <c r="Z42" s="166">
        <f t="shared" si="9"/>
        <v>11</v>
      </c>
    </row>
    <row r="43" spans="2:26" s="123" customFormat="1" ht="15" customHeight="1">
      <c r="B43" s="143">
        <f t="shared" si="10"/>
        <v>32</v>
      </c>
      <c r="C43" s="136" t="s">
        <v>2408</v>
      </c>
      <c r="D43" s="2084" t="s">
        <v>1889</v>
      </c>
      <c r="E43" s="159">
        <v>41451</v>
      </c>
      <c r="F43" s="158"/>
      <c r="G43" s="1005">
        <v>1</v>
      </c>
      <c r="H43" s="1005">
        <v>7420000</v>
      </c>
      <c r="I43" s="156">
        <f t="shared" si="11"/>
        <v>7420000</v>
      </c>
      <c r="J43" s="231">
        <f t="shared" si="12"/>
        <v>7049000</v>
      </c>
      <c r="K43" s="1307">
        <v>120</v>
      </c>
      <c r="L43" s="156">
        <f t="shared" si="13"/>
        <v>58741.666666666664</v>
      </c>
      <c r="M43" s="156">
        <v>31</v>
      </c>
      <c r="N43" s="1307"/>
      <c r="O43" s="156"/>
      <c r="P43" s="156"/>
      <c r="Q43" s="3031">
        <v>1762250</v>
      </c>
      <c r="R43" s="1008">
        <f t="shared" si="14"/>
        <v>0</v>
      </c>
      <c r="S43" s="1008">
        <f t="shared" si="15"/>
        <v>58741.666666666664</v>
      </c>
      <c r="T43" s="1008">
        <f t="shared" si="18"/>
        <v>58741.666666666664</v>
      </c>
      <c r="U43" s="231">
        <f t="shared" si="16"/>
        <v>1820991.6666666667</v>
      </c>
      <c r="V43" s="157">
        <f t="shared" si="17"/>
        <v>5599008.333333333</v>
      </c>
      <c r="W43" s="123">
        <v>11</v>
      </c>
      <c r="X43" s="2856">
        <v>176225</v>
      </c>
      <c r="Y43" s="123">
        <f t="shared" si="8"/>
        <v>12</v>
      </c>
      <c r="Z43" s="166">
        <f t="shared" si="9"/>
        <v>19</v>
      </c>
    </row>
    <row r="44" spans="2:26" s="123" customFormat="1" ht="15" customHeight="1">
      <c r="B44" s="143">
        <f t="shared" si="10"/>
        <v>33</v>
      </c>
      <c r="C44" s="136" t="s">
        <v>2429</v>
      </c>
      <c r="D44" s="2084" t="s">
        <v>1889</v>
      </c>
      <c r="E44" s="159">
        <v>41481</v>
      </c>
      <c r="F44" s="493"/>
      <c r="G44" s="1005">
        <v>1</v>
      </c>
      <c r="H44" s="1005">
        <v>4500000</v>
      </c>
      <c r="I44" s="156">
        <f t="shared" si="11"/>
        <v>4500000</v>
      </c>
      <c r="J44" s="231">
        <f t="shared" si="12"/>
        <v>4275000</v>
      </c>
      <c r="K44" s="1307">
        <v>36</v>
      </c>
      <c r="L44" s="156">
        <f t="shared" si="13"/>
        <v>118750</v>
      </c>
      <c r="M44" s="156">
        <v>30</v>
      </c>
      <c r="N44" s="1307"/>
      <c r="O44" s="156"/>
      <c r="P44" s="156"/>
      <c r="Q44" s="3031">
        <v>3443750</v>
      </c>
      <c r="R44" s="1008">
        <f t="shared" si="14"/>
        <v>0</v>
      </c>
      <c r="S44" s="1008">
        <f t="shared" si="15"/>
        <v>118750</v>
      </c>
      <c r="T44" s="1008">
        <f t="shared" si="18"/>
        <v>118750</v>
      </c>
      <c r="U44" s="231">
        <f t="shared" si="16"/>
        <v>3562500</v>
      </c>
      <c r="V44" s="157">
        <f t="shared" si="17"/>
        <v>937500</v>
      </c>
      <c r="W44" s="123">
        <v>10</v>
      </c>
      <c r="X44" s="2856">
        <v>237500</v>
      </c>
      <c r="Y44" s="123">
        <f t="shared" si="8"/>
        <v>11</v>
      </c>
      <c r="Z44" s="166">
        <f t="shared" si="9"/>
        <v>19</v>
      </c>
    </row>
    <row r="45" spans="2:26" s="123" customFormat="1" ht="15" customHeight="1">
      <c r="B45" s="143">
        <f t="shared" si="10"/>
        <v>34</v>
      </c>
      <c r="C45" s="136" t="s">
        <v>2432</v>
      </c>
      <c r="D45" s="2084" t="s">
        <v>1889</v>
      </c>
      <c r="E45" s="159">
        <v>41484</v>
      </c>
      <c r="F45" s="493"/>
      <c r="G45" s="1005">
        <v>1</v>
      </c>
      <c r="H45" s="1005">
        <v>4641000</v>
      </c>
      <c r="I45" s="156">
        <f t="shared" si="11"/>
        <v>4641000</v>
      </c>
      <c r="J45" s="231">
        <f t="shared" si="12"/>
        <v>4408950</v>
      </c>
      <c r="K45" s="1307">
        <v>24</v>
      </c>
      <c r="L45" s="156">
        <f t="shared" si="13"/>
        <v>183706.25</v>
      </c>
      <c r="M45" s="2984">
        <v>27</v>
      </c>
      <c r="N45" s="1307"/>
      <c r="O45" s="156"/>
      <c r="P45" s="156"/>
      <c r="Q45" s="3031">
        <v>4408950</v>
      </c>
      <c r="R45" s="1008">
        <f t="shared" si="14"/>
        <v>0</v>
      </c>
      <c r="S45" s="1008">
        <f t="shared" si="15"/>
        <v>0</v>
      </c>
      <c r="T45" s="1008">
        <f t="shared" si="18"/>
        <v>0</v>
      </c>
      <c r="U45" s="231">
        <f t="shared" si="16"/>
        <v>4408950</v>
      </c>
      <c r="V45" s="157">
        <f t="shared" si="17"/>
        <v>232050</v>
      </c>
      <c r="W45" s="123">
        <v>10</v>
      </c>
      <c r="X45" s="2856">
        <v>367412.5</v>
      </c>
      <c r="Y45" s="123">
        <f t="shared" si="8"/>
        <v>11</v>
      </c>
      <c r="Z45" s="166">
        <f t="shared" si="9"/>
        <v>16</v>
      </c>
    </row>
    <row r="46" spans="2:26" s="123" customFormat="1" ht="15" customHeight="1">
      <c r="B46" s="143">
        <f t="shared" si="10"/>
        <v>35</v>
      </c>
      <c r="C46" s="136" t="s">
        <v>2441</v>
      </c>
      <c r="D46" s="2084" t="s">
        <v>1889</v>
      </c>
      <c r="E46" s="159">
        <v>41567</v>
      </c>
      <c r="F46" s="493"/>
      <c r="G46" s="1005">
        <v>1</v>
      </c>
      <c r="H46" s="1005">
        <v>3750000</v>
      </c>
      <c r="I46" s="156">
        <f t="shared" si="11"/>
        <v>3750000</v>
      </c>
      <c r="J46" s="231">
        <f t="shared" si="12"/>
        <v>3562500</v>
      </c>
      <c r="K46" s="1307">
        <v>36</v>
      </c>
      <c r="L46" s="156">
        <f t="shared" si="13"/>
        <v>98958.333333333328</v>
      </c>
      <c r="M46" s="156">
        <v>27</v>
      </c>
      <c r="N46" s="1307"/>
      <c r="O46" s="156"/>
      <c r="P46" s="156"/>
      <c r="Q46" s="3031">
        <v>2572916.666666666</v>
      </c>
      <c r="R46" s="1008">
        <f t="shared" si="14"/>
        <v>4.6566128730773926E-10</v>
      </c>
      <c r="S46" s="1008">
        <f t="shared" si="15"/>
        <v>98958.333333333328</v>
      </c>
      <c r="T46" s="1008">
        <f t="shared" si="18"/>
        <v>98958.333333333794</v>
      </c>
      <c r="U46" s="231">
        <f t="shared" si="16"/>
        <v>2671875</v>
      </c>
      <c r="V46" s="157">
        <f t="shared" si="17"/>
        <v>1078125</v>
      </c>
      <c r="W46" s="123">
        <v>7</v>
      </c>
    </row>
    <row r="47" spans="2:26" s="123" customFormat="1" ht="15" customHeight="1">
      <c r="B47" s="143">
        <f t="shared" si="10"/>
        <v>36</v>
      </c>
      <c r="C47" s="136" t="s">
        <v>2530</v>
      </c>
      <c r="D47" s="2084" t="s">
        <v>1889</v>
      </c>
      <c r="E47" s="159">
        <v>41705</v>
      </c>
      <c r="F47" s="493"/>
      <c r="G47" s="1005">
        <v>1</v>
      </c>
      <c r="H47" s="1005">
        <v>750000</v>
      </c>
      <c r="I47" s="156">
        <f t="shared" si="11"/>
        <v>750000</v>
      </c>
      <c r="J47" s="231">
        <f t="shared" si="12"/>
        <v>712500</v>
      </c>
      <c r="K47" s="162">
        <v>24</v>
      </c>
      <c r="L47" s="156">
        <f t="shared" si="13"/>
        <v>29687.5</v>
      </c>
      <c r="M47" s="156">
        <v>22</v>
      </c>
      <c r="N47" s="1307"/>
      <c r="O47" s="156"/>
      <c r="P47" s="156"/>
      <c r="Q47" s="1012">
        <v>623437.5</v>
      </c>
      <c r="R47" s="1008">
        <f t="shared" si="14"/>
        <v>0</v>
      </c>
      <c r="S47" s="1008">
        <f t="shared" si="15"/>
        <v>29687.5</v>
      </c>
      <c r="T47" s="1008">
        <f t="shared" si="18"/>
        <v>29687.5</v>
      </c>
      <c r="U47" s="231">
        <f t="shared" si="16"/>
        <v>653125</v>
      </c>
      <c r="V47" s="157">
        <f t="shared" si="17"/>
        <v>96875</v>
      </c>
      <c r="W47" s="123">
        <v>2</v>
      </c>
    </row>
    <row r="48" spans="2:26" s="123" customFormat="1" ht="15" customHeight="1">
      <c r="B48" s="143">
        <f t="shared" si="10"/>
        <v>37</v>
      </c>
      <c r="C48" s="136" t="s">
        <v>2285</v>
      </c>
      <c r="D48" s="2084" t="s">
        <v>1889</v>
      </c>
      <c r="E48" s="159">
        <v>41705</v>
      </c>
      <c r="F48" s="493"/>
      <c r="G48" s="1005">
        <v>1</v>
      </c>
      <c r="H48" s="1005">
        <v>650000</v>
      </c>
      <c r="I48" s="156">
        <f t="shared" si="11"/>
        <v>650000</v>
      </c>
      <c r="J48" s="231">
        <f t="shared" si="12"/>
        <v>617500</v>
      </c>
      <c r="K48" s="162">
        <v>18</v>
      </c>
      <c r="L48" s="156">
        <f t="shared" si="13"/>
        <v>34305.555555555555</v>
      </c>
      <c r="M48" s="156">
        <v>22</v>
      </c>
      <c r="N48" s="1307"/>
      <c r="O48" s="156"/>
      <c r="P48" s="156"/>
      <c r="Q48" s="1012">
        <v>617500</v>
      </c>
      <c r="R48" s="1008">
        <f t="shared" si="14"/>
        <v>0</v>
      </c>
      <c r="S48" s="1008">
        <f t="shared" si="15"/>
        <v>0</v>
      </c>
      <c r="T48" s="1008">
        <f t="shared" si="18"/>
        <v>0</v>
      </c>
      <c r="U48" s="231">
        <f t="shared" si="16"/>
        <v>617500</v>
      </c>
      <c r="V48" s="157">
        <f t="shared" si="17"/>
        <v>32500</v>
      </c>
      <c r="W48" s="123">
        <v>2</v>
      </c>
    </row>
    <row r="49" spans="2:23" s="123" customFormat="1" ht="15" customHeight="1">
      <c r="B49" s="143">
        <f t="shared" si="10"/>
        <v>38</v>
      </c>
      <c r="C49" s="137" t="s">
        <v>2550</v>
      </c>
      <c r="D49" s="2083" t="s">
        <v>1889</v>
      </c>
      <c r="E49" s="159" t="s">
        <v>2551</v>
      </c>
      <c r="F49" s="158"/>
      <c r="G49" s="1005">
        <v>1</v>
      </c>
      <c r="H49" s="1005">
        <v>5000000</v>
      </c>
      <c r="I49" s="156">
        <f t="shared" ref="I49:I71" si="19">+G49*H49</f>
        <v>5000000</v>
      </c>
      <c r="J49" s="231">
        <f t="shared" ref="J49:J71" si="20">I49*95%</f>
        <v>4750000</v>
      </c>
      <c r="K49" s="1307">
        <v>36</v>
      </c>
      <c r="L49" s="156">
        <f t="shared" ref="L49:L71" si="21">J49/K49</f>
        <v>131944.44444444444</v>
      </c>
      <c r="M49" s="156">
        <v>21</v>
      </c>
      <c r="N49" s="1307"/>
      <c r="O49" s="156"/>
      <c r="P49" s="156"/>
      <c r="Q49" s="1012">
        <v>2638888.888888889</v>
      </c>
      <c r="R49" s="1008">
        <f t="shared" ref="R49:R71" si="22">IF(M49=0,0,IF(M49&gt;K49,(J49-Q49),IF(K49&gt;=M49,((L49*(M49-1))-Q49),IF(J49=Q49,(J49-Q49),IF(K49=M49,(J49-Q49))))))</f>
        <v>0</v>
      </c>
      <c r="S49" s="1008">
        <f t="shared" ref="S49:S71" si="23">IF(M49=0,0,IF(K49&gt;=M49,L49,IF(J49=Q49,(J49-Q49),IF(K49&lt;=L49+1,0))))</f>
        <v>131944.44444444444</v>
      </c>
      <c r="T49" s="1008">
        <f t="shared" ref="T49:T71" si="24">R49+S49</f>
        <v>131944.44444444444</v>
      </c>
      <c r="U49" s="231">
        <f t="shared" ref="U49:U71" si="25">Q49+T49</f>
        <v>2770833.3333333335</v>
      </c>
      <c r="V49" s="157">
        <f t="shared" ref="V49:V71" si="26">(I49-U49)</f>
        <v>2229166.6666666665</v>
      </c>
      <c r="W49" s="123">
        <v>1</v>
      </c>
    </row>
    <row r="50" spans="2:23" s="123" customFormat="1" ht="15" customHeight="1">
      <c r="B50" s="143">
        <f t="shared" si="10"/>
        <v>39</v>
      </c>
      <c r="C50" s="137" t="s">
        <v>1879</v>
      </c>
      <c r="D50" s="2083" t="s">
        <v>1889</v>
      </c>
      <c r="E50" s="159" t="s">
        <v>2552</v>
      </c>
      <c r="F50" s="492"/>
      <c r="G50" s="1005">
        <v>1</v>
      </c>
      <c r="H50" s="1005">
        <v>1800000</v>
      </c>
      <c r="I50" s="156">
        <f t="shared" si="19"/>
        <v>1800000</v>
      </c>
      <c r="J50" s="231">
        <f t="shared" si="20"/>
        <v>1710000</v>
      </c>
      <c r="K50" s="1307">
        <v>24</v>
      </c>
      <c r="L50" s="156">
        <f t="shared" si="21"/>
        <v>71250</v>
      </c>
      <c r="M50" s="156">
        <v>21</v>
      </c>
      <c r="N50" s="1307"/>
      <c r="O50" s="156"/>
      <c r="P50" s="156"/>
      <c r="Q50" s="1012">
        <v>1425000</v>
      </c>
      <c r="R50" s="1008">
        <f t="shared" si="22"/>
        <v>0</v>
      </c>
      <c r="S50" s="1008">
        <f t="shared" si="23"/>
        <v>71250</v>
      </c>
      <c r="T50" s="1008">
        <f t="shared" si="24"/>
        <v>71250</v>
      </c>
      <c r="U50" s="231">
        <f t="shared" si="25"/>
        <v>1496250</v>
      </c>
      <c r="V50" s="157">
        <f t="shared" si="26"/>
        <v>303750</v>
      </c>
      <c r="W50" s="123">
        <v>1</v>
      </c>
    </row>
    <row r="51" spans="2:23" s="123" customFormat="1" ht="15" customHeight="1">
      <c r="B51" s="143">
        <f t="shared" si="10"/>
        <v>40</v>
      </c>
      <c r="C51" s="137" t="s">
        <v>2573</v>
      </c>
      <c r="D51" s="2083" t="s">
        <v>1889</v>
      </c>
      <c r="E51" s="159">
        <v>41828</v>
      </c>
      <c r="F51" s="492"/>
      <c r="G51" s="1005">
        <v>1</v>
      </c>
      <c r="H51" s="1005">
        <v>5500000</v>
      </c>
      <c r="I51" s="156">
        <f t="shared" si="19"/>
        <v>5500000</v>
      </c>
      <c r="J51" s="231">
        <f t="shared" si="20"/>
        <v>5225000</v>
      </c>
      <c r="K51" s="1307">
        <v>36</v>
      </c>
      <c r="L51" s="156">
        <f t="shared" si="21"/>
        <v>145138.88888888888</v>
      </c>
      <c r="M51" s="156">
        <v>18</v>
      </c>
      <c r="N51" s="1307"/>
      <c r="O51" s="156"/>
      <c r="P51" s="156"/>
      <c r="Q51" s="1012">
        <v>2467361.111111111</v>
      </c>
      <c r="R51" s="1008">
        <f t="shared" si="22"/>
        <v>0</v>
      </c>
      <c r="S51" s="1008">
        <f t="shared" si="23"/>
        <v>145138.88888888888</v>
      </c>
      <c r="T51" s="1008">
        <f t="shared" si="24"/>
        <v>145138.88888888888</v>
      </c>
      <c r="U51" s="231">
        <f t="shared" si="25"/>
        <v>2612500</v>
      </c>
      <c r="V51" s="157">
        <f t="shared" si="26"/>
        <v>2887500</v>
      </c>
    </row>
    <row r="52" spans="2:23" s="123" customFormat="1" ht="15" customHeight="1">
      <c r="B52" s="143">
        <f t="shared" si="10"/>
        <v>41</v>
      </c>
      <c r="C52" s="137" t="s">
        <v>2432</v>
      </c>
      <c r="D52" s="2083" t="s">
        <v>1889</v>
      </c>
      <c r="E52" s="159">
        <v>41835</v>
      </c>
      <c r="F52" s="158"/>
      <c r="G52" s="1005">
        <v>1</v>
      </c>
      <c r="H52" s="1005">
        <v>2700000</v>
      </c>
      <c r="I52" s="156">
        <f t="shared" si="19"/>
        <v>2700000</v>
      </c>
      <c r="J52" s="231">
        <f t="shared" si="20"/>
        <v>2565000</v>
      </c>
      <c r="K52" s="1307">
        <v>12</v>
      </c>
      <c r="L52" s="156">
        <f t="shared" si="21"/>
        <v>213750</v>
      </c>
      <c r="M52" s="156">
        <v>18</v>
      </c>
      <c r="N52" s="1307"/>
      <c r="O52" s="156"/>
      <c r="P52" s="156"/>
      <c r="Q52" s="1012">
        <v>2565000</v>
      </c>
      <c r="R52" s="1008">
        <f t="shared" si="22"/>
        <v>0</v>
      </c>
      <c r="S52" s="1008">
        <f t="shared" si="23"/>
        <v>0</v>
      </c>
      <c r="T52" s="1008">
        <f t="shared" si="24"/>
        <v>0</v>
      </c>
      <c r="U52" s="231">
        <f t="shared" si="25"/>
        <v>2565000</v>
      </c>
      <c r="V52" s="157">
        <f t="shared" si="26"/>
        <v>135000</v>
      </c>
    </row>
    <row r="53" spans="2:23" s="123" customFormat="1" ht="15" customHeight="1">
      <c r="B53" s="143">
        <f t="shared" si="10"/>
        <v>42</v>
      </c>
      <c r="C53" s="137" t="s">
        <v>2574</v>
      </c>
      <c r="D53" s="2083" t="s">
        <v>1889</v>
      </c>
      <c r="E53" s="159">
        <v>41855</v>
      </c>
      <c r="F53" s="158"/>
      <c r="G53" s="1005">
        <v>1</v>
      </c>
      <c r="H53" s="1005">
        <v>1120000</v>
      </c>
      <c r="I53" s="156">
        <f t="shared" si="19"/>
        <v>1120000</v>
      </c>
      <c r="J53" s="231">
        <f t="shared" si="20"/>
        <v>1064000</v>
      </c>
      <c r="K53" s="1307">
        <v>12</v>
      </c>
      <c r="L53" s="156">
        <f t="shared" si="21"/>
        <v>88666.666666666672</v>
      </c>
      <c r="M53" s="156">
        <v>17</v>
      </c>
      <c r="N53" s="1307"/>
      <c r="O53" s="156"/>
      <c r="P53" s="156"/>
      <c r="Q53" s="1012">
        <v>1064000</v>
      </c>
      <c r="R53" s="1008">
        <f t="shared" si="22"/>
        <v>0</v>
      </c>
      <c r="S53" s="1008">
        <f t="shared" si="23"/>
        <v>0</v>
      </c>
      <c r="T53" s="1008">
        <f t="shared" si="24"/>
        <v>0</v>
      </c>
      <c r="U53" s="231">
        <f t="shared" si="25"/>
        <v>1064000</v>
      </c>
      <c r="V53" s="157">
        <f t="shared" si="26"/>
        <v>56000</v>
      </c>
    </row>
    <row r="54" spans="2:23" s="123" customFormat="1" ht="15" customHeight="1">
      <c r="B54" s="143">
        <f t="shared" si="10"/>
        <v>43</v>
      </c>
      <c r="C54" s="3065" t="s">
        <v>2577</v>
      </c>
      <c r="D54" s="2084" t="s">
        <v>1889</v>
      </c>
      <c r="E54" s="159">
        <v>41884</v>
      </c>
      <c r="F54" s="158"/>
      <c r="G54" s="1005">
        <v>1</v>
      </c>
      <c r="H54" s="1005">
        <v>300000</v>
      </c>
      <c r="I54" s="156">
        <f t="shared" si="19"/>
        <v>300000</v>
      </c>
      <c r="J54" s="231">
        <f t="shared" si="20"/>
        <v>285000</v>
      </c>
      <c r="K54" s="1307">
        <v>12</v>
      </c>
      <c r="L54" s="156">
        <f t="shared" si="21"/>
        <v>23750</v>
      </c>
      <c r="M54" s="156">
        <v>15</v>
      </c>
      <c r="N54" s="1307"/>
      <c r="O54" s="156"/>
      <c r="P54" s="156"/>
      <c r="Q54" s="1012">
        <v>285000</v>
      </c>
      <c r="R54" s="1008">
        <f t="shared" si="22"/>
        <v>0</v>
      </c>
      <c r="S54" s="1008">
        <f t="shared" si="23"/>
        <v>0</v>
      </c>
      <c r="T54" s="1008">
        <f t="shared" si="24"/>
        <v>0</v>
      </c>
      <c r="U54" s="231">
        <f t="shared" si="25"/>
        <v>285000</v>
      </c>
      <c r="V54" s="157">
        <f t="shared" si="26"/>
        <v>15000</v>
      </c>
    </row>
    <row r="55" spans="2:23" s="123" customFormat="1" ht="15" customHeight="1">
      <c r="B55" s="143">
        <f t="shared" si="10"/>
        <v>44</v>
      </c>
      <c r="C55" s="136" t="s">
        <v>2675</v>
      </c>
      <c r="D55" s="2084" t="s">
        <v>1889</v>
      </c>
      <c r="E55" s="159" t="s">
        <v>2676</v>
      </c>
      <c r="F55" s="493"/>
      <c r="G55" s="1005">
        <v>1</v>
      </c>
      <c r="H55" s="1005">
        <v>1450000</v>
      </c>
      <c r="I55" s="156">
        <f t="shared" si="19"/>
        <v>1450000</v>
      </c>
      <c r="J55" s="231">
        <f t="shared" si="20"/>
        <v>1377500</v>
      </c>
      <c r="K55" s="1307">
        <v>36</v>
      </c>
      <c r="L55" s="156">
        <f t="shared" si="21"/>
        <v>38263.888888888891</v>
      </c>
      <c r="M55" s="156">
        <v>7</v>
      </c>
      <c r="N55" s="1307"/>
      <c r="O55" s="156"/>
      <c r="P55" s="156"/>
      <c r="Q55" s="1012">
        <v>229583.33333333331</v>
      </c>
      <c r="R55" s="1008">
        <f t="shared" si="22"/>
        <v>2.9103830456733704E-11</v>
      </c>
      <c r="S55" s="1008">
        <f t="shared" si="23"/>
        <v>38263.888888888891</v>
      </c>
      <c r="T55" s="1008">
        <f t="shared" si="24"/>
        <v>38263.88888888892</v>
      </c>
      <c r="U55" s="231">
        <f t="shared" si="25"/>
        <v>267847.22222222225</v>
      </c>
      <c r="V55" s="157">
        <f t="shared" si="26"/>
        <v>1182152.7777777778</v>
      </c>
    </row>
    <row r="56" spans="2:23" s="123" customFormat="1" ht="15" customHeight="1">
      <c r="B56" s="143">
        <f t="shared" si="10"/>
        <v>45</v>
      </c>
      <c r="C56" s="136" t="s">
        <v>2677</v>
      </c>
      <c r="D56" s="2084" t="s">
        <v>1889</v>
      </c>
      <c r="E56" s="159" t="s">
        <v>2678</v>
      </c>
      <c r="F56" s="493"/>
      <c r="G56" s="1005">
        <v>1</v>
      </c>
      <c r="H56" s="1005">
        <v>1000000</v>
      </c>
      <c r="I56" s="156">
        <f t="shared" si="19"/>
        <v>1000000</v>
      </c>
      <c r="J56" s="231">
        <f t="shared" si="20"/>
        <v>950000</v>
      </c>
      <c r="K56" s="1307">
        <v>24</v>
      </c>
      <c r="L56" s="156">
        <f t="shared" si="21"/>
        <v>39583.333333333336</v>
      </c>
      <c r="M56" s="156">
        <v>7</v>
      </c>
      <c r="N56" s="1307"/>
      <c r="O56" s="156"/>
      <c r="P56" s="156"/>
      <c r="Q56" s="1012">
        <v>237500.00000000003</v>
      </c>
      <c r="R56" s="1008">
        <f t="shared" si="22"/>
        <v>-2.9103830456733704E-11</v>
      </c>
      <c r="S56" s="1008">
        <f t="shared" si="23"/>
        <v>39583.333333333336</v>
      </c>
      <c r="T56" s="1008">
        <f t="shared" si="24"/>
        <v>39583.333333333307</v>
      </c>
      <c r="U56" s="231">
        <f t="shared" si="25"/>
        <v>277083.33333333331</v>
      </c>
      <c r="V56" s="157">
        <f t="shared" si="26"/>
        <v>722916.66666666674</v>
      </c>
    </row>
    <row r="57" spans="2:23" s="123" customFormat="1" ht="15" customHeight="1">
      <c r="B57" s="143">
        <f t="shared" si="10"/>
        <v>46</v>
      </c>
      <c r="C57" s="136"/>
      <c r="D57" s="2084"/>
      <c r="E57" s="159"/>
      <c r="F57" s="493"/>
      <c r="G57" s="1005"/>
      <c r="H57" s="1005"/>
      <c r="I57" s="156">
        <f t="shared" si="19"/>
        <v>0</v>
      </c>
      <c r="J57" s="231">
        <f t="shared" si="20"/>
        <v>0</v>
      </c>
      <c r="K57" s="1307">
        <v>1</v>
      </c>
      <c r="L57" s="156">
        <f t="shared" si="21"/>
        <v>0</v>
      </c>
      <c r="M57" s="156"/>
      <c r="N57" s="1307"/>
      <c r="O57" s="156"/>
      <c r="P57" s="156"/>
      <c r="Q57" s="1012"/>
      <c r="R57" s="1008">
        <f t="shared" si="22"/>
        <v>0</v>
      </c>
      <c r="S57" s="1008">
        <f t="shared" si="23"/>
        <v>0</v>
      </c>
      <c r="T57" s="1008">
        <f t="shared" si="24"/>
        <v>0</v>
      </c>
      <c r="U57" s="231">
        <f t="shared" si="25"/>
        <v>0</v>
      </c>
      <c r="V57" s="157">
        <f t="shared" si="26"/>
        <v>0</v>
      </c>
    </row>
    <row r="58" spans="2:23" s="123" customFormat="1" ht="15" customHeight="1">
      <c r="B58" s="143">
        <f t="shared" si="10"/>
        <v>47</v>
      </c>
      <c r="C58" s="136"/>
      <c r="D58" s="2084"/>
      <c r="E58" s="159"/>
      <c r="F58" s="493"/>
      <c r="G58" s="1005"/>
      <c r="H58" s="1005"/>
      <c r="I58" s="156">
        <f t="shared" si="19"/>
        <v>0</v>
      </c>
      <c r="J58" s="231">
        <f t="shared" si="20"/>
        <v>0</v>
      </c>
      <c r="K58" s="162">
        <v>1</v>
      </c>
      <c r="L58" s="156">
        <f t="shared" si="21"/>
        <v>0</v>
      </c>
      <c r="M58" s="156"/>
      <c r="N58" s="1307"/>
      <c r="O58" s="156"/>
      <c r="P58" s="156"/>
      <c r="Q58" s="1012"/>
      <c r="R58" s="1008">
        <f t="shared" si="22"/>
        <v>0</v>
      </c>
      <c r="S58" s="1008">
        <f t="shared" si="23"/>
        <v>0</v>
      </c>
      <c r="T58" s="1008">
        <f t="shared" si="24"/>
        <v>0</v>
      </c>
      <c r="U58" s="231">
        <f t="shared" si="25"/>
        <v>0</v>
      </c>
      <c r="V58" s="157">
        <f t="shared" si="26"/>
        <v>0</v>
      </c>
    </row>
    <row r="59" spans="2:23" s="123" customFormat="1" ht="15" customHeight="1">
      <c r="B59" s="143">
        <f t="shared" si="10"/>
        <v>48</v>
      </c>
      <c r="C59" s="136"/>
      <c r="D59" s="2084"/>
      <c r="E59" s="159"/>
      <c r="F59" s="493"/>
      <c r="G59" s="1005"/>
      <c r="H59" s="1005"/>
      <c r="I59" s="156">
        <f t="shared" si="19"/>
        <v>0</v>
      </c>
      <c r="J59" s="231">
        <f t="shared" si="20"/>
        <v>0</v>
      </c>
      <c r="K59" s="162">
        <v>1</v>
      </c>
      <c r="L59" s="156">
        <f t="shared" si="21"/>
        <v>0</v>
      </c>
      <c r="M59" s="156"/>
      <c r="N59" s="1307"/>
      <c r="O59" s="156"/>
      <c r="P59" s="156"/>
      <c r="Q59" s="1012"/>
      <c r="R59" s="1008">
        <f t="shared" si="22"/>
        <v>0</v>
      </c>
      <c r="S59" s="1008">
        <f t="shared" si="23"/>
        <v>0</v>
      </c>
      <c r="T59" s="1008">
        <f t="shared" si="24"/>
        <v>0</v>
      </c>
      <c r="U59" s="231">
        <f t="shared" si="25"/>
        <v>0</v>
      </c>
      <c r="V59" s="157">
        <f t="shared" si="26"/>
        <v>0</v>
      </c>
    </row>
    <row r="60" spans="2:23" s="123" customFormat="1" ht="15" customHeight="1">
      <c r="B60" s="143">
        <f t="shared" si="10"/>
        <v>49</v>
      </c>
      <c r="C60" s="137"/>
      <c r="D60" s="2083"/>
      <c r="E60" s="159"/>
      <c r="F60" s="158"/>
      <c r="G60" s="1005"/>
      <c r="H60" s="1005"/>
      <c r="I60" s="156">
        <f t="shared" si="19"/>
        <v>0</v>
      </c>
      <c r="J60" s="231">
        <f t="shared" si="20"/>
        <v>0</v>
      </c>
      <c r="K60" s="1307">
        <v>1</v>
      </c>
      <c r="L60" s="156">
        <f t="shared" si="21"/>
        <v>0</v>
      </c>
      <c r="M60" s="2918"/>
      <c r="N60" s="1307"/>
      <c r="O60" s="156"/>
      <c r="P60" s="156"/>
      <c r="Q60" s="1011"/>
      <c r="R60" s="1007">
        <f t="shared" si="22"/>
        <v>0</v>
      </c>
      <c r="S60" s="1007">
        <f t="shared" si="23"/>
        <v>0</v>
      </c>
      <c r="T60" s="1008">
        <f t="shared" si="24"/>
        <v>0</v>
      </c>
      <c r="U60" s="231">
        <f t="shared" si="25"/>
        <v>0</v>
      </c>
      <c r="V60" s="157">
        <f t="shared" si="26"/>
        <v>0</v>
      </c>
    </row>
    <row r="61" spans="2:23" s="123" customFormat="1" ht="15" customHeight="1">
      <c r="B61" s="143">
        <f t="shared" si="10"/>
        <v>50</v>
      </c>
      <c r="C61" s="137"/>
      <c r="D61" s="2083"/>
      <c r="E61" s="159"/>
      <c r="F61" s="158"/>
      <c r="G61" s="1005"/>
      <c r="H61" s="1005"/>
      <c r="I61" s="156">
        <f t="shared" si="19"/>
        <v>0</v>
      </c>
      <c r="J61" s="231">
        <f t="shared" si="20"/>
        <v>0</v>
      </c>
      <c r="K61" s="1307">
        <v>1</v>
      </c>
      <c r="L61" s="156">
        <f t="shared" si="21"/>
        <v>0</v>
      </c>
      <c r="M61" s="156"/>
      <c r="N61" s="1307"/>
      <c r="O61" s="156"/>
      <c r="P61" s="156"/>
      <c r="Q61" s="1011"/>
      <c r="R61" s="1008">
        <f t="shared" si="22"/>
        <v>0</v>
      </c>
      <c r="S61" s="1007">
        <f t="shared" si="23"/>
        <v>0</v>
      </c>
      <c r="T61" s="1008">
        <f t="shared" si="24"/>
        <v>0</v>
      </c>
      <c r="U61" s="231">
        <f t="shared" si="25"/>
        <v>0</v>
      </c>
      <c r="V61" s="157">
        <f t="shared" si="26"/>
        <v>0</v>
      </c>
    </row>
    <row r="62" spans="2:23" s="123" customFormat="1" ht="15" customHeight="1">
      <c r="B62" s="143">
        <f t="shared" si="10"/>
        <v>51</v>
      </c>
      <c r="C62" s="137"/>
      <c r="D62" s="2083"/>
      <c r="E62" s="159"/>
      <c r="F62" s="158"/>
      <c r="G62" s="1005"/>
      <c r="H62" s="1005"/>
      <c r="I62" s="156">
        <f t="shared" si="19"/>
        <v>0</v>
      </c>
      <c r="J62" s="231">
        <f t="shared" si="20"/>
        <v>0</v>
      </c>
      <c r="K62" s="1307">
        <v>1</v>
      </c>
      <c r="L62" s="156">
        <f t="shared" si="21"/>
        <v>0</v>
      </c>
      <c r="M62" s="156"/>
      <c r="N62" s="1307"/>
      <c r="O62" s="156"/>
      <c r="P62" s="156"/>
      <c r="Q62" s="1011"/>
      <c r="R62" s="1008">
        <f t="shared" si="22"/>
        <v>0</v>
      </c>
      <c r="S62" s="1007">
        <f t="shared" si="23"/>
        <v>0</v>
      </c>
      <c r="T62" s="1008">
        <f t="shared" si="24"/>
        <v>0</v>
      </c>
      <c r="U62" s="231">
        <f t="shared" si="25"/>
        <v>0</v>
      </c>
      <c r="V62" s="157">
        <f t="shared" si="26"/>
        <v>0</v>
      </c>
    </row>
    <row r="63" spans="2:23" s="123" customFormat="1" ht="15" customHeight="1">
      <c r="B63" s="143">
        <f t="shared" si="10"/>
        <v>52</v>
      </c>
      <c r="C63" s="137"/>
      <c r="D63" s="2083"/>
      <c r="E63" s="159"/>
      <c r="F63" s="158"/>
      <c r="G63" s="1005"/>
      <c r="H63" s="1005"/>
      <c r="I63" s="156">
        <f t="shared" si="19"/>
        <v>0</v>
      </c>
      <c r="J63" s="231">
        <f t="shared" si="20"/>
        <v>0</v>
      </c>
      <c r="K63" s="1307">
        <v>1</v>
      </c>
      <c r="L63" s="156">
        <f t="shared" si="21"/>
        <v>0</v>
      </c>
      <c r="M63" s="156"/>
      <c r="N63" s="1307"/>
      <c r="O63" s="156"/>
      <c r="P63" s="156"/>
      <c r="Q63" s="1012"/>
      <c r="R63" s="1008">
        <f t="shared" si="22"/>
        <v>0</v>
      </c>
      <c r="S63" s="1008">
        <f t="shared" si="23"/>
        <v>0</v>
      </c>
      <c r="T63" s="1008">
        <f t="shared" si="24"/>
        <v>0</v>
      </c>
      <c r="U63" s="231">
        <f t="shared" si="25"/>
        <v>0</v>
      </c>
      <c r="V63" s="157">
        <f t="shared" si="26"/>
        <v>0</v>
      </c>
    </row>
    <row r="64" spans="2:23" s="123" customFormat="1" ht="15" customHeight="1">
      <c r="B64" s="143">
        <f t="shared" si="10"/>
        <v>53</v>
      </c>
      <c r="C64" s="137"/>
      <c r="D64" s="2083"/>
      <c r="E64" s="159"/>
      <c r="F64" s="158"/>
      <c r="G64" s="1005"/>
      <c r="H64" s="1005"/>
      <c r="I64" s="156">
        <f t="shared" si="19"/>
        <v>0</v>
      </c>
      <c r="J64" s="231">
        <f t="shared" si="20"/>
        <v>0</v>
      </c>
      <c r="K64" s="1307">
        <v>1</v>
      </c>
      <c r="L64" s="156">
        <f t="shared" si="21"/>
        <v>0</v>
      </c>
      <c r="M64" s="156"/>
      <c r="N64" s="1307"/>
      <c r="O64" s="156"/>
      <c r="P64" s="156"/>
      <c r="Q64" s="1012"/>
      <c r="R64" s="1008">
        <f t="shared" si="22"/>
        <v>0</v>
      </c>
      <c r="S64" s="1008">
        <f t="shared" si="23"/>
        <v>0</v>
      </c>
      <c r="T64" s="1008">
        <f t="shared" si="24"/>
        <v>0</v>
      </c>
      <c r="U64" s="231">
        <f t="shared" si="25"/>
        <v>0</v>
      </c>
      <c r="V64" s="157">
        <f t="shared" si="26"/>
        <v>0</v>
      </c>
    </row>
    <row r="65" spans="2:25" s="123" customFormat="1" ht="15" customHeight="1">
      <c r="B65" s="143">
        <f t="shared" si="10"/>
        <v>54</v>
      </c>
      <c r="C65" s="137"/>
      <c r="D65" s="2083"/>
      <c r="E65" s="159"/>
      <c r="F65" s="492"/>
      <c r="G65" s="1005"/>
      <c r="H65" s="1005"/>
      <c r="I65" s="156">
        <f t="shared" si="19"/>
        <v>0</v>
      </c>
      <c r="J65" s="231">
        <f t="shared" si="20"/>
        <v>0</v>
      </c>
      <c r="K65" s="1307">
        <v>1</v>
      </c>
      <c r="L65" s="156">
        <f t="shared" si="21"/>
        <v>0</v>
      </c>
      <c r="M65" s="156"/>
      <c r="N65" s="1307"/>
      <c r="O65" s="156"/>
      <c r="P65" s="156"/>
      <c r="Q65" s="1012"/>
      <c r="R65" s="1008">
        <f t="shared" si="22"/>
        <v>0</v>
      </c>
      <c r="S65" s="1008">
        <f t="shared" si="23"/>
        <v>0</v>
      </c>
      <c r="T65" s="1008">
        <f t="shared" si="24"/>
        <v>0</v>
      </c>
      <c r="U65" s="231">
        <f t="shared" si="25"/>
        <v>0</v>
      </c>
      <c r="V65" s="157">
        <f t="shared" si="26"/>
        <v>0</v>
      </c>
    </row>
    <row r="66" spans="2:25" s="123" customFormat="1" ht="15" customHeight="1">
      <c r="B66" s="143">
        <f t="shared" si="10"/>
        <v>55</v>
      </c>
      <c r="C66" s="137"/>
      <c r="D66" s="2083"/>
      <c r="E66" s="159"/>
      <c r="F66" s="492"/>
      <c r="G66" s="1005"/>
      <c r="H66" s="1005"/>
      <c r="I66" s="156">
        <f t="shared" si="19"/>
        <v>0</v>
      </c>
      <c r="J66" s="231">
        <f t="shared" si="20"/>
        <v>0</v>
      </c>
      <c r="K66" s="1307">
        <v>1</v>
      </c>
      <c r="L66" s="156">
        <f t="shared" si="21"/>
        <v>0</v>
      </c>
      <c r="M66" s="156"/>
      <c r="N66" s="1307"/>
      <c r="O66" s="156"/>
      <c r="P66" s="156"/>
      <c r="Q66" s="1012"/>
      <c r="R66" s="1008">
        <f t="shared" si="22"/>
        <v>0</v>
      </c>
      <c r="S66" s="1008">
        <f t="shared" si="23"/>
        <v>0</v>
      </c>
      <c r="T66" s="1008">
        <f t="shared" si="24"/>
        <v>0</v>
      </c>
      <c r="U66" s="231">
        <f t="shared" si="25"/>
        <v>0</v>
      </c>
      <c r="V66" s="157">
        <f t="shared" si="26"/>
        <v>0</v>
      </c>
    </row>
    <row r="67" spans="2:25" s="123" customFormat="1" ht="15" customHeight="1">
      <c r="B67" s="143">
        <f t="shared" si="10"/>
        <v>56</v>
      </c>
      <c r="C67" s="137"/>
      <c r="D67" s="2083"/>
      <c r="E67" s="159"/>
      <c r="F67" s="158"/>
      <c r="G67" s="1005"/>
      <c r="H67" s="1005"/>
      <c r="I67" s="156">
        <f t="shared" si="19"/>
        <v>0</v>
      </c>
      <c r="J67" s="231">
        <f t="shared" si="20"/>
        <v>0</v>
      </c>
      <c r="K67" s="1307">
        <v>1</v>
      </c>
      <c r="L67" s="156">
        <f t="shared" si="21"/>
        <v>0</v>
      </c>
      <c r="M67" s="156"/>
      <c r="N67" s="1307"/>
      <c r="O67" s="156"/>
      <c r="P67" s="156"/>
      <c r="Q67" s="1012"/>
      <c r="R67" s="1008">
        <f t="shared" si="22"/>
        <v>0</v>
      </c>
      <c r="S67" s="1008">
        <f t="shared" si="23"/>
        <v>0</v>
      </c>
      <c r="T67" s="1008">
        <f t="shared" si="24"/>
        <v>0</v>
      </c>
      <c r="U67" s="231">
        <f t="shared" si="25"/>
        <v>0</v>
      </c>
      <c r="V67" s="157">
        <f t="shared" si="26"/>
        <v>0</v>
      </c>
    </row>
    <row r="68" spans="2:25" s="123" customFormat="1" ht="15" customHeight="1">
      <c r="B68" s="143">
        <f t="shared" si="10"/>
        <v>57</v>
      </c>
      <c r="C68" s="137"/>
      <c r="D68" s="2083"/>
      <c r="E68" s="159"/>
      <c r="F68" s="158"/>
      <c r="G68" s="1005"/>
      <c r="H68" s="1005"/>
      <c r="I68" s="156">
        <f t="shared" si="19"/>
        <v>0</v>
      </c>
      <c r="J68" s="231">
        <f t="shared" si="20"/>
        <v>0</v>
      </c>
      <c r="K68" s="1307">
        <v>1</v>
      </c>
      <c r="L68" s="156">
        <f t="shared" si="21"/>
        <v>0</v>
      </c>
      <c r="M68" s="156"/>
      <c r="N68" s="1307"/>
      <c r="O68" s="156"/>
      <c r="P68" s="156"/>
      <c r="Q68" s="1012"/>
      <c r="R68" s="1008">
        <f t="shared" si="22"/>
        <v>0</v>
      </c>
      <c r="S68" s="1008">
        <f t="shared" si="23"/>
        <v>0</v>
      </c>
      <c r="T68" s="1008">
        <f t="shared" si="24"/>
        <v>0</v>
      </c>
      <c r="U68" s="231">
        <f t="shared" si="25"/>
        <v>0</v>
      </c>
      <c r="V68" s="157">
        <f t="shared" si="26"/>
        <v>0</v>
      </c>
    </row>
    <row r="69" spans="2:25" s="123" customFormat="1" ht="15" customHeight="1">
      <c r="B69" s="143">
        <f t="shared" si="10"/>
        <v>58</v>
      </c>
      <c r="C69" s="136"/>
      <c r="D69" s="2084"/>
      <c r="E69" s="159"/>
      <c r="F69" s="158"/>
      <c r="G69" s="1005"/>
      <c r="H69" s="1005"/>
      <c r="I69" s="156">
        <f t="shared" si="19"/>
        <v>0</v>
      </c>
      <c r="J69" s="231">
        <f t="shared" si="20"/>
        <v>0</v>
      </c>
      <c r="K69" s="1307">
        <v>1</v>
      </c>
      <c r="L69" s="156">
        <f t="shared" si="21"/>
        <v>0</v>
      </c>
      <c r="M69" s="156"/>
      <c r="N69" s="1307"/>
      <c r="O69" s="156"/>
      <c r="P69" s="156"/>
      <c r="Q69" s="1012"/>
      <c r="R69" s="1008">
        <f t="shared" si="22"/>
        <v>0</v>
      </c>
      <c r="S69" s="1008">
        <f t="shared" si="23"/>
        <v>0</v>
      </c>
      <c r="T69" s="1008">
        <f t="shared" si="24"/>
        <v>0</v>
      </c>
      <c r="U69" s="231">
        <f t="shared" si="25"/>
        <v>0</v>
      </c>
      <c r="V69" s="157">
        <f t="shared" si="26"/>
        <v>0</v>
      </c>
    </row>
    <row r="70" spans="2:25" s="123" customFormat="1" ht="15" customHeight="1">
      <c r="B70" s="143"/>
      <c r="C70" s="136"/>
      <c r="D70" s="2084"/>
      <c r="E70" s="159"/>
      <c r="F70" s="493"/>
      <c r="G70" s="1005"/>
      <c r="H70" s="1005"/>
      <c r="I70" s="156">
        <f t="shared" si="19"/>
        <v>0</v>
      </c>
      <c r="J70" s="231">
        <f t="shared" si="20"/>
        <v>0</v>
      </c>
      <c r="K70" s="1307">
        <v>1</v>
      </c>
      <c r="L70" s="156">
        <f t="shared" si="21"/>
        <v>0</v>
      </c>
      <c r="M70" s="156"/>
      <c r="N70" s="1307"/>
      <c r="O70" s="156"/>
      <c r="P70" s="156"/>
      <c r="Q70" s="1012"/>
      <c r="R70" s="1008">
        <f t="shared" si="22"/>
        <v>0</v>
      </c>
      <c r="S70" s="1008">
        <f t="shared" si="23"/>
        <v>0</v>
      </c>
      <c r="T70" s="1008">
        <f t="shared" si="24"/>
        <v>0</v>
      </c>
      <c r="U70" s="231">
        <f t="shared" si="25"/>
        <v>0</v>
      </c>
      <c r="V70" s="157">
        <f t="shared" si="26"/>
        <v>0</v>
      </c>
    </row>
    <row r="71" spans="2:25" s="123" customFormat="1" ht="15" customHeight="1">
      <c r="B71" s="143"/>
      <c r="C71" s="136"/>
      <c r="D71" s="2084"/>
      <c r="E71" s="159"/>
      <c r="F71" s="493"/>
      <c r="G71" s="1005"/>
      <c r="H71" s="1005"/>
      <c r="I71" s="156">
        <f t="shared" si="19"/>
        <v>0</v>
      </c>
      <c r="J71" s="231">
        <f t="shared" si="20"/>
        <v>0</v>
      </c>
      <c r="K71" s="162">
        <v>1</v>
      </c>
      <c r="L71" s="156">
        <f t="shared" si="21"/>
        <v>0</v>
      </c>
      <c r="M71" s="156"/>
      <c r="N71" s="1307"/>
      <c r="O71" s="156"/>
      <c r="P71" s="156"/>
      <c r="Q71" s="1012"/>
      <c r="R71" s="1008">
        <f t="shared" si="22"/>
        <v>0</v>
      </c>
      <c r="S71" s="1008">
        <f t="shared" si="23"/>
        <v>0</v>
      </c>
      <c r="T71" s="1008">
        <f t="shared" si="24"/>
        <v>0</v>
      </c>
      <c r="U71" s="231">
        <f t="shared" si="25"/>
        <v>0</v>
      </c>
      <c r="V71" s="157">
        <f t="shared" si="26"/>
        <v>0</v>
      </c>
    </row>
    <row r="72" spans="2:25" s="123" customFormat="1" ht="15" customHeight="1" thickBot="1">
      <c r="B72" s="2701"/>
      <c r="C72" s="2660"/>
      <c r="D72" s="2660"/>
      <c r="E72" s="2660"/>
      <c r="F72" s="160"/>
      <c r="G72" s="161"/>
      <c r="H72" s="162"/>
      <c r="I72" s="156"/>
      <c r="J72" s="1306"/>
      <c r="K72" s="162"/>
      <c r="L72" s="156"/>
      <c r="M72" s="156"/>
      <c r="N72" s="161"/>
      <c r="O72" s="494"/>
      <c r="P72" s="494"/>
      <c r="Q72" s="1012"/>
      <c r="R72" s="1008"/>
      <c r="S72" s="1008"/>
      <c r="T72" s="1008"/>
      <c r="U72" s="231"/>
      <c r="V72" s="157"/>
    </row>
    <row r="73" spans="2:25" s="123" customFormat="1" ht="16.5" thickBot="1">
      <c r="B73" s="2702" t="s">
        <v>168</v>
      </c>
      <c r="C73" s="2079"/>
      <c r="D73" s="2079"/>
      <c r="E73" s="2659"/>
      <c r="F73" s="141"/>
      <c r="G73" s="163"/>
      <c r="H73" s="163"/>
      <c r="I73" s="163">
        <f>SUM(I12:I72)</f>
        <v>119068400</v>
      </c>
      <c r="J73" s="163"/>
      <c r="K73" s="163"/>
      <c r="L73" s="163">
        <f>SUM(L12:L72)</f>
        <v>2832952.2222222225</v>
      </c>
      <c r="M73" s="163"/>
      <c r="N73" s="163">
        <f t="shared" ref="N73:V73" si="27">SUM(N12:N72)</f>
        <v>0</v>
      </c>
      <c r="O73" s="163">
        <f t="shared" si="27"/>
        <v>0</v>
      </c>
      <c r="P73" s="163">
        <f t="shared" si="27"/>
        <v>0</v>
      </c>
      <c r="Q73" s="1013">
        <f t="shared" si="27"/>
        <v>78989893.61111109</v>
      </c>
      <c r="R73" s="1009">
        <f t="shared" si="27"/>
        <v>6.9849193096160889E-10</v>
      </c>
      <c r="S73" s="1009">
        <f t="shared" si="27"/>
        <v>1016955.0000000001</v>
      </c>
      <c r="T73" s="1009">
        <f t="shared" si="27"/>
        <v>1016955.0000000007</v>
      </c>
      <c r="U73" s="163">
        <f t="shared" si="27"/>
        <v>80006848.61111109</v>
      </c>
      <c r="V73" s="164">
        <f t="shared" si="27"/>
        <v>39061551.388888888</v>
      </c>
      <c r="X73" s="140"/>
      <c r="Y73" s="166"/>
    </row>
    <row r="74" spans="2:25" s="123" customFormat="1" ht="15.75">
      <c r="B74" s="3410" t="s">
        <v>227</v>
      </c>
      <c r="C74" s="3410"/>
      <c r="D74" s="3410"/>
      <c r="E74" s="3410"/>
      <c r="I74" s="165">
        <f>'Kas OP-UPK'!P90</f>
        <v>119068400</v>
      </c>
      <c r="J74" s="495"/>
      <c r="L74" s="166"/>
      <c r="M74" s="166"/>
      <c r="N74" s="495"/>
      <c r="O74" s="495"/>
      <c r="P74" s="495"/>
      <c r="Q74" s="166"/>
      <c r="R74" s="166"/>
      <c r="S74" s="166"/>
      <c r="T74" s="166"/>
      <c r="U74" s="166"/>
      <c r="V74" s="166"/>
    </row>
    <row r="75" spans="2:25" s="123" customFormat="1" ht="15">
      <c r="B75" s="139"/>
      <c r="I75" s="166"/>
      <c r="J75" s="166"/>
      <c r="N75" s="166"/>
      <c r="O75" s="166"/>
      <c r="P75" s="166"/>
      <c r="R75" s="166"/>
      <c r="T75" s="148" t="str">
        <f>DT!D28</f>
        <v>Nagrak, 29 Februari 2016 2016</v>
      </c>
      <c r="U75" s="148"/>
    </row>
    <row r="76" spans="2:25" s="123" customFormat="1" ht="15">
      <c r="B76" s="139"/>
      <c r="C76" s="148" t="s">
        <v>21</v>
      </c>
      <c r="D76" s="148"/>
      <c r="I76" s="166"/>
      <c r="J76" s="166"/>
      <c r="N76" s="166"/>
      <c r="O76" s="166"/>
      <c r="P76" s="166"/>
      <c r="R76" s="3043"/>
      <c r="T76" s="148" t="s">
        <v>22</v>
      </c>
      <c r="U76" s="148"/>
    </row>
    <row r="77" spans="2:25" s="123" customFormat="1" ht="15">
      <c r="C77" s="148" t="s">
        <v>23</v>
      </c>
      <c r="D77" s="148"/>
      <c r="T77" s="149" t="s">
        <v>24</v>
      </c>
      <c r="U77" s="149"/>
      <c r="Y77" s="496"/>
    </row>
    <row r="78" spans="2:25" s="123" customFormat="1" ht="15">
      <c r="Q78" s="2856"/>
      <c r="R78" s="2856"/>
      <c r="S78" s="2856"/>
      <c r="T78" s="3039"/>
      <c r="U78" s="148"/>
      <c r="Y78" s="497"/>
    </row>
    <row r="79" spans="2:25" s="123" customFormat="1" ht="15">
      <c r="R79" s="2856"/>
      <c r="S79" s="2856"/>
      <c r="T79" s="3039"/>
      <c r="U79" s="148"/>
      <c r="W79" s="2856"/>
    </row>
    <row r="80" spans="2:25" s="123" customFormat="1" ht="15">
      <c r="C80" s="150"/>
      <c r="D80" s="150"/>
      <c r="T80" s="151"/>
      <c r="U80" s="151"/>
      <c r="W80" s="2856"/>
    </row>
    <row r="81" spans="3:23" s="123" customFormat="1" ht="15">
      <c r="C81" s="148" t="str">
        <f>DT!D14</f>
        <v>Endang Taryana</v>
      </c>
      <c r="D81" s="148"/>
      <c r="T81" s="148" t="str">
        <f>DT!D15</f>
        <v>Arin Yustini, SE</v>
      </c>
      <c r="U81" s="149"/>
      <c r="W81" s="2856"/>
    </row>
    <row r="82" spans="3:23">
      <c r="W82" s="2857"/>
    </row>
    <row r="87" spans="3:23" ht="18.75" customHeight="1"/>
    <row r="88" spans="3:23" ht="18.75" customHeight="1"/>
  </sheetData>
  <sheetProtection formatColumns="0" formatRows="0"/>
  <protectedRanges>
    <protectedRange sqref="C12:H71 J12:K71 M12:Q71" name="Range1"/>
  </protectedRanges>
  <customSheetViews>
    <customSheetView guid="{4567A2CF-35AA-4E08-B7D1-F029A2641346}" scale="75" topLeftCell="A16">
      <selection activeCell="F49" sqref="F49"/>
      <pageMargins left="0" right="0" top="0.31496062992125984" bottom="0.19685039370078741" header="0.39370078740157483" footer="0.23622047244094491"/>
      <printOptions horizontalCentered="1" verticalCentered="1"/>
      <pageSetup paperSize="9" scale="95" orientation="landscape" r:id="rId1"/>
      <headerFooter alignWithMargins="0"/>
    </customSheetView>
  </customSheetViews>
  <mergeCells count="17">
    <mergeCell ref="B74:E74"/>
    <mergeCell ref="B8:B10"/>
    <mergeCell ref="C8:C10"/>
    <mergeCell ref="G8:G10"/>
    <mergeCell ref="J9:J10"/>
    <mergeCell ref="I9:I10"/>
    <mergeCell ref="H9:H10"/>
    <mergeCell ref="F9:F10"/>
    <mergeCell ref="D9:D10"/>
    <mergeCell ref="L9:L10"/>
    <mergeCell ref="V9:V10"/>
    <mergeCell ref="B1:V1"/>
    <mergeCell ref="B2:V2"/>
    <mergeCell ref="R8:T8"/>
    <mergeCell ref="N8:P8"/>
    <mergeCell ref="N9:N10"/>
    <mergeCell ref="O9:P9"/>
  </mergeCells>
  <phoneticPr fontId="0" type="noConversion"/>
  <printOptions horizontalCentered="1" verticalCentered="1"/>
  <pageMargins left="0.1" right="0.1" top="0.31496062992126" bottom="0.196850393700787" header="0.39370078740157499" footer="0.23622047244094499"/>
  <pageSetup paperSize="9" scale="45" orientation="landscape" horizontalDpi="4294967294" verticalDpi="4294967294" r:id="rId2"/>
  <headerFooter alignWithMargins="0"/>
  <drawing r:id="rId3"/>
  <legacyDrawing r:id="rId4"/>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rgb="FF7030A0"/>
  </sheetPr>
  <dimension ref="A1:ES144"/>
  <sheetViews>
    <sheetView view="pageBreakPreview" zoomScale="60" zoomScaleNormal="30" workbookViewId="0">
      <selection sqref="A1:U1"/>
    </sheetView>
  </sheetViews>
  <sheetFormatPr defaultColWidth="9.140625" defaultRowHeight="12.75"/>
  <cols>
    <col min="1" max="1" width="4.5703125" style="27" customWidth="1"/>
    <col min="2" max="2" width="25.28515625" style="27" customWidth="1"/>
    <col min="3" max="3" width="20.7109375" style="27" customWidth="1"/>
    <col min="4" max="4" width="19" style="27" customWidth="1"/>
    <col min="5" max="12" width="16.140625" style="27" customWidth="1"/>
    <col min="13" max="14" width="16.85546875" style="27" customWidth="1"/>
    <col min="15" max="15" width="16.5703125" style="27" customWidth="1"/>
    <col min="16" max="16" width="16.5703125" style="34" customWidth="1"/>
    <col min="17" max="17" width="16.5703125" style="27" customWidth="1"/>
    <col min="18" max="18" width="16.5703125" style="34" customWidth="1"/>
    <col min="19" max="20" width="19.7109375" style="27" customWidth="1"/>
    <col min="21" max="21" width="9.5703125" style="27" customWidth="1"/>
    <col min="22" max="22" width="14.85546875" style="26" customWidth="1"/>
    <col min="23" max="24" width="14.85546875" style="27" customWidth="1"/>
    <col min="25" max="25" width="9.140625" style="27"/>
    <col min="26" max="26" width="4.5703125" style="27" customWidth="1"/>
    <col min="27" max="27" width="25.42578125" style="27" customWidth="1"/>
    <col min="28" max="29" width="19.28515625" style="27" customWidth="1"/>
    <col min="30" max="37" width="16.140625" style="27" customWidth="1"/>
    <col min="38" max="39" width="16.85546875" style="27" customWidth="1"/>
    <col min="40" max="40" width="17.28515625" style="27" customWidth="1"/>
    <col min="41" max="41" width="17.28515625" style="34" customWidth="1"/>
    <col min="42" max="42" width="17.28515625" style="27" customWidth="1"/>
    <col min="43" max="43" width="17.28515625" style="34" customWidth="1"/>
    <col min="44" max="45" width="19.42578125" style="27" customWidth="1"/>
    <col min="46" max="46" width="9" style="27" customWidth="1"/>
    <col min="47" max="47" width="14.85546875" style="26" customWidth="1"/>
    <col min="48" max="49" width="14.85546875" style="27" customWidth="1"/>
    <col min="50" max="50" width="9.140625" style="27"/>
    <col min="51" max="51" width="4.5703125" style="27" customWidth="1"/>
    <col min="52" max="52" width="26.7109375" style="27" customWidth="1"/>
    <col min="53" max="54" width="18.5703125" style="27" customWidth="1"/>
    <col min="55" max="62" width="16.140625" style="27" customWidth="1"/>
    <col min="63" max="64" width="16.85546875" style="27" customWidth="1"/>
    <col min="65" max="65" width="14.85546875" style="27" customWidth="1"/>
    <col min="66" max="66" width="14.85546875" style="34" customWidth="1"/>
    <col min="67" max="67" width="14.85546875" style="27" customWidth="1"/>
    <col min="68" max="68" width="14.85546875" style="34" customWidth="1"/>
    <col min="69" max="69" width="18" style="27" customWidth="1"/>
    <col min="70" max="70" width="17" style="27" customWidth="1"/>
    <col min="71" max="71" width="9.28515625" style="27" customWidth="1"/>
    <col min="72" max="72" width="14.85546875" style="26" customWidth="1"/>
    <col min="73" max="74" width="14.85546875" style="27" customWidth="1"/>
    <col min="75" max="75" width="9.140625" style="27"/>
    <col min="76" max="76" width="4.5703125" style="27" customWidth="1"/>
    <col min="77" max="77" width="24.7109375" style="27" customWidth="1"/>
    <col min="78" max="79" width="21.140625" style="27" customWidth="1"/>
    <col min="80" max="87" width="16.140625" style="27" customWidth="1"/>
    <col min="88" max="89" width="16.85546875" style="27" customWidth="1"/>
    <col min="90" max="90" width="17.28515625" style="27" customWidth="1"/>
    <col min="91" max="91" width="17.28515625" style="34" customWidth="1"/>
    <col min="92" max="92" width="16.5703125" style="27" customWidth="1"/>
    <col min="93" max="93" width="16.5703125" style="34" customWidth="1"/>
    <col min="94" max="95" width="20.42578125" style="27" customWidth="1"/>
    <col min="96" max="96" width="9.28515625" style="27" customWidth="1"/>
    <col min="97" max="97" width="14.85546875" style="26" customWidth="1"/>
    <col min="98" max="99" width="14.85546875" style="27" customWidth="1"/>
    <col min="100" max="100" width="9.140625" style="27"/>
    <col min="101" max="101" width="4.5703125" style="27" customWidth="1"/>
    <col min="102" max="102" width="21.42578125" style="27" customWidth="1"/>
    <col min="103" max="103" width="16.140625" style="27" customWidth="1"/>
    <col min="104" max="104" width="17.140625" style="27" customWidth="1"/>
    <col min="105" max="112" width="16.140625" style="27" customWidth="1"/>
    <col min="113" max="114" width="16.85546875" style="27" customWidth="1"/>
    <col min="115" max="115" width="14.85546875" style="27" customWidth="1"/>
    <col min="116" max="116" width="14.85546875" style="34" customWidth="1"/>
    <col min="117" max="117" width="14.85546875" style="27" customWidth="1"/>
    <col min="118" max="118" width="14.85546875" style="34" customWidth="1"/>
    <col min="119" max="119" width="18" style="27" customWidth="1"/>
    <col min="120" max="120" width="17" style="27" customWidth="1"/>
    <col min="121" max="121" width="7.5703125" style="27" customWidth="1"/>
    <col min="122" max="122" width="14.85546875" style="26" customWidth="1"/>
    <col min="123" max="124" width="14.85546875" style="27" customWidth="1"/>
    <col min="125" max="125" width="9.140625" style="27"/>
    <col min="126" max="126" width="4.5703125" style="1383" customWidth="1"/>
    <col min="127" max="127" width="21.42578125" style="1383" customWidth="1"/>
    <col min="128" max="137" width="16.140625" style="1383" customWidth="1"/>
    <col min="138" max="139" width="16.85546875" style="1383" customWidth="1"/>
    <col min="140" max="140" width="14.85546875" style="1383" customWidth="1"/>
    <col min="141" max="141" width="14.85546875" style="1404" customWidth="1"/>
    <col min="142" max="142" width="14.85546875" style="1383" customWidth="1"/>
    <col min="143" max="143" width="14.85546875" style="1404" customWidth="1"/>
    <col min="144" max="144" width="18" style="1383" customWidth="1"/>
    <col min="145" max="145" width="17" style="1383" customWidth="1"/>
    <col min="146" max="146" width="7.140625" style="1383" customWidth="1"/>
    <col min="147" max="147" width="14.85546875" style="1382" customWidth="1"/>
    <col min="148" max="149" width="14.85546875" style="1383" customWidth="1"/>
    <col min="150" max="16384" width="9.140625" style="27"/>
  </cols>
  <sheetData>
    <row r="1" spans="1:149">
      <c r="A1" s="3410" t="s">
        <v>0</v>
      </c>
      <c r="B1" s="3410"/>
      <c r="C1" s="3410"/>
      <c r="D1" s="3410"/>
      <c r="E1" s="3410"/>
      <c r="F1" s="3410"/>
      <c r="G1" s="3410"/>
      <c r="H1" s="3410"/>
      <c r="I1" s="3410"/>
      <c r="J1" s="3410"/>
      <c r="K1" s="3410"/>
      <c r="L1" s="3410"/>
      <c r="M1" s="3410"/>
      <c r="N1" s="3410"/>
      <c r="O1" s="3410"/>
      <c r="P1" s="3410"/>
      <c r="Q1" s="3410"/>
      <c r="R1" s="3410"/>
      <c r="S1" s="3410"/>
      <c r="T1" s="3410"/>
      <c r="U1" s="3410"/>
      <c r="Z1" s="3410" t="s">
        <v>0</v>
      </c>
      <c r="AA1" s="3410"/>
      <c r="AB1" s="3410"/>
      <c r="AC1" s="3410"/>
      <c r="AD1" s="3410"/>
      <c r="AE1" s="3410"/>
      <c r="AF1" s="3410"/>
      <c r="AG1" s="3410"/>
      <c r="AH1" s="3410"/>
      <c r="AI1" s="3410"/>
      <c r="AJ1" s="3410"/>
      <c r="AK1" s="3410"/>
      <c r="AL1" s="3410"/>
      <c r="AM1" s="3410"/>
      <c r="AN1" s="3410"/>
      <c r="AO1" s="3410"/>
      <c r="AP1" s="3410"/>
      <c r="AQ1" s="3410"/>
      <c r="AR1" s="3410"/>
      <c r="AS1" s="3410"/>
      <c r="AT1" s="3410"/>
      <c r="AY1" s="3410" t="s">
        <v>0</v>
      </c>
      <c r="AZ1" s="3410"/>
      <c r="BA1" s="3410"/>
      <c r="BB1" s="3410"/>
      <c r="BC1" s="3410"/>
      <c r="BD1" s="3410"/>
      <c r="BE1" s="3410"/>
      <c r="BF1" s="3410"/>
      <c r="BG1" s="3410"/>
      <c r="BH1" s="3410"/>
      <c r="BI1" s="3410"/>
      <c r="BJ1" s="3410"/>
      <c r="BK1" s="3410"/>
      <c r="BL1" s="3410"/>
      <c r="BM1" s="3410"/>
      <c r="BN1" s="3410"/>
      <c r="BO1" s="3410"/>
      <c r="BP1" s="3410"/>
      <c r="BQ1" s="3410"/>
      <c r="BR1" s="3410"/>
      <c r="BS1" s="3410"/>
      <c r="BX1" s="3410" t="s">
        <v>0</v>
      </c>
      <c r="BY1" s="3410"/>
      <c r="BZ1" s="3410"/>
      <c r="CA1" s="3410"/>
      <c r="CB1" s="3410"/>
      <c r="CC1" s="3410"/>
      <c r="CD1" s="3410"/>
      <c r="CE1" s="3410"/>
      <c r="CF1" s="3410"/>
      <c r="CG1" s="3410"/>
      <c r="CH1" s="3410"/>
      <c r="CI1" s="3410"/>
      <c r="CJ1" s="3410"/>
      <c r="CK1" s="3410"/>
      <c r="CL1" s="3410"/>
      <c r="CM1" s="3410"/>
      <c r="CN1" s="3410"/>
      <c r="CO1" s="3410"/>
      <c r="CP1" s="3410"/>
      <c r="CQ1" s="3410"/>
      <c r="CR1" s="3410"/>
      <c r="CW1" s="3410" t="s">
        <v>0</v>
      </c>
      <c r="CX1" s="3410"/>
      <c r="CY1" s="3410"/>
      <c r="CZ1" s="3410"/>
      <c r="DA1" s="3410"/>
      <c r="DB1" s="3410"/>
      <c r="DC1" s="3410"/>
      <c r="DD1" s="3410"/>
      <c r="DE1" s="3410"/>
      <c r="DF1" s="3410"/>
      <c r="DG1" s="3410"/>
      <c r="DH1" s="3410"/>
      <c r="DI1" s="3410"/>
      <c r="DJ1" s="3410"/>
      <c r="DK1" s="3410"/>
      <c r="DL1" s="3410"/>
      <c r="DM1" s="3410"/>
      <c r="DN1" s="3410"/>
      <c r="DO1" s="3410"/>
      <c r="DP1" s="3410"/>
      <c r="DQ1" s="3410"/>
      <c r="DV1" s="3410"/>
      <c r="DW1" s="3410"/>
      <c r="DX1" s="3410"/>
      <c r="DY1" s="3410"/>
      <c r="DZ1" s="3410"/>
      <c r="EA1" s="3410"/>
      <c r="EB1" s="3410"/>
      <c r="EC1" s="3410"/>
      <c r="ED1" s="3410"/>
      <c r="EE1" s="3410"/>
      <c r="EF1" s="3410"/>
      <c r="EG1" s="3410"/>
      <c r="EH1" s="3410"/>
      <c r="EI1" s="3410"/>
      <c r="EJ1" s="3410"/>
      <c r="EK1" s="3410"/>
      <c r="EL1" s="3410"/>
      <c r="EM1" s="3410"/>
      <c r="EN1" s="3410"/>
      <c r="EO1" s="3410"/>
      <c r="EP1" s="3410"/>
    </row>
    <row r="2" spans="1:149">
      <c r="A2" s="3410" t="s">
        <v>1161</v>
      </c>
      <c r="B2" s="3410"/>
      <c r="C2" s="3410"/>
      <c r="D2" s="3410"/>
      <c r="E2" s="3410"/>
      <c r="F2" s="3410"/>
      <c r="G2" s="3410"/>
      <c r="H2" s="3410"/>
      <c r="I2" s="3410"/>
      <c r="J2" s="3410"/>
      <c r="K2" s="3410"/>
      <c r="L2" s="3410"/>
      <c r="M2" s="3410"/>
      <c r="N2" s="3410"/>
      <c r="O2" s="3410"/>
      <c r="P2" s="3410"/>
      <c r="Q2" s="3410"/>
      <c r="R2" s="3410"/>
      <c r="S2" s="3410"/>
      <c r="T2" s="3410"/>
      <c r="U2" s="3410"/>
      <c r="Z2" s="3410" t="s">
        <v>1163</v>
      </c>
      <c r="AA2" s="3410"/>
      <c r="AB2" s="3410"/>
      <c r="AC2" s="3410"/>
      <c r="AD2" s="3410"/>
      <c r="AE2" s="3410"/>
      <c r="AF2" s="3410"/>
      <c r="AG2" s="3410"/>
      <c r="AH2" s="3410"/>
      <c r="AI2" s="3410"/>
      <c r="AJ2" s="3410"/>
      <c r="AK2" s="3410"/>
      <c r="AL2" s="3410"/>
      <c r="AM2" s="3410"/>
      <c r="AN2" s="3410"/>
      <c r="AO2" s="3410"/>
      <c r="AP2" s="3410"/>
      <c r="AQ2" s="3410"/>
      <c r="AR2" s="3410"/>
      <c r="AS2" s="3410"/>
      <c r="AT2" s="3410"/>
      <c r="AY2" s="3410" t="s">
        <v>1164</v>
      </c>
      <c r="AZ2" s="3410"/>
      <c r="BA2" s="3410"/>
      <c r="BB2" s="3410"/>
      <c r="BC2" s="3410"/>
      <c r="BD2" s="3410"/>
      <c r="BE2" s="3410"/>
      <c r="BF2" s="3410"/>
      <c r="BG2" s="3410"/>
      <c r="BH2" s="3410"/>
      <c r="BI2" s="3410"/>
      <c r="BJ2" s="3410"/>
      <c r="BK2" s="3410"/>
      <c r="BL2" s="3410"/>
      <c r="BM2" s="3410"/>
      <c r="BN2" s="3410"/>
      <c r="BO2" s="3410"/>
      <c r="BP2" s="3410"/>
      <c r="BQ2" s="3410"/>
      <c r="BR2" s="3410"/>
      <c r="BS2" s="3410"/>
      <c r="BX2" s="3410" t="s">
        <v>1167</v>
      </c>
      <c r="BY2" s="3410"/>
      <c r="BZ2" s="3410"/>
      <c r="CA2" s="3410"/>
      <c r="CB2" s="3410"/>
      <c r="CC2" s="3410"/>
      <c r="CD2" s="3410"/>
      <c r="CE2" s="3410"/>
      <c r="CF2" s="3410"/>
      <c r="CG2" s="3410"/>
      <c r="CH2" s="3410"/>
      <c r="CI2" s="3410"/>
      <c r="CJ2" s="3410"/>
      <c r="CK2" s="3410"/>
      <c r="CL2" s="3410"/>
      <c r="CM2" s="3410"/>
      <c r="CN2" s="3410"/>
      <c r="CO2" s="3410"/>
      <c r="CP2" s="3410"/>
      <c r="CQ2" s="3410"/>
      <c r="CR2" s="3410"/>
      <c r="CW2" s="3410" t="s">
        <v>1165</v>
      </c>
      <c r="CX2" s="3410"/>
      <c r="CY2" s="3410"/>
      <c r="CZ2" s="3410"/>
      <c r="DA2" s="3410"/>
      <c r="DB2" s="3410"/>
      <c r="DC2" s="3410"/>
      <c r="DD2" s="3410"/>
      <c r="DE2" s="3410"/>
      <c r="DF2" s="3410"/>
      <c r="DG2" s="3410"/>
      <c r="DH2" s="3410"/>
      <c r="DI2" s="3410"/>
      <c r="DJ2" s="3410"/>
      <c r="DK2" s="3410"/>
      <c r="DL2" s="3410"/>
      <c r="DM2" s="3410"/>
      <c r="DN2" s="3410"/>
      <c r="DO2" s="3410"/>
      <c r="DP2" s="3410"/>
      <c r="DQ2" s="3410"/>
      <c r="DV2" s="3410"/>
      <c r="DW2" s="3410"/>
      <c r="DX2" s="3410"/>
      <c r="DY2" s="3410"/>
      <c r="DZ2" s="3410"/>
      <c r="EA2" s="3410"/>
      <c r="EB2" s="3410"/>
      <c r="EC2" s="3410"/>
      <c r="ED2" s="3410"/>
      <c r="EE2" s="3410"/>
      <c r="EF2" s="3410"/>
      <c r="EG2" s="3410"/>
      <c r="EH2" s="3410"/>
      <c r="EI2" s="3410"/>
      <c r="EJ2" s="3410"/>
      <c r="EK2" s="3410"/>
      <c r="EL2" s="3410"/>
      <c r="EM2" s="3410"/>
      <c r="EN2" s="3410"/>
      <c r="EO2" s="3410"/>
      <c r="EP2" s="3410"/>
    </row>
    <row r="3" spans="1:149">
      <c r="A3" s="28"/>
      <c r="B3" s="28"/>
      <c r="C3" s="28"/>
      <c r="D3" s="28"/>
      <c r="E3" s="28"/>
      <c r="F3" s="28"/>
      <c r="G3" s="28"/>
      <c r="H3" s="28"/>
      <c r="I3" s="28"/>
      <c r="J3" s="28"/>
      <c r="K3" s="28"/>
      <c r="L3" s="28"/>
      <c r="M3" s="28"/>
      <c r="N3" s="28"/>
      <c r="O3" s="28"/>
      <c r="P3" s="29"/>
      <c r="Q3" s="28"/>
      <c r="R3" s="29"/>
      <c r="S3" s="28"/>
      <c r="T3" s="28"/>
      <c r="U3" s="28"/>
      <c r="Z3" s="28"/>
      <c r="AA3" s="28"/>
      <c r="AB3" s="28"/>
      <c r="AC3" s="28"/>
      <c r="AD3" s="28"/>
      <c r="AE3" s="28"/>
      <c r="AF3" s="28"/>
      <c r="AG3" s="28"/>
      <c r="AH3" s="28"/>
      <c r="AI3" s="28"/>
      <c r="AJ3" s="28"/>
      <c r="AK3" s="28"/>
      <c r="AL3" s="28"/>
      <c r="AM3" s="28"/>
      <c r="AN3" s="28"/>
      <c r="AO3" s="29"/>
      <c r="AP3" s="28"/>
      <c r="AQ3" s="29"/>
      <c r="AR3" s="28"/>
      <c r="AS3" s="28"/>
      <c r="AT3" s="28"/>
      <c r="AY3" s="28"/>
      <c r="AZ3" s="28"/>
      <c r="BA3" s="28"/>
      <c r="BB3" s="28"/>
      <c r="BC3" s="28"/>
      <c r="BD3" s="28"/>
      <c r="BE3" s="28"/>
      <c r="BF3" s="28"/>
      <c r="BG3" s="28"/>
      <c r="BH3" s="28"/>
      <c r="BI3" s="28"/>
      <c r="BJ3" s="28"/>
      <c r="BK3" s="28"/>
      <c r="BL3" s="28"/>
      <c r="BM3" s="28"/>
      <c r="BN3" s="29"/>
      <c r="BO3" s="28"/>
      <c r="BP3" s="29"/>
      <c r="BQ3" s="28"/>
      <c r="BR3" s="28"/>
      <c r="BS3" s="28"/>
      <c r="BX3" s="28"/>
      <c r="BY3" s="28"/>
      <c r="BZ3" s="28"/>
      <c r="CA3" s="28"/>
      <c r="CB3" s="28"/>
      <c r="CC3" s="28"/>
      <c r="CD3" s="28"/>
      <c r="CE3" s="28"/>
      <c r="CF3" s="28"/>
      <c r="CG3" s="28"/>
      <c r="CH3" s="28"/>
      <c r="CI3" s="28"/>
      <c r="CJ3" s="28"/>
      <c r="CK3" s="28"/>
      <c r="CL3" s="28"/>
      <c r="CM3" s="29"/>
      <c r="CN3" s="28"/>
      <c r="CO3" s="29"/>
      <c r="CP3" s="28"/>
      <c r="CQ3" s="28"/>
      <c r="CR3" s="28"/>
      <c r="CW3" s="28"/>
      <c r="CX3" s="28"/>
      <c r="CY3" s="28"/>
      <c r="CZ3" s="28"/>
      <c r="DA3" s="28"/>
      <c r="DB3" s="28"/>
      <c r="DC3" s="28"/>
      <c r="DD3" s="28"/>
      <c r="DE3" s="28"/>
      <c r="DF3" s="28"/>
      <c r="DG3" s="28"/>
      <c r="DH3" s="28"/>
      <c r="DI3" s="28"/>
      <c r="DJ3" s="28"/>
      <c r="DK3" s="28"/>
      <c r="DL3" s="29"/>
      <c r="DM3" s="28"/>
      <c r="DN3" s="29"/>
      <c r="DO3" s="28"/>
      <c r="DP3" s="28"/>
      <c r="DQ3" s="28"/>
      <c r="DV3" s="1384"/>
      <c r="DW3" s="1384"/>
      <c r="DX3" s="1384"/>
      <c r="DY3" s="1384"/>
      <c r="DZ3" s="1384"/>
      <c r="EA3" s="1384"/>
      <c r="EB3" s="1384"/>
      <c r="EC3" s="1384"/>
      <c r="ED3" s="1384"/>
      <c r="EE3" s="1384"/>
      <c r="EF3" s="1384"/>
      <c r="EG3" s="1384"/>
      <c r="EH3" s="1384"/>
      <c r="EI3" s="1384"/>
      <c r="EJ3" s="1384"/>
      <c r="EK3" s="1385"/>
      <c r="EL3" s="1384"/>
      <c r="EM3" s="1385"/>
      <c r="EN3" s="1384"/>
      <c r="EO3" s="1384"/>
      <c r="EP3" s="1384"/>
    </row>
    <row r="4" spans="1:149" s="168" customFormat="1" ht="15.75">
      <c r="A4" s="167"/>
      <c r="B4" s="413" t="s">
        <v>2</v>
      </c>
      <c r="C4" s="30" t="str">
        <f>":  "&amp;DT!D3</f>
        <v>:  Nagrak</v>
      </c>
      <c r="E4" s="167"/>
      <c r="F4" s="167"/>
      <c r="G4" s="167"/>
      <c r="H4" s="167"/>
      <c r="I4" s="167"/>
      <c r="J4" s="167"/>
      <c r="K4" s="167"/>
      <c r="L4" s="167"/>
      <c r="M4" s="167"/>
      <c r="N4" s="167"/>
      <c r="O4" s="167"/>
      <c r="Q4" s="412" t="s">
        <v>71</v>
      </c>
      <c r="R4" s="3410" t="str">
        <f>DT!D27</f>
        <v>29 Februari 2016 2016</v>
      </c>
      <c r="S4" s="3410"/>
      <c r="T4" s="167"/>
      <c r="U4" s="167"/>
      <c r="Z4" s="167"/>
      <c r="AA4" s="413" t="s">
        <v>2</v>
      </c>
      <c r="AB4" s="30" t="str">
        <f>$C$4</f>
        <v>:  Nagrak</v>
      </c>
      <c r="AD4" s="167"/>
      <c r="AE4" s="167"/>
      <c r="AF4" s="167"/>
      <c r="AG4" s="167"/>
      <c r="AH4" s="167"/>
      <c r="AI4" s="167"/>
      <c r="AJ4" s="167"/>
      <c r="AK4" s="167"/>
      <c r="AL4" s="167"/>
      <c r="AM4" s="167"/>
      <c r="AN4" s="167"/>
      <c r="AP4" s="412" t="s">
        <v>71</v>
      </c>
      <c r="AQ4" s="3410" t="str">
        <f>$R$4</f>
        <v>29 Februari 2016 2016</v>
      </c>
      <c r="AR4" s="3410"/>
      <c r="AS4" s="167"/>
      <c r="AT4" s="167"/>
      <c r="AY4" s="167"/>
      <c r="AZ4" s="413" t="s">
        <v>2</v>
      </c>
      <c r="BA4" s="30" t="str">
        <f>$C$4</f>
        <v>:  Nagrak</v>
      </c>
      <c r="BC4" s="167"/>
      <c r="BD4" s="167"/>
      <c r="BE4" s="167"/>
      <c r="BF4" s="167"/>
      <c r="BG4" s="167"/>
      <c r="BH4" s="167"/>
      <c r="BI4" s="167"/>
      <c r="BJ4" s="167"/>
      <c r="BK4" s="167"/>
      <c r="BL4" s="167"/>
      <c r="BM4" s="167"/>
      <c r="BO4" s="412" t="s">
        <v>71</v>
      </c>
      <c r="BP4" s="3410" t="str">
        <f>$R$4</f>
        <v>29 Februari 2016 2016</v>
      </c>
      <c r="BQ4" s="3410"/>
      <c r="BR4" s="167"/>
      <c r="BS4" s="167"/>
      <c r="BX4" s="167"/>
      <c r="BY4" s="413" t="s">
        <v>2</v>
      </c>
      <c r="BZ4" s="30" t="str">
        <f>$C$4</f>
        <v>:  Nagrak</v>
      </c>
      <c r="CB4" s="167"/>
      <c r="CC4" s="167"/>
      <c r="CD4" s="167"/>
      <c r="CE4" s="167"/>
      <c r="CF4" s="167"/>
      <c r="CG4" s="167"/>
      <c r="CH4" s="167"/>
      <c r="CI4" s="167"/>
      <c r="CJ4" s="167"/>
      <c r="CK4" s="167"/>
      <c r="CL4" s="167"/>
      <c r="CN4" s="412" t="s">
        <v>71</v>
      </c>
      <c r="CO4" s="3410" t="str">
        <f>$R$4</f>
        <v>29 Februari 2016 2016</v>
      </c>
      <c r="CP4" s="3410"/>
      <c r="CQ4" s="167"/>
      <c r="CR4" s="167"/>
      <c r="CW4" s="167"/>
      <c r="CX4" s="413" t="s">
        <v>2</v>
      </c>
      <c r="CY4" s="30" t="str">
        <f>$C$4</f>
        <v>:  Nagrak</v>
      </c>
      <c r="DA4" s="167"/>
      <c r="DB4" s="167"/>
      <c r="DC4" s="167"/>
      <c r="DD4" s="167"/>
      <c r="DE4" s="167"/>
      <c r="DF4" s="167"/>
      <c r="DG4" s="167"/>
      <c r="DH4" s="167"/>
      <c r="DI4" s="167"/>
      <c r="DJ4" s="167"/>
      <c r="DK4" s="167"/>
      <c r="DM4" s="412" t="s">
        <v>71</v>
      </c>
      <c r="DN4" s="3410" t="str">
        <f>$R$4</f>
        <v>29 Februari 2016 2016</v>
      </c>
      <c r="DO4" s="3410"/>
      <c r="DP4" s="167"/>
      <c r="DQ4" s="167"/>
      <c r="DV4" s="1386"/>
      <c r="DW4" s="1377"/>
      <c r="DX4" s="1378"/>
      <c r="DY4" s="1387"/>
      <c r="DZ4" s="1386"/>
      <c r="EA4" s="1386"/>
      <c r="EB4" s="1386"/>
      <c r="EC4" s="1386"/>
      <c r="ED4" s="1386"/>
      <c r="EE4" s="1386"/>
      <c r="EF4" s="1386"/>
      <c r="EG4" s="1386"/>
      <c r="EH4" s="1386"/>
      <c r="EI4" s="1386"/>
      <c r="EJ4" s="1386"/>
      <c r="EK4" s="1387"/>
      <c r="EL4" s="1388"/>
      <c r="EM4" s="3410"/>
      <c r="EN4" s="3410"/>
      <c r="EO4" s="1386"/>
      <c r="EP4" s="1386"/>
      <c r="EQ4" s="1387"/>
      <c r="ER4" s="1387"/>
      <c r="ES4" s="1387"/>
    </row>
    <row r="5" spans="1:149" s="168" customFormat="1" ht="15.75">
      <c r="A5" s="167"/>
      <c r="B5" s="413" t="s">
        <v>4</v>
      </c>
      <c r="C5" s="30" t="str">
        <f>":  "&amp;DT!D4</f>
        <v>:  Sukabumi</v>
      </c>
      <c r="E5" s="167"/>
      <c r="F5" s="167"/>
      <c r="G5" s="167"/>
      <c r="H5" s="167"/>
      <c r="I5" s="167"/>
      <c r="J5" s="167"/>
      <c r="K5" s="167"/>
      <c r="L5" s="167"/>
      <c r="M5" s="167"/>
      <c r="N5" s="169"/>
      <c r="O5" s="170"/>
      <c r="P5" s="170"/>
      <c r="Q5" s="170"/>
      <c r="R5" s="170"/>
      <c r="S5" s="170"/>
      <c r="T5" s="170"/>
      <c r="Z5" s="167"/>
      <c r="AA5" s="413" t="s">
        <v>4</v>
      </c>
      <c r="AB5" s="30" t="str">
        <f>$C$5</f>
        <v>:  Sukabumi</v>
      </c>
      <c r="AD5" s="167"/>
      <c r="AE5" s="167"/>
      <c r="AF5" s="167"/>
      <c r="AG5" s="167"/>
      <c r="AH5" s="167"/>
      <c r="AI5" s="167"/>
      <c r="AJ5" s="167"/>
      <c r="AK5" s="167"/>
      <c r="AL5" s="167"/>
      <c r="AM5" s="169"/>
      <c r="AN5" s="170"/>
      <c r="AO5" s="170"/>
      <c r="AP5" s="170"/>
      <c r="AQ5" s="170"/>
      <c r="AR5" s="170"/>
      <c r="AS5" s="170"/>
      <c r="AY5" s="167"/>
      <c r="AZ5" s="413" t="s">
        <v>4</v>
      </c>
      <c r="BA5" s="30" t="str">
        <f>$C$5</f>
        <v>:  Sukabumi</v>
      </c>
      <c r="BC5" s="167"/>
      <c r="BD5" s="167"/>
      <c r="BE5" s="167"/>
      <c r="BF5" s="167"/>
      <c r="BG5" s="167"/>
      <c r="BH5" s="167"/>
      <c r="BI5" s="167"/>
      <c r="BJ5" s="167"/>
      <c r="BK5" s="167"/>
      <c r="BL5" s="169"/>
      <c r="BM5" s="170"/>
      <c r="BN5" s="170"/>
      <c r="BO5" s="170"/>
      <c r="BP5" s="170"/>
      <c r="BQ5" s="170"/>
      <c r="BR5" s="170"/>
      <c r="BX5" s="167"/>
      <c r="BY5" s="413" t="s">
        <v>4</v>
      </c>
      <c r="BZ5" s="30" t="str">
        <f>$C$5</f>
        <v>:  Sukabumi</v>
      </c>
      <c r="CB5" s="167"/>
      <c r="CC5" s="167"/>
      <c r="CD5" s="167"/>
      <c r="CE5" s="167"/>
      <c r="CF5" s="167"/>
      <c r="CG5" s="167"/>
      <c r="CH5" s="167"/>
      <c r="CI5" s="167"/>
      <c r="CJ5" s="167"/>
      <c r="CK5" s="169"/>
      <c r="CL5" s="170"/>
      <c r="CM5" s="170"/>
      <c r="CN5" s="170"/>
      <c r="CO5" s="170"/>
      <c r="CP5" s="170"/>
      <c r="CQ5" s="170"/>
      <c r="CW5" s="167"/>
      <c r="CX5" s="413" t="s">
        <v>4</v>
      </c>
      <c r="CY5" s="30" t="str">
        <f>$C$5</f>
        <v>:  Sukabumi</v>
      </c>
      <c r="DA5" s="167"/>
      <c r="DB5" s="167"/>
      <c r="DC5" s="167"/>
      <c r="DD5" s="167"/>
      <c r="DE5" s="167"/>
      <c r="DF5" s="167"/>
      <c r="DG5" s="167"/>
      <c r="DH5" s="167"/>
      <c r="DI5" s="167"/>
      <c r="DJ5" s="169"/>
      <c r="DK5" s="170"/>
      <c r="DL5" s="170"/>
      <c r="DM5" s="170"/>
      <c r="DN5" s="170"/>
      <c r="DO5" s="170"/>
      <c r="DP5" s="170"/>
      <c r="DV5" s="1386"/>
      <c r="DW5" s="1377"/>
      <c r="DX5" s="1378"/>
      <c r="DY5" s="1387"/>
      <c r="DZ5" s="1386"/>
      <c r="EA5" s="1386"/>
      <c r="EB5" s="1386"/>
      <c r="EC5" s="1386"/>
      <c r="ED5" s="1386"/>
      <c r="EE5" s="1386"/>
      <c r="EF5" s="1386"/>
      <c r="EG5" s="1386"/>
      <c r="EH5" s="1386"/>
      <c r="EI5" s="169"/>
      <c r="EJ5" s="170"/>
      <c r="EK5" s="170"/>
      <c r="EL5" s="170"/>
      <c r="EM5" s="170"/>
      <c r="EN5" s="170"/>
      <c r="EO5" s="170"/>
      <c r="EP5" s="1387"/>
      <c r="EQ5" s="1387"/>
      <c r="ER5" s="1387"/>
      <c r="ES5" s="1387"/>
    </row>
    <row r="6" spans="1:149" s="168" customFormat="1" ht="15.75">
      <c r="A6" s="167"/>
      <c r="B6" s="413" t="s">
        <v>6</v>
      </c>
      <c r="C6" s="30" t="str">
        <f>":  "&amp;DT!D5</f>
        <v>:  Jawa Barat</v>
      </c>
      <c r="E6" s="167"/>
      <c r="F6" s="167"/>
      <c r="G6" s="167"/>
      <c r="H6" s="167"/>
      <c r="I6" s="167"/>
      <c r="J6" s="167"/>
      <c r="K6" s="167"/>
      <c r="L6" s="167"/>
      <c r="M6" s="167"/>
      <c r="N6" s="169"/>
      <c r="O6" s="170"/>
      <c r="P6" s="170"/>
      <c r="Q6" s="170"/>
      <c r="R6" s="170"/>
      <c r="S6" s="170"/>
      <c r="T6" s="170"/>
      <c r="Z6" s="167"/>
      <c r="AA6" s="413" t="s">
        <v>6</v>
      </c>
      <c r="AB6" s="30" t="str">
        <f>$C$6</f>
        <v>:  Jawa Barat</v>
      </c>
      <c r="AD6" s="167"/>
      <c r="AE6" s="167"/>
      <c r="AF6" s="167"/>
      <c r="AG6" s="167"/>
      <c r="AH6" s="167"/>
      <c r="AI6" s="167"/>
      <c r="AJ6" s="167"/>
      <c r="AK6" s="167"/>
      <c r="AL6" s="167"/>
      <c r="AM6" s="169"/>
      <c r="AN6" s="170"/>
      <c r="AO6" s="170"/>
      <c r="AP6" s="170"/>
      <c r="AQ6" s="170"/>
      <c r="AR6" s="170"/>
      <c r="AS6" s="170"/>
      <c r="AY6" s="167"/>
      <c r="AZ6" s="413" t="s">
        <v>6</v>
      </c>
      <c r="BA6" s="30" t="str">
        <f>$C$6</f>
        <v>:  Jawa Barat</v>
      </c>
      <c r="BC6" s="167"/>
      <c r="BD6" s="167"/>
      <c r="BE6" s="167"/>
      <c r="BF6" s="167"/>
      <c r="BG6" s="167"/>
      <c r="BH6" s="167"/>
      <c r="BI6" s="167"/>
      <c r="BJ6" s="167"/>
      <c r="BK6" s="167"/>
      <c r="BL6" s="169"/>
      <c r="BM6" s="170"/>
      <c r="BN6" s="170"/>
      <c r="BO6" s="170"/>
      <c r="BP6" s="170"/>
      <c r="BQ6" s="170"/>
      <c r="BR6" s="170"/>
      <c r="BX6" s="167"/>
      <c r="BY6" s="413" t="s">
        <v>6</v>
      </c>
      <c r="BZ6" s="30" t="str">
        <f>$C$6</f>
        <v>:  Jawa Barat</v>
      </c>
      <c r="CB6" s="167"/>
      <c r="CC6" s="167"/>
      <c r="CD6" s="167"/>
      <c r="CE6" s="167"/>
      <c r="CF6" s="167"/>
      <c r="CG6" s="167"/>
      <c r="CH6" s="167"/>
      <c r="CI6" s="167"/>
      <c r="CJ6" s="167"/>
      <c r="CK6" s="169"/>
      <c r="CL6" s="170"/>
      <c r="CM6" s="170"/>
      <c r="CN6" s="170"/>
      <c r="CO6" s="170"/>
      <c r="CP6" s="170"/>
      <c r="CQ6" s="170"/>
      <c r="CW6" s="167"/>
      <c r="CX6" s="413" t="s">
        <v>6</v>
      </c>
      <c r="CY6" s="30" t="str">
        <f>$C$6</f>
        <v>:  Jawa Barat</v>
      </c>
      <c r="DA6" s="167"/>
      <c r="DB6" s="167"/>
      <c r="DC6" s="167"/>
      <c r="DD6" s="167"/>
      <c r="DE6" s="167"/>
      <c r="DF6" s="167"/>
      <c r="DG6" s="167"/>
      <c r="DH6" s="167"/>
      <c r="DI6" s="167"/>
      <c r="DJ6" s="169"/>
      <c r="DK6" s="170"/>
      <c r="DL6" s="170"/>
      <c r="DM6" s="170"/>
      <c r="DN6" s="170"/>
      <c r="DO6" s="170"/>
      <c r="DP6" s="170"/>
      <c r="DV6" s="1386"/>
      <c r="DW6" s="1377"/>
      <c r="DX6" s="1378"/>
      <c r="DY6" s="1387"/>
      <c r="DZ6" s="1386"/>
      <c r="EA6" s="1386"/>
      <c r="EB6" s="1386"/>
      <c r="EC6" s="1386"/>
      <c r="ED6" s="1386"/>
      <c r="EE6" s="1386"/>
      <c r="EF6" s="1386"/>
      <c r="EG6" s="1386"/>
      <c r="EH6" s="1386"/>
      <c r="EI6" s="169"/>
      <c r="EJ6" s="170"/>
      <c r="EK6" s="170"/>
      <c r="EL6" s="170"/>
      <c r="EM6" s="170"/>
      <c r="EN6" s="170"/>
      <c r="EO6" s="170"/>
      <c r="EP6" s="1387"/>
      <c r="EQ6" s="1387"/>
      <c r="ER6" s="1387"/>
      <c r="ES6" s="1387"/>
    </row>
    <row r="7" spans="1:149" ht="13.5" thickBot="1">
      <c r="A7" s="31"/>
      <c r="B7" s="31"/>
      <c r="C7" s="31"/>
      <c r="D7" s="31"/>
      <c r="E7" s="31"/>
      <c r="F7" s="31"/>
      <c r="G7" s="31"/>
      <c r="H7" s="31"/>
      <c r="I7" s="31"/>
      <c r="J7" s="31"/>
      <c r="K7" s="31"/>
      <c r="L7" s="31"/>
      <c r="M7" s="31"/>
      <c r="N7" s="31"/>
      <c r="O7" s="31"/>
      <c r="P7" s="32"/>
      <c r="Q7" s="31"/>
      <c r="R7" s="32"/>
      <c r="S7" s="31"/>
      <c r="T7" s="31"/>
      <c r="U7" s="33"/>
      <c r="Z7" s="31"/>
      <c r="AA7" s="31"/>
      <c r="AB7" s="31"/>
      <c r="AC7" s="31"/>
      <c r="AD7" s="31"/>
      <c r="AE7" s="31"/>
      <c r="AF7" s="31"/>
      <c r="AG7" s="31"/>
      <c r="AH7" s="31"/>
      <c r="AI7" s="31"/>
      <c r="AJ7" s="31"/>
      <c r="AK7" s="31"/>
      <c r="AL7" s="31"/>
      <c r="AM7" s="31"/>
      <c r="AN7" s="31"/>
      <c r="AO7" s="32"/>
      <c r="AP7" s="31"/>
      <c r="AQ7" s="32"/>
      <c r="AR7" s="31"/>
      <c r="AS7" s="31"/>
      <c r="AT7" s="33"/>
      <c r="AY7" s="31"/>
      <c r="AZ7" s="31"/>
      <c r="BA7" s="31"/>
      <c r="BB7" s="31"/>
      <c r="BC7" s="31"/>
      <c r="BD7" s="31"/>
      <c r="BE7" s="31"/>
      <c r="BF7" s="31"/>
      <c r="BG7" s="31"/>
      <c r="BH7" s="31"/>
      <c r="BI7" s="31"/>
      <c r="BJ7" s="31"/>
      <c r="BK7" s="31"/>
      <c r="BL7" s="31"/>
      <c r="BM7" s="31"/>
      <c r="BN7" s="32"/>
      <c r="BO7" s="31"/>
      <c r="BP7" s="32"/>
      <c r="BQ7" s="31"/>
      <c r="BR7" s="31"/>
      <c r="BS7" s="33"/>
      <c r="BX7" s="31"/>
      <c r="BY7" s="31"/>
      <c r="BZ7" s="31"/>
      <c r="CA7" s="31"/>
      <c r="CB7" s="31"/>
      <c r="CC7" s="31"/>
      <c r="CD7" s="31"/>
      <c r="CE7" s="31"/>
      <c r="CF7" s="31"/>
      <c r="CG7" s="31"/>
      <c r="CH7" s="31"/>
      <c r="CI7" s="31"/>
      <c r="CJ7" s="31"/>
      <c r="CK7" s="31"/>
      <c r="CL7" s="31"/>
      <c r="CM7" s="32"/>
      <c r="CN7" s="31"/>
      <c r="CO7" s="32"/>
      <c r="CP7" s="31"/>
      <c r="CQ7" s="31"/>
      <c r="CR7" s="33"/>
      <c r="CW7" s="31"/>
      <c r="CX7" s="31"/>
      <c r="CY7" s="31"/>
      <c r="CZ7" s="31"/>
      <c r="DA7" s="31"/>
      <c r="DB7" s="31"/>
      <c r="DC7" s="31"/>
      <c r="DD7" s="31"/>
      <c r="DE7" s="31"/>
      <c r="DF7" s="31"/>
      <c r="DG7" s="31"/>
      <c r="DH7" s="31"/>
      <c r="DI7" s="31"/>
      <c r="DJ7" s="31"/>
      <c r="DK7" s="31"/>
      <c r="DL7" s="32"/>
      <c r="DM7" s="31"/>
      <c r="DN7" s="32"/>
      <c r="DO7" s="31"/>
      <c r="DP7" s="31"/>
      <c r="DQ7" s="33"/>
      <c r="DV7" s="1389"/>
      <c r="DW7" s="1389"/>
      <c r="DX7" s="1389"/>
      <c r="DY7" s="1389"/>
      <c r="DZ7" s="1389"/>
      <c r="EA7" s="1389"/>
      <c r="EB7" s="1389"/>
      <c r="EC7" s="1389"/>
      <c r="ED7" s="1389"/>
      <c r="EE7" s="1389"/>
      <c r="EF7" s="1389"/>
      <c r="EG7" s="1389"/>
      <c r="EH7" s="1389"/>
      <c r="EI7" s="1389"/>
      <c r="EJ7" s="1389"/>
      <c r="EK7" s="1390"/>
      <c r="EL7" s="1389"/>
      <c r="EM7" s="1390"/>
      <c r="EN7" s="1389"/>
      <c r="EO7" s="1389"/>
      <c r="EP7" s="1389"/>
    </row>
    <row r="8" spans="1:149" s="168" customFormat="1" ht="33" customHeight="1" thickTop="1">
      <c r="A8" s="3410" t="s">
        <v>72</v>
      </c>
      <c r="B8" s="3410" t="s">
        <v>73</v>
      </c>
      <c r="C8" s="3410" t="s">
        <v>74</v>
      </c>
      <c r="D8" s="3410"/>
      <c r="E8" s="3410" t="s">
        <v>47</v>
      </c>
      <c r="F8" s="3410"/>
      <c r="G8" s="3410" t="s">
        <v>48</v>
      </c>
      <c r="H8" s="3410"/>
      <c r="I8" s="3410" t="s">
        <v>1162</v>
      </c>
      <c r="J8" s="3410"/>
      <c r="K8" s="3410" t="s">
        <v>52</v>
      </c>
      <c r="L8" s="3410"/>
      <c r="M8" s="3410" t="s">
        <v>53</v>
      </c>
      <c r="N8" s="3410"/>
      <c r="O8" s="3410" t="s">
        <v>75</v>
      </c>
      <c r="P8" s="3410"/>
      <c r="Q8" s="3410" t="s">
        <v>76</v>
      </c>
      <c r="R8" s="3410"/>
      <c r="S8" s="3410" t="s">
        <v>77</v>
      </c>
      <c r="T8" s="3410"/>
      <c r="U8" s="3410" t="s">
        <v>78</v>
      </c>
      <c r="V8" s="171" t="s">
        <v>79</v>
      </c>
      <c r="W8" s="171" t="s">
        <v>79</v>
      </c>
      <c r="X8" s="171" t="s">
        <v>79</v>
      </c>
      <c r="Z8" s="3410" t="s">
        <v>72</v>
      </c>
      <c r="AA8" s="3410" t="s">
        <v>73</v>
      </c>
      <c r="AB8" s="3410" t="s">
        <v>74</v>
      </c>
      <c r="AC8" s="3410"/>
      <c r="AD8" s="3410" t="s">
        <v>47</v>
      </c>
      <c r="AE8" s="3410"/>
      <c r="AF8" s="3410" t="s">
        <v>48</v>
      </c>
      <c r="AG8" s="3410"/>
      <c r="AH8" s="3410" t="s">
        <v>1162</v>
      </c>
      <c r="AI8" s="3410"/>
      <c r="AJ8" s="3410" t="s">
        <v>52</v>
      </c>
      <c r="AK8" s="3410"/>
      <c r="AL8" s="3410" t="s">
        <v>53</v>
      </c>
      <c r="AM8" s="3410"/>
      <c r="AN8" s="3410" t="s">
        <v>75</v>
      </c>
      <c r="AO8" s="3410"/>
      <c r="AP8" s="3410" t="s">
        <v>76</v>
      </c>
      <c r="AQ8" s="3410"/>
      <c r="AR8" s="3410" t="s">
        <v>77</v>
      </c>
      <c r="AS8" s="3410"/>
      <c r="AT8" s="3410" t="s">
        <v>78</v>
      </c>
      <c r="AU8" s="171" t="s">
        <v>79</v>
      </c>
      <c r="AV8" s="171" t="s">
        <v>79</v>
      </c>
      <c r="AW8" s="171" t="s">
        <v>79</v>
      </c>
      <c r="AY8" s="3410" t="s">
        <v>72</v>
      </c>
      <c r="AZ8" s="3410" t="s">
        <v>73</v>
      </c>
      <c r="BA8" s="3410" t="s">
        <v>74</v>
      </c>
      <c r="BB8" s="3410"/>
      <c r="BC8" s="3410" t="s">
        <v>47</v>
      </c>
      <c r="BD8" s="3410"/>
      <c r="BE8" s="3410" t="s">
        <v>48</v>
      </c>
      <c r="BF8" s="3410"/>
      <c r="BG8" s="3410" t="s">
        <v>1162</v>
      </c>
      <c r="BH8" s="3410"/>
      <c r="BI8" s="3410" t="s">
        <v>52</v>
      </c>
      <c r="BJ8" s="3410"/>
      <c r="BK8" s="3410" t="s">
        <v>53</v>
      </c>
      <c r="BL8" s="3410"/>
      <c r="BM8" s="3410" t="s">
        <v>75</v>
      </c>
      <c r="BN8" s="3410"/>
      <c r="BO8" s="3410" t="s">
        <v>76</v>
      </c>
      <c r="BP8" s="3410"/>
      <c r="BQ8" s="3410" t="s">
        <v>77</v>
      </c>
      <c r="BR8" s="3410"/>
      <c r="BS8" s="3410" t="s">
        <v>78</v>
      </c>
      <c r="BT8" s="171" t="s">
        <v>79</v>
      </c>
      <c r="BU8" s="171" t="s">
        <v>79</v>
      </c>
      <c r="BV8" s="171" t="s">
        <v>79</v>
      </c>
      <c r="BX8" s="3410" t="s">
        <v>72</v>
      </c>
      <c r="BY8" s="3410" t="s">
        <v>73</v>
      </c>
      <c r="BZ8" s="3410" t="s">
        <v>74</v>
      </c>
      <c r="CA8" s="3410"/>
      <c r="CB8" s="3410" t="s">
        <v>47</v>
      </c>
      <c r="CC8" s="3410"/>
      <c r="CD8" s="3410" t="s">
        <v>48</v>
      </c>
      <c r="CE8" s="3410"/>
      <c r="CF8" s="3410" t="s">
        <v>1162</v>
      </c>
      <c r="CG8" s="3410"/>
      <c r="CH8" s="3410" t="s">
        <v>52</v>
      </c>
      <c r="CI8" s="3410"/>
      <c r="CJ8" s="3410" t="s">
        <v>53</v>
      </c>
      <c r="CK8" s="3410"/>
      <c r="CL8" s="3410" t="s">
        <v>75</v>
      </c>
      <c r="CM8" s="3410"/>
      <c r="CN8" s="3410" t="s">
        <v>76</v>
      </c>
      <c r="CO8" s="3410"/>
      <c r="CP8" s="3410" t="s">
        <v>77</v>
      </c>
      <c r="CQ8" s="3410"/>
      <c r="CR8" s="3410" t="s">
        <v>78</v>
      </c>
      <c r="CS8" s="171" t="s">
        <v>79</v>
      </c>
      <c r="CT8" s="171" t="s">
        <v>79</v>
      </c>
      <c r="CU8" s="171" t="s">
        <v>79</v>
      </c>
      <c r="CW8" s="3410" t="s">
        <v>72</v>
      </c>
      <c r="CX8" s="3410" t="s">
        <v>73</v>
      </c>
      <c r="CY8" s="3410" t="s">
        <v>74</v>
      </c>
      <c r="CZ8" s="3410"/>
      <c r="DA8" s="3410" t="s">
        <v>47</v>
      </c>
      <c r="DB8" s="3410"/>
      <c r="DC8" s="3410" t="s">
        <v>48</v>
      </c>
      <c r="DD8" s="3410"/>
      <c r="DE8" s="3410" t="s">
        <v>1162</v>
      </c>
      <c r="DF8" s="3410"/>
      <c r="DG8" s="3410" t="s">
        <v>52</v>
      </c>
      <c r="DH8" s="3410"/>
      <c r="DI8" s="3410" t="s">
        <v>53</v>
      </c>
      <c r="DJ8" s="3410"/>
      <c r="DK8" s="3410" t="s">
        <v>75</v>
      </c>
      <c r="DL8" s="3410"/>
      <c r="DM8" s="3410" t="s">
        <v>76</v>
      </c>
      <c r="DN8" s="3410"/>
      <c r="DO8" s="3410" t="s">
        <v>77</v>
      </c>
      <c r="DP8" s="3410"/>
      <c r="DQ8" s="3410" t="s">
        <v>78</v>
      </c>
      <c r="DR8" s="171" t="s">
        <v>79</v>
      </c>
      <c r="DS8" s="171" t="s">
        <v>79</v>
      </c>
      <c r="DT8" s="171" t="s">
        <v>79</v>
      </c>
      <c r="DV8" s="3410"/>
      <c r="DW8" s="3410"/>
      <c r="DX8" s="3410"/>
      <c r="DY8" s="3410"/>
      <c r="DZ8" s="3410"/>
      <c r="EA8" s="3410"/>
      <c r="EB8" s="3410"/>
      <c r="EC8" s="3410"/>
      <c r="ED8" s="3410"/>
      <c r="EE8" s="3410"/>
      <c r="EF8" s="3410"/>
      <c r="EG8" s="3410"/>
      <c r="EH8" s="3410"/>
      <c r="EI8" s="3410"/>
      <c r="EJ8" s="3410"/>
      <c r="EK8" s="3410"/>
      <c r="EL8" s="3410"/>
      <c r="EM8" s="3410"/>
      <c r="EN8" s="3410"/>
      <c r="EO8" s="3410"/>
      <c r="EP8" s="3410"/>
      <c r="EQ8" s="1391"/>
      <c r="ER8" s="1391"/>
      <c r="ES8" s="1391"/>
    </row>
    <row r="9" spans="1:149" s="168" customFormat="1" ht="28.5" customHeight="1" thickBot="1">
      <c r="A9" s="3410"/>
      <c r="B9" s="3410"/>
      <c r="C9" s="172" t="s">
        <v>80</v>
      </c>
      <c r="D9" s="172" t="s">
        <v>81</v>
      </c>
      <c r="E9" s="172" t="s">
        <v>80</v>
      </c>
      <c r="F9" s="172" t="s">
        <v>81</v>
      </c>
      <c r="G9" s="172" t="s">
        <v>80</v>
      </c>
      <c r="H9" s="172" t="s">
        <v>81</v>
      </c>
      <c r="I9" s="172" t="s">
        <v>80</v>
      </c>
      <c r="J9" s="172" t="s">
        <v>81</v>
      </c>
      <c r="K9" s="172" t="s">
        <v>80</v>
      </c>
      <c r="L9" s="172" t="s">
        <v>81</v>
      </c>
      <c r="M9" s="172" t="s">
        <v>80</v>
      </c>
      <c r="N9" s="172" t="s">
        <v>81</v>
      </c>
      <c r="O9" s="172" t="s">
        <v>80</v>
      </c>
      <c r="P9" s="173" t="s">
        <v>81</v>
      </c>
      <c r="Q9" s="172" t="s">
        <v>80</v>
      </c>
      <c r="R9" s="173" t="s">
        <v>81</v>
      </c>
      <c r="S9" s="172" t="s">
        <v>80</v>
      </c>
      <c r="T9" s="172" t="s">
        <v>81</v>
      </c>
      <c r="U9" s="3410"/>
      <c r="V9" s="171" t="s">
        <v>77</v>
      </c>
      <c r="W9" s="171" t="s">
        <v>50</v>
      </c>
      <c r="X9" s="171" t="s">
        <v>51</v>
      </c>
      <c r="Z9" s="3410"/>
      <c r="AA9" s="3410"/>
      <c r="AB9" s="172" t="s">
        <v>80</v>
      </c>
      <c r="AC9" s="172" t="s">
        <v>81</v>
      </c>
      <c r="AD9" s="172" t="s">
        <v>80</v>
      </c>
      <c r="AE9" s="172" t="s">
        <v>81</v>
      </c>
      <c r="AF9" s="172" t="s">
        <v>80</v>
      </c>
      <c r="AG9" s="172" t="s">
        <v>81</v>
      </c>
      <c r="AH9" s="172" t="s">
        <v>80</v>
      </c>
      <c r="AI9" s="172" t="s">
        <v>81</v>
      </c>
      <c r="AJ9" s="172" t="s">
        <v>80</v>
      </c>
      <c r="AK9" s="172" t="s">
        <v>81</v>
      </c>
      <c r="AL9" s="172" t="s">
        <v>80</v>
      </c>
      <c r="AM9" s="172" t="s">
        <v>81</v>
      </c>
      <c r="AN9" s="172" t="s">
        <v>80</v>
      </c>
      <c r="AO9" s="173" t="s">
        <v>81</v>
      </c>
      <c r="AP9" s="172" t="s">
        <v>80</v>
      </c>
      <c r="AQ9" s="173" t="s">
        <v>81</v>
      </c>
      <c r="AR9" s="172" t="s">
        <v>80</v>
      </c>
      <c r="AS9" s="172" t="s">
        <v>81</v>
      </c>
      <c r="AT9" s="3410"/>
      <c r="AU9" s="171" t="s">
        <v>77</v>
      </c>
      <c r="AV9" s="171" t="s">
        <v>50</v>
      </c>
      <c r="AW9" s="171" t="s">
        <v>51</v>
      </c>
      <c r="AY9" s="3410"/>
      <c r="AZ9" s="3410"/>
      <c r="BA9" s="172" t="s">
        <v>80</v>
      </c>
      <c r="BB9" s="172" t="s">
        <v>81</v>
      </c>
      <c r="BC9" s="172" t="s">
        <v>80</v>
      </c>
      <c r="BD9" s="172" t="s">
        <v>81</v>
      </c>
      <c r="BE9" s="172" t="s">
        <v>80</v>
      </c>
      <c r="BF9" s="172" t="s">
        <v>81</v>
      </c>
      <c r="BG9" s="172" t="s">
        <v>80</v>
      </c>
      <c r="BH9" s="172" t="s">
        <v>81</v>
      </c>
      <c r="BI9" s="1430" t="s">
        <v>80</v>
      </c>
      <c r="BJ9" s="1430" t="s">
        <v>81</v>
      </c>
      <c r="BK9" s="172" t="s">
        <v>80</v>
      </c>
      <c r="BL9" s="172" t="s">
        <v>81</v>
      </c>
      <c r="BM9" s="172" t="s">
        <v>80</v>
      </c>
      <c r="BN9" s="173" t="s">
        <v>81</v>
      </c>
      <c r="BO9" s="172" t="s">
        <v>80</v>
      </c>
      <c r="BP9" s="173" t="s">
        <v>81</v>
      </c>
      <c r="BQ9" s="172" t="s">
        <v>80</v>
      </c>
      <c r="BR9" s="172" t="s">
        <v>81</v>
      </c>
      <c r="BS9" s="3410"/>
      <c r="BT9" s="171" t="s">
        <v>77</v>
      </c>
      <c r="BU9" s="171" t="s">
        <v>50</v>
      </c>
      <c r="BV9" s="171" t="s">
        <v>51</v>
      </c>
      <c r="BX9" s="3410"/>
      <c r="BY9" s="3410"/>
      <c r="BZ9" s="172" t="s">
        <v>80</v>
      </c>
      <c r="CA9" s="172" t="s">
        <v>81</v>
      </c>
      <c r="CB9" s="172" t="s">
        <v>80</v>
      </c>
      <c r="CC9" s="172" t="s">
        <v>81</v>
      </c>
      <c r="CD9" s="172" t="s">
        <v>80</v>
      </c>
      <c r="CE9" s="172" t="s">
        <v>81</v>
      </c>
      <c r="CF9" s="172" t="s">
        <v>80</v>
      </c>
      <c r="CG9" s="172" t="s">
        <v>81</v>
      </c>
      <c r="CH9" s="1430" t="s">
        <v>80</v>
      </c>
      <c r="CI9" s="1430" t="s">
        <v>81</v>
      </c>
      <c r="CJ9" s="172" t="s">
        <v>80</v>
      </c>
      <c r="CK9" s="172" t="s">
        <v>81</v>
      </c>
      <c r="CL9" s="172" t="s">
        <v>80</v>
      </c>
      <c r="CM9" s="173" t="s">
        <v>81</v>
      </c>
      <c r="CN9" s="172" t="s">
        <v>80</v>
      </c>
      <c r="CO9" s="173" t="s">
        <v>81</v>
      </c>
      <c r="CP9" s="172" t="s">
        <v>80</v>
      </c>
      <c r="CQ9" s="172" t="s">
        <v>81</v>
      </c>
      <c r="CR9" s="3410"/>
      <c r="CS9" s="171" t="s">
        <v>77</v>
      </c>
      <c r="CT9" s="171" t="s">
        <v>50</v>
      </c>
      <c r="CU9" s="171" t="s">
        <v>51</v>
      </c>
      <c r="CW9" s="3410"/>
      <c r="CX9" s="3410"/>
      <c r="CY9" s="172" t="s">
        <v>80</v>
      </c>
      <c r="CZ9" s="172" t="s">
        <v>81</v>
      </c>
      <c r="DA9" s="172" t="s">
        <v>80</v>
      </c>
      <c r="DB9" s="172" t="s">
        <v>81</v>
      </c>
      <c r="DC9" s="172" t="s">
        <v>80</v>
      </c>
      <c r="DD9" s="172" t="s">
        <v>81</v>
      </c>
      <c r="DE9" s="172" t="s">
        <v>80</v>
      </c>
      <c r="DF9" s="172" t="s">
        <v>81</v>
      </c>
      <c r="DG9" s="1430" t="s">
        <v>80</v>
      </c>
      <c r="DH9" s="1430" t="s">
        <v>81</v>
      </c>
      <c r="DI9" s="172" t="s">
        <v>80</v>
      </c>
      <c r="DJ9" s="172" t="s">
        <v>81</v>
      </c>
      <c r="DK9" s="172" t="s">
        <v>80</v>
      </c>
      <c r="DL9" s="173" t="s">
        <v>81</v>
      </c>
      <c r="DM9" s="172" t="s">
        <v>80</v>
      </c>
      <c r="DN9" s="173" t="s">
        <v>81</v>
      </c>
      <c r="DO9" s="172" t="s">
        <v>80</v>
      </c>
      <c r="DP9" s="172" t="s">
        <v>81</v>
      </c>
      <c r="DQ9" s="3410"/>
      <c r="DR9" s="171" t="s">
        <v>77</v>
      </c>
      <c r="DS9" s="171" t="s">
        <v>50</v>
      </c>
      <c r="DT9" s="171" t="s">
        <v>51</v>
      </c>
      <c r="DV9" s="3410"/>
      <c r="DW9" s="3410"/>
      <c r="DX9" s="1391"/>
      <c r="DY9" s="1391"/>
      <c r="DZ9" s="1391"/>
      <c r="EA9" s="1391"/>
      <c r="EB9" s="1391"/>
      <c r="EC9" s="1391"/>
      <c r="ED9" s="1391"/>
      <c r="EE9" s="1391"/>
      <c r="EF9" s="1391"/>
      <c r="EG9" s="1391"/>
      <c r="EH9" s="1391"/>
      <c r="EI9" s="1391"/>
      <c r="EJ9" s="1391"/>
      <c r="EK9" s="1392"/>
      <c r="EL9" s="1391"/>
      <c r="EM9" s="1392"/>
      <c r="EN9" s="1391"/>
      <c r="EO9" s="1391"/>
      <c r="EP9" s="3410"/>
      <c r="EQ9" s="1391"/>
      <c r="ER9" s="1391"/>
      <c r="ES9" s="1391"/>
    </row>
    <row r="10" spans="1:149" s="168" customFormat="1" ht="42" customHeight="1" thickTop="1">
      <c r="A10" s="201">
        <v>1</v>
      </c>
      <c r="B10" s="202" t="str">
        <f>DT!I3</f>
        <v>CIHANYAWAR</v>
      </c>
      <c r="C10" s="203"/>
      <c r="D10" s="203"/>
      <c r="E10" s="203"/>
      <c r="F10" s="203"/>
      <c r="G10" s="203"/>
      <c r="H10" s="203"/>
      <c r="I10" s="203"/>
      <c r="J10" s="203"/>
      <c r="K10" s="203"/>
      <c r="L10" s="203"/>
      <c r="M10" s="203"/>
      <c r="N10" s="203"/>
      <c r="O10" s="203"/>
      <c r="P10" s="203"/>
      <c r="Q10" s="203"/>
      <c r="R10" s="203"/>
      <c r="S10" s="174">
        <f>C10+E10+G10+I10+K10+M10+O10+Q10</f>
        <v>0</v>
      </c>
      <c r="T10" s="174">
        <f>D10+F10+H10+J10+L10+N10+P10+R10</f>
        <v>0</v>
      </c>
      <c r="U10" s="175">
        <f>IF(S10=0,0,T10/S10)</f>
        <v>0</v>
      </c>
      <c r="V10" s="176">
        <f>SUM(S10-T10)</f>
        <v>0</v>
      </c>
      <c r="W10" s="176">
        <f>SUM(O10-P10)</f>
        <v>0</v>
      </c>
      <c r="X10" s="176">
        <f>SUM(Q10-R10)</f>
        <v>0</v>
      </c>
      <c r="Z10" s="201">
        <v>1</v>
      </c>
      <c r="AA10" s="202" t="str">
        <f>$B$10</f>
        <v>CIHANYAWAR</v>
      </c>
      <c r="AB10" s="203"/>
      <c r="AC10" s="203"/>
      <c r="AD10" s="203"/>
      <c r="AE10" s="203"/>
      <c r="AF10" s="203"/>
      <c r="AG10" s="203"/>
      <c r="AH10" s="203"/>
      <c r="AI10" s="203"/>
      <c r="AJ10" s="203"/>
      <c r="AK10" s="203"/>
      <c r="AL10" s="203"/>
      <c r="AM10" s="203"/>
      <c r="AN10" s="203"/>
      <c r="AO10" s="203"/>
      <c r="AP10" s="203"/>
      <c r="AQ10" s="203"/>
      <c r="AR10" s="174">
        <f>AB10+AD10+AF10+AH10+AJ10+AL10+AN10+AP10</f>
        <v>0</v>
      </c>
      <c r="AS10" s="174">
        <f>AC10+AE10+AG10+AI10+AK10+AM10+AO10+AQ10</f>
        <v>0</v>
      </c>
      <c r="AT10" s="175">
        <f>IF(AR10=0,0,AS10/AR10)</f>
        <v>0</v>
      </c>
      <c r="AU10" s="176">
        <f>SUM(AR10-AS10)</f>
        <v>0</v>
      </c>
      <c r="AV10" s="176">
        <f>SUM(AN10-AO10)</f>
        <v>0</v>
      </c>
      <c r="AW10" s="176">
        <f>SUM(AP10-AQ10)</f>
        <v>0</v>
      </c>
      <c r="AY10" s="201">
        <v>1</v>
      </c>
      <c r="AZ10" s="202" t="str">
        <f>$B$10</f>
        <v>CIHANYAWAR</v>
      </c>
      <c r="BA10" s="203"/>
      <c r="BB10" s="203"/>
      <c r="BC10" s="203"/>
      <c r="BD10" s="203"/>
      <c r="BE10" s="203"/>
      <c r="BF10" s="203"/>
      <c r="BG10" s="203"/>
      <c r="BH10" s="203"/>
      <c r="BI10" s="1431"/>
      <c r="BJ10" s="1431"/>
      <c r="BK10" s="203"/>
      <c r="BL10" s="203"/>
      <c r="BM10" s="203"/>
      <c r="BN10" s="203"/>
      <c r="BO10" s="203"/>
      <c r="BP10" s="203"/>
      <c r="BQ10" s="174">
        <f>BA10+BC10+BE10+BG10+BI10+BK10+BM10+BO10</f>
        <v>0</v>
      </c>
      <c r="BR10" s="174">
        <f>BB10+BD10+BF10+BH10+BJ10+BL10+BN10+BP10</f>
        <v>0</v>
      </c>
      <c r="BS10" s="175">
        <f>IF(BQ10=0,0,BR10/BQ10)</f>
        <v>0</v>
      </c>
      <c r="BT10" s="176">
        <f>SUM(BQ10-BR10)</f>
        <v>0</v>
      </c>
      <c r="BU10" s="176">
        <f>SUM(BM10-BN10)</f>
        <v>0</v>
      </c>
      <c r="BV10" s="176">
        <f>SUM(BO10-BP10)</f>
        <v>0</v>
      </c>
      <c r="BX10" s="201">
        <v>1</v>
      </c>
      <c r="BY10" s="202" t="str">
        <f>$B$10</f>
        <v>CIHANYAWAR</v>
      </c>
      <c r="BZ10" s="203"/>
      <c r="CA10" s="203"/>
      <c r="CB10" s="203"/>
      <c r="CC10" s="203"/>
      <c r="CD10" s="203"/>
      <c r="CE10" s="203"/>
      <c r="CF10" s="203"/>
      <c r="CG10" s="203"/>
      <c r="CH10" s="1431"/>
      <c r="CI10" s="1431"/>
      <c r="CJ10" s="203"/>
      <c r="CK10" s="203"/>
      <c r="CL10" s="203"/>
      <c r="CM10" s="203"/>
      <c r="CN10" s="203"/>
      <c r="CO10" s="203"/>
      <c r="CP10" s="174">
        <f>BZ10+CB10+CD10+CF10+CH10+CJ10+CL10+CN10</f>
        <v>0</v>
      </c>
      <c r="CQ10" s="174">
        <f>CA10+CC10+CE10+CG10+CI10+CK10+CM10+CO10</f>
        <v>0</v>
      </c>
      <c r="CR10" s="175">
        <f>IF(CP10=0,0,CQ10/CP10)</f>
        <v>0</v>
      </c>
      <c r="CS10" s="176">
        <f>SUM(CP10-CQ10)</f>
        <v>0</v>
      </c>
      <c r="CT10" s="176">
        <f>SUM(CL10-CM10)</f>
        <v>0</v>
      </c>
      <c r="CU10" s="176">
        <f>SUM(CN10-CO10)</f>
        <v>0</v>
      </c>
      <c r="CW10" s="201">
        <v>1</v>
      </c>
      <c r="CX10" s="202" t="str">
        <f>$B$10</f>
        <v>CIHANYAWAR</v>
      </c>
      <c r="CY10" s="203"/>
      <c r="CZ10" s="203"/>
      <c r="DA10" s="203"/>
      <c r="DB10" s="203"/>
      <c r="DC10" s="203"/>
      <c r="DD10" s="203"/>
      <c r="DE10" s="203"/>
      <c r="DF10" s="203"/>
      <c r="DG10" s="1431"/>
      <c r="DH10" s="1431"/>
      <c r="DI10" s="203"/>
      <c r="DJ10" s="203"/>
      <c r="DK10" s="203"/>
      <c r="DL10" s="203"/>
      <c r="DM10" s="203"/>
      <c r="DN10" s="203"/>
      <c r="DO10" s="174">
        <f>CY10+DA10+DC10+DE10+DG10+DI10+DK10+DM10</f>
        <v>0</v>
      </c>
      <c r="DP10" s="174">
        <f>CZ10+DB10+DD10+DF10+DH10+DJ10+DL10+DN10</f>
        <v>0</v>
      </c>
      <c r="DQ10" s="175">
        <f>IF(DO10=0,0,DP10/DO10)</f>
        <v>0</v>
      </c>
      <c r="DR10" s="176">
        <f>SUM(DO10-DP10)</f>
        <v>0</v>
      </c>
      <c r="DS10" s="176">
        <f>SUM(DK10-DL10)</f>
        <v>0</v>
      </c>
      <c r="DT10" s="176">
        <f>SUM(DM10-DN10)</f>
        <v>0</v>
      </c>
      <c r="DV10" s="1387"/>
      <c r="DW10" s="1387"/>
      <c r="DX10" s="1393"/>
      <c r="DY10" s="1393"/>
      <c r="DZ10" s="1393"/>
      <c r="EA10" s="1393"/>
      <c r="EB10" s="1393"/>
      <c r="EC10" s="1393"/>
      <c r="ED10" s="1393"/>
      <c r="EE10" s="1393"/>
      <c r="EF10" s="1393"/>
      <c r="EG10" s="1393"/>
      <c r="EH10" s="1393"/>
      <c r="EI10" s="1393"/>
      <c r="EJ10" s="1393"/>
      <c r="EK10" s="1393"/>
      <c r="EL10" s="1393"/>
      <c r="EM10" s="1393"/>
      <c r="EN10" s="1379"/>
      <c r="EO10" s="1379"/>
      <c r="EP10" s="1380"/>
      <c r="EQ10" s="1381"/>
      <c r="ER10" s="1381"/>
      <c r="ES10" s="1381"/>
    </row>
    <row r="11" spans="1:149" s="168" customFormat="1" ht="42" customHeight="1">
      <c r="A11" s="204">
        <v>2</v>
      </c>
      <c r="B11" s="202" t="str">
        <f>DT!I4</f>
        <v>NAGRAK UTARA</v>
      </c>
      <c r="C11" s="203"/>
      <c r="D11" s="203"/>
      <c r="E11" s="205"/>
      <c r="F11" s="205"/>
      <c r="G11" s="205"/>
      <c r="H11" s="205"/>
      <c r="I11" s="205"/>
      <c r="J11" s="205"/>
      <c r="K11" s="205"/>
      <c r="L11" s="205"/>
      <c r="M11" s="205"/>
      <c r="N11" s="205"/>
      <c r="O11" s="205"/>
      <c r="P11" s="205"/>
      <c r="Q11" s="205"/>
      <c r="R11" s="205"/>
      <c r="S11" s="177">
        <f t="shared" ref="S11:S25" si="0">C11+E11+G11+M11+O11+Q11</f>
        <v>0</v>
      </c>
      <c r="T11" s="177">
        <f t="shared" ref="T11:T25" si="1">D11+F11+H11+N11+P11+R11</f>
        <v>0</v>
      </c>
      <c r="U11" s="178">
        <f t="shared" ref="U11:U19" si="2">IF(S11=0,0,T11/S11)</f>
        <v>0</v>
      </c>
      <c r="V11" s="176">
        <f t="shared" ref="V11:V19" si="3">SUM(S11-T11)</f>
        <v>0</v>
      </c>
      <c r="W11" s="176">
        <f t="shared" ref="W11:W19" si="4">SUM(O11-P11)</f>
        <v>0</v>
      </c>
      <c r="X11" s="176">
        <f t="shared" ref="X11:X19" si="5">SUM(Q11-R11)</f>
        <v>0</v>
      </c>
      <c r="Z11" s="204">
        <v>2</v>
      </c>
      <c r="AA11" s="202" t="str">
        <f>$B$11</f>
        <v>NAGRAK UTARA</v>
      </c>
      <c r="AB11" s="203"/>
      <c r="AC11" s="203"/>
      <c r="AD11" s="205"/>
      <c r="AE11" s="205"/>
      <c r="AF11" s="205"/>
      <c r="AG11" s="205"/>
      <c r="AH11" s="205"/>
      <c r="AI11" s="205"/>
      <c r="AJ11" s="205"/>
      <c r="AK11" s="205"/>
      <c r="AL11" s="205"/>
      <c r="AM11" s="205"/>
      <c r="AN11" s="205"/>
      <c r="AO11" s="205"/>
      <c r="AP11" s="205"/>
      <c r="AQ11" s="205"/>
      <c r="AR11" s="177">
        <f t="shared" ref="AR11:AR25" si="6">AB11+AD11+AF11+AL11+AN11+AP11</f>
        <v>0</v>
      </c>
      <c r="AS11" s="177">
        <f t="shared" ref="AS11:AS25" si="7">AC11+AE11+AG11+AM11+AO11+AQ11</f>
        <v>0</v>
      </c>
      <c r="AT11" s="178">
        <f t="shared" ref="AT11:AT25" si="8">IF(AR11=0,0,AS11/AR11)</f>
        <v>0</v>
      </c>
      <c r="AU11" s="176">
        <f t="shared" ref="AU11:AU24" si="9">SUM(AR11-AS11)</f>
        <v>0</v>
      </c>
      <c r="AV11" s="176">
        <f t="shared" ref="AV11:AV24" si="10">SUM(AN11-AO11)</f>
        <v>0</v>
      </c>
      <c r="AW11" s="176">
        <f t="shared" ref="AW11:AW24" si="11">SUM(AP11-AQ11)</f>
        <v>0</v>
      </c>
      <c r="AY11" s="204">
        <v>2</v>
      </c>
      <c r="AZ11" s="202" t="str">
        <f>$B$11</f>
        <v>NAGRAK UTARA</v>
      </c>
      <c r="BA11" s="203"/>
      <c r="BB11" s="203"/>
      <c r="BC11" s="205"/>
      <c r="BD11" s="205"/>
      <c r="BE11" s="205"/>
      <c r="BF11" s="205"/>
      <c r="BG11" s="205"/>
      <c r="BH11" s="205"/>
      <c r="BI11" s="1432"/>
      <c r="BJ11" s="1432"/>
      <c r="BK11" s="205"/>
      <c r="BL11" s="205"/>
      <c r="BM11" s="205"/>
      <c r="BN11" s="205"/>
      <c r="BO11" s="205"/>
      <c r="BP11" s="205"/>
      <c r="BQ11" s="177">
        <f t="shared" ref="BQ11:BQ25" si="12">BA11+BC11+BE11+BK11+BM11+BO11</f>
        <v>0</v>
      </c>
      <c r="BR11" s="177">
        <f t="shared" ref="BR11:BR25" si="13">BB11+BD11+BF11+BL11+BN11+BP11</f>
        <v>0</v>
      </c>
      <c r="BS11" s="178">
        <f t="shared" ref="BS11:BS25" si="14">IF(BQ11=0,0,BR11/BQ11)</f>
        <v>0</v>
      </c>
      <c r="BT11" s="176">
        <f t="shared" ref="BT11:BT24" si="15">SUM(BQ11-BR11)</f>
        <v>0</v>
      </c>
      <c r="BU11" s="176">
        <f t="shared" ref="BU11:BU24" si="16">SUM(BM11-BN11)</f>
        <v>0</v>
      </c>
      <c r="BV11" s="176">
        <f t="shared" ref="BV11:BV24" si="17">SUM(BO11-BP11)</f>
        <v>0</v>
      </c>
      <c r="BX11" s="204">
        <v>2</v>
      </c>
      <c r="BY11" s="202" t="str">
        <f>$B$11</f>
        <v>NAGRAK UTARA</v>
      </c>
      <c r="BZ11" s="203"/>
      <c r="CA11" s="203"/>
      <c r="CB11" s="205"/>
      <c r="CC11" s="205"/>
      <c r="CD11" s="205"/>
      <c r="CE11" s="205"/>
      <c r="CF11" s="205"/>
      <c r="CG11" s="205"/>
      <c r="CH11" s="1432"/>
      <c r="CI11" s="1432"/>
      <c r="CJ11" s="205"/>
      <c r="CK11" s="205"/>
      <c r="CL11" s="205"/>
      <c r="CM11" s="205"/>
      <c r="CN11" s="205"/>
      <c r="CO11" s="205"/>
      <c r="CP11" s="177">
        <f t="shared" ref="CP11:CP25" si="18">BZ11+CB11+CD11+CJ11+CL11+CN11</f>
        <v>0</v>
      </c>
      <c r="CQ11" s="177">
        <f t="shared" ref="CQ11:CQ25" si="19">CA11+CC11+CE11+CK11+CM11+CO11</f>
        <v>0</v>
      </c>
      <c r="CR11" s="178">
        <f t="shared" ref="CR11:CR25" si="20">IF(CP11=0,0,CQ11/CP11)</f>
        <v>0</v>
      </c>
      <c r="CS11" s="176">
        <f t="shared" ref="CS11:CS24" si="21">SUM(CP11-CQ11)</f>
        <v>0</v>
      </c>
      <c r="CT11" s="176">
        <f t="shared" ref="CT11:CT24" si="22">SUM(CL11-CM11)</f>
        <v>0</v>
      </c>
      <c r="CU11" s="176">
        <f t="shared" ref="CU11:CU24" si="23">SUM(CN11-CO11)</f>
        <v>0</v>
      </c>
      <c r="CW11" s="204">
        <v>2</v>
      </c>
      <c r="CX11" s="202" t="str">
        <f>$B$11</f>
        <v>NAGRAK UTARA</v>
      </c>
      <c r="CY11" s="203"/>
      <c r="CZ11" s="203"/>
      <c r="DA11" s="205"/>
      <c r="DB11" s="205"/>
      <c r="DC11" s="205"/>
      <c r="DD11" s="205"/>
      <c r="DE11" s="205"/>
      <c r="DF11" s="205"/>
      <c r="DG11" s="1432"/>
      <c r="DH11" s="1432"/>
      <c r="DI11" s="205"/>
      <c r="DJ11" s="205"/>
      <c r="DK11" s="205"/>
      <c r="DL11" s="205"/>
      <c r="DM11" s="205"/>
      <c r="DN11" s="205"/>
      <c r="DO11" s="177">
        <f t="shared" ref="DO11:DO25" si="24">CY11+DA11+DC11+DI11+DK11+DM11</f>
        <v>0</v>
      </c>
      <c r="DP11" s="177">
        <f t="shared" ref="DP11:DP25" si="25">CZ11+DB11+DD11+DJ11+DL11+DN11</f>
        <v>0</v>
      </c>
      <c r="DQ11" s="178">
        <f t="shared" ref="DQ11:DQ25" si="26">IF(DO11=0,0,DP11/DO11)</f>
        <v>0</v>
      </c>
      <c r="DR11" s="176">
        <f t="shared" ref="DR11:DR24" si="27">SUM(DO11-DP11)</f>
        <v>0</v>
      </c>
      <c r="DS11" s="176">
        <f t="shared" ref="DS11:DS24" si="28">SUM(DK11-DL11)</f>
        <v>0</v>
      </c>
      <c r="DT11" s="176">
        <f t="shared" ref="DT11:DT24" si="29">SUM(DM11-DN11)</f>
        <v>0</v>
      </c>
      <c r="DV11" s="1387"/>
      <c r="DW11" s="1387"/>
      <c r="DX11" s="1393"/>
      <c r="DY11" s="1393"/>
      <c r="DZ11" s="1393"/>
      <c r="EA11" s="1393"/>
      <c r="EB11" s="1393"/>
      <c r="EC11" s="1393"/>
      <c r="ED11" s="1393"/>
      <c r="EE11" s="1393"/>
      <c r="EF11" s="1393"/>
      <c r="EG11" s="1393"/>
      <c r="EH11" s="1393"/>
      <c r="EI11" s="1393"/>
      <c r="EJ11" s="1393"/>
      <c r="EK11" s="1393"/>
      <c r="EL11" s="1393"/>
      <c r="EM11" s="1393"/>
      <c r="EN11" s="1379"/>
      <c r="EO11" s="1379"/>
      <c r="EP11" s="1380"/>
      <c r="EQ11" s="1381"/>
      <c r="ER11" s="1381"/>
      <c r="ES11" s="1381"/>
    </row>
    <row r="12" spans="1:149" s="168" customFormat="1" ht="42" customHeight="1">
      <c r="A12" s="204">
        <v>3</v>
      </c>
      <c r="B12" s="202" t="str">
        <f>DT!I5</f>
        <v>DARMAREJA</v>
      </c>
      <c r="C12" s="205"/>
      <c r="D12" s="205"/>
      <c r="E12" s="205"/>
      <c r="F12" s="205"/>
      <c r="G12" s="205"/>
      <c r="H12" s="205"/>
      <c r="I12" s="205"/>
      <c r="J12" s="205"/>
      <c r="K12" s="205"/>
      <c r="L12" s="205"/>
      <c r="M12" s="205"/>
      <c r="N12" s="205"/>
      <c r="O12" s="205"/>
      <c r="P12" s="205"/>
      <c r="Q12" s="205"/>
      <c r="R12" s="205"/>
      <c r="S12" s="177">
        <f t="shared" si="0"/>
        <v>0</v>
      </c>
      <c r="T12" s="177">
        <f t="shared" si="1"/>
        <v>0</v>
      </c>
      <c r="U12" s="178">
        <f t="shared" si="2"/>
        <v>0</v>
      </c>
      <c r="V12" s="176">
        <f t="shared" si="3"/>
        <v>0</v>
      </c>
      <c r="W12" s="176">
        <f t="shared" si="4"/>
        <v>0</v>
      </c>
      <c r="X12" s="176">
        <f t="shared" si="5"/>
        <v>0</v>
      </c>
      <c r="Z12" s="204">
        <v>3</v>
      </c>
      <c r="AA12" s="202" t="str">
        <f>$B$12</f>
        <v>DARMAREJA</v>
      </c>
      <c r="AB12" s="205"/>
      <c r="AC12" s="205"/>
      <c r="AD12" s="205"/>
      <c r="AE12" s="205"/>
      <c r="AF12" s="205"/>
      <c r="AG12" s="205"/>
      <c r="AH12" s="205"/>
      <c r="AI12" s="205"/>
      <c r="AJ12" s="205"/>
      <c r="AK12" s="205"/>
      <c r="AL12" s="205"/>
      <c r="AM12" s="205"/>
      <c r="AN12" s="205"/>
      <c r="AO12" s="205"/>
      <c r="AP12" s="205"/>
      <c r="AQ12" s="205"/>
      <c r="AR12" s="177">
        <f t="shared" si="6"/>
        <v>0</v>
      </c>
      <c r="AS12" s="177">
        <f t="shared" si="7"/>
        <v>0</v>
      </c>
      <c r="AT12" s="178">
        <f t="shared" si="8"/>
        <v>0</v>
      </c>
      <c r="AU12" s="176">
        <f t="shared" si="9"/>
        <v>0</v>
      </c>
      <c r="AV12" s="176">
        <f t="shared" si="10"/>
        <v>0</v>
      </c>
      <c r="AW12" s="176">
        <f t="shared" si="11"/>
        <v>0</v>
      </c>
      <c r="AY12" s="204">
        <v>3</v>
      </c>
      <c r="AZ12" s="202" t="str">
        <f>$B$12</f>
        <v>DARMAREJA</v>
      </c>
      <c r="BA12" s="205"/>
      <c r="BB12" s="205"/>
      <c r="BC12" s="205"/>
      <c r="BD12" s="205"/>
      <c r="BE12" s="205"/>
      <c r="BF12" s="205"/>
      <c r="BG12" s="205"/>
      <c r="BH12" s="205"/>
      <c r="BI12" s="1432"/>
      <c r="BJ12" s="1432"/>
      <c r="BK12" s="205"/>
      <c r="BL12" s="205"/>
      <c r="BM12" s="205"/>
      <c r="BN12" s="205"/>
      <c r="BO12" s="205"/>
      <c r="BP12" s="205"/>
      <c r="BQ12" s="177">
        <f t="shared" si="12"/>
        <v>0</v>
      </c>
      <c r="BR12" s="177">
        <f t="shared" si="13"/>
        <v>0</v>
      </c>
      <c r="BS12" s="178">
        <f t="shared" si="14"/>
        <v>0</v>
      </c>
      <c r="BT12" s="176">
        <f t="shared" si="15"/>
        <v>0</v>
      </c>
      <c r="BU12" s="176">
        <f t="shared" si="16"/>
        <v>0</v>
      </c>
      <c r="BV12" s="176">
        <f t="shared" si="17"/>
        <v>0</v>
      </c>
      <c r="BX12" s="204">
        <v>3</v>
      </c>
      <c r="BY12" s="202" t="str">
        <f>$B$12</f>
        <v>DARMAREJA</v>
      </c>
      <c r="BZ12" s="205"/>
      <c r="CA12" s="205"/>
      <c r="CB12" s="205"/>
      <c r="CC12" s="205"/>
      <c r="CD12" s="205"/>
      <c r="CE12" s="205"/>
      <c r="CF12" s="205"/>
      <c r="CG12" s="205"/>
      <c r="CH12" s="1432"/>
      <c r="CI12" s="1432"/>
      <c r="CJ12" s="205"/>
      <c r="CK12" s="205"/>
      <c r="CL12" s="205"/>
      <c r="CM12" s="205"/>
      <c r="CN12" s="205"/>
      <c r="CO12" s="205"/>
      <c r="CP12" s="177">
        <f t="shared" si="18"/>
        <v>0</v>
      </c>
      <c r="CQ12" s="177">
        <f t="shared" si="19"/>
        <v>0</v>
      </c>
      <c r="CR12" s="178">
        <f t="shared" si="20"/>
        <v>0</v>
      </c>
      <c r="CS12" s="176">
        <f t="shared" si="21"/>
        <v>0</v>
      </c>
      <c r="CT12" s="176">
        <f t="shared" si="22"/>
        <v>0</v>
      </c>
      <c r="CU12" s="176">
        <f t="shared" si="23"/>
        <v>0</v>
      </c>
      <c r="CW12" s="204">
        <v>3</v>
      </c>
      <c r="CX12" s="202" t="str">
        <f>$B$12</f>
        <v>DARMAREJA</v>
      </c>
      <c r="CY12" s="205"/>
      <c r="CZ12" s="205"/>
      <c r="DA12" s="205"/>
      <c r="DB12" s="205"/>
      <c r="DC12" s="205"/>
      <c r="DD12" s="205"/>
      <c r="DE12" s="205"/>
      <c r="DF12" s="205"/>
      <c r="DG12" s="1432"/>
      <c r="DH12" s="1432"/>
      <c r="DI12" s="205"/>
      <c r="DJ12" s="205"/>
      <c r="DK12" s="205"/>
      <c r="DL12" s="205"/>
      <c r="DM12" s="205"/>
      <c r="DN12" s="205"/>
      <c r="DO12" s="177">
        <f t="shared" si="24"/>
        <v>0</v>
      </c>
      <c r="DP12" s="177">
        <f t="shared" si="25"/>
        <v>0</v>
      </c>
      <c r="DQ12" s="178">
        <f t="shared" si="26"/>
        <v>0</v>
      </c>
      <c r="DR12" s="176">
        <f t="shared" si="27"/>
        <v>0</v>
      </c>
      <c r="DS12" s="176">
        <f t="shared" si="28"/>
        <v>0</v>
      </c>
      <c r="DT12" s="176">
        <f t="shared" si="29"/>
        <v>0</v>
      </c>
      <c r="DV12" s="1387"/>
      <c r="DW12" s="1387"/>
      <c r="DX12" s="1393"/>
      <c r="DY12" s="1393"/>
      <c r="DZ12" s="1393"/>
      <c r="EA12" s="1393"/>
      <c r="EB12" s="1393"/>
      <c r="EC12" s="1393"/>
      <c r="ED12" s="1393"/>
      <c r="EE12" s="1393"/>
      <c r="EF12" s="1393"/>
      <c r="EG12" s="1393"/>
      <c r="EH12" s="1393"/>
      <c r="EI12" s="1393"/>
      <c r="EJ12" s="1393"/>
      <c r="EK12" s="1393"/>
      <c r="EL12" s="1393"/>
      <c r="EM12" s="1393"/>
      <c r="EN12" s="1379"/>
      <c r="EO12" s="1379"/>
      <c r="EP12" s="1380"/>
      <c r="EQ12" s="1381"/>
      <c r="ER12" s="1381"/>
      <c r="ES12" s="1381"/>
    </row>
    <row r="13" spans="1:149" s="168" customFormat="1" ht="42" customHeight="1">
      <c r="A13" s="204">
        <v>4</v>
      </c>
      <c r="B13" s="202" t="str">
        <f>DT!I6</f>
        <v>BALEKAMBANG</v>
      </c>
      <c r="C13" s="205"/>
      <c r="D13" s="205"/>
      <c r="E13" s="205"/>
      <c r="F13" s="205"/>
      <c r="G13" s="205"/>
      <c r="H13" s="205"/>
      <c r="I13" s="205"/>
      <c r="J13" s="205"/>
      <c r="K13" s="205"/>
      <c r="L13" s="205"/>
      <c r="M13" s="205"/>
      <c r="N13" s="205"/>
      <c r="O13" s="205"/>
      <c r="P13" s="205"/>
      <c r="Q13" s="205"/>
      <c r="R13" s="205"/>
      <c r="S13" s="177">
        <f t="shared" si="0"/>
        <v>0</v>
      </c>
      <c r="T13" s="177">
        <f t="shared" si="1"/>
        <v>0</v>
      </c>
      <c r="U13" s="178">
        <f t="shared" si="2"/>
        <v>0</v>
      </c>
      <c r="V13" s="176">
        <f t="shared" si="3"/>
        <v>0</v>
      </c>
      <c r="W13" s="176">
        <f t="shared" si="4"/>
        <v>0</v>
      </c>
      <c r="X13" s="176">
        <f t="shared" si="5"/>
        <v>0</v>
      </c>
      <c r="Z13" s="204">
        <v>4</v>
      </c>
      <c r="AA13" s="202" t="str">
        <f>$B$13</f>
        <v>BALEKAMBANG</v>
      </c>
      <c r="AB13" s="205"/>
      <c r="AC13" s="205"/>
      <c r="AD13" s="205"/>
      <c r="AE13" s="205"/>
      <c r="AF13" s="205"/>
      <c r="AG13" s="205"/>
      <c r="AH13" s="205"/>
      <c r="AI13" s="205"/>
      <c r="AJ13" s="205"/>
      <c r="AK13" s="205"/>
      <c r="AL13" s="205"/>
      <c r="AM13" s="205"/>
      <c r="AN13" s="205"/>
      <c r="AO13" s="205"/>
      <c r="AP13" s="205"/>
      <c r="AQ13" s="205"/>
      <c r="AR13" s="177">
        <f t="shared" si="6"/>
        <v>0</v>
      </c>
      <c r="AS13" s="177">
        <f t="shared" si="7"/>
        <v>0</v>
      </c>
      <c r="AT13" s="178">
        <f t="shared" si="8"/>
        <v>0</v>
      </c>
      <c r="AU13" s="176">
        <f t="shared" si="9"/>
        <v>0</v>
      </c>
      <c r="AV13" s="176">
        <f t="shared" si="10"/>
        <v>0</v>
      </c>
      <c r="AW13" s="176">
        <f t="shared" si="11"/>
        <v>0</v>
      </c>
      <c r="AY13" s="204">
        <v>4</v>
      </c>
      <c r="AZ13" s="202" t="str">
        <f>$B$13</f>
        <v>BALEKAMBANG</v>
      </c>
      <c r="BA13" s="205"/>
      <c r="BB13" s="205"/>
      <c r="BC13" s="205"/>
      <c r="BD13" s="205"/>
      <c r="BE13" s="205"/>
      <c r="BF13" s="205"/>
      <c r="BG13" s="205"/>
      <c r="BH13" s="205"/>
      <c r="BI13" s="1432"/>
      <c r="BJ13" s="1432"/>
      <c r="BK13" s="205"/>
      <c r="BL13" s="205"/>
      <c r="BM13" s="205"/>
      <c r="BN13" s="205"/>
      <c r="BO13" s="205"/>
      <c r="BP13" s="205"/>
      <c r="BQ13" s="177">
        <f t="shared" si="12"/>
        <v>0</v>
      </c>
      <c r="BR13" s="177">
        <f t="shared" si="13"/>
        <v>0</v>
      </c>
      <c r="BS13" s="178">
        <f t="shared" si="14"/>
        <v>0</v>
      </c>
      <c r="BT13" s="176">
        <f t="shared" si="15"/>
        <v>0</v>
      </c>
      <c r="BU13" s="176">
        <f t="shared" si="16"/>
        <v>0</v>
      </c>
      <c r="BV13" s="176">
        <f t="shared" si="17"/>
        <v>0</v>
      </c>
      <c r="BX13" s="204">
        <v>4</v>
      </c>
      <c r="BY13" s="202" t="str">
        <f>$B$13</f>
        <v>BALEKAMBANG</v>
      </c>
      <c r="BZ13" s="205"/>
      <c r="CA13" s="205"/>
      <c r="CB13" s="205"/>
      <c r="CC13" s="205"/>
      <c r="CD13" s="205"/>
      <c r="CE13" s="205"/>
      <c r="CF13" s="205"/>
      <c r="CG13" s="205"/>
      <c r="CH13" s="1432"/>
      <c r="CI13" s="1432"/>
      <c r="CJ13" s="205"/>
      <c r="CK13" s="205"/>
      <c r="CL13" s="205"/>
      <c r="CM13" s="205"/>
      <c r="CN13" s="205"/>
      <c r="CO13" s="205"/>
      <c r="CP13" s="177">
        <f t="shared" si="18"/>
        <v>0</v>
      </c>
      <c r="CQ13" s="177">
        <f t="shared" si="19"/>
        <v>0</v>
      </c>
      <c r="CR13" s="178">
        <f t="shared" si="20"/>
        <v>0</v>
      </c>
      <c r="CS13" s="176">
        <f t="shared" si="21"/>
        <v>0</v>
      </c>
      <c r="CT13" s="176">
        <f t="shared" si="22"/>
        <v>0</v>
      </c>
      <c r="CU13" s="176">
        <f t="shared" si="23"/>
        <v>0</v>
      </c>
      <c r="CW13" s="204">
        <v>4</v>
      </c>
      <c r="CX13" s="202" t="str">
        <f>$B$13</f>
        <v>BALEKAMBANG</v>
      </c>
      <c r="CY13" s="205"/>
      <c r="CZ13" s="205"/>
      <c r="DA13" s="205"/>
      <c r="DB13" s="205"/>
      <c r="DC13" s="205"/>
      <c r="DD13" s="205"/>
      <c r="DE13" s="205"/>
      <c r="DF13" s="205"/>
      <c r="DG13" s="1432"/>
      <c r="DH13" s="1432"/>
      <c r="DI13" s="205"/>
      <c r="DJ13" s="205"/>
      <c r="DK13" s="205"/>
      <c r="DL13" s="205"/>
      <c r="DM13" s="205"/>
      <c r="DN13" s="205"/>
      <c r="DO13" s="177">
        <f t="shared" si="24"/>
        <v>0</v>
      </c>
      <c r="DP13" s="177">
        <f t="shared" si="25"/>
        <v>0</v>
      </c>
      <c r="DQ13" s="178">
        <f t="shared" si="26"/>
        <v>0</v>
      </c>
      <c r="DR13" s="176">
        <f t="shared" si="27"/>
        <v>0</v>
      </c>
      <c r="DS13" s="176">
        <f t="shared" si="28"/>
        <v>0</v>
      </c>
      <c r="DT13" s="176">
        <f t="shared" si="29"/>
        <v>0</v>
      </c>
      <c r="DV13" s="1387"/>
      <c r="DW13" s="1387"/>
      <c r="DX13" s="1393"/>
      <c r="DY13" s="1393"/>
      <c r="DZ13" s="1393"/>
      <c r="EA13" s="1393"/>
      <c r="EB13" s="1393"/>
      <c r="EC13" s="1393"/>
      <c r="ED13" s="1393"/>
      <c r="EE13" s="1393"/>
      <c r="EF13" s="1393"/>
      <c r="EG13" s="1393"/>
      <c r="EH13" s="1393"/>
      <c r="EI13" s="1393"/>
      <c r="EJ13" s="1393"/>
      <c r="EK13" s="1393"/>
      <c r="EL13" s="1393"/>
      <c r="EM13" s="1393"/>
      <c r="EN13" s="1379"/>
      <c r="EO13" s="1379"/>
      <c r="EP13" s="1380"/>
      <c r="EQ13" s="1381"/>
      <c r="ER13" s="1381"/>
      <c r="ES13" s="1381"/>
    </row>
    <row r="14" spans="1:149" s="168" customFormat="1" ht="42" customHeight="1">
      <c r="A14" s="204">
        <v>5</v>
      </c>
      <c r="B14" s="202" t="str">
        <f>DT!I7</f>
        <v>NAGRAK SELATAN</v>
      </c>
      <c r="C14" s="205"/>
      <c r="D14" s="205"/>
      <c r="E14" s="205"/>
      <c r="F14" s="205"/>
      <c r="G14" s="205"/>
      <c r="H14" s="205"/>
      <c r="I14" s="205"/>
      <c r="J14" s="205"/>
      <c r="K14" s="205"/>
      <c r="L14" s="205"/>
      <c r="M14" s="205"/>
      <c r="N14" s="205"/>
      <c r="O14" s="205"/>
      <c r="P14" s="205"/>
      <c r="Q14" s="205"/>
      <c r="R14" s="205"/>
      <c r="S14" s="177">
        <f t="shared" si="0"/>
        <v>0</v>
      </c>
      <c r="T14" s="177">
        <f t="shared" si="1"/>
        <v>0</v>
      </c>
      <c r="U14" s="178">
        <f t="shared" si="2"/>
        <v>0</v>
      </c>
      <c r="V14" s="176">
        <f t="shared" si="3"/>
        <v>0</v>
      </c>
      <c r="W14" s="176">
        <f t="shared" si="4"/>
        <v>0</v>
      </c>
      <c r="X14" s="176">
        <f t="shared" si="5"/>
        <v>0</v>
      </c>
      <c r="Z14" s="204">
        <v>5</v>
      </c>
      <c r="AA14" s="202" t="str">
        <f>$B$14</f>
        <v>NAGRAK SELATAN</v>
      </c>
      <c r="AB14" s="205"/>
      <c r="AC14" s="205"/>
      <c r="AD14" s="205"/>
      <c r="AE14" s="205"/>
      <c r="AF14" s="205"/>
      <c r="AG14" s="205"/>
      <c r="AH14" s="205"/>
      <c r="AI14" s="205"/>
      <c r="AJ14" s="205"/>
      <c r="AK14" s="205"/>
      <c r="AL14" s="205"/>
      <c r="AM14" s="205"/>
      <c r="AN14" s="205"/>
      <c r="AO14" s="205"/>
      <c r="AP14" s="205"/>
      <c r="AQ14" s="205"/>
      <c r="AR14" s="177">
        <f t="shared" si="6"/>
        <v>0</v>
      </c>
      <c r="AS14" s="177">
        <f t="shared" si="7"/>
        <v>0</v>
      </c>
      <c r="AT14" s="178">
        <f t="shared" si="8"/>
        <v>0</v>
      </c>
      <c r="AU14" s="176">
        <f t="shared" si="9"/>
        <v>0</v>
      </c>
      <c r="AV14" s="176">
        <f t="shared" si="10"/>
        <v>0</v>
      </c>
      <c r="AW14" s="176">
        <f t="shared" si="11"/>
        <v>0</v>
      </c>
      <c r="AY14" s="204">
        <v>5</v>
      </c>
      <c r="AZ14" s="202" t="str">
        <f>$B$14</f>
        <v>NAGRAK SELATAN</v>
      </c>
      <c r="BA14" s="205"/>
      <c r="BB14" s="205"/>
      <c r="BC14" s="205"/>
      <c r="BD14" s="205"/>
      <c r="BE14" s="205"/>
      <c r="BF14" s="205"/>
      <c r="BG14" s="205"/>
      <c r="BH14" s="205"/>
      <c r="BI14" s="1432"/>
      <c r="BJ14" s="1432"/>
      <c r="BK14" s="205"/>
      <c r="BL14" s="205"/>
      <c r="BM14" s="205"/>
      <c r="BN14" s="205"/>
      <c r="BO14" s="205"/>
      <c r="BP14" s="205"/>
      <c r="BQ14" s="177">
        <f t="shared" si="12"/>
        <v>0</v>
      </c>
      <c r="BR14" s="177">
        <f t="shared" si="13"/>
        <v>0</v>
      </c>
      <c r="BS14" s="178">
        <f t="shared" si="14"/>
        <v>0</v>
      </c>
      <c r="BT14" s="176">
        <f t="shared" si="15"/>
        <v>0</v>
      </c>
      <c r="BU14" s="176">
        <f t="shared" si="16"/>
        <v>0</v>
      </c>
      <c r="BV14" s="176">
        <f t="shared" si="17"/>
        <v>0</v>
      </c>
      <c r="BX14" s="204">
        <v>5</v>
      </c>
      <c r="BY14" s="202" t="str">
        <f>$B$14</f>
        <v>NAGRAK SELATAN</v>
      </c>
      <c r="BZ14" s="205"/>
      <c r="CA14" s="205"/>
      <c r="CB14" s="205"/>
      <c r="CC14" s="205"/>
      <c r="CD14" s="205"/>
      <c r="CE14" s="205"/>
      <c r="CF14" s="205"/>
      <c r="CG14" s="205"/>
      <c r="CH14" s="1432"/>
      <c r="CI14" s="1432"/>
      <c r="CJ14" s="205"/>
      <c r="CK14" s="205"/>
      <c r="CL14" s="205"/>
      <c r="CM14" s="205"/>
      <c r="CN14" s="205"/>
      <c r="CO14" s="205"/>
      <c r="CP14" s="177">
        <f t="shared" si="18"/>
        <v>0</v>
      </c>
      <c r="CQ14" s="177">
        <f t="shared" si="19"/>
        <v>0</v>
      </c>
      <c r="CR14" s="178">
        <f t="shared" si="20"/>
        <v>0</v>
      </c>
      <c r="CS14" s="176">
        <f t="shared" si="21"/>
        <v>0</v>
      </c>
      <c r="CT14" s="176">
        <f t="shared" si="22"/>
        <v>0</v>
      </c>
      <c r="CU14" s="176">
        <f t="shared" si="23"/>
        <v>0</v>
      </c>
      <c r="CW14" s="204">
        <v>5</v>
      </c>
      <c r="CX14" s="202" t="str">
        <f>$B$14</f>
        <v>NAGRAK SELATAN</v>
      </c>
      <c r="CY14" s="205"/>
      <c r="CZ14" s="205"/>
      <c r="DA14" s="205"/>
      <c r="DB14" s="205"/>
      <c r="DC14" s="205"/>
      <c r="DD14" s="205"/>
      <c r="DE14" s="205"/>
      <c r="DF14" s="205"/>
      <c r="DG14" s="1432"/>
      <c r="DH14" s="1432"/>
      <c r="DI14" s="205"/>
      <c r="DJ14" s="205"/>
      <c r="DK14" s="205"/>
      <c r="DL14" s="205"/>
      <c r="DM14" s="205"/>
      <c r="DN14" s="205"/>
      <c r="DO14" s="177">
        <f t="shared" si="24"/>
        <v>0</v>
      </c>
      <c r="DP14" s="177">
        <f t="shared" si="25"/>
        <v>0</v>
      </c>
      <c r="DQ14" s="178">
        <f t="shared" si="26"/>
        <v>0</v>
      </c>
      <c r="DR14" s="176">
        <f t="shared" si="27"/>
        <v>0</v>
      </c>
      <c r="DS14" s="176">
        <f t="shared" si="28"/>
        <v>0</v>
      </c>
      <c r="DT14" s="176">
        <f t="shared" si="29"/>
        <v>0</v>
      </c>
      <c r="DV14" s="1387"/>
      <c r="DW14" s="1387"/>
      <c r="DX14" s="1393"/>
      <c r="DY14" s="1393"/>
      <c r="DZ14" s="1393"/>
      <c r="EA14" s="1393"/>
      <c r="EB14" s="1393"/>
      <c r="EC14" s="1393"/>
      <c r="ED14" s="1393"/>
      <c r="EE14" s="1393"/>
      <c r="EF14" s="1393"/>
      <c r="EG14" s="1393"/>
      <c r="EH14" s="1393"/>
      <c r="EI14" s="1393"/>
      <c r="EJ14" s="1393"/>
      <c r="EK14" s="1393"/>
      <c r="EL14" s="1393"/>
      <c r="EM14" s="1393"/>
      <c r="EN14" s="1379"/>
      <c r="EO14" s="1379"/>
      <c r="EP14" s="1380"/>
      <c r="EQ14" s="1381"/>
      <c r="ER14" s="1381"/>
      <c r="ES14" s="1381"/>
    </row>
    <row r="15" spans="1:149" s="168" customFormat="1" ht="42" customHeight="1">
      <c r="A15" s="204">
        <v>6</v>
      </c>
      <c r="B15" s="202" t="str">
        <f>DT!I8</f>
        <v>KALAPAREA</v>
      </c>
      <c r="C15" s="205"/>
      <c r="D15" s="205"/>
      <c r="E15" s="205"/>
      <c r="F15" s="205"/>
      <c r="G15" s="205"/>
      <c r="H15" s="205"/>
      <c r="I15" s="205"/>
      <c r="J15" s="205"/>
      <c r="K15" s="205"/>
      <c r="L15" s="205"/>
      <c r="M15" s="205"/>
      <c r="N15" s="205"/>
      <c r="O15" s="205"/>
      <c r="P15" s="205"/>
      <c r="Q15" s="205"/>
      <c r="R15" s="205"/>
      <c r="S15" s="177">
        <f t="shared" si="0"/>
        <v>0</v>
      </c>
      <c r="T15" s="177">
        <f t="shared" si="1"/>
        <v>0</v>
      </c>
      <c r="U15" s="178">
        <f t="shared" si="2"/>
        <v>0</v>
      </c>
      <c r="V15" s="176">
        <f t="shared" si="3"/>
        <v>0</v>
      </c>
      <c r="W15" s="176">
        <f t="shared" si="4"/>
        <v>0</v>
      </c>
      <c r="X15" s="176">
        <f t="shared" si="5"/>
        <v>0</v>
      </c>
      <c r="Z15" s="204">
        <v>6</v>
      </c>
      <c r="AA15" s="202" t="str">
        <f>$B$15</f>
        <v>KALAPAREA</v>
      </c>
      <c r="AB15" s="205"/>
      <c r="AC15" s="205"/>
      <c r="AD15" s="205"/>
      <c r="AE15" s="205"/>
      <c r="AF15" s="205"/>
      <c r="AG15" s="205"/>
      <c r="AH15" s="205"/>
      <c r="AI15" s="205"/>
      <c r="AJ15" s="205"/>
      <c r="AK15" s="205"/>
      <c r="AL15" s="205"/>
      <c r="AM15" s="205"/>
      <c r="AN15" s="205"/>
      <c r="AO15" s="205"/>
      <c r="AP15" s="205"/>
      <c r="AQ15" s="205"/>
      <c r="AR15" s="177">
        <f t="shared" si="6"/>
        <v>0</v>
      </c>
      <c r="AS15" s="177">
        <f t="shared" si="7"/>
        <v>0</v>
      </c>
      <c r="AT15" s="178">
        <f t="shared" si="8"/>
        <v>0</v>
      </c>
      <c r="AU15" s="176">
        <f t="shared" si="9"/>
        <v>0</v>
      </c>
      <c r="AV15" s="176">
        <f t="shared" si="10"/>
        <v>0</v>
      </c>
      <c r="AW15" s="176">
        <f t="shared" si="11"/>
        <v>0</v>
      </c>
      <c r="AY15" s="204">
        <v>6</v>
      </c>
      <c r="AZ15" s="202" t="str">
        <f>$B$15</f>
        <v>KALAPAREA</v>
      </c>
      <c r="BA15" s="205"/>
      <c r="BB15" s="205"/>
      <c r="BC15" s="205"/>
      <c r="BD15" s="205"/>
      <c r="BE15" s="205"/>
      <c r="BF15" s="205"/>
      <c r="BG15" s="205"/>
      <c r="BH15" s="205"/>
      <c r="BI15" s="1432"/>
      <c r="BJ15" s="1432"/>
      <c r="BK15" s="205"/>
      <c r="BL15" s="205"/>
      <c r="BM15" s="205"/>
      <c r="BN15" s="205"/>
      <c r="BO15" s="205"/>
      <c r="BP15" s="205"/>
      <c r="BQ15" s="177">
        <f t="shared" si="12"/>
        <v>0</v>
      </c>
      <c r="BR15" s="177">
        <f t="shared" si="13"/>
        <v>0</v>
      </c>
      <c r="BS15" s="178">
        <f t="shared" si="14"/>
        <v>0</v>
      </c>
      <c r="BT15" s="176">
        <f t="shared" si="15"/>
        <v>0</v>
      </c>
      <c r="BU15" s="176">
        <f t="shared" si="16"/>
        <v>0</v>
      </c>
      <c r="BV15" s="176">
        <f t="shared" si="17"/>
        <v>0</v>
      </c>
      <c r="BX15" s="204">
        <v>6</v>
      </c>
      <c r="BY15" s="202" t="str">
        <f>$B$15</f>
        <v>KALAPAREA</v>
      </c>
      <c r="BZ15" s="205"/>
      <c r="CA15" s="205"/>
      <c r="CB15" s="205"/>
      <c r="CC15" s="205"/>
      <c r="CD15" s="205"/>
      <c r="CE15" s="205"/>
      <c r="CF15" s="205"/>
      <c r="CG15" s="205"/>
      <c r="CH15" s="1432"/>
      <c r="CI15" s="1432"/>
      <c r="CJ15" s="205"/>
      <c r="CK15" s="205"/>
      <c r="CL15" s="205"/>
      <c r="CM15" s="205"/>
      <c r="CN15" s="205"/>
      <c r="CO15" s="205"/>
      <c r="CP15" s="177">
        <f t="shared" si="18"/>
        <v>0</v>
      </c>
      <c r="CQ15" s="177">
        <f t="shared" si="19"/>
        <v>0</v>
      </c>
      <c r="CR15" s="178">
        <f t="shared" si="20"/>
        <v>0</v>
      </c>
      <c r="CS15" s="176">
        <f t="shared" si="21"/>
        <v>0</v>
      </c>
      <c r="CT15" s="176">
        <f t="shared" si="22"/>
        <v>0</v>
      </c>
      <c r="CU15" s="176">
        <f t="shared" si="23"/>
        <v>0</v>
      </c>
      <c r="CW15" s="204">
        <v>6</v>
      </c>
      <c r="CX15" s="202" t="str">
        <f>$B$15</f>
        <v>KALAPAREA</v>
      </c>
      <c r="CY15" s="205"/>
      <c r="CZ15" s="205"/>
      <c r="DA15" s="205"/>
      <c r="DB15" s="205"/>
      <c r="DC15" s="205"/>
      <c r="DD15" s="205"/>
      <c r="DE15" s="205"/>
      <c r="DF15" s="205"/>
      <c r="DG15" s="1432"/>
      <c r="DH15" s="1432"/>
      <c r="DI15" s="205"/>
      <c r="DJ15" s="205"/>
      <c r="DK15" s="205"/>
      <c r="DL15" s="205"/>
      <c r="DM15" s="205"/>
      <c r="DN15" s="205"/>
      <c r="DO15" s="177">
        <f t="shared" si="24"/>
        <v>0</v>
      </c>
      <c r="DP15" s="177">
        <f t="shared" si="25"/>
        <v>0</v>
      </c>
      <c r="DQ15" s="178">
        <f t="shared" si="26"/>
        <v>0</v>
      </c>
      <c r="DR15" s="176">
        <f t="shared" si="27"/>
        <v>0</v>
      </c>
      <c r="DS15" s="176">
        <f t="shared" si="28"/>
        <v>0</v>
      </c>
      <c r="DT15" s="176">
        <f t="shared" si="29"/>
        <v>0</v>
      </c>
      <c r="DV15" s="1387"/>
      <c r="DW15" s="1387"/>
      <c r="DX15" s="1393"/>
      <c r="DY15" s="1393"/>
      <c r="DZ15" s="1393"/>
      <c r="EA15" s="1393"/>
      <c r="EB15" s="1393"/>
      <c r="EC15" s="1393"/>
      <c r="ED15" s="1393"/>
      <c r="EE15" s="1393"/>
      <c r="EF15" s="1393"/>
      <c r="EG15" s="1393"/>
      <c r="EH15" s="1393"/>
      <c r="EI15" s="1393"/>
      <c r="EJ15" s="1393"/>
      <c r="EK15" s="1393"/>
      <c r="EL15" s="1393"/>
      <c r="EM15" s="1393"/>
      <c r="EN15" s="1379"/>
      <c r="EO15" s="1379"/>
      <c r="EP15" s="1380"/>
      <c r="EQ15" s="1381"/>
      <c r="ER15" s="1381"/>
      <c r="ES15" s="1381"/>
    </row>
    <row r="16" spans="1:149" s="168" customFormat="1" ht="42" customHeight="1">
      <c r="A16" s="204">
        <v>7</v>
      </c>
      <c r="B16" s="202" t="str">
        <f>DT!I9</f>
        <v>BABAKAN PANJANG</v>
      </c>
      <c r="C16" s="205"/>
      <c r="D16" s="205"/>
      <c r="E16" s="205"/>
      <c r="F16" s="205"/>
      <c r="G16" s="205"/>
      <c r="H16" s="205"/>
      <c r="I16" s="205"/>
      <c r="J16" s="205"/>
      <c r="K16" s="205"/>
      <c r="L16" s="205"/>
      <c r="M16" s="205"/>
      <c r="N16" s="205"/>
      <c r="O16" s="205"/>
      <c r="P16" s="205"/>
      <c r="Q16" s="205"/>
      <c r="R16" s="205"/>
      <c r="S16" s="177">
        <f t="shared" si="0"/>
        <v>0</v>
      </c>
      <c r="T16" s="177">
        <f t="shared" si="1"/>
        <v>0</v>
      </c>
      <c r="U16" s="178">
        <f t="shared" si="2"/>
        <v>0</v>
      </c>
      <c r="V16" s="176">
        <f t="shared" si="3"/>
        <v>0</v>
      </c>
      <c r="W16" s="176">
        <f t="shared" si="4"/>
        <v>0</v>
      </c>
      <c r="X16" s="176">
        <f t="shared" si="5"/>
        <v>0</v>
      </c>
      <c r="Z16" s="204">
        <v>7</v>
      </c>
      <c r="AA16" s="202" t="str">
        <f>$B$16</f>
        <v>BABAKAN PANJANG</v>
      </c>
      <c r="AB16" s="205"/>
      <c r="AC16" s="205"/>
      <c r="AD16" s="205"/>
      <c r="AE16" s="205"/>
      <c r="AF16" s="205"/>
      <c r="AG16" s="205"/>
      <c r="AH16" s="205"/>
      <c r="AI16" s="205"/>
      <c r="AJ16" s="205"/>
      <c r="AK16" s="205"/>
      <c r="AL16" s="205"/>
      <c r="AM16" s="205"/>
      <c r="AN16" s="205"/>
      <c r="AO16" s="205"/>
      <c r="AP16" s="205"/>
      <c r="AQ16" s="205"/>
      <c r="AR16" s="177">
        <f t="shared" si="6"/>
        <v>0</v>
      </c>
      <c r="AS16" s="177">
        <f t="shared" si="7"/>
        <v>0</v>
      </c>
      <c r="AT16" s="178">
        <f t="shared" si="8"/>
        <v>0</v>
      </c>
      <c r="AU16" s="176">
        <f t="shared" si="9"/>
        <v>0</v>
      </c>
      <c r="AV16" s="176">
        <f t="shared" si="10"/>
        <v>0</v>
      </c>
      <c r="AW16" s="176">
        <f t="shared" si="11"/>
        <v>0</v>
      </c>
      <c r="AY16" s="204">
        <v>7</v>
      </c>
      <c r="AZ16" s="202" t="str">
        <f>$B$16</f>
        <v>BABAKAN PANJANG</v>
      </c>
      <c r="BA16" s="205"/>
      <c r="BB16" s="205"/>
      <c r="BC16" s="205"/>
      <c r="BD16" s="205"/>
      <c r="BE16" s="205"/>
      <c r="BF16" s="205"/>
      <c r="BG16" s="205"/>
      <c r="BH16" s="205"/>
      <c r="BI16" s="1432"/>
      <c r="BJ16" s="1432"/>
      <c r="BK16" s="205"/>
      <c r="BL16" s="205"/>
      <c r="BM16" s="205"/>
      <c r="BN16" s="205"/>
      <c r="BO16" s="205"/>
      <c r="BP16" s="205"/>
      <c r="BQ16" s="177">
        <f t="shared" si="12"/>
        <v>0</v>
      </c>
      <c r="BR16" s="177">
        <f t="shared" si="13"/>
        <v>0</v>
      </c>
      <c r="BS16" s="178">
        <f t="shared" si="14"/>
        <v>0</v>
      </c>
      <c r="BT16" s="176">
        <f t="shared" si="15"/>
        <v>0</v>
      </c>
      <c r="BU16" s="176">
        <f t="shared" si="16"/>
        <v>0</v>
      </c>
      <c r="BV16" s="176">
        <f t="shared" si="17"/>
        <v>0</v>
      </c>
      <c r="BX16" s="204">
        <v>7</v>
      </c>
      <c r="BY16" s="202" t="str">
        <f>$B$16</f>
        <v>BABAKAN PANJANG</v>
      </c>
      <c r="BZ16" s="205"/>
      <c r="CA16" s="205"/>
      <c r="CB16" s="205"/>
      <c r="CC16" s="205"/>
      <c r="CD16" s="205"/>
      <c r="CE16" s="205"/>
      <c r="CF16" s="205"/>
      <c r="CG16" s="205"/>
      <c r="CH16" s="1432"/>
      <c r="CI16" s="1432"/>
      <c r="CJ16" s="205"/>
      <c r="CK16" s="205"/>
      <c r="CL16" s="205"/>
      <c r="CM16" s="205"/>
      <c r="CN16" s="205"/>
      <c r="CO16" s="205"/>
      <c r="CP16" s="177">
        <f t="shared" si="18"/>
        <v>0</v>
      </c>
      <c r="CQ16" s="177">
        <f t="shared" si="19"/>
        <v>0</v>
      </c>
      <c r="CR16" s="178">
        <f t="shared" si="20"/>
        <v>0</v>
      </c>
      <c r="CS16" s="176">
        <f t="shared" si="21"/>
        <v>0</v>
      </c>
      <c r="CT16" s="176">
        <f t="shared" si="22"/>
        <v>0</v>
      </c>
      <c r="CU16" s="176">
        <f t="shared" si="23"/>
        <v>0</v>
      </c>
      <c r="CW16" s="204">
        <v>7</v>
      </c>
      <c r="CX16" s="202" t="str">
        <f>$B$16</f>
        <v>BABAKAN PANJANG</v>
      </c>
      <c r="CY16" s="205"/>
      <c r="CZ16" s="205"/>
      <c r="DA16" s="205"/>
      <c r="DB16" s="205"/>
      <c r="DC16" s="205"/>
      <c r="DD16" s="205"/>
      <c r="DE16" s="205"/>
      <c r="DF16" s="205"/>
      <c r="DG16" s="1432"/>
      <c r="DH16" s="1432"/>
      <c r="DI16" s="205"/>
      <c r="DJ16" s="205"/>
      <c r="DK16" s="205"/>
      <c r="DL16" s="205"/>
      <c r="DM16" s="205"/>
      <c r="DN16" s="205"/>
      <c r="DO16" s="177">
        <f t="shared" si="24"/>
        <v>0</v>
      </c>
      <c r="DP16" s="177">
        <f t="shared" si="25"/>
        <v>0</v>
      </c>
      <c r="DQ16" s="178">
        <f t="shared" si="26"/>
        <v>0</v>
      </c>
      <c r="DR16" s="176">
        <f t="shared" si="27"/>
        <v>0</v>
      </c>
      <c r="DS16" s="176">
        <f t="shared" si="28"/>
        <v>0</v>
      </c>
      <c r="DT16" s="176">
        <f t="shared" si="29"/>
        <v>0</v>
      </c>
      <c r="DV16" s="1387"/>
      <c r="DW16" s="1387"/>
      <c r="DX16" s="1393"/>
      <c r="DY16" s="1393"/>
      <c r="DZ16" s="1393"/>
      <c r="EA16" s="1393"/>
      <c r="EB16" s="1393"/>
      <c r="EC16" s="1393"/>
      <c r="ED16" s="1393"/>
      <c r="EE16" s="1393"/>
      <c r="EF16" s="1393"/>
      <c r="EG16" s="1393"/>
      <c r="EH16" s="1393"/>
      <c r="EI16" s="1393"/>
      <c r="EJ16" s="1393"/>
      <c r="EK16" s="1393"/>
      <c r="EL16" s="1393"/>
      <c r="EM16" s="1393"/>
      <c r="EN16" s="1379"/>
      <c r="EO16" s="1379"/>
      <c r="EP16" s="1380"/>
      <c r="EQ16" s="1381"/>
      <c r="ER16" s="1381"/>
      <c r="ES16" s="1381"/>
    </row>
    <row r="17" spans="1:149" s="168" customFormat="1" ht="42" customHeight="1">
      <c r="A17" s="204">
        <v>8</v>
      </c>
      <c r="B17" s="202" t="str">
        <f>DT!I10</f>
        <v>PAWENANG</v>
      </c>
      <c r="C17" s="205"/>
      <c r="D17" s="205"/>
      <c r="E17" s="205"/>
      <c r="F17" s="205"/>
      <c r="G17" s="205"/>
      <c r="H17" s="205"/>
      <c r="I17" s="205"/>
      <c r="J17" s="205"/>
      <c r="K17" s="205"/>
      <c r="L17" s="205"/>
      <c r="M17" s="205"/>
      <c r="N17" s="205"/>
      <c r="O17" s="205"/>
      <c r="P17" s="205"/>
      <c r="Q17" s="205"/>
      <c r="R17" s="205"/>
      <c r="S17" s="177">
        <f t="shared" si="0"/>
        <v>0</v>
      </c>
      <c r="T17" s="177">
        <f t="shared" si="1"/>
        <v>0</v>
      </c>
      <c r="U17" s="178">
        <f t="shared" si="2"/>
        <v>0</v>
      </c>
      <c r="V17" s="176">
        <f t="shared" si="3"/>
        <v>0</v>
      </c>
      <c r="W17" s="176">
        <f t="shared" si="4"/>
        <v>0</v>
      </c>
      <c r="X17" s="176">
        <f t="shared" si="5"/>
        <v>0</v>
      </c>
      <c r="Z17" s="204">
        <v>8</v>
      </c>
      <c r="AA17" s="202" t="str">
        <f>$B$17</f>
        <v>PAWENANG</v>
      </c>
      <c r="AB17" s="205"/>
      <c r="AC17" s="205"/>
      <c r="AD17" s="205"/>
      <c r="AE17" s="205"/>
      <c r="AF17" s="205"/>
      <c r="AG17" s="205"/>
      <c r="AH17" s="205"/>
      <c r="AI17" s="205"/>
      <c r="AJ17" s="205"/>
      <c r="AK17" s="205"/>
      <c r="AL17" s="205"/>
      <c r="AM17" s="205"/>
      <c r="AN17" s="205"/>
      <c r="AO17" s="205"/>
      <c r="AP17" s="205"/>
      <c r="AQ17" s="205"/>
      <c r="AR17" s="177">
        <f t="shared" si="6"/>
        <v>0</v>
      </c>
      <c r="AS17" s="177">
        <f t="shared" si="7"/>
        <v>0</v>
      </c>
      <c r="AT17" s="178">
        <f t="shared" si="8"/>
        <v>0</v>
      </c>
      <c r="AU17" s="176">
        <f t="shared" si="9"/>
        <v>0</v>
      </c>
      <c r="AV17" s="176">
        <f t="shared" si="10"/>
        <v>0</v>
      </c>
      <c r="AW17" s="176">
        <f t="shared" si="11"/>
        <v>0</v>
      </c>
      <c r="AY17" s="204">
        <v>8</v>
      </c>
      <c r="AZ17" s="202" t="str">
        <f>$B$17</f>
        <v>PAWENANG</v>
      </c>
      <c r="BA17" s="205"/>
      <c r="BB17" s="205"/>
      <c r="BC17" s="205"/>
      <c r="BD17" s="205"/>
      <c r="BE17" s="205"/>
      <c r="BF17" s="205"/>
      <c r="BG17" s="205"/>
      <c r="BH17" s="205"/>
      <c r="BI17" s="1432"/>
      <c r="BJ17" s="1432"/>
      <c r="BK17" s="205"/>
      <c r="BL17" s="205"/>
      <c r="BM17" s="205"/>
      <c r="BN17" s="205"/>
      <c r="BO17" s="205"/>
      <c r="BP17" s="205"/>
      <c r="BQ17" s="177">
        <f t="shared" si="12"/>
        <v>0</v>
      </c>
      <c r="BR17" s="177">
        <f t="shared" si="13"/>
        <v>0</v>
      </c>
      <c r="BS17" s="178">
        <f t="shared" si="14"/>
        <v>0</v>
      </c>
      <c r="BT17" s="176">
        <f t="shared" si="15"/>
        <v>0</v>
      </c>
      <c r="BU17" s="176">
        <f t="shared" si="16"/>
        <v>0</v>
      </c>
      <c r="BV17" s="176">
        <f t="shared" si="17"/>
        <v>0</v>
      </c>
      <c r="BX17" s="204">
        <v>8</v>
      </c>
      <c r="BY17" s="202" t="str">
        <f>$B$17</f>
        <v>PAWENANG</v>
      </c>
      <c r="BZ17" s="205"/>
      <c r="CA17" s="205"/>
      <c r="CB17" s="205"/>
      <c r="CC17" s="205"/>
      <c r="CD17" s="205"/>
      <c r="CE17" s="205"/>
      <c r="CF17" s="205"/>
      <c r="CG17" s="205"/>
      <c r="CH17" s="1432"/>
      <c r="CI17" s="1432"/>
      <c r="CJ17" s="205"/>
      <c r="CK17" s="205"/>
      <c r="CL17" s="205"/>
      <c r="CM17" s="205"/>
      <c r="CN17" s="205"/>
      <c r="CO17" s="205"/>
      <c r="CP17" s="177">
        <f t="shared" si="18"/>
        <v>0</v>
      </c>
      <c r="CQ17" s="177">
        <f t="shared" si="19"/>
        <v>0</v>
      </c>
      <c r="CR17" s="178">
        <f t="shared" si="20"/>
        <v>0</v>
      </c>
      <c r="CS17" s="176">
        <f t="shared" si="21"/>
        <v>0</v>
      </c>
      <c r="CT17" s="176">
        <f t="shared" si="22"/>
        <v>0</v>
      </c>
      <c r="CU17" s="176">
        <f t="shared" si="23"/>
        <v>0</v>
      </c>
      <c r="CW17" s="204">
        <v>8</v>
      </c>
      <c r="CX17" s="202" t="str">
        <f>$B$17</f>
        <v>PAWENANG</v>
      </c>
      <c r="CY17" s="205"/>
      <c r="CZ17" s="205"/>
      <c r="DA17" s="205"/>
      <c r="DB17" s="205"/>
      <c r="DC17" s="205"/>
      <c r="DD17" s="205"/>
      <c r="DE17" s="205"/>
      <c r="DF17" s="205"/>
      <c r="DG17" s="1432"/>
      <c r="DH17" s="1432"/>
      <c r="DI17" s="205"/>
      <c r="DJ17" s="205"/>
      <c r="DK17" s="205"/>
      <c r="DL17" s="205"/>
      <c r="DM17" s="205"/>
      <c r="DN17" s="205"/>
      <c r="DO17" s="177">
        <f t="shared" si="24"/>
        <v>0</v>
      </c>
      <c r="DP17" s="177">
        <f t="shared" si="25"/>
        <v>0</v>
      </c>
      <c r="DQ17" s="178">
        <f t="shared" si="26"/>
        <v>0</v>
      </c>
      <c r="DR17" s="176">
        <f t="shared" si="27"/>
        <v>0</v>
      </c>
      <c r="DS17" s="176">
        <f t="shared" si="28"/>
        <v>0</v>
      </c>
      <c r="DT17" s="176">
        <f t="shared" si="29"/>
        <v>0</v>
      </c>
      <c r="DV17" s="1387"/>
      <c r="DW17" s="1387"/>
      <c r="DX17" s="1393"/>
      <c r="DY17" s="1393"/>
      <c r="DZ17" s="1393"/>
      <c r="EA17" s="1393"/>
      <c r="EB17" s="1393"/>
      <c r="EC17" s="1393"/>
      <c r="ED17" s="1393"/>
      <c r="EE17" s="1393"/>
      <c r="EF17" s="1393"/>
      <c r="EG17" s="1393"/>
      <c r="EH17" s="1393"/>
      <c r="EI17" s="1393"/>
      <c r="EJ17" s="1393"/>
      <c r="EK17" s="1393"/>
      <c r="EL17" s="1393"/>
      <c r="EM17" s="1393"/>
      <c r="EN17" s="1379"/>
      <c r="EO17" s="1379"/>
      <c r="EP17" s="1380"/>
      <c r="EQ17" s="1381"/>
      <c r="ER17" s="1381"/>
      <c r="ES17" s="1381"/>
    </row>
    <row r="18" spans="1:149" s="168" customFormat="1" ht="42" customHeight="1">
      <c r="A18" s="204">
        <v>9</v>
      </c>
      <c r="B18" s="202" t="str">
        <f>DT!I11</f>
        <v>CISARUA</v>
      </c>
      <c r="C18" s="205"/>
      <c r="D18" s="205"/>
      <c r="E18" s="205"/>
      <c r="F18" s="205"/>
      <c r="G18" s="205"/>
      <c r="H18" s="205"/>
      <c r="I18" s="205"/>
      <c r="J18" s="205"/>
      <c r="K18" s="205"/>
      <c r="L18" s="205"/>
      <c r="M18" s="206"/>
      <c r="N18" s="206"/>
      <c r="O18" s="205"/>
      <c r="P18" s="205"/>
      <c r="Q18" s="205"/>
      <c r="R18" s="205"/>
      <c r="S18" s="177">
        <f t="shared" si="0"/>
        <v>0</v>
      </c>
      <c r="T18" s="177">
        <f t="shared" si="1"/>
        <v>0</v>
      </c>
      <c r="U18" s="178">
        <f t="shared" si="2"/>
        <v>0</v>
      </c>
      <c r="V18" s="176">
        <f t="shared" si="3"/>
        <v>0</v>
      </c>
      <c r="W18" s="176">
        <f t="shared" si="4"/>
        <v>0</v>
      </c>
      <c r="X18" s="176">
        <f t="shared" si="5"/>
        <v>0</v>
      </c>
      <c r="Z18" s="204">
        <v>9</v>
      </c>
      <c r="AA18" s="202" t="str">
        <f>$B$18</f>
        <v>CISARUA</v>
      </c>
      <c r="AB18" s="205"/>
      <c r="AC18" s="205"/>
      <c r="AD18" s="205"/>
      <c r="AE18" s="205"/>
      <c r="AF18" s="205"/>
      <c r="AG18" s="205"/>
      <c r="AH18" s="205"/>
      <c r="AI18" s="205"/>
      <c r="AJ18" s="205"/>
      <c r="AK18" s="205"/>
      <c r="AL18" s="206"/>
      <c r="AM18" s="206"/>
      <c r="AN18" s="205"/>
      <c r="AO18" s="205"/>
      <c r="AP18" s="205"/>
      <c r="AQ18" s="205"/>
      <c r="AR18" s="177">
        <f t="shared" si="6"/>
        <v>0</v>
      </c>
      <c r="AS18" s="177">
        <f t="shared" si="7"/>
        <v>0</v>
      </c>
      <c r="AT18" s="178">
        <f t="shared" si="8"/>
        <v>0</v>
      </c>
      <c r="AU18" s="176">
        <f t="shared" si="9"/>
        <v>0</v>
      </c>
      <c r="AV18" s="176">
        <f t="shared" si="10"/>
        <v>0</v>
      </c>
      <c r="AW18" s="176">
        <f t="shared" si="11"/>
        <v>0</v>
      </c>
      <c r="AY18" s="204">
        <v>9</v>
      </c>
      <c r="AZ18" s="202" t="str">
        <f>$B$18</f>
        <v>CISARUA</v>
      </c>
      <c r="BA18" s="205"/>
      <c r="BB18" s="205"/>
      <c r="BC18" s="205"/>
      <c r="BD18" s="205"/>
      <c r="BE18" s="205"/>
      <c r="BF18" s="205"/>
      <c r="BG18" s="205"/>
      <c r="BH18" s="205"/>
      <c r="BI18" s="1432"/>
      <c r="BJ18" s="1432"/>
      <c r="BK18" s="206"/>
      <c r="BL18" s="206"/>
      <c r="BM18" s="205"/>
      <c r="BN18" s="205"/>
      <c r="BO18" s="205"/>
      <c r="BP18" s="205"/>
      <c r="BQ18" s="177">
        <f t="shared" si="12"/>
        <v>0</v>
      </c>
      <c r="BR18" s="177">
        <f t="shared" si="13"/>
        <v>0</v>
      </c>
      <c r="BS18" s="178">
        <f t="shared" si="14"/>
        <v>0</v>
      </c>
      <c r="BT18" s="176">
        <f t="shared" si="15"/>
        <v>0</v>
      </c>
      <c r="BU18" s="176">
        <f t="shared" si="16"/>
        <v>0</v>
      </c>
      <c r="BV18" s="176">
        <f t="shared" si="17"/>
        <v>0</v>
      </c>
      <c r="BX18" s="204">
        <v>9</v>
      </c>
      <c r="BY18" s="202" t="str">
        <f>$B$18</f>
        <v>CISARUA</v>
      </c>
      <c r="BZ18" s="205"/>
      <c r="CA18" s="205"/>
      <c r="CB18" s="205"/>
      <c r="CC18" s="205"/>
      <c r="CD18" s="205"/>
      <c r="CE18" s="205"/>
      <c r="CF18" s="205"/>
      <c r="CG18" s="205"/>
      <c r="CH18" s="1432"/>
      <c r="CI18" s="1432"/>
      <c r="CJ18" s="206"/>
      <c r="CK18" s="206"/>
      <c r="CL18" s="205"/>
      <c r="CM18" s="205"/>
      <c r="CN18" s="205"/>
      <c r="CO18" s="205"/>
      <c r="CP18" s="177">
        <f t="shared" si="18"/>
        <v>0</v>
      </c>
      <c r="CQ18" s="177">
        <f t="shared" si="19"/>
        <v>0</v>
      </c>
      <c r="CR18" s="178">
        <f t="shared" si="20"/>
        <v>0</v>
      </c>
      <c r="CS18" s="176">
        <f t="shared" si="21"/>
        <v>0</v>
      </c>
      <c r="CT18" s="176">
        <f t="shared" si="22"/>
        <v>0</v>
      </c>
      <c r="CU18" s="176">
        <f t="shared" si="23"/>
        <v>0</v>
      </c>
      <c r="CW18" s="204">
        <v>9</v>
      </c>
      <c r="CX18" s="202" t="str">
        <f>$B$18</f>
        <v>CISARUA</v>
      </c>
      <c r="CY18" s="205"/>
      <c r="CZ18" s="205"/>
      <c r="DA18" s="205"/>
      <c r="DB18" s="205"/>
      <c r="DC18" s="205"/>
      <c r="DD18" s="205"/>
      <c r="DE18" s="205"/>
      <c r="DF18" s="205"/>
      <c r="DG18" s="1432"/>
      <c r="DH18" s="1432"/>
      <c r="DI18" s="206"/>
      <c r="DJ18" s="206"/>
      <c r="DK18" s="205"/>
      <c r="DL18" s="205"/>
      <c r="DM18" s="205"/>
      <c r="DN18" s="205"/>
      <c r="DO18" s="177">
        <f t="shared" si="24"/>
        <v>0</v>
      </c>
      <c r="DP18" s="177">
        <f t="shared" si="25"/>
        <v>0</v>
      </c>
      <c r="DQ18" s="178">
        <f t="shared" si="26"/>
        <v>0</v>
      </c>
      <c r="DR18" s="176">
        <f t="shared" si="27"/>
        <v>0</v>
      </c>
      <c r="DS18" s="176">
        <f t="shared" si="28"/>
        <v>0</v>
      </c>
      <c r="DT18" s="176">
        <f t="shared" si="29"/>
        <v>0</v>
      </c>
      <c r="DV18" s="1387"/>
      <c r="DW18" s="1387"/>
      <c r="DX18" s="1393"/>
      <c r="DY18" s="1393"/>
      <c r="DZ18" s="1393"/>
      <c r="EA18" s="1393"/>
      <c r="EB18" s="1393"/>
      <c r="EC18" s="1393"/>
      <c r="ED18" s="1393"/>
      <c r="EE18" s="1393"/>
      <c r="EF18" s="1393"/>
      <c r="EG18" s="1393"/>
      <c r="EH18" s="1393"/>
      <c r="EI18" s="1393"/>
      <c r="EJ18" s="1393"/>
      <c r="EK18" s="1393"/>
      <c r="EL18" s="1393"/>
      <c r="EM18" s="1393"/>
      <c r="EN18" s="1379"/>
      <c r="EO18" s="1379"/>
      <c r="EP18" s="1380"/>
      <c r="EQ18" s="1381"/>
      <c r="ER18" s="1381"/>
      <c r="ES18" s="1381"/>
    </row>
    <row r="19" spans="1:149" s="168" customFormat="1" ht="42" customHeight="1">
      <c r="A19" s="204">
        <v>10</v>
      </c>
      <c r="B19" s="202" t="str">
        <f>DT!I12</f>
        <v>GIRIJAYA</v>
      </c>
      <c r="C19" s="207"/>
      <c r="D19" s="207"/>
      <c r="E19" s="206"/>
      <c r="F19" s="206"/>
      <c r="G19" s="206"/>
      <c r="H19" s="206"/>
      <c r="I19" s="206"/>
      <c r="J19" s="206"/>
      <c r="K19" s="206"/>
      <c r="L19" s="206"/>
      <c r="M19" s="206"/>
      <c r="N19" s="206"/>
      <c r="O19" s="206"/>
      <c r="P19" s="206"/>
      <c r="Q19" s="206"/>
      <c r="R19" s="206"/>
      <c r="S19" s="177">
        <f t="shared" si="0"/>
        <v>0</v>
      </c>
      <c r="T19" s="177">
        <f t="shared" si="1"/>
        <v>0</v>
      </c>
      <c r="U19" s="178">
        <f t="shared" si="2"/>
        <v>0</v>
      </c>
      <c r="V19" s="176">
        <f t="shared" si="3"/>
        <v>0</v>
      </c>
      <c r="W19" s="176">
        <f t="shared" si="4"/>
        <v>0</v>
      </c>
      <c r="X19" s="176">
        <f t="shared" si="5"/>
        <v>0</v>
      </c>
      <c r="Z19" s="204">
        <v>10</v>
      </c>
      <c r="AA19" s="202" t="str">
        <f>$B$19</f>
        <v>GIRIJAYA</v>
      </c>
      <c r="AB19" s="207"/>
      <c r="AC19" s="207"/>
      <c r="AD19" s="206"/>
      <c r="AE19" s="206"/>
      <c r="AF19" s="206"/>
      <c r="AG19" s="206"/>
      <c r="AH19" s="206"/>
      <c r="AI19" s="206"/>
      <c r="AJ19" s="206"/>
      <c r="AK19" s="206"/>
      <c r="AL19" s="206"/>
      <c r="AM19" s="206"/>
      <c r="AN19" s="206"/>
      <c r="AO19" s="206"/>
      <c r="AP19" s="206"/>
      <c r="AQ19" s="206"/>
      <c r="AR19" s="177">
        <f t="shared" si="6"/>
        <v>0</v>
      </c>
      <c r="AS19" s="177">
        <f t="shared" si="7"/>
        <v>0</v>
      </c>
      <c r="AT19" s="178">
        <f t="shared" si="8"/>
        <v>0</v>
      </c>
      <c r="AU19" s="176">
        <f t="shared" si="9"/>
        <v>0</v>
      </c>
      <c r="AV19" s="176">
        <f t="shared" si="10"/>
        <v>0</v>
      </c>
      <c r="AW19" s="176">
        <f t="shared" si="11"/>
        <v>0</v>
      </c>
      <c r="AY19" s="204">
        <v>10</v>
      </c>
      <c r="AZ19" s="202" t="str">
        <f>$B$19</f>
        <v>GIRIJAYA</v>
      </c>
      <c r="BA19" s="207"/>
      <c r="BB19" s="207"/>
      <c r="BC19" s="206"/>
      <c r="BD19" s="206"/>
      <c r="BE19" s="206"/>
      <c r="BF19" s="206"/>
      <c r="BG19" s="206"/>
      <c r="BH19" s="206"/>
      <c r="BI19" s="1433"/>
      <c r="BJ19" s="1433"/>
      <c r="BK19" s="206"/>
      <c r="BL19" s="206"/>
      <c r="BM19" s="206"/>
      <c r="BN19" s="206"/>
      <c r="BO19" s="206"/>
      <c r="BP19" s="206"/>
      <c r="BQ19" s="177">
        <f t="shared" si="12"/>
        <v>0</v>
      </c>
      <c r="BR19" s="177">
        <f t="shared" si="13"/>
        <v>0</v>
      </c>
      <c r="BS19" s="178">
        <f t="shared" si="14"/>
        <v>0</v>
      </c>
      <c r="BT19" s="176">
        <f t="shared" si="15"/>
        <v>0</v>
      </c>
      <c r="BU19" s="176">
        <f t="shared" si="16"/>
        <v>0</v>
      </c>
      <c r="BV19" s="176">
        <f t="shared" si="17"/>
        <v>0</v>
      </c>
      <c r="BX19" s="204">
        <v>10</v>
      </c>
      <c r="BY19" s="202" t="str">
        <f>$B$19</f>
        <v>GIRIJAYA</v>
      </c>
      <c r="BZ19" s="207"/>
      <c r="CA19" s="207"/>
      <c r="CB19" s="206"/>
      <c r="CC19" s="206"/>
      <c r="CD19" s="206"/>
      <c r="CE19" s="206"/>
      <c r="CF19" s="206"/>
      <c r="CG19" s="206"/>
      <c r="CH19" s="1433"/>
      <c r="CI19" s="1433"/>
      <c r="CJ19" s="206"/>
      <c r="CK19" s="206"/>
      <c r="CL19" s="206"/>
      <c r="CM19" s="206"/>
      <c r="CN19" s="206"/>
      <c r="CO19" s="206"/>
      <c r="CP19" s="177">
        <f t="shared" si="18"/>
        <v>0</v>
      </c>
      <c r="CQ19" s="177">
        <f t="shared" si="19"/>
        <v>0</v>
      </c>
      <c r="CR19" s="178">
        <f t="shared" si="20"/>
        <v>0</v>
      </c>
      <c r="CS19" s="176">
        <f t="shared" si="21"/>
        <v>0</v>
      </c>
      <c r="CT19" s="176">
        <f t="shared" si="22"/>
        <v>0</v>
      </c>
      <c r="CU19" s="176">
        <f t="shared" si="23"/>
        <v>0</v>
      </c>
      <c r="CW19" s="204">
        <v>10</v>
      </c>
      <c r="CX19" s="202" t="str">
        <f>$B$19</f>
        <v>GIRIJAYA</v>
      </c>
      <c r="CY19" s="207"/>
      <c r="CZ19" s="207"/>
      <c r="DA19" s="206"/>
      <c r="DB19" s="206"/>
      <c r="DC19" s="206"/>
      <c r="DD19" s="206"/>
      <c r="DE19" s="206"/>
      <c r="DF19" s="206"/>
      <c r="DG19" s="1433"/>
      <c r="DH19" s="1433"/>
      <c r="DI19" s="206"/>
      <c r="DJ19" s="206"/>
      <c r="DK19" s="206"/>
      <c r="DL19" s="206"/>
      <c r="DM19" s="206"/>
      <c r="DN19" s="206"/>
      <c r="DO19" s="177">
        <f t="shared" si="24"/>
        <v>0</v>
      </c>
      <c r="DP19" s="177">
        <f t="shared" si="25"/>
        <v>0</v>
      </c>
      <c r="DQ19" s="178">
        <f t="shared" si="26"/>
        <v>0</v>
      </c>
      <c r="DR19" s="176">
        <f t="shared" si="27"/>
        <v>0</v>
      </c>
      <c r="DS19" s="176">
        <f t="shared" si="28"/>
        <v>0</v>
      </c>
      <c r="DT19" s="176">
        <f t="shared" si="29"/>
        <v>0</v>
      </c>
      <c r="DV19" s="1387"/>
      <c r="DW19" s="1387"/>
      <c r="DX19" s="1393"/>
      <c r="DY19" s="1393"/>
      <c r="DZ19" s="1393"/>
      <c r="EA19" s="1393"/>
      <c r="EB19" s="1393"/>
      <c r="EC19" s="1393"/>
      <c r="ED19" s="1393"/>
      <c r="EE19" s="1393"/>
      <c r="EF19" s="1393"/>
      <c r="EG19" s="1393"/>
      <c r="EH19" s="1393"/>
      <c r="EI19" s="1393"/>
      <c r="EJ19" s="1393"/>
      <c r="EK19" s="1393"/>
      <c r="EL19" s="1393"/>
      <c r="EM19" s="1393"/>
      <c r="EN19" s="1379"/>
      <c r="EO19" s="1379"/>
      <c r="EP19" s="1380"/>
      <c r="EQ19" s="1381"/>
      <c r="ER19" s="1381"/>
      <c r="ES19" s="1381"/>
    </row>
    <row r="20" spans="1:149" s="168" customFormat="1" ht="42" customHeight="1">
      <c r="A20" s="204">
        <v>11</v>
      </c>
      <c r="B20" s="202">
        <f>DT!I13</f>
        <v>0</v>
      </c>
      <c r="C20" s="207"/>
      <c r="D20" s="207"/>
      <c r="E20" s="206"/>
      <c r="F20" s="206"/>
      <c r="G20" s="206"/>
      <c r="H20" s="206"/>
      <c r="I20" s="206"/>
      <c r="J20" s="206"/>
      <c r="K20" s="206"/>
      <c r="L20" s="206"/>
      <c r="M20" s="206"/>
      <c r="N20" s="206"/>
      <c r="O20" s="206"/>
      <c r="P20" s="206"/>
      <c r="Q20" s="206"/>
      <c r="R20" s="206"/>
      <c r="S20" s="177">
        <f t="shared" si="0"/>
        <v>0</v>
      </c>
      <c r="T20" s="177">
        <f t="shared" si="1"/>
        <v>0</v>
      </c>
      <c r="U20" s="178">
        <f t="shared" ref="U20:U25" si="30">IF(S20=0,0,T20/S20)</f>
        <v>0</v>
      </c>
      <c r="V20" s="176">
        <f t="shared" ref="V20:V25" si="31">SUM(S20-T20)</f>
        <v>0</v>
      </c>
      <c r="W20" s="176">
        <f t="shared" ref="W20:W25" si="32">SUM(O20-P20)</f>
        <v>0</v>
      </c>
      <c r="X20" s="176">
        <f t="shared" ref="X20:X25" si="33">SUM(Q20-R20)</f>
        <v>0</v>
      </c>
      <c r="Z20" s="204">
        <v>11</v>
      </c>
      <c r="AA20" s="202">
        <f>$B$20</f>
        <v>0</v>
      </c>
      <c r="AB20" s="207"/>
      <c r="AC20" s="207"/>
      <c r="AD20" s="206"/>
      <c r="AE20" s="206"/>
      <c r="AF20" s="206"/>
      <c r="AG20" s="206"/>
      <c r="AH20" s="206"/>
      <c r="AI20" s="206"/>
      <c r="AJ20" s="206"/>
      <c r="AK20" s="206"/>
      <c r="AL20" s="206"/>
      <c r="AM20" s="206"/>
      <c r="AN20" s="206"/>
      <c r="AO20" s="206"/>
      <c r="AP20" s="206"/>
      <c r="AQ20" s="206"/>
      <c r="AR20" s="177">
        <f t="shared" si="6"/>
        <v>0</v>
      </c>
      <c r="AS20" s="177">
        <f t="shared" si="7"/>
        <v>0</v>
      </c>
      <c r="AT20" s="178">
        <f t="shared" si="8"/>
        <v>0</v>
      </c>
      <c r="AU20" s="176">
        <f t="shared" si="9"/>
        <v>0</v>
      </c>
      <c r="AV20" s="176">
        <f t="shared" si="10"/>
        <v>0</v>
      </c>
      <c r="AW20" s="176">
        <f t="shared" si="11"/>
        <v>0</v>
      </c>
      <c r="AY20" s="204">
        <v>11</v>
      </c>
      <c r="AZ20" s="202">
        <f>$B$20</f>
        <v>0</v>
      </c>
      <c r="BA20" s="207"/>
      <c r="BB20" s="207"/>
      <c r="BC20" s="206"/>
      <c r="BD20" s="206"/>
      <c r="BE20" s="206"/>
      <c r="BF20" s="206"/>
      <c r="BG20" s="206"/>
      <c r="BH20" s="206"/>
      <c r="BI20" s="1433"/>
      <c r="BJ20" s="1433"/>
      <c r="BK20" s="206"/>
      <c r="BL20" s="206"/>
      <c r="BM20" s="206"/>
      <c r="BN20" s="206"/>
      <c r="BO20" s="206"/>
      <c r="BP20" s="206"/>
      <c r="BQ20" s="177">
        <f t="shared" si="12"/>
        <v>0</v>
      </c>
      <c r="BR20" s="177">
        <f t="shared" si="13"/>
        <v>0</v>
      </c>
      <c r="BS20" s="178">
        <f t="shared" si="14"/>
        <v>0</v>
      </c>
      <c r="BT20" s="176">
        <f t="shared" si="15"/>
        <v>0</v>
      </c>
      <c r="BU20" s="176">
        <f t="shared" si="16"/>
        <v>0</v>
      </c>
      <c r="BV20" s="176">
        <f t="shared" si="17"/>
        <v>0</v>
      </c>
      <c r="BX20" s="204">
        <v>11</v>
      </c>
      <c r="BY20" s="202">
        <f>$B$20</f>
        <v>0</v>
      </c>
      <c r="BZ20" s="207"/>
      <c r="CA20" s="207"/>
      <c r="CB20" s="206"/>
      <c r="CC20" s="206"/>
      <c r="CD20" s="206"/>
      <c r="CE20" s="206"/>
      <c r="CF20" s="206"/>
      <c r="CG20" s="206"/>
      <c r="CH20" s="1433"/>
      <c r="CI20" s="1433"/>
      <c r="CJ20" s="206"/>
      <c r="CK20" s="206"/>
      <c r="CL20" s="206"/>
      <c r="CM20" s="206"/>
      <c r="CN20" s="206"/>
      <c r="CO20" s="206"/>
      <c r="CP20" s="177">
        <f t="shared" si="18"/>
        <v>0</v>
      </c>
      <c r="CQ20" s="177">
        <f t="shared" si="19"/>
        <v>0</v>
      </c>
      <c r="CR20" s="178">
        <f t="shared" si="20"/>
        <v>0</v>
      </c>
      <c r="CS20" s="176">
        <f t="shared" si="21"/>
        <v>0</v>
      </c>
      <c r="CT20" s="176">
        <f t="shared" si="22"/>
        <v>0</v>
      </c>
      <c r="CU20" s="176">
        <f t="shared" si="23"/>
        <v>0</v>
      </c>
      <c r="CW20" s="204">
        <v>11</v>
      </c>
      <c r="CX20" s="202">
        <f>$B$20</f>
        <v>0</v>
      </c>
      <c r="CY20" s="207"/>
      <c r="CZ20" s="207"/>
      <c r="DA20" s="206"/>
      <c r="DB20" s="206"/>
      <c r="DC20" s="206"/>
      <c r="DD20" s="206"/>
      <c r="DE20" s="206"/>
      <c r="DF20" s="206"/>
      <c r="DG20" s="1433"/>
      <c r="DH20" s="1433"/>
      <c r="DI20" s="206"/>
      <c r="DJ20" s="206"/>
      <c r="DK20" s="206"/>
      <c r="DL20" s="206"/>
      <c r="DM20" s="206"/>
      <c r="DN20" s="206"/>
      <c r="DO20" s="177">
        <f t="shared" si="24"/>
        <v>0</v>
      </c>
      <c r="DP20" s="177">
        <f t="shared" si="25"/>
        <v>0</v>
      </c>
      <c r="DQ20" s="178">
        <f t="shared" si="26"/>
        <v>0</v>
      </c>
      <c r="DR20" s="176">
        <f t="shared" si="27"/>
        <v>0</v>
      </c>
      <c r="DS20" s="176">
        <f t="shared" si="28"/>
        <v>0</v>
      </c>
      <c r="DT20" s="176">
        <f t="shared" si="29"/>
        <v>0</v>
      </c>
      <c r="DV20" s="1387"/>
      <c r="DW20" s="1387"/>
      <c r="DX20" s="1393"/>
      <c r="DY20" s="1393"/>
      <c r="DZ20" s="1393"/>
      <c r="EA20" s="1393"/>
      <c r="EB20" s="1393"/>
      <c r="EC20" s="1393"/>
      <c r="ED20" s="1393"/>
      <c r="EE20" s="1393"/>
      <c r="EF20" s="1393"/>
      <c r="EG20" s="1393"/>
      <c r="EH20" s="1393"/>
      <c r="EI20" s="1393"/>
      <c r="EJ20" s="1393"/>
      <c r="EK20" s="1393"/>
      <c r="EL20" s="1393"/>
      <c r="EM20" s="1393"/>
      <c r="EN20" s="1379"/>
      <c r="EO20" s="1379"/>
      <c r="EP20" s="1380"/>
      <c r="EQ20" s="1381"/>
      <c r="ER20" s="1381"/>
      <c r="ES20" s="1381"/>
    </row>
    <row r="21" spans="1:149" s="168" customFormat="1" ht="42" customHeight="1">
      <c r="A21" s="204">
        <v>12</v>
      </c>
      <c r="B21" s="202">
        <f>DT!I14</f>
        <v>0</v>
      </c>
      <c r="C21" s="207"/>
      <c r="D21" s="207"/>
      <c r="E21" s="206"/>
      <c r="F21" s="206"/>
      <c r="G21" s="206"/>
      <c r="H21" s="206"/>
      <c r="I21" s="206"/>
      <c r="J21" s="206"/>
      <c r="K21" s="206"/>
      <c r="L21" s="206"/>
      <c r="M21" s="206"/>
      <c r="N21" s="206"/>
      <c r="O21" s="206"/>
      <c r="P21" s="206"/>
      <c r="Q21" s="206"/>
      <c r="R21" s="206"/>
      <c r="S21" s="177">
        <f t="shared" si="0"/>
        <v>0</v>
      </c>
      <c r="T21" s="177">
        <f t="shared" si="1"/>
        <v>0</v>
      </c>
      <c r="U21" s="178">
        <f t="shared" si="30"/>
        <v>0</v>
      </c>
      <c r="V21" s="176">
        <f t="shared" si="31"/>
        <v>0</v>
      </c>
      <c r="W21" s="176">
        <f t="shared" si="32"/>
        <v>0</v>
      </c>
      <c r="X21" s="176">
        <f t="shared" si="33"/>
        <v>0</v>
      </c>
      <c r="Z21" s="204">
        <v>12</v>
      </c>
      <c r="AA21" s="202">
        <f>$B$21</f>
        <v>0</v>
      </c>
      <c r="AB21" s="207"/>
      <c r="AC21" s="207"/>
      <c r="AD21" s="206"/>
      <c r="AE21" s="206"/>
      <c r="AF21" s="206"/>
      <c r="AG21" s="206"/>
      <c r="AH21" s="206"/>
      <c r="AI21" s="206"/>
      <c r="AJ21" s="206"/>
      <c r="AK21" s="206"/>
      <c r="AL21" s="206"/>
      <c r="AM21" s="206"/>
      <c r="AN21" s="206"/>
      <c r="AO21" s="206"/>
      <c r="AP21" s="206"/>
      <c r="AQ21" s="206"/>
      <c r="AR21" s="177">
        <f t="shared" si="6"/>
        <v>0</v>
      </c>
      <c r="AS21" s="177">
        <f t="shared" si="7"/>
        <v>0</v>
      </c>
      <c r="AT21" s="178">
        <f t="shared" si="8"/>
        <v>0</v>
      </c>
      <c r="AU21" s="176">
        <f t="shared" si="9"/>
        <v>0</v>
      </c>
      <c r="AV21" s="176">
        <f t="shared" si="10"/>
        <v>0</v>
      </c>
      <c r="AW21" s="176">
        <f t="shared" si="11"/>
        <v>0</v>
      </c>
      <c r="AY21" s="204">
        <v>12</v>
      </c>
      <c r="AZ21" s="202">
        <f>$B$21</f>
        <v>0</v>
      </c>
      <c r="BA21" s="207"/>
      <c r="BB21" s="207"/>
      <c r="BC21" s="206"/>
      <c r="BD21" s="206"/>
      <c r="BE21" s="206"/>
      <c r="BF21" s="206"/>
      <c r="BG21" s="206"/>
      <c r="BH21" s="206"/>
      <c r="BI21" s="1433"/>
      <c r="BJ21" s="1433"/>
      <c r="BK21" s="206"/>
      <c r="BL21" s="206"/>
      <c r="BM21" s="206"/>
      <c r="BN21" s="206"/>
      <c r="BO21" s="206"/>
      <c r="BP21" s="206"/>
      <c r="BQ21" s="177">
        <f t="shared" si="12"/>
        <v>0</v>
      </c>
      <c r="BR21" s="177">
        <f t="shared" si="13"/>
        <v>0</v>
      </c>
      <c r="BS21" s="178">
        <f t="shared" si="14"/>
        <v>0</v>
      </c>
      <c r="BT21" s="176">
        <f t="shared" si="15"/>
        <v>0</v>
      </c>
      <c r="BU21" s="176">
        <f t="shared" si="16"/>
        <v>0</v>
      </c>
      <c r="BV21" s="176">
        <f t="shared" si="17"/>
        <v>0</v>
      </c>
      <c r="BX21" s="204">
        <v>12</v>
      </c>
      <c r="BY21" s="202">
        <f>$B$21</f>
        <v>0</v>
      </c>
      <c r="BZ21" s="207"/>
      <c r="CA21" s="207"/>
      <c r="CB21" s="206"/>
      <c r="CC21" s="206"/>
      <c r="CD21" s="206"/>
      <c r="CE21" s="206"/>
      <c r="CF21" s="206"/>
      <c r="CG21" s="206"/>
      <c r="CH21" s="1433"/>
      <c r="CI21" s="1433"/>
      <c r="CJ21" s="206"/>
      <c r="CK21" s="206"/>
      <c r="CL21" s="206"/>
      <c r="CM21" s="206"/>
      <c r="CN21" s="206"/>
      <c r="CO21" s="206"/>
      <c r="CP21" s="177">
        <f t="shared" si="18"/>
        <v>0</v>
      </c>
      <c r="CQ21" s="177">
        <f t="shared" si="19"/>
        <v>0</v>
      </c>
      <c r="CR21" s="178">
        <f t="shared" si="20"/>
        <v>0</v>
      </c>
      <c r="CS21" s="176">
        <f t="shared" si="21"/>
        <v>0</v>
      </c>
      <c r="CT21" s="176">
        <f t="shared" si="22"/>
        <v>0</v>
      </c>
      <c r="CU21" s="176">
        <f t="shared" si="23"/>
        <v>0</v>
      </c>
      <c r="CW21" s="204">
        <v>12</v>
      </c>
      <c r="CX21" s="202">
        <f>$B$21</f>
        <v>0</v>
      </c>
      <c r="CY21" s="207"/>
      <c r="CZ21" s="207"/>
      <c r="DA21" s="206"/>
      <c r="DB21" s="206"/>
      <c r="DC21" s="206"/>
      <c r="DD21" s="206"/>
      <c r="DE21" s="206"/>
      <c r="DF21" s="206"/>
      <c r="DG21" s="1433"/>
      <c r="DH21" s="1433"/>
      <c r="DI21" s="206"/>
      <c r="DJ21" s="206"/>
      <c r="DK21" s="206"/>
      <c r="DL21" s="206"/>
      <c r="DM21" s="206"/>
      <c r="DN21" s="206"/>
      <c r="DO21" s="177">
        <f t="shared" si="24"/>
        <v>0</v>
      </c>
      <c r="DP21" s="177">
        <f t="shared" si="25"/>
        <v>0</v>
      </c>
      <c r="DQ21" s="178">
        <f t="shared" si="26"/>
        <v>0</v>
      </c>
      <c r="DR21" s="176">
        <f t="shared" si="27"/>
        <v>0</v>
      </c>
      <c r="DS21" s="176">
        <f t="shared" si="28"/>
        <v>0</v>
      </c>
      <c r="DT21" s="176">
        <f t="shared" si="29"/>
        <v>0</v>
      </c>
      <c r="DV21" s="1387"/>
      <c r="DW21" s="1387"/>
      <c r="DX21" s="1393"/>
      <c r="DY21" s="1393"/>
      <c r="DZ21" s="1393"/>
      <c r="EA21" s="1393"/>
      <c r="EB21" s="1393"/>
      <c r="EC21" s="1393"/>
      <c r="ED21" s="1393"/>
      <c r="EE21" s="1393"/>
      <c r="EF21" s="1393"/>
      <c r="EG21" s="1393"/>
      <c r="EH21" s="1393"/>
      <c r="EI21" s="1393"/>
      <c r="EJ21" s="1393"/>
      <c r="EK21" s="1393"/>
      <c r="EL21" s="1393"/>
      <c r="EM21" s="1393"/>
      <c r="EN21" s="1379"/>
      <c r="EO21" s="1379"/>
      <c r="EP21" s="1380"/>
      <c r="EQ21" s="1381"/>
      <c r="ER21" s="1381"/>
      <c r="ES21" s="1381"/>
    </row>
    <row r="22" spans="1:149" s="168" customFormat="1" ht="42" customHeight="1">
      <c r="A22" s="204">
        <v>13</v>
      </c>
      <c r="B22" s="202">
        <f>DT!I15</f>
        <v>0</v>
      </c>
      <c r="C22" s="207"/>
      <c r="D22" s="207"/>
      <c r="E22" s="206"/>
      <c r="F22" s="206"/>
      <c r="G22" s="206"/>
      <c r="H22" s="206"/>
      <c r="I22" s="206"/>
      <c r="J22" s="206"/>
      <c r="K22" s="206"/>
      <c r="L22" s="206"/>
      <c r="M22" s="206"/>
      <c r="N22" s="206"/>
      <c r="O22" s="206"/>
      <c r="P22" s="206"/>
      <c r="Q22" s="206"/>
      <c r="R22" s="206"/>
      <c r="S22" s="177">
        <f t="shared" si="0"/>
        <v>0</v>
      </c>
      <c r="T22" s="177">
        <f t="shared" si="1"/>
        <v>0</v>
      </c>
      <c r="U22" s="178">
        <f t="shared" si="30"/>
        <v>0</v>
      </c>
      <c r="V22" s="176">
        <f t="shared" si="31"/>
        <v>0</v>
      </c>
      <c r="W22" s="176">
        <f t="shared" si="32"/>
        <v>0</v>
      </c>
      <c r="X22" s="176">
        <f t="shared" si="33"/>
        <v>0</v>
      </c>
      <c r="Z22" s="204">
        <v>13</v>
      </c>
      <c r="AA22" s="202">
        <f>$B$22</f>
        <v>0</v>
      </c>
      <c r="AB22" s="207"/>
      <c r="AC22" s="207"/>
      <c r="AD22" s="206"/>
      <c r="AE22" s="206"/>
      <c r="AF22" s="206"/>
      <c r="AG22" s="206"/>
      <c r="AH22" s="206"/>
      <c r="AI22" s="206"/>
      <c r="AJ22" s="206"/>
      <c r="AK22" s="206"/>
      <c r="AL22" s="206"/>
      <c r="AM22" s="206"/>
      <c r="AN22" s="206"/>
      <c r="AO22" s="206"/>
      <c r="AP22" s="206"/>
      <c r="AQ22" s="206"/>
      <c r="AR22" s="177">
        <f t="shared" si="6"/>
        <v>0</v>
      </c>
      <c r="AS22" s="177">
        <f t="shared" si="7"/>
        <v>0</v>
      </c>
      <c r="AT22" s="178">
        <f t="shared" si="8"/>
        <v>0</v>
      </c>
      <c r="AU22" s="176">
        <f t="shared" si="9"/>
        <v>0</v>
      </c>
      <c r="AV22" s="176">
        <f t="shared" si="10"/>
        <v>0</v>
      </c>
      <c r="AW22" s="176">
        <f t="shared" si="11"/>
        <v>0</v>
      </c>
      <c r="AY22" s="204">
        <v>13</v>
      </c>
      <c r="AZ22" s="202">
        <f>$B$22</f>
        <v>0</v>
      </c>
      <c r="BA22" s="207"/>
      <c r="BB22" s="207"/>
      <c r="BC22" s="206"/>
      <c r="BD22" s="206"/>
      <c r="BE22" s="206"/>
      <c r="BF22" s="206"/>
      <c r="BG22" s="206"/>
      <c r="BH22" s="206"/>
      <c r="BI22" s="1433"/>
      <c r="BJ22" s="1433"/>
      <c r="BK22" s="206"/>
      <c r="BL22" s="206"/>
      <c r="BM22" s="206"/>
      <c r="BN22" s="206"/>
      <c r="BO22" s="206"/>
      <c r="BP22" s="206"/>
      <c r="BQ22" s="177">
        <f t="shared" si="12"/>
        <v>0</v>
      </c>
      <c r="BR22" s="177">
        <f t="shared" si="13"/>
        <v>0</v>
      </c>
      <c r="BS22" s="178">
        <f t="shared" si="14"/>
        <v>0</v>
      </c>
      <c r="BT22" s="176">
        <f t="shared" si="15"/>
        <v>0</v>
      </c>
      <c r="BU22" s="176">
        <f t="shared" si="16"/>
        <v>0</v>
      </c>
      <c r="BV22" s="176">
        <f t="shared" si="17"/>
        <v>0</v>
      </c>
      <c r="BX22" s="204">
        <v>13</v>
      </c>
      <c r="BY22" s="202">
        <f>$B$22</f>
        <v>0</v>
      </c>
      <c r="BZ22" s="207"/>
      <c r="CA22" s="207"/>
      <c r="CB22" s="206"/>
      <c r="CC22" s="206"/>
      <c r="CD22" s="206"/>
      <c r="CE22" s="206"/>
      <c r="CF22" s="206"/>
      <c r="CG22" s="206"/>
      <c r="CH22" s="1433"/>
      <c r="CI22" s="1433"/>
      <c r="CJ22" s="206"/>
      <c r="CK22" s="206"/>
      <c r="CL22" s="206"/>
      <c r="CM22" s="206"/>
      <c r="CN22" s="206"/>
      <c r="CO22" s="206"/>
      <c r="CP22" s="177">
        <f t="shared" si="18"/>
        <v>0</v>
      </c>
      <c r="CQ22" s="177">
        <f t="shared" si="19"/>
        <v>0</v>
      </c>
      <c r="CR22" s="178">
        <f t="shared" si="20"/>
        <v>0</v>
      </c>
      <c r="CS22" s="176">
        <f t="shared" si="21"/>
        <v>0</v>
      </c>
      <c r="CT22" s="176">
        <f t="shared" si="22"/>
        <v>0</v>
      </c>
      <c r="CU22" s="176">
        <f t="shared" si="23"/>
        <v>0</v>
      </c>
      <c r="CW22" s="204">
        <v>13</v>
      </c>
      <c r="CX22" s="202">
        <f>$B$22</f>
        <v>0</v>
      </c>
      <c r="CY22" s="207"/>
      <c r="CZ22" s="207"/>
      <c r="DA22" s="206"/>
      <c r="DB22" s="206"/>
      <c r="DC22" s="206"/>
      <c r="DD22" s="206"/>
      <c r="DE22" s="206"/>
      <c r="DF22" s="206"/>
      <c r="DG22" s="1433"/>
      <c r="DH22" s="1433"/>
      <c r="DI22" s="206"/>
      <c r="DJ22" s="206"/>
      <c r="DK22" s="206"/>
      <c r="DL22" s="206"/>
      <c r="DM22" s="206"/>
      <c r="DN22" s="206"/>
      <c r="DO22" s="177">
        <f t="shared" si="24"/>
        <v>0</v>
      </c>
      <c r="DP22" s="177">
        <f t="shared" si="25"/>
        <v>0</v>
      </c>
      <c r="DQ22" s="178">
        <f t="shared" si="26"/>
        <v>0</v>
      </c>
      <c r="DR22" s="176">
        <f t="shared" si="27"/>
        <v>0</v>
      </c>
      <c r="DS22" s="176">
        <f t="shared" si="28"/>
        <v>0</v>
      </c>
      <c r="DT22" s="176">
        <f t="shared" si="29"/>
        <v>0</v>
      </c>
      <c r="DV22" s="1387"/>
      <c r="DW22" s="1387"/>
      <c r="DX22" s="1393"/>
      <c r="DY22" s="1393"/>
      <c r="DZ22" s="1393"/>
      <c r="EA22" s="1393"/>
      <c r="EB22" s="1393"/>
      <c r="EC22" s="1393"/>
      <c r="ED22" s="1393"/>
      <c r="EE22" s="1393"/>
      <c r="EF22" s="1393"/>
      <c r="EG22" s="1393"/>
      <c r="EH22" s="1393"/>
      <c r="EI22" s="1393"/>
      <c r="EJ22" s="1393"/>
      <c r="EK22" s="1393"/>
      <c r="EL22" s="1393"/>
      <c r="EM22" s="1393"/>
      <c r="EN22" s="1379"/>
      <c r="EO22" s="1379"/>
      <c r="EP22" s="1380"/>
      <c r="EQ22" s="1381"/>
      <c r="ER22" s="1381"/>
      <c r="ES22" s="1381"/>
    </row>
    <row r="23" spans="1:149" s="168" customFormat="1" ht="42" customHeight="1">
      <c r="A23" s="204">
        <v>14</v>
      </c>
      <c r="B23" s="202">
        <f>DT!I16</f>
        <v>0</v>
      </c>
      <c r="C23" s="207"/>
      <c r="D23" s="207"/>
      <c r="E23" s="206"/>
      <c r="F23" s="206"/>
      <c r="G23" s="206"/>
      <c r="H23" s="206"/>
      <c r="I23" s="206"/>
      <c r="J23" s="206"/>
      <c r="K23" s="206"/>
      <c r="L23" s="206"/>
      <c r="M23" s="206"/>
      <c r="N23" s="206"/>
      <c r="O23" s="206"/>
      <c r="P23" s="206"/>
      <c r="Q23" s="206"/>
      <c r="R23" s="206"/>
      <c r="S23" s="177">
        <f t="shared" si="0"/>
        <v>0</v>
      </c>
      <c r="T23" s="177">
        <f t="shared" si="1"/>
        <v>0</v>
      </c>
      <c r="U23" s="178">
        <f t="shared" si="30"/>
        <v>0</v>
      </c>
      <c r="V23" s="176">
        <f t="shared" si="31"/>
        <v>0</v>
      </c>
      <c r="W23" s="176">
        <f t="shared" si="32"/>
        <v>0</v>
      </c>
      <c r="X23" s="176">
        <f t="shared" si="33"/>
        <v>0</v>
      </c>
      <c r="Z23" s="204">
        <v>14</v>
      </c>
      <c r="AA23" s="202">
        <f>$B$23</f>
        <v>0</v>
      </c>
      <c r="AB23" s="207"/>
      <c r="AC23" s="207"/>
      <c r="AD23" s="206"/>
      <c r="AE23" s="206"/>
      <c r="AF23" s="206"/>
      <c r="AG23" s="206"/>
      <c r="AH23" s="206"/>
      <c r="AI23" s="206"/>
      <c r="AJ23" s="206"/>
      <c r="AK23" s="206"/>
      <c r="AL23" s="206"/>
      <c r="AM23" s="206"/>
      <c r="AN23" s="206"/>
      <c r="AO23" s="206"/>
      <c r="AP23" s="206"/>
      <c r="AQ23" s="206"/>
      <c r="AR23" s="177">
        <f t="shared" si="6"/>
        <v>0</v>
      </c>
      <c r="AS23" s="177">
        <f t="shared" si="7"/>
        <v>0</v>
      </c>
      <c r="AT23" s="178">
        <f t="shared" si="8"/>
        <v>0</v>
      </c>
      <c r="AU23" s="176">
        <f t="shared" si="9"/>
        <v>0</v>
      </c>
      <c r="AV23" s="176">
        <f t="shared" si="10"/>
        <v>0</v>
      </c>
      <c r="AW23" s="176">
        <f t="shared" si="11"/>
        <v>0</v>
      </c>
      <c r="AY23" s="204">
        <v>14</v>
      </c>
      <c r="AZ23" s="202">
        <f>$B$23</f>
        <v>0</v>
      </c>
      <c r="BA23" s="207"/>
      <c r="BB23" s="207"/>
      <c r="BC23" s="206"/>
      <c r="BD23" s="206"/>
      <c r="BE23" s="206"/>
      <c r="BF23" s="206"/>
      <c r="BG23" s="206"/>
      <c r="BH23" s="206"/>
      <c r="BI23" s="1433"/>
      <c r="BJ23" s="1433"/>
      <c r="BK23" s="206"/>
      <c r="BL23" s="206"/>
      <c r="BM23" s="206"/>
      <c r="BN23" s="206"/>
      <c r="BO23" s="206"/>
      <c r="BP23" s="206"/>
      <c r="BQ23" s="177">
        <f t="shared" si="12"/>
        <v>0</v>
      </c>
      <c r="BR23" s="177">
        <f t="shared" si="13"/>
        <v>0</v>
      </c>
      <c r="BS23" s="178">
        <f t="shared" si="14"/>
        <v>0</v>
      </c>
      <c r="BT23" s="176">
        <f t="shared" si="15"/>
        <v>0</v>
      </c>
      <c r="BU23" s="176">
        <f t="shared" si="16"/>
        <v>0</v>
      </c>
      <c r="BV23" s="176">
        <f t="shared" si="17"/>
        <v>0</v>
      </c>
      <c r="BX23" s="204">
        <v>14</v>
      </c>
      <c r="BY23" s="202">
        <f>$B$23</f>
        <v>0</v>
      </c>
      <c r="BZ23" s="207"/>
      <c r="CA23" s="207"/>
      <c r="CB23" s="206"/>
      <c r="CC23" s="206"/>
      <c r="CD23" s="206"/>
      <c r="CE23" s="206"/>
      <c r="CF23" s="206"/>
      <c r="CG23" s="206"/>
      <c r="CH23" s="1433"/>
      <c r="CI23" s="1433"/>
      <c r="CJ23" s="206"/>
      <c r="CK23" s="206"/>
      <c r="CL23" s="206"/>
      <c r="CM23" s="206"/>
      <c r="CN23" s="206"/>
      <c r="CO23" s="206"/>
      <c r="CP23" s="177">
        <f t="shared" si="18"/>
        <v>0</v>
      </c>
      <c r="CQ23" s="177">
        <f t="shared" si="19"/>
        <v>0</v>
      </c>
      <c r="CR23" s="178">
        <f t="shared" si="20"/>
        <v>0</v>
      </c>
      <c r="CS23" s="176">
        <f t="shared" si="21"/>
        <v>0</v>
      </c>
      <c r="CT23" s="176">
        <f t="shared" si="22"/>
        <v>0</v>
      </c>
      <c r="CU23" s="176">
        <f t="shared" si="23"/>
        <v>0</v>
      </c>
      <c r="CW23" s="204">
        <v>14</v>
      </c>
      <c r="CX23" s="202">
        <f>$B$23</f>
        <v>0</v>
      </c>
      <c r="CY23" s="207"/>
      <c r="CZ23" s="207"/>
      <c r="DA23" s="206"/>
      <c r="DB23" s="206"/>
      <c r="DC23" s="206"/>
      <c r="DD23" s="206"/>
      <c r="DE23" s="206"/>
      <c r="DF23" s="206"/>
      <c r="DG23" s="1433"/>
      <c r="DH23" s="1433"/>
      <c r="DI23" s="206"/>
      <c r="DJ23" s="206"/>
      <c r="DK23" s="206"/>
      <c r="DL23" s="206"/>
      <c r="DM23" s="206"/>
      <c r="DN23" s="206"/>
      <c r="DO23" s="177">
        <f t="shared" si="24"/>
        <v>0</v>
      </c>
      <c r="DP23" s="177">
        <f t="shared" si="25"/>
        <v>0</v>
      </c>
      <c r="DQ23" s="178">
        <f t="shared" si="26"/>
        <v>0</v>
      </c>
      <c r="DR23" s="176">
        <f t="shared" si="27"/>
        <v>0</v>
      </c>
      <c r="DS23" s="176">
        <f t="shared" si="28"/>
        <v>0</v>
      </c>
      <c r="DT23" s="176">
        <f t="shared" si="29"/>
        <v>0</v>
      </c>
      <c r="DV23" s="1387"/>
      <c r="DW23" s="1387"/>
      <c r="DX23" s="1393"/>
      <c r="DY23" s="1393"/>
      <c r="DZ23" s="1393"/>
      <c r="EA23" s="1393"/>
      <c r="EB23" s="1393"/>
      <c r="EC23" s="1393"/>
      <c r="ED23" s="1393"/>
      <c r="EE23" s="1393"/>
      <c r="EF23" s="1393"/>
      <c r="EG23" s="1393"/>
      <c r="EH23" s="1393"/>
      <c r="EI23" s="1393"/>
      <c r="EJ23" s="1393"/>
      <c r="EK23" s="1393"/>
      <c r="EL23" s="1393"/>
      <c r="EM23" s="1393"/>
      <c r="EN23" s="1379"/>
      <c r="EO23" s="1379"/>
      <c r="EP23" s="1380"/>
      <c r="EQ23" s="1381"/>
      <c r="ER23" s="1381"/>
      <c r="ES23" s="1381"/>
    </row>
    <row r="24" spans="1:149" s="168" customFormat="1" ht="42" customHeight="1">
      <c r="A24" s="204">
        <v>15</v>
      </c>
      <c r="B24" s="202">
        <f>DT!I17</f>
        <v>0</v>
      </c>
      <c r="C24" s="207"/>
      <c r="D24" s="207"/>
      <c r="E24" s="206"/>
      <c r="F24" s="206"/>
      <c r="G24" s="206"/>
      <c r="H24" s="206"/>
      <c r="I24" s="206"/>
      <c r="J24" s="206"/>
      <c r="K24" s="206"/>
      <c r="L24" s="206"/>
      <c r="M24" s="206"/>
      <c r="N24" s="206"/>
      <c r="O24" s="206"/>
      <c r="P24" s="206"/>
      <c r="Q24" s="206"/>
      <c r="R24" s="206"/>
      <c r="S24" s="177">
        <f t="shared" si="0"/>
        <v>0</v>
      </c>
      <c r="T24" s="177">
        <f t="shared" si="1"/>
        <v>0</v>
      </c>
      <c r="U24" s="178">
        <f t="shared" si="30"/>
        <v>0</v>
      </c>
      <c r="V24" s="176">
        <f t="shared" si="31"/>
        <v>0</v>
      </c>
      <c r="W24" s="176">
        <f t="shared" si="32"/>
        <v>0</v>
      </c>
      <c r="X24" s="176">
        <f t="shared" si="33"/>
        <v>0</v>
      </c>
      <c r="Z24" s="204">
        <v>15</v>
      </c>
      <c r="AA24" s="202">
        <f>$B$24</f>
        <v>0</v>
      </c>
      <c r="AB24" s="207"/>
      <c r="AC24" s="207"/>
      <c r="AD24" s="206"/>
      <c r="AE24" s="206"/>
      <c r="AF24" s="206"/>
      <c r="AG24" s="206"/>
      <c r="AH24" s="206"/>
      <c r="AI24" s="206"/>
      <c r="AJ24" s="206"/>
      <c r="AK24" s="206"/>
      <c r="AL24" s="206"/>
      <c r="AM24" s="206"/>
      <c r="AN24" s="206"/>
      <c r="AO24" s="206"/>
      <c r="AP24" s="206"/>
      <c r="AQ24" s="206"/>
      <c r="AR24" s="177">
        <f t="shared" si="6"/>
        <v>0</v>
      </c>
      <c r="AS24" s="177">
        <f t="shared" si="7"/>
        <v>0</v>
      </c>
      <c r="AT24" s="178">
        <f t="shared" si="8"/>
        <v>0</v>
      </c>
      <c r="AU24" s="176">
        <f t="shared" si="9"/>
        <v>0</v>
      </c>
      <c r="AV24" s="176">
        <f t="shared" si="10"/>
        <v>0</v>
      </c>
      <c r="AW24" s="176">
        <f t="shared" si="11"/>
        <v>0</v>
      </c>
      <c r="AY24" s="204">
        <v>15</v>
      </c>
      <c r="AZ24" s="202">
        <f>$B$24</f>
        <v>0</v>
      </c>
      <c r="BA24" s="207"/>
      <c r="BB24" s="207"/>
      <c r="BC24" s="206"/>
      <c r="BD24" s="206"/>
      <c r="BE24" s="206"/>
      <c r="BF24" s="206"/>
      <c r="BG24" s="206"/>
      <c r="BH24" s="206"/>
      <c r="BI24" s="1433"/>
      <c r="BJ24" s="1433"/>
      <c r="BK24" s="206"/>
      <c r="BL24" s="206"/>
      <c r="BM24" s="206"/>
      <c r="BN24" s="206"/>
      <c r="BO24" s="206"/>
      <c r="BP24" s="206"/>
      <c r="BQ24" s="177">
        <f t="shared" si="12"/>
        <v>0</v>
      </c>
      <c r="BR24" s="177">
        <f t="shared" si="13"/>
        <v>0</v>
      </c>
      <c r="BS24" s="178">
        <f t="shared" si="14"/>
        <v>0</v>
      </c>
      <c r="BT24" s="176">
        <f t="shared" si="15"/>
        <v>0</v>
      </c>
      <c r="BU24" s="176">
        <f t="shared" si="16"/>
        <v>0</v>
      </c>
      <c r="BV24" s="176">
        <f t="shared" si="17"/>
        <v>0</v>
      </c>
      <c r="BX24" s="204">
        <v>15</v>
      </c>
      <c r="BY24" s="202">
        <f>$B$24</f>
        <v>0</v>
      </c>
      <c r="BZ24" s="207"/>
      <c r="CA24" s="207"/>
      <c r="CB24" s="206"/>
      <c r="CC24" s="206"/>
      <c r="CD24" s="206"/>
      <c r="CE24" s="206"/>
      <c r="CF24" s="206"/>
      <c r="CG24" s="206"/>
      <c r="CH24" s="1433"/>
      <c r="CI24" s="1433"/>
      <c r="CJ24" s="206"/>
      <c r="CK24" s="206"/>
      <c r="CL24" s="206"/>
      <c r="CM24" s="206"/>
      <c r="CN24" s="206"/>
      <c r="CO24" s="206"/>
      <c r="CP24" s="177">
        <f t="shared" si="18"/>
        <v>0</v>
      </c>
      <c r="CQ24" s="177">
        <f t="shared" si="19"/>
        <v>0</v>
      </c>
      <c r="CR24" s="178">
        <f t="shared" si="20"/>
        <v>0</v>
      </c>
      <c r="CS24" s="176">
        <f t="shared" si="21"/>
        <v>0</v>
      </c>
      <c r="CT24" s="176">
        <f t="shared" si="22"/>
        <v>0</v>
      </c>
      <c r="CU24" s="176">
        <f t="shared" si="23"/>
        <v>0</v>
      </c>
      <c r="CW24" s="204">
        <v>15</v>
      </c>
      <c r="CX24" s="202">
        <f>$B$24</f>
        <v>0</v>
      </c>
      <c r="CY24" s="207"/>
      <c r="CZ24" s="207"/>
      <c r="DA24" s="206"/>
      <c r="DB24" s="206"/>
      <c r="DC24" s="206"/>
      <c r="DD24" s="206"/>
      <c r="DE24" s="206"/>
      <c r="DF24" s="206"/>
      <c r="DG24" s="1433"/>
      <c r="DH24" s="1433"/>
      <c r="DI24" s="206"/>
      <c r="DJ24" s="206"/>
      <c r="DK24" s="206"/>
      <c r="DL24" s="206"/>
      <c r="DM24" s="206"/>
      <c r="DN24" s="206"/>
      <c r="DO24" s="177">
        <f t="shared" si="24"/>
        <v>0</v>
      </c>
      <c r="DP24" s="177">
        <f t="shared" si="25"/>
        <v>0</v>
      </c>
      <c r="DQ24" s="178">
        <f t="shared" si="26"/>
        <v>0</v>
      </c>
      <c r="DR24" s="176">
        <f t="shared" si="27"/>
        <v>0</v>
      </c>
      <c r="DS24" s="176">
        <f t="shared" si="28"/>
        <v>0</v>
      </c>
      <c r="DT24" s="176">
        <f t="shared" si="29"/>
        <v>0</v>
      </c>
      <c r="DV24" s="1387"/>
      <c r="DW24" s="1387"/>
      <c r="DX24" s="1393"/>
      <c r="DY24" s="1393"/>
      <c r="DZ24" s="1393"/>
      <c r="EA24" s="1393"/>
      <c r="EB24" s="1393"/>
      <c r="EC24" s="1393"/>
      <c r="ED24" s="1393"/>
      <c r="EE24" s="1393"/>
      <c r="EF24" s="1393"/>
      <c r="EG24" s="1393"/>
      <c r="EH24" s="1393"/>
      <c r="EI24" s="1393"/>
      <c r="EJ24" s="1393"/>
      <c r="EK24" s="1393"/>
      <c r="EL24" s="1393"/>
      <c r="EM24" s="1393"/>
      <c r="EN24" s="1379"/>
      <c r="EO24" s="1379"/>
      <c r="EP24" s="1380"/>
      <c r="EQ24" s="1381"/>
      <c r="ER24" s="1381"/>
      <c r="ES24" s="1381"/>
    </row>
    <row r="25" spans="1:149" s="168" customFormat="1" ht="42" customHeight="1">
      <c r="A25" s="204">
        <v>16</v>
      </c>
      <c r="B25" s="202">
        <f>DT!I18</f>
        <v>0</v>
      </c>
      <c r="C25" s="207"/>
      <c r="D25" s="207"/>
      <c r="E25" s="206"/>
      <c r="F25" s="206"/>
      <c r="G25" s="206"/>
      <c r="H25" s="206"/>
      <c r="I25" s="206"/>
      <c r="J25" s="206"/>
      <c r="K25" s="206"/>
      <c r="L25" s="206"/>
      <c r="M25" s="206"/>
      <c r="N25" s="206"/>
      <c r="O25" s="206"/>
      <c r="P25" s="206"/>
      <c r="Q25" s="206"/>
      <c r="R25" s="206"/>
      <c r="S25" s="177">
        <f t="shared" si="0"/>
        <v>0</v>
      </c>
      <c r="T25" s="177">
        <f t="shared" si="1"/>
        <v>0</v>
      </c>
      <c r="U25" s="178">
        <f t="shared" si="30"/>
        <v>0</v>
      </c>
      <c r="V25" s="176">
        <f t="shared" si="31"/>
        <v>0</v>
      </c>
      <c r="W25" s="176">
        <f t="shared" si="32"/>
        <v>0</v>
      </c>
      <c r="X25" s="176">
        <f t="shared" si="33"/>
        <v>0</v>
      </c>
      <c r="Z25" s="204">
        <v>16</v>
      </c>
      <c r="AA25" s="202">
        <f>$B$25</f>
        <v>0</v>
      </c>
      <c r="AB25" s="207"/>
      <c r="AC25" s="207"/>
      <c r="AD25" s="206"/>
      <c r="AE25" s="206"/>
      <c r="AF25" s="206"/>
      <c r="AG25" s="206"/>
      <c r="AH25" s="206"/>
      <c r="AI25" s="206"/>
      <c r="AJ25" s="206"/>
      <c r="AK25" s="206"/>
      <c r="AL25" s="206"/>
      <c r="AM25" s="206"/>
      <c r="AN25" s="206"/>
      <c r="AO25" s="206"/>
      <c r="AP25" s="206"/>
      <c r="AQ25" s="206"/>
      <c r="AR25" s="177">
        <f t="shared" si="6"/>
        <v>0</v>
      </c>
      <c r="AS25" s="177">
        <f t="shared" si="7"/>
        <v>0</v>
      </c>
      <c r="AT25" s="178">
        <f t="shared" si="8"/>
        <v>0</v>
      </c>
      <c r="AU25" s="176">
        <f>SUM(AR25-AS25)</f>
        <v>0</v>
      </c>
      <c r="AV25" s="176">
        <f>SUM(AN25-AO25)</f>
        <v>0</v>
      </c>
      <c r="AW25" s="176">
        <f>SUM(AP25-AQ25)</f>
        <v>0</v>
      </c>
      <c r="AY25" s="204">
        <v>16</v>
      </c>
      <c r="AZ25" s="202">
        <f>$B$25</f>
        <v>0</v>
      </c>
      <c r="BA25" s="207"/>
      <c r="BB25" s="207"/>
      <c r="BC25" s="206"/>
      <c r="BD25" s="206"/>
      <c r="BE25" s="206"/>
      <c r="BF25" s="206"/>
      <c r="BG25" s="206"/>
      <c r="BH25" s="206"/>
      <c r="BI25" s="1433"/>
      <c r="BJ25" s="1433"/>
      <c r="BK25" s="206"/>
      <c r="BL25" s="206"/>
      <c r="BM25" s="206"/>
      <c r="BN25" s="206"/>
      <c r="BO25" s="206"/>
      <c r="BP25" s="206"/>
      <c r="BQ25" s="177">
        <f t="shared" si="12"/>
        <v>0</v>
      </c>
      <c r="BR25" s="177">
        <f t="shared" si="13"/>
        <v>0</v>
      </c>
      <c r="BS25" s="178">
        <f t="shared" si="14"/>
        <v>0</v>
      </c>
      <c r="BT25" s="176">
        <f>SUM(BQ25-BR25)</f>
        <v>0</v>
      </c>
      <c r="BU25" s="176">
        <f>SUM(BM25-BN25)</f>
        <v>0</v>
      </c>
      <c r="BV25" s="176">
        <f>SUM(BO25-BP25)</f>
        <v>0</v>
      </c>
      <c r="BX25" s="204">
        <v>16</v>
      </c>
      <c r="BY25" s="202">
        <f>$B$25</f>
        <v>0</v>
      </c>
      <c r="BZ25" s="207"/>
      <c r="CA25" s="207"/>
      <c r="CB25" s="206"/>
      <c r="CC25" s="206"/>
      <c r="CD25" s="206"/>
      <c r="CE25" s="206"/>
      <c r="CF25" s="206"/>
      <c r="CG25" s="206"/>
      <c r="CH25" s="1433"/>
      <c r="CI25" s="1433"/>
      <c r="CJ25" s="206"/>
      <c r="CK25" s="206"/>
      <c r="CL25" s="206"/>
      <c r="CM25" s="206"/>
      <c r="CN25" s="206"/>
      <c r="CO25" s="206"/>
      <c r="CP25" s="177">
        <f t="shared" si="18"/>
        <v>0</v>
      </c>
      <c r="CQ25" s="177">
        <f t="shared" si="19"/>
        <v>0</v>
      </c>
      <c r="CR25" s="178">
        <f t="shared" si="20"/>
        <v>0</v>
      </c>
      <c r="CS25" s="176">
        <f>SUM(CP25-CQ25)</f>
        <v>0</v>
      </c>
      <c r="CT25" s="176">
        <f>SUM(CL25-CM25)</f>
        <v>0</v>
      </c>
      <c r="CU25" s="176">
        <f>SUM(CN25-CO25)</f>
        <v>0</v>
      </c>
      <c r="CW25" s="204">
        <v>16</v>
      </c>
      <c r="CX25" s="202">
        <f>$B$25</f>
        <v>0</v>
      </c>
      <c r="CY25" s="207"/>
      <c r="CZ25" s="207"/>
      <c r="DA25" s="206"/>
      <c r="DB25" s="206"/>
      <c r="DC25" s="206"/>
      <c r="DD25" s="206"/>
      <c r="DE25" s="206"/>
      <c r="DF25" s="206"/>
      <c r="DG25" s="1433"/>
      <c r="DH25" s="1433"/>
      <c r="DI25" s="206"/>
      <c r="DJ25" s="206"/>
      <c r="DK25" s="206"/>
      <c r="DL25" s="206"/>
      <c r="DM25" s="206"/>
      <c r="DN25" s="206"/>
      <c r="DO25" s="177">
        <f t="shared" si="24"/>
        <v>0</v>
      </c>
      <c r="DP25" s="177">
        <f t="shared" si="25"/>
        <v>0</v>
      </c>
      <c r="DQ25" s="178">
        <f t="shared" si="26"/>
        <v>0</v>
      </c>
      <c r="DR25" s="176">
        <f>SUM(DO25-DP25)</f>
        <v>0</v>
      </c>
      <c r="DS25" s="176">
        <f>SUM(DK25-DL25)</f>
        <v>0</v>
      </c>
      <c r="DT25" s="176">
        <f>SUM(DM25-DN25)</f>
        <v>0</v>
      </c>
      <c r="DV25" s="1387"/>
      <c r="DW25" s="1387"/>
      <c r="DX25" s="1393"/>
      <c r="DY25" s="1393"/>
      <c r="DZ25" s="1393"/>
      <c r="EA25" s="1393"/>
      <c r="EB25" s="1393"/>
      <c r="EC25" s="1393"/>
      <c r="ED25" s="1393"/>
      <c r="EE25" s="1393"/>
      <c r="EF25" s="1393"/>
      <c r="EG25" s="1393"/>
      <c r="EH25" s="1393"/>
      <c r="EI25" s="1393"/>
      <c r="EJ25" s="1393"/>
      <c r="EK25" s="1393"/>
      <c r="EL25" s="1393"/>
      <c r="EM25" s="1393"/>
      <c r="EN25" s="1379"/>
      <c r="EO25" s="1379"/>
      <c r="EP25" s="1380"/>
      <c r="EQ25" s="1381"/>
      <c r="ER25" s="1381"/>
      <c r="ES25" s="1381"/>
    </row>
    <row r="26" spans="1:149" s="168" customFormat="1" ht="16.5" thickBot="1">
      <c r="A26" s="179"/>
      <c r="B26" s="180"/>
      <c r="C26" s="181"/>
      <c r="D26" s="182"/>
      <c r="E26" s="182"/>
      <c r="F26" s="182"/>
      <c r="G26" s="182"/>
      <c r="H26" s="182"/>
      <c r="I26" s="182"/>
      <c r="J26" s="182"/>
      <c r="K26" s="182"/>
      <c r="L26" s="182"/>
      <c r="M26" s="182"/>
      <c r="N26" s="182"/>
      <c r="O26" s="182"/>
      <c r="P26" s="182"/>
      <c r="Q26" s="182"/>
      <c r="R26" s="183"/>
      <c r="S26" s="1374"/>
      <c r="T26" s="1374"/>
      <c r="U26" s="1375"/>
      <c r="V26" s="1373"/>
      <c r="W26" s="1373"/>
      <c r="X26" s="1373"/>
      <c r="Z26" s="179"/>
      <c r="AA26" s="1376"/>
      <c r="AB26" s="181"/>
      <c r="AC26" s="182"/>
      <c r="AD26" s="182"/>
      <c r="AE26" s="182"/>
      <c r="AF26" s="182"/>
      <c r="AG26" s="182"/>
      <c r="AH26" s="182"/>
      <c r="AI26" s="182"/>
      <c r="AJ26" s="182"/>
      <c r="AK26" s="182"/>
      <c r="AL26" s="182"/>
      <c r="AM26" s="182"/>
      <c r="AN26" s="182"/>
      <c r="AO26" s="182"/>
      <c r="AP26" s="182"/>
      <c r="AQ26" s="183"/>
      <c r="AR26" s="1374"/>
      <c r="AS26" s="1374"/>
      <c r="AT26" s="1375"/>
      <c r="AU26" s="1373"/>
      <c r="AV26" s="1373"/>
      <c r="AW26" s="1373"/>
      <c r="AY26" s="179"/>
      <c r="AZ26" s="1376"/>
      <c r="BA26" s="181"/>
      <c r="BB26" s="182"/>
      <c r="BC26" s="182"/>
      <c r="BD26" s="182"/>
      <c r="BE26" s="182"/>
      <c r="BF26" s="182"/>
      <c r="BG26" s="182"/>
      <c r="BH26" s="182"/>
      <c r="BI26" s="1434"/>
      <c r="BJ26" s="1434"/>
      <c r="BK26" s="182"/>
      <c r="BL26" s="182"/>
      <c r="BM26" s="182"/>
      <c r="BN26" s="182"/>
      <c r="BO26" s="182"/>
      <c r="BP26" s="183"/>
      <c r="BQ26" s="1374"/>
      <c r="BR26" s="1374"/>
      <c r="BS26" s="1375"/>
      <c r="BT26" s="1373"/>
      <c r="BU26" s="1373"/>
      <c r="BV26" s="1373"/>
      <c r="BX26" s="179"/>
      <c r="BY26" s="1376"/>
      <c r="BZ26" s="181"/>
      <c r="CA26" s="182"/>
      <c r="CB26" s="182"/>
      <c r="CC26" s="182"/>
      <c r="CD26" s="182"/>
      <c r="CE26" s="182"/>
      <c r="CF26" s="182"/>
      <c r="CG26" s="182"/>
      <c r="CH26" s="1434"/>
      <c r="CI26" s="1434"/>
      <c r="CJ26" s="182"/>
      <c r="CK26" s="182"/>
      <c r="CL26" s="182"/>
      <c r="CM26" s="182"/>
      <c r="CN26" s="182"/>
      <c r="CO26" s="183"/>
      <c r="CP26" s="1374"/>
      <c r="CQ26" s="1374"/>
      <c r="CR26" s="1375"/>
      <c r="CS26" s="1373"/>
      <c r="CT26" s="1373"/>
      <c r="CU26" s="1373"/>
      <c r="CW26" s="179"/>
      <c r="CX26" s="1376"/>
      <c r="CY26" s="181"/>
      <c r="CZ26" s="182"/>
      <c r="DA26" s="182"/>
      <c r="DB26" s="182"/>
      <c r="DC26" s="182"/>
      <c r="DD26" s="182"/>
      <c r="DE26" s="182"/>
      <c r="DF26" s="182"/>
      <c r="DG26" s="1434"/>
      <c r="DH26" s="1434"/>
      <c r="DI26" s="182"/>
      <c r="DJ26" s="182"/>
      <c r="DK26" s="182"/>
      <c r="DL26" s="182"/>
      <c r="DM26" s="182"/>
      <c r="DN26" s="183"/>
      <c r="DO26" s="1374"/>
      <c r="DP26" s="1374"/>
      <c r="DQ26" s="1375"/>
      <c r="DR26" s="1373"/>
      <c r="DS26" s="1373"/>
      <c r="DT26" s="1373"/>
      <c r="DV26" s="1387"/>
      <c r="DW26" s="1387"/>
      <c r="DX26" s="1379"/>
      <c r="DY26" s="1379"/>
      <c r="DZ26" s="1379"/>
      <c r="EA26" s="1379"/>
      <c r="EB26" s="1379"/>
      <c r="EC26" s="1379"/>
      <c r="ED26" s="1379"/>
      <c r="EE26" s="1379"/>
      <c r="EF26" s="1379"/>
      <c r="EG26" s="1379"/>
      <c r="EH26" s="1379"/>
      <c r="EI26" s="1379"/>
      <c r="EJ26" s="1379"/>
      <c r="EK26" s="1379"/>
      <c r="EL26" s="1379"/>
      <c r="EM26" s="1379"/>
      <c r="EN26" s="1379"/>
      <c r="EO26" s="1379"/>
      <c r="EP26" s="1380"/>
      <c r="EQ26" s="1381"/>
      <c r="ER26" s="1381"/>
      <c r="ES26" s="1381"/>
    </row>
    <row r="27" spans="1:149" s="168" customFormat="1" ht="45" customHeight="1" thickTop="1" thickBot="1">
      <c r="A27" s="3410" t="s">
        <v>77</v>
      </c>
      <c r="B27" s="3410"/>
      <c r="C27" s="185">
        <f>SUM(C10:C25)</f>
        <v>0</v>
      </c>
      <c r="D27" s="185">
        <f t="shared" ref="D27:S27" si="34">SUM(D10:D25)</f>
        <v>0</v>
      </c>
      <c r="E27" s="185">
        <f t="shared" si="34"/>
        <v>0</v>
      </c>
      <c r="F27" s="185">
        <f t="shared" si="34"/>
        <v>0</v>
      </c>
      <c r="G27" s="185">
        <f t="shared" si="34"/>
        <v>0</v>
      </c>
      <c r="H27" s="185">
        <f t="shared" si="34"/>
        <v>0</v>
      </c>
      <c r="I27" s="185">
        <f t="shared" si="34"/>
        <v>0</v>
      </c>
      <c r="J27" s="185">
        <f t="shared" si="34"/>
        <v>0</v>
      </c>
      <c r="K27" s="185">
        <f t="shared" si="34"/>
        <v>0</v>
      </c>
      <c r="L27" s="185">
        <f t="shared" si="34"/>
        <v>0</v>
      </c>
      <c r="M27" s="185">
        <f t="shared" si="34"/>
        <v>0</v>
      </c>
      <c r="N27" s="185">
        <f t="shared" si="34"/>
        <v>0</v>
      </c>
      <c r="O27" s="185">
        <f t="shared" si="34"/>
        <v>0</v>
      </c>
      <c r="P27" s="185">
        <f t="shared" si="34"/>
        <v>0</v>
      </c>
      <c r="Q27" s="185">
        <f t="shared" si="34"/>
        <v>0</v>
      </c>
      <c r="R27" s="185">
        <f t="shared" si="34"/>
        <v>0</v>
      </c>
      <c r="S27" s="185">
        <f t="shared" si="34"/>
        <v>0</v>
      </c>
      <c r="T27" s="185">
        <f>SUM(T10:T25)</f>
        <v>0</v>
      </c>
      <c r="U27" s="186">
        <f>IF(S27=0,0,T27/S27)</f>
        <v>0</v>
      </c>
      <c r="V27" s="3410">
        <f>SUM(S27-T27)</f>
        <v>0</v>
      </c>
      <c r="W27" s="3410"/>
      <c r="Z27" s="3410" t="s">
        <v>77</v>
      </c>
      <c r="AA27" s="3410"/>
      <c r="AB27" s="185">
        <f>SUM(AB10:AB25)</f>
        <v>0</v>
      </c>
      <c r="AC27" s="185">
        <f t="shared" ref="AC27:AR27" si="35">SUM(AC10:AC25)</f>
        <v>0</v>
      </c>
      <c r="AD27" s="185">
        <f t="shared" si="35"/>
        <v>0</v>
      </c>
      <c r="AE27" s="185">
        <f t="shared" si="35"/>
        <v>0</v>
      </c>
      <c r="AF27" s="185">
        <f t="shared" si="35"/>
        <v>0</v>
      </c>
      <c r="AG27" s="185">
        <f t="shared" si="35"/>
        <v>0</v>
      </c>
      <c r="AH27" s="185">
        <f t="shared" si="35"/>
        <v>0</v>
      </c>
      <c r="AI27" s="185">
        <f t="shared" si="35"/>
        <v>0</v>
      </c>
      <c r="AJ27" s="185">
        <f t="shared" si="35"/>
        <v>0</v>
      </c>
      <c r="AK27" s="185">
        <f t="shared" si="35"/>
        <v>0</v>
      </c>
      <c r="AL27" s="185">
        <f t="shared" si="35"/>
        <v>0</v>
      </c>
      <c r="AM27" s="185">
        <f t="shared" si="35"/>
        <v>0</v>
      </c>
      <c r="AN27" s="185">
        <f t="shared" si="35"/>
        <v>0</v>
      </c>
      <c r="AO27" s="185">
        <f t="shared" si="35"/>
        <v>0</v>
      </c>
      <c r="AP27" s="185">
        <f t="shared" si="35"/>
        <v>0</v>
      </c>
      <c r="AQ27" s="185">
        <f t="shared" si="35"/>
        <v>0</v>
      </c>
      <c r="AR27" s="185">
        <f t="shared" si="35"/>
        <v>0</v>
      </c>
      <c r="AS27" s="185">
        <f>SUM(AS10:AS25)</f>
        <v>0</v>
      </c>
      <c r="AT27" s="186">
        <f>IF(AR27=0,0,AS27/AR27)</f>
        <v>0</v>
      </c>
      <c r="AU27" s="3410">
        <f>SUM(AR27-AS27)</f>
        <v>0</v>
      </c>
      <c r="AV27" s="3410"/>
      <c r="AY27" s="3410" t="s">
        <v>77</v>
      </c>
      <c r="AZ27" s="3410"/>
      <c r="BA27" s="185">
        <f>SUM(BA10:BA25)</f>
        <v>0</v>
      </c>
      <c r="BB27" s="185">
        <f t="shared" ref="BB27:BQ27" si="36">SUM(BB10:BB25)</f>
        <v>0</v>
      </c>
      <c r="BC27" s="185">
        <f t="shared" si="36"/>
        <v>0</v>
      </c>
      <c r="BD27" s="185">
        <f t="shared" si="36"/>
        <v>0</v>
      </c>
      <c r="BE27" s="185">
        <f t="shared" si="36"/>
        <v>0</v>
      </c>
      <c r="BF27" s="185">
        <f t="shared" si="36"/>
        <v>0</v>
      </c>
      <c r="BG27" s="185">
        <f t="shared" si="36"/>
        <v>0</v>
      </c>
      <c r="BH27" s="185">
        <f t="shared" si="36"/>
        <v>0</v>
      </c>
      <c r="BI27" s="1435">
        <f t="shared" si="36"/>
        <v>0</v>
      </c>
      <c r="BJ27" s="1435">
        <f t="shared" si="36"/>
        <v>0</v>
      </c>
      <c r="BK27" s="185">
        <f t="shared" si="36"/>
        <v>0</v>
      </c>
      <c r="BL27" s="185">
        <f t="shared" si="36"/>
        <v>0</v>
      </c>
      <c r="BM27" s="185">
        <f t="shared" si="36"/>
        <v>0</v>
      </c>
      <c r="BN27" s="185">
        <f t="shared" si="36"/>
        <v>0</v>
      </c>
      <c r="BO27" s="185">
        <f t="shared" si="36"/>
        <v>0</v>
      </c>
      <c r="BP27" s="185">
        <f t="shared" si="36"/>
        <v>0</v>
      </c>
      <c r="BQ27" s="185">
        <f t="shared" si="36"/>
        <v>0</v>
      </c>
      <c r="BR27" s="185">
        <f>SUM(BR10:BR25)</f>
        <v>0</v>
      </c>
      <c r="BS27" s="186">
        <f>IF(BQ27=0,0,BR27/BQ27)</f>
        <v>0</v>
      </c>
      <c r="BT27" s="3410">
        <f>SUM(BQ27-BR27)</f>
        <v>0</v>
      </c>
      <c r="BU27" s="3410"/>
      <c r="BX27" s="3410" t="s">
        <v>77</v>
      </c>
      <c r="BY27" s="3410"/>
      <c r="BZ27" s="185">
        <f>SUM(BZ10:BZ25)</f>
        <v>0</v>
      </c>
      <c r="CA27" s="185">
        <f t="shared" ref="CA27:CP27" si="37">SUM(CA10:CA25)</f>
        <v>0</v>
      </c>
      <c r="CB27" s="185">
        <f t="shared" si="37"/>
        <v>0</v>
      </c>
      <c r="CC27" s="185">
        <f t="shared" si="37"/>
        <v>0</v>
      </c>
      <c r="CD27" s="185">
        <f t="shared" si="37"/>
        <v>0</v>
      </c>
      <c r="CE27" s="185">
        <f t="shared" si="37"/>
        <v>0</v>
      </c>
      <c r="CF27" s="185">
        <f t="shared" si="37"/>
        <v>0</v>
      </c>
      <c r="CG27" s="185">
        <f t="shared" si="37"/>
        <v>0</v>
      </c>
      <c r="CH27" s="1435">
        <f t="shared" si="37"/>
        <v>0</v>
      </c>
      <c r="CI27" s="1435">
        <f t="shared" si="37"/>
        <v>0</v>
      </c>
      <c r="CJ27" s="185">
        <f t="shared" si="37"/>
        <v>0</v>
      </c>
      <c r="CK27" s="185">
        <f t="shared" si="37"/>
        <v>0</v>
      </c>
      <c r="CL27" s="185">
        <f t="shared" si="37"/>
        <v>0</v>
      </c>
      <c r="CM27" s="185">
        <f t="shared" si="37"/>
        <v>0</v>
      </c>
      <c r="CN27" s="185">
        <f t="shared" si="37"/>
        <v>0</v>
      </c>
      <c r="CO27" s="185">
        <f t="shared" si="37"/>
        <v>0</v>
      </c>
      <c r="CP27" s="185">
        <f t="shared" si="37"/>
        <v>0</v>
      </c>
      <c r="CQ27" s="185">
        <f>SUM(CQ10:CQ25)</f>
        <v>0</v>
      </c>
      <c r="CR27" s="186">
        <f>IF(CP27=0,0,CQ27/CP27)</f>
        <v>0</v>
      </c>
      <c r="CS27" s="3410">
        <f>SUM(CP27-CQ27)</f>
        <v>0</v>
      </c>
      <c r="CT27" s="3410"/>
      <c r="CW27" s="3410" t="s">
        <v>77</v>
      </c>
      <c r="CX27" s="3410"/>
      <c r="CY27" s="185">
        <f>SUM(CY10:CY25)</f>
        <v>0</v>
      </c>
      <c r="CZ27" s="185">
        <f t="shared" ref="CZ27:DO27" si="38">SUM(CZ10:CZ25)</f>
        <v>0</v>
      </c>
      <c r="DA27" s="185">
        <f t="shared" si="38"/>
        <v>0</v>
      </c>
      <c r="DB27" s="185">
        <f t="shared" si="38"/>
        <v>0</v>
      </c>
      <c r="DC27" s="185">
        <f t="shared" si="38"/>
        <v>0</v>
      </c>
      <c r="DD27" s="185">
        <f t="shared" si="38"/>
        <v>0</v>
      </c>
      <c r="DE27" s="185">
        <f t="shared" si="38"/>
        <v>0</v>
      </c>
      <c r="DF27" s="185">
        <f t="shared" si="38"/>
        <v>0</v>
      </c>
      <c r="DG27" s="1435">
        <f t="shared" si="38"/>
        <v>0</v>
      </c>
      <c r="DH27" s="1435">
        <f t="shared" si="38"/>
        <v>0</v>
      </c>
      <c r="DI27" s="185">
        <f t="shared" si="38"/>
        <v>0</v>
      </c>
      <c r="DJ27" s="185">
        <f t="shared" si="38"/>
        <v>0</v>
      </c>
      <c r="DK27" s="185">
        <f t="shared" si="38"/>
        <v>0</v>
      </c>
      <c r="DL27" s="185">
        <f t="shared" si="38"/>
        <v>0</v>
      </c>
      <c r="DM27" s="185">
        <f t="shared" si="38"/>
        <v>0</v>
      </c>
      <c r="DN27" s="185">
        <f t="shared" si="38"/>
        <v>0</v>
      </c>
      <c r="DO27" s="185">
        <f t="shared" si="38"/>
        <v>0</v>
      </c>
      <c r="DP27" s="185">
        <f>SUM(DP10:DP25)</f>
        <v>0</v>
      </c>
      <c r="DQ27" s="186">
        <f>IF(DO27=0,0,DP27/DO27)</f>
        <v>0</v>
      </c>
      <c r="DR27" s="3410">
        <f>SUM(DO27-DP27)</f>
        <v>0</v>
      </c>
      <c r="DS27" s="3410"/>
      <c r="DV27" s="3410"/>
      <c r="DW27" s="3410"/>
      <c r="DX27" s="1394"/>
      <c r="DY27" s="1394"/>
      <c r="DZ27" s="1394"/>
      <c r="EA27" s="1394"/>
      <c r="EB27" s="1394"/>
      <c r="EC27" s="1394"/>
      <c r="ED27" s="1394"/>
      <c r="EE27" s="1394"/>
      <c r="EF27" s="1394"/>
      <c r="EG27" s="1394"/>
      <c r="EH27" s="1394"/>
      <c r="EI27" s="1394"/>
      <c r="EJ27" s="1394"/>
      <c r="EK27" s="1394"/>
      <c r="EL27" s="1394"/>
      <c r="EM27" s="1394"/>
      <c r="EN27" s="1394"/>
      <c r="EO27" s="1394"/>
      <c r="EP27" s="1395"/>
      <c r="EQ27" s="3410"/>
      <c r="ER27" s="3410"/>
      <c r="ES27" s="1387"/>
    </row>
    <row r="28" spans="1:149" s="168" customFormat="1" ht="16.5" thickTop="1">
      <c r="A28" s="188"/>
      <c r="B28" s="189"/>
      <c r="C28" s="184"/>
      <c r="P28" s="190"/>
      <c r="R28" s="190"/>
      <c r="T28" s="190"/>
      <c r="Z28" s="188"/>
      <c r="AA28" s="189"/>
      <c r="AB28" s="184"/>
      <c r="AO28" s="190"/>
      <c r="AQ28" s="190"/>
      <c r="AS28" s="190"/>
      <c r="AY28" s="188"/>
      <c r="AZ28" s="189"/>
      <c r="BA28" s="184"/>
      <c r="BN28" s="190"/>
      <c r="BP28" s="190"/>
      <c r="BR28" s="190"/>
      <c r="BX28" s="188"/>
      <c r="BY28" s="189"/>
      <c r="BZ28" s="184"/>
      <c r="CM28" s="190"/>
      <c r="CO28" s="190"/>
      <c r="CQ28" s="190"/>
      <c r="CW28" s="188"/>
      <c r="CX28" s="189"/>
      <c r="CY28" s="184"/>
      <c r="DL28" s="190"/>
      <c r="DN28" s="190"/>
      <c r="DP28" s="190"/>
      <c r="DV28" s="1397"/>
      <c r="DW28" s="1387"/>
      <c r="DX28" s="1381"/>
      <c r="DY28" s="1387"/>
      <c r="DZ28" s="1387"/>
      <c r="EA28" s="1387"/>
      <c r="EB28" s="1387"/>
      <c r="EC28" s="1387"/>
      <c r="ED28" s="1387"/>
      <c r="EE28" s="1387"/>
      <c r="EF28" s="1387"/>
      <c r="EG28" s="1387"/>
      <c r="EH28" s="1387"/>
      <c r="EI28" s="1387"/>
      <c r="EJ28" s="1387"/>
      <c r="EK28" s="1398"/>
      <c r="EL28" s="1387"/>
      <c r="EM28" s="1398"/>
      <c r="EN28" s="1387"/>
      <c r="EO28" s="1398"/>
      <c r="EP28" s="1387"/>
      <c r="EQ28" s="1387"/>
      <c r="ER28" s="1387"/>
      <c r="ES28" s="1387"/>
    </row>
    <row r="29" spans="1:149" s="168" customFormat="1" ht="15">
      <c r="B29" s="3410" t="s">
        <v>82</v>
      </c>
      <c r="C29" s="3410"/>
      <c r="D29" s="3410"/>
      <c r="E29" s="3410"/>
      <c r="F29" s="3410"/>
      <c r="G29" s="3410"/>
      <c r="H29" s="3410"/>
      <c r="I29" s="3410"/>
      <c r="J29" s="3410"/>
      <c r="K29" s="3410"/>
      <c r="P29" s="190"/>
      <c r="Q29" s="191"/>
      <c r="R29" s="3410" t="s">
        <v>83</v>
      </c>
      <c r="S29" s="3410"/>
      <c r="T29" s="3410"/>
      <c r="U29" s="191"/>
      <c r="AA29" s="3410" t="s">
        <v>82</v>
      </c>
      <c r="AB29" s="3410"/>
      <c r="AC29" s="3410"/>
      <c r="AD29" s="3410"/>
      <c r="AE29" s="3410"/>
      <c r="AF29" s="3410"/>
      <c r="AG29" s="3410"/>
      <c r="AH29" s="3410"/>
      <c r="AI29" s="3410"/>
      <c r="AJ29" s="3410"/>
      <c r="AK29" s="3410"/>
      <c r="AL29" s="3410"/>
      <c r="AM29" s="3410"/>
      <c r="AN29" s="3410"/>
      <c r="AO29" s="3410"/>
      <c r="AP29" s="191"/>
      <c r="AQ29" s="3410" t="s">
        <v>83</v>
      </c>
      <c r="AR29" s="3410"/>
      <c r="AS29" s="3410"/>
      <c r="AT29" s="191"/>
      <c r="AZ29" s="3410" t="s">
        <v>82</v>
      </c>
      <c r="BA29" s="3410"/>
      <c r="BB29" s="3410"/>
      <c r="BC29" s="3410"/>
      <c r="BD29" s="3410"/>
      <c r="BE29" s="3410"/>
      <c r="BF29" s="3410"/>
      <c r="BG29" s="3410"/>
      <c r="BH29" s="3410"/>
      <c r="BI29" s="3410"/>
      <c r="BJ29" s="3410"/>
      <c r="BK29" s="3410"/>
      <c r="BL29" s="3410"/>
      <c r="BM29" s="3410"/>
      <c r="BN29" s="3410"/>
      <c r="BO29" s="191"/>
      <c r="BP29" s="3410" t="s">
        <v>83</v>
      </c>
      <c r="BQ29" s="3410"/>
      <c r="BR29" s="3410"/>
      <c r="BS29" s="191"/>
      <c r="BY29" s="3410" t="s">
        <v>82</v>
      </c>
      <c r="BZ29" s="3410"/>
      <c r="CA29" s="3410"/>
      <c r="CB29" s="3410"/>
      <c r="CC29" s="3410"/>
      <c r="CD29" s="3410"/>
      <c r="CE29" s="3410"/>
      <c r="CF29" s="3410"/>
      <c r="CG29" s="3410"/>
      <c r="CH29" s="3410"/>
      <c r="CI29" s="3410"/>
      <c r="CJ29" s="3410"/>
      <c r="CK29" s="3410"/>
      <c r="CL29" s="3410"/>
      <c r="CM29" s="3410"/>
      <c r="CN29" s="191"/>
      <c r="CO29" s="3410" t="s">
        <v>83</v>
      </c>
      <c r="CP29" s="3410"/>
      <c r="CQ29" s="3410"/>
      <c r="CR29" s="191"/>
      <c r="CX29" s="3410" t="s">
        <v>82</v>
      </c>
      <c r="CY29" s="3410"/>
      <c r="CZ29" s="3410"/>
      <c r="DA29" s="3410"/>
      <c r="DB29" s="3410"/>
      <c r="DC29" s="3410"/>
      <c r="DD29" s="3410"/>
      <c r="DE29" s="3410"/>
      <c r="DF29" s="3410"/>
      <c r="DG29" s="3410"/>
      <c r="DH29" s="3410"/>
      <c r="DI29" s="3410"/>
      <c r="DJ29" s="3410"/>
      <c r="DK29" s="3410"/>
      <c r="DL29" s="3410"/>
      <c r="DM29" s="191"/>
      <c r="DN29" s="3410" t="s">
        <v>83</v>
      </c>
      <c r="DO29" s="3410"/>
      <c r="DP29" s="3410"/>
      <c r="DQ29" s="191"/>
      <c r="DV29" s="1387"/>
      <c r="DW29" s="3410"/>
      <c r="DX29" s="3410"/>
      <c r="DY29" s="3410"/>
      <c r="DZ29" s="3410"/>
      <c r="EA29" s="3410"/>
      <c r="EB29" s="3410"/>
      <c r="EC29" s="3410"/>
      <c r="ED29" s="3410"/>
      <c r="EE29" s="3410"/>
      <c r="EF29" s="3410"/>
      <c r="EG29" s="3410"/>
      <c r="EH29" s="3410"/>
      <c r="EI29" s="3410"/>
      <c r="EJ29" s="3410"/>
      <c r="EK29" s="3410"/>
      <c r="EL29" s="1399"/>
      <c r="EM29" s="3410"/>
      <c r="EN29" s="3410"/>
      <c r="EO29" s="3410"/>
      <c r="EP29" s="1399"/>
      <c r="EQ29" s="1387"/>
      <c r="ER29" s="1387"/>
      <c r="ES29" s="1387"/>
    </row>
    <row r="30" spans="1:149" s="168" customFormat="1" ht="15">
      <c r="B30" s="191"/>
      <c r="C30" s="191"/>
      <c r="D30" s="191"/>
      <c r="E30" s="191"/>
      <c r="F30" s="191"/>
      <c r="G30" s="191"/>
      <c r="H30" s="191"/>
      <c r="I30" s="191"/>
      <c r="J30" s="191"/>
      <c r="K30" s="191"/>
      <c r="L30" s="191"/>
      <c r="M30" s="191"/>
      <c r="N30" s="191"/>
      <c r="O30" s="191"/>
      <c r="P30" s="187"/>
      <c r="Q30" s="191"/>
      <c r="R30" s="187"/>
      <c r="S30" s="191"/>
      <c r="T30" s="191"/>
      <c r="U30" s="191"/>
      <c r="AA30" s="191"/>
      <c r="AB30" s="191"/>
      <c r="AC30" s="191"/>
      <c r="AD30" s="191"/>
      <c r="AE30" s="191"/>
      <c r="AF30" s="191"/>
      <c r="AG30" s="191"/>
      <c r="AH30" s="191"/>
      <c r="AI30" s="191"/>
      <c r="AJ30" s="191"/>
      <c r="AK30" s="191"/>
      <c r="AL30" s="191"/>
      <c r="AM30" s="191"/>
      <c r="AN30" s="191"/>
      <c r="AO30" s="187"/>
      <c r="AP30" s="191"/>
      <c r="AQ30" s="187"/>
      <c r="AR30" s="191"/>
      <c r="AS30" s="191"/>
      <c r="AT30" s="191"/>
      <c r="AZ30" s="191"/>
      <c r="BA30" s="191"/>
      <c r="BB30" s="191"/>
      <c r="BC30" s="191"/>
      <c r="BD30" s="191"/>
      <c r="BE30" s="191"/>
      <c r="BF30" s="191"/>
      <c r="BG30" s="191"/>
      <c r="BH30" s="191"/>
      <c r="BI30" s="191"/>
      <c r="BJ30" s="191"/>
      <c r="BK30" s="191"/>
      <c r="BL30" s="191"/>
      <c r="BM30" s="191"/>
      <c r="BN30" s="187"/>
      <c r="BO30" s="191"/>
      <c r="BP30" s="187"/>
      <c r="BQ30" s="191"/>
      <c r="BR30" s="191"/>
      <c r="BS30" s="191"/>
      <c r="BY30" s="191"/>
      <c r="BZ30" s="191"/>
      <c r="CA30" s="191"/>
      <c r="CB30" s="191"/>
      <c r="CC30" s="191"/>
      <c r="CD30" s="191"/>
      <c r="CE30" s="191"/>
      <c r="CF30" s="191"/>
      <c r="CG30" s="191"/>
      <c r="CH30" s="191"/>
      <c r="CI30" s="191"/>
      <c r="CJ30" s="191"/>
      <c r="CK30" s="191"/>
      <c r="CL30" s="191"/>
      <c r="CM30" s="187"/>
      <c r="CN30" s="191"/>
      <c r="CO30" s="187"/>
      <c r="CP30" s="191"/>
      <c r="CQ30" s="191"/>
      <c r="CR30" s="191"/>
      <c r="CX30" s="191"/>
      <c r="CY30" s="191"/>
      <c r="CZ30" s="191"/>
      <c r="DA30" s="191"/>
      <c r="DB30" s="191"/>
      <c r="DC30" s="191"/>
      <c r="DD30" s="191"/>
      <c r="DE30" s="191"/>
      <c r="DF30" s="191"/>
      <c r="DG30" s="191"/>
      <c r="DH30" s="191"/>
      <c r="DI30" s="191"/>
      <c r="DJ30" s="191"/>
      <c r="DK30" s="191"/>
      <c r="DL30" s="187"/>
      <c r="DM30" s="191"/>
      <c r="DN30" s="187"/>
      <c r="DO30" s="191"/>
      <c r="DP30" s="191"/>
      <c r="DQ30" s="191"/>
      <c r="DV30" s="1387"/>
      <c r="DW30" s="1399"/>
      <c r="DX30" s="1399"/>
      <c r="DY30" s="1399"/>
      <c r="DZ30" s="1399"/>
      <c r="EA30" s="1399"/>
      <c r="EB30" s="1399"/>
      <c r="EC30" s="1399"/>
      <c r="ED30" s="1399"/>
      <c r="EE30" s="1399"/>
      <c r="EF30" s="1399"/>
      <c r="EG30" s="1399"/>
      <c r="EH30" s="1399"/>
      <c r="EI30" s="1399"/>
      <c r="EJ30" s="1399"/>
      <c r="EK30" s="1396"/>
      <c r="EL30" s="1399"/>
      <c r="EM30" s="1396"/>
      <c r="EN30" s="1399"/>
      <c r="EO30" s="1399"/>
      <c r="EP30" s="1399"/>
      <c r="EQ30" s="1387"/>
      <c r="ER30" s="1387"/>
      <c r="ES30" s="1387"/>
    </row>
    <row r="31" spans="1:149" s="168" customFormat="1" ht="15">
      <c r="B31" s="191"/>
      <c r="C31" s="191"/>
      <c r="D31" s="191"/>
      <c r="E31" s="191"/>
      <c r="F31" s="191"/>
      <c r="G31" s="191"/>
      <c r="H31" s="191"/>
      <c r="I31" s="191"/>
      <c r="J31" s="191"/>
      <c r="K31" s="191"/>
      <c r="L31" s="191"/>
      <c r="M31" s="191"/>
      <c r="N31" s="191"/>
      <c r="O31" s="191"/>
      <c r="P31" s="187"/>
      <c r="Q31" s="191"/>
      <c r="R31" s="187"/>
      <c r="S31" s="191"/>
      <c r="T31" s="191"/>
      <c r="U31" s="191"/>
      <c r="AA31" s="191"/>
      <c r="AB31" s="191"/>
      <c r="AC31" s="191"/>
      <c r="AD31" s="191"/>
      <c r="AE31" s="191"/>
      <c r="AF31" s="191"/>
      <c r="AG31" s="191"/>
      <c r="AH31" s="191"/>
      <c r="AI31" s="191"/>
      <c r="AJ31" s="191"/>
      <c r="AK31" s="191"/>
      <c r="AL31" s="191"/>
      <c r="AM31" s="191"/>
      <c r="AN31" s="191"/>
      <c r="AO31" s="187"/>
      <c r="AP31" s="191"/>
      <c r="AQ31" s="187"/>
      <c r="AR31" s="191"/>
      <c r="AS31" s="191"/>
      <c r="AT31" s="191"/>
      <c r="AZ31" s="191"/>
      <c r="BA31" s="191"/>
      <c r="BB31" s="191"/>
      <c r="BC31" s="191"/>
      <c r="BD31" s="191"/>
      <c r="BE31" s="191"/>
      <c r="BF31" s="191"/>
      <c r="BG31" s="191"/>
      <c r="BH31" s="191"/>
      <c r="BI31" s="191"/>
      <c r="BJ31" s="191"/>
      <c r="BK31" s="191"/>
      <c r="BL31" s="191"/>
      <c r="BM31" s="191"/>
      <c r="BN31" s="187"/>
      <c r="BO31" s="191"/>
      <c r="BP31" s="187"/>
      <c r="BQ31" s="191"/>
      <c r="BR31" s="191"/>
      <c r="BS31" s="191"/>
      <c r="BY31" s="191"/>
      <c r="BZ31" s="191"/>
      <c r="CA31" s="191"/>
      <c r="CB31" s="191"/>
      <c r="CC31" s="191"/>
      <c r="CD31" s="191"/>
      <c r="CE31" s="191"/>
      <c r="CF31" s="191"/>
      <c r="CG31" s="191"/>
      <c r="CH31" s="191"/>
      <c r="CI31" s="191"/>
      <c r="CJ31" s="191"/>
      <c r="CK31" s="191"/>
      <c r="CL31" s="191"/>
      <c r="CM31" s="187"/>
      <c r="CN31" s="191"/>
      <c r="CO31" s="187"/>
      <c r="CP31" s="191"/>
      <c r="CQ31" s="191"/>
      <c r="CR31" s="191"/>
      <c r="CX31" s="191"/>
      <c r="CY31" s="191"/>
      <c r="CZ31" s="191"/>
      <c r="DA31" s="191"/>
      <c r="DB31" s="191"/>
      <c r="DC31" s="191"/>
      <c r="DD31" s="191"/>
      <c r="DE31" s="191"/>
      <c r="DF31" s="191"/>
      <c r="DG31" s="191"/>
      <c r="DH31" s="191"/>
      <c r="DI31" s="191"/>
      <c r="DJ31" s="191"/>
      <c r="DK31" s="191"/>
      <c r="DL31" s="187"/>
      <c r="DM31" s="191"/>
      <c r="DN31" s="187"/>
      <c r="DO31" s="191"/>
      <c r="DP31" s="191"/>
      <c r="DQ31" s="191"/>
      <c r="DV31" s="1387"/>
      <c r="DW31" s="1399"/>
      <c r="DX31" s="1399"/>
      <c r="DY31" s="1399"/>
      <c r="DZ31" s="1399"/>
      <c r="EA31" s="1399"/>
      <c r="EB31" s="1399"/>
      <c r="EC31" s="1399"/>
      <c r="ED31" s="1399"/>
      <c r="EE31" s="1399"/>
      <c r="EF31" s="1399"/>
      <c r="EG31" s="1399"/>
      <c r="EH31" s="1399"/>
      <c r="EI31" s="1399"/>
      <c r="EJ31" s="1399"/>
      <c r="EK31" s="1396"/>
      <c r="EL31" s="1399"/>
      <c r="EM31" s="1396"/>
      <c r="EN31" s="1399"/>
      <c r="EO31" s="1399"/>
      <c r="EP31" s="1399"/>
      <c r="EQ31" s="1387"/>
      <c r="ER31" s="1387"/>
      <c r="ES31" s="1387"/>
    </row>
    <row r="32" spans="1:149" s="168" customFormat="1" ht="15">
      <c r="B32" s="191"/>
      <c r="C32" s="191"/>
      <c r="D32" s="191"/>
      <c r="E32" s="191"/>
      <c r="F32" s="191"/>
      <c r="G32" s="191"/>
      <c r="H32" s="191"/>
      <c r="I32" s="191"/>
      <c r="J32" s="191"/>
      <c r="K32" s="191"/>
      <c r="L32" s="191"/>
      <c r="M32" s="191"/>
      <c r="N32" s="191"/>
      <c r="O32" s="191"/>
      <c r="P32" s="187"/>
      <c r="Q32" s="191"/>
      <c r="R32" s="187"/>
      <c r="S32" s="191"/>
      <c r="T32" s="191"/>
      <c r="U32" s="191"/>
      <c r="AA32" s="191"/>
      <c r="AB32" s="191"/>
      <c r="AC32" s="191"/>
      <c r="AD32" s="191"/>
      <c r="AE32" s="191"/>
      <c r="AF32" s="191"/>
      <c r="AG32" s="191"/>
      <c r="AH32" s="191"/>
      <c r="AI32" s="191"/>
      <c r="AJ32" s="191"/>
      <c r="AK32" s="191"/>
      <c r="AL32" s="191"/>
      <c r="AM32" s="191"/>
      <c r="AN32" s="191"/>
      <c r="AO32" s="187"/>
      <c r="AP32" s="191"/>
      <c r="AQ32" s="187"/>
      <c r="AR32" s="191"/>
      <c r="AS32" s="191"/>
      <c r="AT32" s="191"/>
      <c r="AZ32" s="191"/>
      <c r="BA32" s="191"/>
      <c r="BB32" s="191"/>
      <c r="BC32" s="191"/>
      <c r="BD32" s="191"/>
      <c r="BE32" s="191"/>
      <c r="BF32" s="191"/>
      <c r="BG32" s="191"/>
      <c r="BH32" s="191"/>
      <c r="BI32" s="191"/>
      <c r="BJ32" s="191"/>
      <c r="BK32" s="191"/>
      <c r="BL32" s="191"/>
      <c r="BM32" s="191"/>
      <c r="BN32" s="187"/>
      <c r="BO32" s="191"/>
      <c r="BP32" s="187"/>
      <c r="BQ32" s="191"/>
      <c r="BR32" s="191"/>
      <c r="BS32" s="191"/>
      <c r="BY32" s="191"/>
      <c r="BZ32" s="191"/>
      <c r="CA32" s="191"/>
      <c r="CB32" s="191"/>
      <c r="CC32" s="191"/>
      <c r="CD32" s="191"/>
      <c r="CE32" s="191"/>
      <c r="CF32" s="191"/>
      <c r="CG32" s="191"/>
      <c r="CH32" s="191"/>
      <c r="CI32" s="191"/>
      <c r="CJ32" s="191"/>
      <c r="CK32" s="191"/>
      <c r="CL32" s="191"/>
      <c r="CM32" s="187"/>
      <c r="CN32" s="191"/>
      <c r="CO32" s="187"/>
      <c r="CP32" s="191"/>
      <c r="CQ32" s="191"/>
      <c r="CR32" s="191"/>
      <c r="CX32" s="191"/>
      <c r="CY32" s="191"/>
      <c r="CZ32" s="191"/>
      <c r="DA32" s="191"/>
      <c r="DB32" s="191"/>
      <c r="DC32" s="191"/>
      <c r="DD32" s="191"/>
      <c r="DE32" s="191"/>
      <c r="DF32" s="191"/>
      <c r="DG32" s="191"/>
      <c r="DH32" s="191"/>
      <c r="DI32" s="191"/>
      <c r="DJ32" s="191"/>
      <c r="DK32" s="191"/>
      <c r="DL32" s="187"/>
      <c r="DM32" s="191"/>
      <c r="DN32" s="187"/>
      <c r="DO32" s="191"/>
      <c r="DP32" s="191"/>
      <c r="DQ32" s="191"/>
      <c r="DV32" s="1387"/>
      <c r="DW32" s="1399"/>
      <c r="DX32" s="1399"/>
      <c r="DY32" s="1399"/>
      <c r="DZ32" s="1399"/>
      <c r="EA32" s="1399"/>
      <c r="EB32" s="1399"/>
      <c r="EC32" s="1399"/>
      <c r="ED32" s="1399"/>
      <c r="EE32" s="1399"/>
      <c r="EF32" s="1399"/>
      <c r="EG32" s="1399"/>
      <c r="EH32" s="1399"/>
      <c r="EI32" s="1399"/>
      <c r="EJ32" s="1399"/>
      <c r="EK32" s="1396"/>
      <c r="EL32" s="1399"/>
      <c r="EM32" s="1396"/>
      <c r="EN32" s="1399"/>
      <c r="EO32" s="1399"/>
      <c r="EP32" s="1399"/>
      <c r="EQ32" s="1387"/>
      <c r="ER32" s="1387"/>
      <c r="ES32" s="1387"/>
    </row>
    <row r="33" spans="1:149" s="168" customFormat="1" ht="15">
      <c r="B33" s="191"/>
      <c r="C33" s="191"/>
      <c r="D33" s="191"/>
      <c r="E33" s="191"/>
      <c r="F33" s="191"/>
      <c r="G33" s="191"/>
      <c r="H33" s="191"/>
      <c r="I33" s="191"/>
      <c r="J33" s="191"/>
      <c r="K33" s="191"/>
      <c r="L33" s="191"/>
      <c r="M33" s="191"/>
      <c r="N33" s="191"/>
      <c r="O33" s="191"/>
      <c r="P33" s="187"/>
      <c r="Q33" s="191"/>
      <c r="R33" s="187"/>
      <c r="S33" s="191"/>
      <c r="T33" s="191"/>
      <c r="U33" s="191"/>
      <c r="AA33" s="191"/>
      <c r="AB33" s="191"/>
      <c r="AC33" s="191"/>
      <c r="AD33" s="191"/>
      <c r="AE33" s="191"/>
      <c r="AF33" s="191"/>
      <c r="AG33" s="191"/>
      <c r="AH33" s="191"/>
      <c r="AI33" s="191"/>
      <c r="AJ33" s="191"/>
      <c r="AK33" s="191"/>
      <c r="AL33" s="191"/>
      <c r="AM33" s="191"/>
      <c r="AN33" s="191"/>
      <c r="AO33" s="187"/>
      <c r="AP33" s="191"/>
      <c r="AQ33" s="187"/>
      <c r="AR33" s="191"/>
      <c r="AS33" s="191"/>
      <c r="AT33" s="191"/>
      <c r="AZ33" s="191"/>
      <c r="BA33" s="191"/>
      <c r="BB33" s="191"/>
      <c r="BC33" s="191"/>
      <c r="BD33" s="191"/>
      <c r="BE33" s="191"/>
      <c r="BF33" s="191"/>
      <c r="BG33" s="191"/>
      <c r="BH33" s="191"/>
      <c r="BI33" s="191"/>
      <c r="BJ33" s="191"/>
      <c r="BK33" s="191"/>
      <c r="BL33" s="191"/>
      <c r="BM33" s="191"/>
      <c r="BN33" s="187"/>
      <c r="BO33" s="191"/>
      <c r="BP33" s="187"/>
      <c r="BQ33" s="191"/>
      <c r="BR33" s="191"/>
      <c r="BS33" s="191"/>
      <c r="BY33" s="191"/>
      <c r="BZ33" s="191"/>
      <c r="CA33" s="191"/>
      <c r="CB33" s="191"/>
      <c r="CC33" s="191"/>
      <c r="CD33" s="191"/>
      <c r="CE33" s="191"/>
      <c r="CF33" s="191"/>
      <c r="CG33" s="191"/>
      <c r="CH33" s="191"/>
      <c r="CI33" s="191"/>
      <c r="CJ33" s="191"/>
      <c r="CK33" s="191"/>
      <c r="CL33" s="191"/>
      <c r="CM33" s="187"/>
      <c r="CN33" s="191"/>
      <c r="CO33" s="187"/>
      <c r="CP33" s="191"/>
      <c r="CQ33" s="191"/>
      <c r="CR33" s="191"/>
      <c r="CX33" s="191"/>
      <c r="CY33" s="191"/>
      <c r="CZ33" s="191"/>
      <c r="DA33" s="191"/>
      <c r="DB33" s="191"/>
      <c r="DC33" s="191"/>
      <c r="DD33" s="191"/>
      <c r="DE33" s="191"/>
      <c r="DF33" s="191"/>
      <c r="DG33" s="191"/>
      <c r="DH33" s="191"/>
      <c r="DI33" s="191"/>
      <c r="DJ33" s="191"/>
      <c r="DK33" s="191"/>
      <c r="DL33" s="187"/>
      <c r="DM33" s="191"/>
      <c r="DN33" s="187"/>
      <c r="DO33" s="191"/>
      <c r="DP33" s="191"/>
      <c r="DQ33" s="191"/>
      <c r="DV33" s="1387"/>
      <c r="DW33" s="1399"/>
      <c r="DX33" s="1399"/>
      <c r="DY33" s="1399"/>
      <c r="DZ33" s="1399"/>
      <c r="EA33" s="1399"/>
      <c r="EB33" s="1399"/>
      <c r="EC33" s="1399"/>
      <c r="ED33" s="1399"/>
      <c r="EE33" s="1399"/>
      <c r="EF33" s="1399"/>
      <c r="EG33" s="1399"/>
      <c r="EH33" s="1399"/>
      <c r="EI33" s="1399"/>
      <c r="EJ33" s="1399"/>
      <c r="EK33" s="1396"/>
      <c r="EL33" s="1399"/>
      <c r="EM33" s="1396"/>
      <c r="EN33" s="1399"/>
      <c r="EO33" s="1399"/>
      <c r="EP33" s="1399"/>
      <c r="EQ33" s="1387"/>
      <c r="ER33" s="1387"/>
      <c r="ES33" s="1387"/>
    </row>
    <row r="34" spans="1:149" s="168" customFormat="1" ht="15">
      <c r="B34" s="192" t="str">
        <f>DT!D19</f>
        <v>Dadin</v>
      </c>
      <c r="C34" s="193"/>
      <c r="D34" s="3410" t="str">
        <f>DT!D7</f>
        <v>-</v>
      </c>
      <c r="E34" s="3410"/>
      <c r="G34" s="192" t="str">
        <f>DT!D8</f>
        <v>-</v>
      </c>
      <c r="H34" s="192"/>
      <c r="I34" s="192" t="str">
        <f>DT!D18</f>
        <v>Yudi B</v>
      </c>
      <c r="J34" s="192"/>
      <c r="K34" s="194" t="str">
        <f>DT!D14</f>
        <v>Endang Taryana</v>
      </c>
      <c r="L34" s="192"/>
      <c r="M34" s="192"/>
      <c r="O34" s="192"/>
      <c r="Q34" s="192"/>
      <c r="R34" s="3410" t="str">
        <f>DT!D15</f>
        <v>Arin Yustini, SE</v>
      </c>
      <c r="S34" s="3410"/>
      <c r="T34" s="3410"/>
      <c r="U34" s="191"/>
      <c r="AA34" s="192" t="str">
        <f>$B$34</f>
        <v>Dadin</v>
      </c>
      <c r="AB34" s="193"/>
      <c r="AC34" s="3410" t="str">
        <f>$D$34</f>
        <v>-</v>
      </c>
      <c r="AD34" s="3410"/>
      <c r="AF34" s="192" t="str">
        <f>$G$34</f>
        <v>-</v>
      </c>
      <c r="AG34" s="192"/>
      <c r="AH34" s="192" t="str">
        <f>$I$34</f>
        <v>Yudi B</v>
      </c>
      <c r="AI34" s="192"/>
      <c r="AJ34" s="187" t="str">
        <f>$K$34</f>
        <v>Endang Taryana</v>
      </c>
      <c r="AK34" s="192"/>
      <c r="AL34" s="192"/>
      <c r="AM34" s="192"/>
      <c r="AN34" s="192"/>
      <c r="AO34" s="194"/>
      <c r="AP34" s="192"/>
      <c r="AQ34" s="3410" t="str">
        <f>$R$34</f>
        <v>Arin Yustini, SE</v>
      </c>
      <c r="AR34" s="3410"/>
      <c r="AS34" s="3410"/>
      <c r="AT34" s="191"/>
      <c r="AZ34" s="192" t="str">
        <f>$B$34</f>
        <v>Dadin</v>
      </c>
      <c r="BA34" s="193"/>
      <c r="BB34" s="3410" t="str">
        <f>$D$34</f>
        <v>-</v>
      </c>
      <c r="BC34" s="3410"/>
      <c r="BE34" s="192" t="str">
        <f>$G$34</f>
        <v>-</v>
      </c>
      <c r="BF34" s="192"/>
      <c r="BG34" s="192" t="str">
        <f>$I$34</f>
        <v>Yudi B</v>
      </c>
      <c r="BH34" s="192"/>
      <c r="BI34" s="187" t="str">
        <f>$K$34</f>
        <v>Endang Taryana</v>
      </c>
      <c r="BJ34" s="192"/>
      <c r="BK34" s="192"/>
      <c r="BL34" s="192"/>
      <c r="BM34" s="192"/>
      <c r="BN34" s="194"/>
      <c r="BO34" s="192"/>
      <c r="BP34" s="3410" t="str">
        <f>$R$34</f>
        <v>Arin Yustini, SE</v>
      </c>
      <c r="BQ34" s="3410"/>
      <c r="BR34" s="3410"/>
      <c r="BS34" s="191"/>
      <c r="BY34" s="192" t="str">
        <f>$B$34</f>
        <v>Dadin</v>
      </c>
      <c r="BZ34" s="193"/>
      <c r="CA34" s="3410" t="str">
        <f>$D$34</f>
        <v>-</v>
      </c>
      <c r="CB34" s="3410"/>
      <c r="CD34" s="192" t="str">
        <f>$G$34</f>
        <v>-</v>
      </c>
      <c r="CE34" s="192"/>
      <c r="CF34" s="192" t="str">
        <f>$I$34</f>
        <v>Yudi B</v>
      </c>
      <c r="CG34" s="192"/>
      <c r="CH34" s="187" t="str">
        <f>$K$34</f>
        <v>Endang Taryana</v>
      </c>
      <c r="CI34" s="192"/>
      <c r="CJ34" s="192"/>
      <c r="CK34" s="192"/>
      <c r="CL34" s="192"/>
      <c r="CM34" s="194"/>
      <c r="CN34" s="192"/>
      <c r="CO34" s="3410" t="str">
        <f>$R$34</f>
        <v>Arin Yustini, SE</v>
      </c>
      <c r="CP34" s="3410"/>
      <c r="CQ34" s="3410"/>
      <c r="CR34" s="191"/>
      <c r="CX34" s="192" t="str">
        <f>$B$34</f>
        <v>Dadin</v>
      </c>
      <c r="CY34" s="193"/>
      <c r="CZ34" s="3410" t="str">
        <f>$D$34</f>
        <v>-</v>
      </c>
      <c r="DA34" s="3410"/>
      <c r="DC34" s="192" t="str">
        <f>$G$34</f>
        <v>-</v>
      </c>
      <c r="DD34" s="192"/>
      <c r="DE34" s="192" t="str">
        <f>$I$34</f>
        <v>Yudi B</v>
      </c>
      <c r="DF34" s="192"/>
      <c r="DG34" s="187" t="str">
        <f>$K$34</f>
        <v>Endang Taryana</v>
      </c>
      <c r="DH34" s="192"/>
      <c r="DI34" s="192"/>
      <c r="DJ34" s="192"/>
      <c r="DK34" s="192"/>
      <c r="DL34" s="194"/>
      <c r="DM34" s="192"/>
      <c r="DN34" s="3410" t="str">
        <f>$R$34</f>
        <v>Arin Yustini, SE</v>
      </c>
      <c r="DO34" s="3410"/>
      <c r="DP34" s="3410"/>
      <c r="DQ34" s="191"/>
      <c r="DV34" s="1387"/>
      <c r="DW34" s="1400"/>
      <c r="DX34" s="1401"/>
      <c r="DY34" s="3410"/>
      <c r="DZ34" s="3410"/>
      <c r="EA34" s="1387"/>
      <c r="EB34" s="1400"/>
      <c r="EC34" s="1400"/>
      <c r="ED34" s="1400"/>
      <c r="EE34" s="1400"/>
      <c r="EF34" s="1396"/>
      <c r="EG34" s="1400"/>
      <c r="EH34" s="1400"/>
      <c r="EI34" s="1400"/>
      <c r="EJ34" s="1400"/>
      <c r="EK34" s="1402"/>
      <c r="EL34" s="1400"/>
      <c r="EM34" s="3410"/>
      <c r="EN34" s="3410"/>
      <c r="EO34" s="3410"/>
      <c r="EP34" s="1399"/>
      <c r="EQ34" s="1387"/>
      <c r="ER34" s="1387"/>
      <c r="ES34" s="1387"/>
    </row>
    <row r="35" spans="1:149" s="168" customFormat="1" ht="15">
      <c r="B35" s="191" t="s">
        <v>239</v>
      </c>
      <c r="D35" s="3410" t="s">
        <v>84</v>
      </c>
      <c r="E35" s="3410"/>
      <c r="G35" s="191" t="s">
        <v>255</v>
      </c>
      <c r="I35" s="191" t="s">
        <v>85</v>
      </c>
      <c r="K35" s="187" t="s">
        <v>23</v>
      </c>
      <c r="O35" s="191"/>
      <c r="Q35" s="191"/>
      <c r="R35" s="3410" t="s">
        <v>24</v>
      </c>
      <c r="S35" s="3410"/>
      <c r="T35" s="3410"/>
      <c r="U35" s="191"/>
      <c r="AA35" s="191" t="str">
        <f>$B$35</f>
        <v>BKAD</v>
      </c>
      <c r="AC35" s="3410" t="str">
        <f>$D$35</f>
        <v xml:space="preserve">Fasilitator Kecamatan </v>
      </c>
      <c r="AD35" s="3410"/>
      <c r="AF35" s="191" t="str">
        <f>$G$35</f>
        <v>Fasilitator Teknik</v>
      </c>
      <c r="AG35" s="191"/>
      <c r="AH35" s="191" t="str">
        <f>$I$35</f>
        <v>PJOK</v>
      </c>
      <c r="AI35" s="191"/>
      <c r="AJ35" s="187" t="str">
        <f>$K$35</f>
        <v>Ketua UPK</v>
      </c>
      <c r="AK35" s="191"/>
      <c r="AL35" s="192"/>
      <c r="AM35" s="191"/>
      <c r="AN35" s="191"/>
      <c r="AO35" s="187"/>
      <c r="AP35" s="191"/>
      <c r="AQ35" s="3410" t="str">
        <f>$R$35</f>
        <v>Bendahara UPK</v>
      </c>
      <c r="AR35" s="3410"/>
      <c r="AS35" s="3410"/>
      <c r="AT35" s="191"/>
      <c r="AZ35" s="191" t="str">
        <f>$B$35</f>
        <v>BKAD</v>
      </c>
      <c r="BB35" s="3410" t="str">
        <f>$D$35</f>
        <v xml:space="preserve">Fasilitator Kecamatan </v>
      </c>
      <c r="BC35" s="3410"/>
      <c r="BE35" s="191" t="str">
        <f>$G$35</f>
        <v>Fasilitator Teknik</v>
      </c>
      <c r="BF35" s="191"/>
      <c r="BG35" s="191" t="str">
        <f>$I$35</f>
        <v>PJOK</v>
      </c>
      <c r="BH35" s="191"/>
      <c r="BI35" s="187" t="str">
        <f>$K$35</f>
        <v>Ketua UPK</v>
      </c>
      <c r="BJ35" s="191"/>
      <c r="BK35" s="192"/>
      <c r="BL35" s="191"/>
      <c r="BM35" s="191"/>
      <c r="BN35" s="187"/>
      <c r="BO35" s="191"/>
      <c r="BP35" s="3410" t="str">
        <f>$R$35</f>
        <v>Bendahara UPK</v>
      </c>
      <c r="BQ35" s="3410"/>
      <c r="BR35" s="3410"/>
      <c r="BS35" s="191"/>
      <c r="BY35" s="191" t="str">
        <f>$B$35</f>
        <v>BKAD</v>
      </c>
      <c r="CA35" s="3410" t="str">
        <f>$D$35</f>
        <v xml:space="preserve">Fasilitator Kecamatan </v>
      </c>
      <c r="CB35" s="3410"/>
      <c r="CD35" s="191" t="str">
        <f>$G$35</f>
        <v>Fasilitator Teknik</v>
      </c>
      <c r="CE35" s="191"/>
      <c r="CF35" s="191" t="str">
        <f>$I$35</f>
        <v>PJOK</v>
      </c>
      <c r="CG35" s="191"/>
      <c r="CH35" s="187" t="str">
        <f>$K$35</f>
        <v>Ketua UPK</v>
      </c>
      <c r="CI35" s="191"/>
      <c r="CJ35" s="192"/>
      <c r="CK35" s="191"/>
      <c r="CL35" s="191"/>
      <c r="CM35" s="187"/>
      <c r="CN35" s="191"/>
      <c r="CO35" s="3410" t="str">
        <f>$R$35</f>
        <v>Bendahara UPK</v>
      </c>
      <c r="CP35" s="3410"/>
      <c r="CQ35" s="3410"/>
      <c r="CR35" s="191"/>
      <c r="CX35" s="191" t="str">
        <f>$B$35</f>
        <v>BKAD</v>
      </c>
      <c r="CZ35" s="3410" t="str">
        <f>$D$35</f>
        <v xml:space="preserve">Fasilitator Kecamatan </v>
      </c>
      <c r="DA35" s="3410"/>
      <c r="DC35" s="191" t="str">
        <f>$G$35</f>
        <v>Fasilitator Teknik</v>
      </c>
      <c r="DD35" s="191"/>
      <c r="DE35" s="191" t="str">
        <f>$I$35</f>
        <v>PJOK</v>
      </c>
      <c r="DF35" s="191"/>
      <c r="DG35" s="187" t="str">
        <f>$K$35</f>
        <v>Ketua UPK</v>
      </c>
      <c r="DH35" s="191"/>
      <c r="DI35" s="192"/>
      <c r="DJ35" s="191"/>
      <c r="DK35" s="191"/>
      <c r="DL35" s="187"/>
      <c r="DM35" s="191"/>
      <c r="DN35" s="3410" t="str">
        <f>$R$35</f>
        <v>Bendahara UPK</v>
      </c>
      <c r="DO35" s="3410"/>
      <c r="DP35" s="3410"/>
      <c r="DQ35" s="191"/>
      <c r="DV35" s="1387"/>
      <c r="DW35" s="1399"/>
      <c r="DX35" s="1387"/>
      <c r="DY35" s="3410"/>
      <c r="DZ35" s="3410"/>
      <c r="EA35" s="1387"/>
      <c r="EB35" s="1399"/>
      <c r="EC35" s="1399"/>
      <c r="ED35" s="1399"/>
      <c r="EE35" s="1399"/>
      <c r="EF35" s="1396"/>
      <c r="EG35" s="1399"/>
      <c r="EH35" s="1400"/>
      <c r="EI35" s="1399"/>
      <c r="EJ35" s="1399"/>
      <c r="EK35" s="1396"/>
      <c r="EL35" s="1399"/>
      <c r="EM35" s="3410"/>
      <c r="EN35" s="3410"/>
      <c r="EO35" s="3410"/>
      <c r="EP35" s="1399"/>
      <c r="EQ35" s="1387"/>
      <c r="ER35" s="1387"/>
      <c r="ES35" s="1387"/>
    </row>
    <row r="36" spans="1:149">
      <c r="A36" s="26"/>
      <c r="B36" s="3410"/>
      <c r="C36" s="3410"/>
      <c r="D36" s="26"/>
      <c r="E36" s="26"/>
      <c r="F36" s="26"/>
      <c r="G36" s="26"/>
      <c r="H36" s="26"/>
      <c r="I36" s="26"/>
      <c r="J36" s="26"/>
      <c r="K36" s="26"/>
      <c r="L36" s="26"/>
      <c r="M36" s="26"/>
      <c r="N36" s="26"/>
      <c r="O36" s="26"/>
      <c r="P36" s="35"/>
      <c r="Q36" s="26"/>
      <c r="R36" s="35"/>
      <c r="S36" s="26"/>
      <c r="T36" s="26"/>
      <c r="U36" s="26"/>
      <c r="V36" s="27"/>
      <c r="Z36" s="26"/>
      <c r="AA36" s="3410"/>
      <c r="AB36" s="3410"/>
      <c r="AC36" s="26"/>
      <c r="AD36" s="26"/>
      <c r="AE36" s="26"/>
      <c r="AF36" s="26"/>
      <c r="AG36" s="26"/>
      <c r="AH36" s="26"/>
      <c r="AI36" s="26"/>
      <c r="AJ36" s="26"/>
      <c r="AK36" s="26"/>
      <c r="AL36" s="26"/>
      <c r="AM36" s="26"/>
      <c r="AN36" s="26"/>
      <c r="AO36" s="35"/>
      <c r="AP36" s="26"/>
      <c r="AQ36" s="35"/>
      <c r="AR36" s="26"/>
      <c r="AS36" s="26"/>
      <c r="AT36" s="26"/>
      <c r="AU36" s="27"/>
      <c r="AY36" s="26"/>
      <c r="AZ36" s="3410"/>
      <c r="BA36" s="3410"/>
      <c r="BB36" s="26"/>
      <c r="BC36" s="26"/>
      <c r="BD36" s="26"/>
      <c r="BE36" s="26"/>
      <c r="BF36" s="26"/>
      <c r="BG36" s="26"/>
      <c r="BH36" s="26"/>
      <c r="BI36" s="26"/>
      <c r="BJ36" s="26"/>
      <c r="BK36" s="26"/>
      <c r="BL36" s="26"/>
      <c r="BM36" s="26"/>
      <c r="BN36" s="35"/>
      <c r="BO36" s="26"/>
      <c r="BP36" s="35"/>
      <c r="BQ36" s="26"/>
      <c r="BR36" s="26"/>
      <c r="BS36" s="26"/>
      <c r="BT36" s="27"/>
      <c r="BX36" s="26"/>
      <c r="BY36" s="3410"/>
      <c r="BZ36" s="3410"/>
      <c r="CA36" s="26"/>
      <c r="CB36" s="26"/>
      <c r="CC36" s="26"/>
      <c r="CD36" s="26"/>
      <c r="CE36" s="26"/>
      <c r="CF36" s="26"/>
      <c r="CG36" s="26"/>
      <c r="CH36" s="26"/>
      <c r="CI36" s="26"/>
      <c r="CJ36" s="26"/>
      <c r="CK36" s="26"/>
      <c r="CL36" s="26"/>
      <c r="CM36" s="35"/>
      <c r="CN36" s="26"/>
      <c r="CO36" s="35"/>
      <c r="CP36" s="26"/>
      <c r="CQ36" s="26"/>
      <c r="CR36" s="26"/>
      <c r="CS36" s="27"/>
      <c r="CW36" s="26"/>
      <c r="CX36" s="3410"/>
      <c r="CY36" s="3410"/>
      <c r="CZ36" s="26"/>
      <c r="DA36" s="26"/>
      <c r="DB36" s="26"/>
      <c r="DC36" s="26"/>
      <c r="DD36" s="26"/>
      <c r="DE36" s="26"/>
      <c r="DF36" s="26"/>
      <c r="DG36" s="26"/>
      <c r="DH36" s="26"/>
      <c r="DI36" s="26"/>
      <c r="DJ36" s="26"/>
      <c r="DK36" s="26"/>
      <c r="DL36" s="35"/>
      <c r="DM36" s="26"/>
      <c r="DN36" s="35"/>
      <c r="DO36" s="26"/>
      <c r="DP36" s="26"/>
      <c r="DQ36" s="26"/>
      <c r="DR36" s="27"/>
      <c r="DV36" s="1382"/>
      <c r="DW36" s="3410"/>
      <c r="DX36" s="3410"/>
      <c r="DY36" s="1382"/>
      <c r="DZ36" s="1382"/>
      <c r="EA36" s="1382"/>
      <c r="EB36" s="1382"/>
      <c r="EC36" s="1382"/>
      <c r="ED36" s="1382"/>
      <c r="EE36" s="1382"/>
      <c r="EF36" s="1382"/>
      <c r="EG36" s="1382"/>
      <c r="EH36" s="1382"/>
      <c r="EI36" s="1382"/>
      <c r="EJ36" s="1382"/>
      <c r="EK36" s="1403"/>
      <c r="EL36" s="1382"/>
      <c r="EM36" s="1403"/>
      <c r="EN36" s="1382"/>
      <c r="EO36" s="1382"/>
      <c r="EP36" s="1382"/>
      <c r="EQ36" s="1383"/>
    </row>
    <row r="37" spans="1:149">
      <c r="A37" s="3410" t="s">
        <v>0</v>
      </c>
      <c r="B37" s="3410"/>
      <c r="C37" s="3410"/>
      <c r="D37" s="3410"/>
      <c r="E37" s="3410"/>
      <c r="F37" s="3410"/>
      <c r="G37" s="3410"/>
      <c r="H37" s="3410"/>
      <c r="I37" s="3410"/>
      <c r="J37" s="3410"/>
      <c r="K37" s="3410"/>
      <c r="L37" s="3410"/>
      <c r="M37" s="3410"/>
      <c r="N37" s="3410"/>
      <c r="O37" s="3410"/>
      <c r="P37" s="3410"/>
      <c r="Q37" s="3410"/>
      <c r="R37" s="3410"/>
      <c r="S37" s="3410"/>
      <c r="T37" s="3410"/>
      <c r="U37" s="3410"/>
      <c r="Z37" s="3410" t="s">
        <v>0</v>
      </c>
      <c r="AA37" s="3410"/>
      <c r="AB37" s="3410"/>
      <c r="AC37" s="3410"/>
      <c r="AD37" s="3410"/>
      <c r="AE37" s="3410"/>
      <c r="AF37" s="3410"/>
      <c r="AG37" s="3410"/>
      <c r="AH37" s="3410"/>
      <c r="AI37" s="3410"/>
      <c r="AJ37" s="3410"/>
      <c r="AK37" s="3410"/>
      <c r="AL37" s="3410"/>
      <c r="AM37" s="3410"/>
      <c r="AN37" s="3410"/>
      <c r="AO37" s="3410"/>
      <c r="AP37" s="3410"/>
      <c r="AQ37" s="3410"/>
      <c r="AR37" s="3410"/>
      <c r="AS37" s="3410"/>
      <c r="AT37" s="3410"/>
      <c r="AY37" s="3410" t="s">
        <v>0</v>
      </c>
      <c r="AZ37" s="3410"/>
      <c r="BA37" s="3410"/>
      <c r="BB37" s="3410"/>
      <c r="BC37" s="3410"/>
      <c r="BD37" s="3410"/>
      <c r="BE37" s="3410"/>
      <c r="BF37" s="3410"/>
      <c r="BG37" s="3410"/>
      <c r="BH37" s="3410"/>
      <c r="BI37" s="3410"/>
      <c r="BJ37" s="3410"/>
      <c r="BK37" s="3410"/>
      <c r="BL37" s="3410"/>
      <c r="BM37" s="3410"/>
      <c r="BN37" s="3410"/>
      <c r="BO37" s="3410"/>
      <c r="BP37" s="3410"/>
      <c r="BQ37" s="3410"/>
      <c r="BR37" s="3410"/>
      <c r="BS37" s="3410"/>
      <c r="BX37" s="3410" t="s">
        <v>0</v>
      </c>
      <c r="BY37" s="3410"/>
      <c r="BZ37" s="3410"/>
      <c r="CA37" s="3410"/>
      <c r="CB37" s="3410"/>
      <c r="CC37" s="3410"/>
      <c r="CD37" s="3410"/>
      <c r="CE37" s="3410"/>
      <c r="CF37" s="3410"/>
      <c r="CG37" s="3410"/>
      <c r="CH37" s="3410"/>
      <c r="CI37" s="3410"/>
      <c r="CJ37" s="3410"/>
      <c r="CK37" s="3410"/>
      <c r="CL37" s="3410"/>
      <c r="CM37" s="3410"/>
      <c r="CN37" s="3410"/>
      <c r="CO37" s="3410"/>
      <c r="CP37" s="3410"/>
      <c r="CQ37" s="3410"/>
      <c r="CR37" s="3410"/>
      <c r="CW37" s="3410" t="s">
        <v>0</v>
      </c>
      <c r="CX37" s="3410"/>
      <c r="CY37" s="3410"/>
      <c r="CZ37" s="3410"/>
      <c r="DA37" s="3410"/>
      <c r="DB37" s="3410"/>
      <c r="DC37" s="3410"/>
      <c r="DD37" s="3410"/>
      <c r="DE37" s="3410"/>
      <c r="DF37" s="3410"/>
      <c r="DG37" s="3410"/>
      <c r="DH37" s="3410"/>
      <c r="DI37" s="3410"/>
      <c r="DJ37" s="3410"/>
      <c r="DK37" s="3410"/>
      <c r="DL37" s="3410"/>
      <c r="DM37" s="3410"/>
      <c r="DN37" s="3410"/>
      <c r="DO37" s="3410"/>
      <c r="DP37" s="3410"/>
      <c r="DQ37" s="3410"/>
      <c r="DV37" s="3410"/>
      <c r="DW37" s="3410"/>
      <c r="DX37" s="3410"/>
      <c r="DY37" s="3410"/>
      <c r="DZ37" s="3410"/>
      <c r="EA37" s="3410"/>
      <c r="EB37" s="3410"/>
      <c r="EC37" s="3410"/>
      <c r="ED37" s="3410"/>
      <c r="EE37" s="3410"/>
      <c r="EF37" s="3410"/>
      <c r="EG37" s="3410"/>
      <c r="EH37" s="3410"/>
      <c r="EI37" s="3410"/>
      <c r="EJ37" s="3410"/>
      <c r="EK37" s="3410"/>
      <c r="EL37" s="3410"/>
      <c r="EM37" s="3410"/>
      <c r="EN37" s="3410"/>
      <c r="EO37" s="3410"/>
      <c r="EP37" s="3410"/>
    </row>
    <row r="38" spans="1:149">
      <c r="A38" s="3410" t="s">
        <v>1891</v>
      </c>
      <c r="B38" s="3410"/>
      <c r="C38" s="3410"/>
      <c r="D38" s="3410"/>
      <c r="E38" s="3410"/>
      <c r="F38" s="3410"/>
      <c r="G38" s="3410"/>
      <c r="H38" s="3410"/>
      <c r="I38" s="3410"/>
      <c r="J38" s="3410"/>
      <c r="K38" s="3410"/>
      <c r="L38" s="3410"/>
      <c r="M38" s="3410"/>
      <c r="N38" s="3410"/>
      <c r="O38" s="3410"/>
      <c r="P38" s="3410"/>
      <c r="Q38" s="3410"/>
      <c r="R38" s="3410"/>
      <c r="S38" s="3410"/>
      <c r="T38" s="3410"/>
      <c r="U38" s="3410"/>
      <c r="Z38" s="3410" t="s">
        <v>1168</v>
      </c>
      <c r="AA38" s="3410"/>
      <c r="AB38" s="3410"/>
      <c r="AC38" s="3410"/>
      <c r="AD38" s="3410"/>
      <c r="AE38" s="3410"/>
      <c r="AF38" s="3410"/>
      <c r="AG38" s="3410"/>
      <c r="AH38" s="3410"/>
      <c r="AI38" s="3410"/>
      <c r="AJ38" s="3410"/>
      <c r="AK38" s="3410"/>
      <c r="AL38" s="3410"/>
      <c r="AM38" s="3410"/>
      <c r="AN38" s="3410"/>
      <c r="AO38" s="3410"/>
      <c r="AP38" s="3410"/>
      <c r="AQ38" s="3410"/>
      <c r="AR38" s="3410"/>
      <c r="AS38" s="3410"/>
      <c r="AT38" s="3410"/>
      <c r="AY38" s="3410" t="s">
        <v>1892</v>
      </c>
      <c r="AZ38" s="3410"/>
      <c r="BA38" s="3410"/>
      <c r="BB38" s="3410"/>
      <c r="BC38" s="3410"/>
      <c r="BD38" s="3410"/>
      <c r="BE38" s="3410"/>
      <c r="BF38" s="3410"/>
      <c r="BG38" s="3410"/>
      <c r="BH38" s="3410"/>
      <c r="BI38" s="3410"/>
      <c r="BJ38" s="3410"/>
      <c r="BK38" s="3410"/>
      <c r="BL38" s="3410"/>
      <c r="BM38" s="3410"/>
      <c r="BN38" s="3410"/>
      <c r="BO38" s="3410"/>
      <c r="BP38" s="3410"/>
      <c r="BQ38" s="3410"/>
      <c r="BR38" s="3410"/>
      <c r="BS38" s="3410"/>
      <c r="BX38" s="3410" t="s">
        <v>1169</v>
      </c>
      <c r="BY38" s="3410"/>
      <c r="BZ38" s="3410"/>
      <c r="CA38" s="3410"/>
      <c r="CB38" s="3410"/>
      <c r="CC38" s="3410"/>
      <c r="CD38" s="3410"/>
      <c r="CE38" s="3410"/>
      <c r="CF38" s="3410"/>
      <c r="CG38" s="3410"/>
      <c r="CH38" s="3410"/>
      <c r="CI38" s="3410"/>
      <c r="CJ38" s="3410"/>
      <c r="CK38" s="3410"/>
      <c r="CL38" s="3410"/>
      <c r="CM38" s="3410"/>
      <c r="CN38" s="3410"/>
      <c r="CO38" s="3410"/>
      <c r="CP38" s="3410"/>
      <c r="CQ38" s="3410"/>
      <c r="CR38" s="3410"/>
      <c r="CW38" s="3410" t="s">
        <v>2161</v>
      </c>
      <c r="CX38" s="3410"/>
      <c r="CY38" s="3410"/>
      <c r="CZ38" s="3410"/>
      <c r="DA38" s="3410"/>
      <c r="DB38" s="3410"/>
      <c r="DC38" s="3410"/>
      <c r="DD38" s="3410"/>
      <c r="DE38" s="3410"/>
      <c r="DF38" s="3410"/>
      <c r="DG38" s="3410"/>
      <c r="DH38" s="3410"/>
      <c r="DI38" s="3410"/>
      <c r="DJ38" s="3410"/>
      <c r="DK38" s="3410"/>
      <c r="DL38" s="3410"/>
      <c r="DM38" s="3410"/>
      <c r="DN38" s="3410"/>
      <c r="DO38" s="3410"/>
      <c r="DP38" s="3410"/>
      <c r="DQ38" s="3410"/>
      <c r="DV38" s="3410"/>
      <c r="DW38" s="3410"/>
      <c r="DX38" s="3410"/>
      <c r="DY38" s="3410"/>
      <c r="DZ38" s="3410"/>
      <c r="EA38" s="3410"/>
      <c r="EB38" s="3410"/>
      <c r="EC38" s="3410"/>
      <c r="ED38" s="3410"/>
      <c r="EE38" s="3410"/>
      <c r="EF38" s="3410"/>
      <c r="EG38" s="3410"/>
      <c r="EH38" s="3410"/>
      <c r="EI38" s="3410"/>
      <c r="EJ38" s="3410"/>
      <c r="EK38" s="3410"/>
      <c r="EL38" s="3410"/>
      <c r="EM38" s="3410"/>
      <c r="EN38" s="3410"/>
      <c r="EO38" s="3410"/>
      <c r="EP38" s="3410"/>
    </row>
    <row r="39" spans="1:149">
      <c r="A39" s="28"/>
      <c r="B39" s="28"/>
      <c r="C39" s="28"/>
      <c r="D39" s="28"/>
      <c r="E39" s="28"/>
      <c r="F39" s="28"/>
      <c r="G39" s="28"/>
      <c r="H39" s="28"/>
      <c r="I39" s="28"/>
      <c r="J39" s="28"/>
      <c r="K39" s="28"/>
      <c r="L39" s="28"/>
      <c r="M39" s="28"/>
      <c r="N39" s="28"/>
      <c r="O39" s="28"/>
      <c r="P39" s="29"/>
      <c r="Q39" s="28"/>
      <c r="R39" s="29"/>
      <c r="S39" s="28"/>
      <c r="T39" s="28"/>
      <c r="U39" s="28"/>
      <c r="Z39" s="28"/>
      <c r="AA39" s="28"/>
      <c r="AB39" s="28"/>
      <c r="AC39" s="28"/>
      <c r="AD39" s="28"/>
      <c r="AE39" s="28"/>
      <c r="AF39" s="28"/>
      <c r="AG39" s="28"/>
      <c r="AH39" s="28"/>
      <c r="AI39" s="28"/>
      <c r="AJ39" s="28"/>
      <c r="AK39" s="28"/>
      <c r="AL39" s="28"/>
      <c r="AM39" s="28"/>
      <c r="AN39" s="28"/>
      <c r="AO39" s="29"/>
      <c r="AP39" s="28"/>
      <c r="AQ39" s="29"/>
      <c r="AR39" s="28"/>
      <c r="AS39" s="28"/>
      <c r="AT39" s="28"/>
      <c r="AY39" s="28"/>
      <c r="AZ39" s="28"/>
      <c r="BA39" s="28"/>
      <c r="BB39" s="28"/>
      <c r="BC39" s="28"/>
      <c r="BD39" s="28"/>
      <c r="BE39" s="28"/>
      <c r="BF39" s="28"/>
      <c r="BG39" s="28"/>
      <c r="BH39" s="28"/>
      <c r="BI39" s="28"/>
      <c r="BJ39" s="28"/>
      <c r="BK39" s="28"/>
      <c r="BL39" s="28"/>
      <c r="BM39" s="28"/>
      <c r="BN39" s="29"/>
      <c r="BO39" s="28"/>
      <c r="BP39" s="29"/>
      <c r="BQ39" s="28"/>
      <c r="BR39" s="28"/>
      <c r="BS39" s="28"/>
      <c r="BX39" s="28"/>
      <c r="BY39" s="28"/>
      <c r="BZ39" s="28"/>
      <c r="CA39" s="28"/>
      <c r="CB39" s="28"/>
      <c r="CC39" s="28"/>
      <c r="CD39" s="28"/>
      <c r="CE39" s="28"/>
      <c r="CF39" s="28"/>
      <c r="CG39" s="28"/>
      <c r="CH39" s="28"/>
      <c r="CI39" s="28"/>
      <c r="CJ39" s="28"/>
      <c r="CK39" s="28"/>
      <c r="CL39" s="28"/>
      <c r="CM39" s="29"/>
      <c r="CN39" s="28"/>
      <c r="CO39" s="29"/>
      <c r="CP39" s="28"/>
      <c r="CQ39" s="28"/>
      <c r="CR39" s="28"/>
      <c r="CW39" s="28"/>
      <c r="CX39" s="28"/>
      <c r="CY39" s="28"/>
      <c r="CZ39" s="28"/>
      <c r="DA39" s="28"/>
      <c r="DB39" s="28"/>
      <c r="DC39" s="28"/>
      <c r="DD39" s="28"/>
      <c r="DE39" s="28"/>
      <c r="DF39" s="28"/>
      <c r="DG39" s="28"/>
      <c r="DH39" s="28"/>
      <c r="DI39" s="28"/>
      <c r="DJ39" s="28"/>
      <c r="DK39" s="28"/>
      <c r="DL39" s="29"/>
      <c r="DM39" s="28"/>
      <c r="DN39" s="29"/>
      <c r="DO39" s="28"/>
      <c r="DP39" s="28"/>
      <c r="DQ39" s="28"/>
      <c r="DV39" s="1384"/>
      <c r="DW39" s="1384"/>
      <c r="DX39" s="1384"/>
      <c r="DY39" s="1384"/>
      <c r="DZ39" s="1384"/>
      <c r="EA39" s="1384"/>
      <c r="EB39" s="1384"/>
      <c r="EC39" s="1384"/>
      <c r="ED39" s="1384"/>
      <c r="EE39" s="1384"/>
      <c r="EF39" s="1384"/>
      <c r="EG39" s="1384"/>
      <c r="EH39" s="1384"/>
      <c r="EI39" s="1384"/>
      <c r="EJ39" s="1384"/>
      <c r="EK39" s="1385"/>
      <c r="EL39" s="1384"/>
      <c r="EM39" s="1385"/>
      <c r="EN39" s="1384"/>
      <c r="EO39" s="1384"/>
      <c r="EP39" s="1384"/>
    </row>
    <row r="40" spans="1:149" s="168" customFormat="1" ht="15.75">
      <c r="A40" s="167"/>
      <c r="B40" s="413" t="s">
        <v>2</v>
      </c>
      <c r="C40" s="30" t="str">
        <f>$C$4</f>
        <v>:  Nagrak</v>
      </c>
      <c r="E40" s="167"/>
      <c r="F40" s="167"/>
      <c r="G40" s="167"/>
      <c r="H40" s="167"/>
      <c r="I40" s="167"/>
      <c r="J40" s="167"/>
      <c r="K40" s="167"/>
      <c r="L40" s="167"/>
      <c r="M40" s="167"/>
      <c r="N40" s="167"/>
      <c r="O40" s="167"/>
      <c r="Q40" s="412" t="s">
        <v>71</v>
      </c>
      <c r="R40" s="3410" t="str">
        <f>$R$4</f>
        <v>29 Februari 2016 2016</v>
      </c>
      <c r="S40" s="3410"/>
      <c r="T40" s="167"/>
      <c r="U40" s="167"/>
      <c r="Z40" s="167"/>
      <c r="AA40" s="413" t="s">
        <v>2</v>
      </c>
      <c r="AB40" s="30" t="str">
        <f>$C$4</f>
        <v>:  Nagrak</v>
      </c>
      <c r="AD40" s="167"/>
      <c r="AE40" s="167"/>
      <c r="AF40" s="167"/>
      <c r="AG40" s="167"/>
      <c r="AH40" s="167"/>
      <c r="AI40" s="167"/>
      <c r="AJ40" s="167"/>
      <c r="AK40" s="167"/>
      <c r="AL40" s="167"/>
      <c r="AM40" s="167"/>
      <c r="AN40" s="167"/>
      <c r="AP40" s="412" t="s">
        <v>71</v>
      </c>
      <c r="AQ40" s="3410" t="str">
        <f>$R$4</f>
        <v>29 Februari 2016 2016</v>
      </c>
      <c r="AR40" s="3410"/>
      <c r="AS40" s="167"/>
      <c r="AT40" s="167"/>
      <c r="AY40" s="167"/>
      <c r="AZ40" s="413" t="s">
        <v>2</v>
      </c>
      <c r="BA40" s="30" t="str">
        <f>$C$4</f>
        <v>:  Nagrak</v>
      </c>
      <c r="BC40" s="167"/>
      <c r="BD40" s="167"/>
      <c r="BE40" s="167"/>
      <c r="BF40" s="167"/>
      <c r="BG40" s="167"/>
      <c r="BH40" s="167"/>
      <c r="BI40" s="167"/>
      <c r="BJ40" s="167"/>
      <c r="BK40" s="167"/>
      <c r="BL40" s="167"/>
      <c r="BM40" s="167"/>
      <c r="BO40" s="412" t="s">
        <v>71</v>
      </c>
      <c r="BP40" s="3410" t="str">
        <f>$R$4</f>
        <v>29 Februari 2016 2016</v>
      </c>
      <c r="BQ40" s="3410"/>
      <c r="BR40" s="167"/>
      <c r="BS40" s="167"/>
      <c r="BX40" s="167"/>
      <c r="BY40" s="413" t="s">
        <v>2</v>
      </c>
      <c r="BZ40" s="30" t="str">
        <f>$C$4</f>
        <v>:  Nagrak</v>
      </c>
      <c r="CB40" s="167"/>
      <c r="CC40" s="167"/>
      <c r="CD40" s="167"/>
      <c r="CE40" s="167"/>
      <c r="CF40" s="167"/>
      <c r="CG40" s="167"/>
      <c r="CH40" s="167"/>
      <c r="CI40" s="167"/>
      <c r="CJ40" s="167"/>
      <c r="CK40" s="167"/>
      <c r="CL40" s="167"/>
      <c r="CN40" s="412" t="s">
        <v>71</v>
      </c>
      <c r="CO40" s="3410" t="str">
        <f>$R$4</f>
        <v>29 Februari 2016 2016</v>
      </c>
      <c r="CP40" s="3410"/>
      <c r="CQ40" s="167"/>
      <c r="CR40" s="167"/>
      <c r="CW40" s="167"/>
      <c r="CX40" s="413" t="s">
        <v>2</v>
      </c>
      <c r="CY40" s="30" t="str">
        <f>$C$4</f>
        <v>:  Nagrak</v>
      </c>
      <c r="DA40" s="167"/>
      <c r="DB40" s="167"/>
      <c r="DC40" s="167"/>
      <c r="DD40" s="167"/>
      <c r="DE40" s="167"/>
      <c r="DF40" s="167"/>
      <c r="DG40" s="167"/>
      <c r="DH40" s="167"/>
      <c r="DI40" s="167"/>
      <c r="DJ40" s="167"/>
      <c r="DK40" s="167"/>
      <c r="DM40" s="412" t="s">
        <v>71</v>
      </c>
      <c r="DN40" s="3410" t="str">
        <f>$R$4</f>
        <v>29 Februari 2016 2016</v>
      </c>
      <c r="DO40" s="3410"/>
      <c r="DP40" s="167"/>
      <c r="DQ40" s="167"/>
      <c r="DV40" s="1386"/>
      <c r="DW40" s="1377"/>
      <c r="DX40" s="1378"/>
      <c r="DY40" s="1387"/>
      <c r="DZ40" s="1386"/>
      <c r="EA40" s="1386"/>
      <c r="EB40" s="1386"/>
      <c r="EC40" s="1386"/>
      <c r="ED40" s="1386"/>
      <c r="EE40" s="1386"/>
      <c r="EF40" s="1386"/>
      <c r="EG40" s="1386"/>
      <c r="EH40" s="1386"/>
      <c r="EI40" s="1386"/>
      <c r="EJ40" s="1386"/>
      <c r="EK40" s="1387"/>
      <c r="EL40" s="1388"/>
      <c r="EM40" s="3410"/>
      <c r="EN40" s="3410"/>
      <c r="EO40" s="1386"/>
      <c r="EP40" s="1386"/>
      <c r="EQ40" s="1387"/>
      <c r="ER40" s="1387"/>
      <c r="ES40" s="1387"/>
    </row>
    <row r="41" spans="1:149" s="168" customFormat="1" ht="15.75">
      <c r="A41" s="167"/>
      <c r="B41" s="413" t="s">
        <v>4</v>
      </c>
      <c r="C41" s="30" t="str">
        <f>$C$5</f>
        <v>:  Sukabumi</v>
      </c>
      <c r="E41" s="167"/>
      <c r="F41" s="167"/>
      <c r="G41" s="167"/>
      <c r="H41" s="167"/>
      <c r="I41" s="167"/>
      <c r="J41" s="167"/>
      <c r="K41" s="167"/>
      <c r="L41" s="167"/>
      <c r="M41" s="167"/>
      <c r="N41" s="169"/>
      <c r="O41" s="170"/>
      <c r="P41" s="170"/>
      <c r="Q41" s="170"/>
      <c r="R41" s="170"/>
      <c r="S41" s="170"/>
      <c r="T41" s="170"/>
      <c r="Z41" s="167"/>
      <c r="AA41" s="413" t="s">
        <v>4</v>
      </c>
      <c r="AB41" s="30" t="str">
        <f>$C$5</f>
        <v>:  Sukabumi</v>
      </c>
      <c r="AD41" s="167"/>
      <c r="AE41" s="167"/>
      <c r="AF41" s="167"/>
      <c r="AG41" s="167"/>
      <c r="AH41" s="167"/>
      <c r="AI41" s="167"/>
      <c r="AJ41" s="167"/>
      <c r="AK41" s="167"/>
      <c r="AL41" s="167"/>
      <c r="AM41" s="169"/>
      <c r="AN41" s="170"/>
      <c r="AO41" s="170"/>
      <c r="AP41" s="170"/>
      <c r="AQ41" s="170"/>
      <c r="AR41" s="170"/>
      <c r="AS41" s="170"/>
      <c r="AY41" s="167"/>
      <c r="AZ41" s="413" t="s">
        <v>4</v>
      </c>
      <c r="BA41" s="30" t="str">
        <f>$C$5</f>
        <v>:  Sukabumi</v>
      </c>
      <c r="BC41" s="167"/>
      <c r="BD41" s="167"/>
      <c r="BE41" s="167"/>
      <c r="BF41" s="167"/>
      <c r="BG41" s="167"/>
      <c r="BH41" s="167"/>
      <c r="BI41" s="167"/>
      <c r="BJ41" s="167"/>
      <c r="BK41" s="167"/>
      <c r="BL41" s="169"/>
      <c r="BM41" s="170"/>
      <c r="BN41" s="170"/>
      <c r="BO41" s="170"/>
      <c r="BP41" s="170"/>
      <c r="BQ41" s="170"/>
      <c r="BR41" s="170"/>
      <c r="BX41" s="167"/>
      <c r="BY41" s="413" t="s">
        <v>4</v>
      </c>
      <c r="BZ41" s="30" t="str">
        <f>$C$5</f>
        <v>:  Sukabumi</v>
      </c>
      <c r="CB41" s="167"/>
      <c r="CC41" s="167"/>
      <c r="CD41" s="167"/>
      <c r="CE41" s="167"/>
      <c r="CF41" s="167"/>
      <c r="CG41" s="167"/>
      <c r="CH41" s="167"/>
      <c r="CI41" s="167"/>
      <c r="CJ41" s="167"/>
      <c r="CK41" s="169"/>
      <c r="CL41" s="170"/>
      <c r="CM41" s="170"/>
      <c r="CN41" s="170"/>
      <c r="CO41" s="170"/>
      <c r="CP41" s="170"/>
      <c r="CQ41" s="170"/>
      <c r="CW41" s="167"/>
      <c r="CX41" s="413" t="s">
        <v>4</v>
      </c>
      <c r="CY41" s="30" t="str">
        <f>$C$5</f>
        <v>:  Sukabumi</v>
      </c>
      <c r="DA41" s="167"/>
      <c r="DB41" s="167"/>
      <c r="DC41" s="167"/>
      <c r="DD41" s="167"/>
      <c r="DE41" s="167"/>
      <c r="DF41" s="167"/>
      <c r="DG41" s="167"/>
      <c r="DH41" s="167"/>
      <c r="DI41" s="167"/>
      <c r="DJ41" s="169"/>
      <c r="DK41" s="170"/>
      <c r="DL41" s="170"/>
      <c r="DM41" s="170"/>
      <c r="DN41" s="170"/>
      <c r="DO41" s="170"/>
      <c r="DP41" s="170"/>
      <c r="DV41" s="1386"/>
      <c r="DW41" s="1377"/>
      <c r="DX41" s="1378"/>
      <c r="DY41" s="1387"/>
      <c r="DZ41" s="1386"/>
      <c r="EA41" s="1386"/>
      <c r="EB41" s="1386"/>
      <c r="EC41" s="1386"/>
      <c r="ED41" s="1386"/>
      <c r="EE41" s="1386"/>
      <c r="EF41" s="1386"/>
      <c r="EG41" s="1386"/>
      <c r="EH41" s="1386"/>
      <c r="EI41" s="169"/>
      <c r="EJ41" s="170"/>
      <c r="EK41" s="170"/>
      <c r="EL41" s="170"/>
      <c r="EM41" s="170"/>
      <c r="EN41" s="170"/>
      <c r="EO41" s="170"/>
      <c r="EP41" s="1387"/>
      <c r="EQ41" s="1387"/>
      <c r="ER41" s="1387"/>
      <c r="ES41" s="1387"/>
    </row>
    <row r="42" spans="1:149" s="168" customFormat="1" ht="15.75">
      <c r="A42" s="167"/>
      <c r="B42" s="413" t="s">
        <v>6</v>
      </c>
      <c r="C42" s="30" t="str">
        <f>$C$6</f>
        <v>:  Jawa Barat</v>
      </c>
      <c r="E42" s="167"/>
      <c r="F42" s="167"/>
      <c r="G42" s="167"/>
      <c r="H42" s="167"/>
      <c r="I42" s="167"/>
      <c r="J42" s="167"/>
      <c r="K42" s="167"/>
      <c r="L42" s="167"/>
      <c r="M42" s="167"/>
      <c r="N42" s="169"/>
      <c r="O42" s="170"/>
      <c r="P42" s="170"/>
      <c r="Q42" s="170"/>
      <c r="R42" s="170"/>
      <c r="S42" s="170"/>
      <c r="T42" s="170"/>
      <c r="Z42" s="167"/>
      <c r="AA42" s="413" t="s">
        <v>6</v>
      </c>
      <c r="AB42" s="30" t="str">
        <f>$C$6</f>
        <v>:  Jawa Barat</v>
      </c>
      <c r="AD42" s="167"/>
      <c r="AE42" s="167"/>
      <c r="AF42" s="167"/>
      <c r="AG42" s="167"/>
      <c r="AH42" s="167"/>
      <c r="AI42" s="167"/>
      <c r="AJ42" s="167"/>
      <c r="AK42" s="167"/>
      <c r="AL42" s="167"/>
      <c r="AM42" s="169"/>
      <c r="AN42" s="170"/>
      <c r="AO42" s="170"/>
      <c r="AP42" s="170"/>
      <c r="AQ42" s="170"/>
      <c r="AR42" s="170"/>
      <c r="AS42" s="170"/>
      <c r="AY42" s="167"/>
      <c r="AZ42" s="413" t="s">
        <v>6</v>
      </c>
      <c r="BA42" s="30" t="str">
        <f>$C$6</f>
        <v>:  Jawa Barat</v>
      </c>
      <c r="BC42" s="167"/>
      <c r="BD42" s="167"/>
      <c r="BE42" s="167"/>
      <c r="BF42" s="167"/>
      <c r="BG42" s="167"/>
      <c r="BH42" s="167"/>
      <c r="BI42" s="167"/>
      <c r="BJ42" s="167"/>
      <c r="BK42" s="167"/>
      <c r="BL42" s="169"/>
      <c r="BM42" s="170"/>
      <c r="BN42" s="170"/>
      <c r="BO42" s="170"/>
      <c r="BP42" s="170"/>
      <c r="BQ42" s="170"/>
      <c r="BR42" s="170"/>
      <c r="BX42" s="167"/>
      <c r="BY42" s="413" t="s">
        <v>6</v>
      </c>
      <c r="BZ42" s="30" t="str">
        <f>$C$6</f>
        <v>:  Jawa Barat</v>
      </c>
      <c r="CB42" s="167"/>
      <c r="CC42" s="167"/>
      <c r="CD42" s="167"/>
      <c r="CE42" s="167"/>
      <c r="CF42" s="167"/>
      <c r="CG42" s="167"/>
      <c r="CH42" s="167"/>
      <c r="CI42" s="167"/>
      <c r="CJ42" s="167"/>
      <c r="CK42" s="169"/>
      <c r="CL42" s="170"/>
      <c r="CM42" s="170"/>
      <c r="CN42" s="170"/>
      <c r="CO42" s="170"/>
      <c r="CP42" s="170"/>
      <c r="CQ42" s="170"/>
      <c r="CW42" s="167"/>
      <c r="CX42" s="413" t="s">
        <v>6</v>
      </c>
      <c r="CY42" s="30" t="str">
        <f>$C$6</f>
        <v>:  Jawa Barat</v>
      </c>
      <c r="DA42" s="167"/>
      <c r="DB42" s="167"/>
      <c r="DC42" s="167"/>
      <c r="DD42" s="167"/>
      <c r="DE42" s="167"/>
      <c r="DF42" s="167"/>
      <c r="DG42" s="167"/>
      <c r="DH42" s="167"/>
      <c r="DI42" s="167"/>
      <c r="DJ42" s="169"/>
      <c r="DK42" s="170"/>
      <c r="DL42" s="170"/>
      <c r="DM42" s="170"/>
      <c r="DN42" s="170"/>
      <c r="DO42" s="170"/>
      <c r="DP42" s="170"/>
      <c r="DV42" s="1386"/>
      <c r="DW42" s="1377"/>
      <c r="DX42" s="1378"/>
      <c r="DY42" s="1387"/>
      <c r="DZ42" s="1386"/>
      <c r="EA42" s="1386"/>
      <c r="EB42" s="1386"/>
      <c r="EC42" s="1386"/>
      <c r="ED42" s="1386"/>
      <c r="EE42" s="1386"/>
      <c r="EF42" s="1386"/>
      <c r="EG42" s="1386"/>
      <c r="EH42" s="1386"/>
      <c r="EI42" s="169"/>
      <c r="EJ42" s="170"/>
      <c r="EK42" s="170"/>
      <c r="EL42" s="170"/>
      <c r="EM42" s="170"/>
      <c r="EN42" s="170"/>
      <c r="EO42" s="170"/>
      <c r="EP42" s="1387"/>
      <c r="EQ42" s="1387"/>
      <c r="ER42" s="1387"/>
      <c r="ES42" s="1387"/>
    </row>
    <row r="43" spans="1:149">
      <c r="A43" s="31"/>
      <c r="B43" s="31"/>
      <c r="C43" s="31"/>
      <c r="D43" s="31"/>
      <c r="E43" s="31"/>
      <c r="F43" s="31"/>
      <c r="G43" s="31"/>
      <c r="H43" s="31"/>
      <c r="I43" s="31"/>
      <c r="J43" s="31"/>
      <c r="K43" s="31"/>
      <c r="L43" s="31"/>
      <c r="M43" s="31"/>
      <c r="N43" s="31"/>
      <c r="O43" s="31"/>
      <c r="P43" s="32"/>
      <c r="Q43" s="31"/>
      <c r="R43" s="32"/>
      <c r="S43" s="31"/>
      <c r="T43" s="31"/>
      <c r="U43"/>
      <c r="Z43" s="31"/>
      <c r="AA43" s="31"/>
      <c r="AB43" s="31"/>
      <c r="AC43" s="31"/>
      <c r="AD43" s="31"/>
      <c r="AE43" s="31"/>
      <c r="AF43" s="31"/>
      <c r="AG43" s="31"/>
      <c r="AH43" s="31"/>
      <c r="AI43" s="31"/>
      <c r="AJ43" s="31"/>
      <c r="AK43" s="31"/>
      <c r="AL43" s="31"/>
      <c r="AM43" s="31"/>
      <c r="AN43" s="31"/>
      <c r="AO43" s="32"/>
      <c r="AP43" s="31"/>
      <c r="AQ43" s="32"/>
      <c r="AR43" s="31"/>
      <c r="AS43" s="31"/>
      <c r="AT43"/>
      <c r="AY43" s="31"/>
      <c r="AZ43" s="31"/>
      <c r="BA43" s="31"/>
      <c r="BB43" s="31"/>
      <c r="BC43" s="31"/>
      <c r="BD43" s="31"/>
      <c r="BE43" s="31"/>
      <c r="BF43" s="31"/>
      <c r="BG43" s="31"/>
      <c r="BH43" s="31"/>
      <c r="BI43" s="31"/>
      <c r="BJ43" s="31"/>
      <c r="BK43" s="31"/>
      <c r="BL43" s="31"/>
      <c r="BM43" s="31"/>
      <c r="BN43" s="32"/>
      <c r="BO43" s="31"/>
      <c r="BP43" s="32"/>
      <c r="BQ43" s="31"/>
      <c r="BR43" s="31"/>
      <c r="BS43"/>
      <c r="BX43" s="31"/>
      <c r="BY43" s="31"/>
      <c r="BZ43" s="31"/>
      <c r="CA43" s="31"/>
      <c r="CB43" s="31"/>
      <c r="CC43" s="31"/>
      <c r="CD43" s="31"/>
      <c r="CE43" s="31"/>
      <c r="CF43" s="31"/>
      <c r="CG43" s="31"/>
      <c r="CH43" s="31"/>
      <c r="CI43" s="31"/>
      <c r="CJ43" s="31"/>
      <c r="CK43" s="31"/>
      <c r="CL43" s="31"/>
      <c r="CM43" s="32"/>
      <c r="CN43" s="31"/>
      <c r="CO43" s="32"/>
      <c r="CP43" s="31"/>
      <c r="CQ43" s="31"/>
      <c r="CR43"/>
      <c r="CW43" s="31"/>
      <c r="CX43" s="31"/>
      <c r="CY43" s="31"/>
      <c r="CZ43" s="31"/>
      <c r="DA43" s="31"/>
      <c r="DB43" s="31"/>
      <c r="DC43" s="31"/>
      <c r="DD43" s="31"/>
      <c r="DE43" s="31"/>
      <c r="DF43" s="31"/>
      <c r="DG43" s="31"/>
      <c r="DH43" s="31"/>
      <c r="DI43" s="31"/>
      <c r="DJ43" s="31"/>
      <c r="DK43" s="31"/>
      <c r="DL43" s="32"/>
      <c r="DM43" s="31"/>
      <c r="DN43" s="32"/>
      <c r="DO43" s="31"/>
      <c r="DP43" s="31"/>
      <c r="DQ43"/>
      <c r="DV43" s="1389"/>
      <c r="DW43" s="1389"/>
      <c r="DX43" s="1389"/>
      <c r="DY43" s="1389"/>
      <c r="DZ43" s="1389"/>
      <c r="EA43" s="1389"/>
      <c r="EB43" s="1389"/>
      <c r="EC43" s="1389"/>
      <c r="ED43" s="1389"/>
      <c r="EE43" s="1389"/>
      <c r="EF43" s="1389"/>
      <c r="EG43" s="1389"/>
      <c r="EH43" s="1389"/>
      <c r="EI43" s="1389"/>
      <c r="EJ43" s="1389"/>
      <c r="EK43" s="1390"/>
      <c r="EL43" s="1389"/>
      <c r="EM43" s="1390"/>
      <c r="EN43" s="1389"/>
      <c r="EO43" s="1389"/>
      <c r="EP43" s="1389"/>
    </row>
    <row r="44" spans="1:149" s="168" customFormat="1" ht="33" customHeight="1">
      <c r="A44" t="s">
        <v>72</v>
      </c>
      <c r="B44" t="s">
        <v>73</v>
      </c>
      <c r="C44" t="s">
        <v>74</v>
      </c>
      <c r="D44"/>
      <c r="E44" t="s">
        <v>47</v>
      </c>
      <c r="F44"/>
      <c r="G44" t="s">
        <v>48</v>
      </c>
      <c r="H44"/>
      <c r="I44" t="s">
        <v>1162</v>
      </c>
      <c r="J44"/>
      <c r="K44" t="s">
        <v>52</v>
      </c>
      <c r="L44"/>
      <c r="M44" t="s">
        <v>53</v>
      </c>
      <c r="N44"/>
      <c r="O44" t="s">
        <v>75</v>
      </c>
      <c r="P44"/>
      <c r="Q44" t="s">
        <v>76</v>
      </c>
      <c r="R44"/>
      <c r="S44" t="s">
        <v>77</v>
      </c>
      <c r="T44"/>
      <c r="U44" t="s">
        <v>78</v>
      </c>
      <c r="V44" t="s">
        <v>79</v>
      </c>
      <c r="W44" t="s">
        <v>79</v>
      </c>
      <c r="X44" t="s">
        <v>79</v>
      </c>
      <c r="Y44"/>
      <c r="Z44" t="s">
        <v>72</v>
      </c>
      <c r="AA44" t="s">
        <v>73</v>
      </c>
      <c r="AB44" t="s">
        <v>74</v>
      </c>
      <c r="AC44"/>
      <c r="AD44" t="s">
        <v>47</v>
      </c>
      <c r="AE44"/>
      <c r="AF44" t="s">
        <v>48</v>
      </c>
      <c r="AG44"/>
      <c r="AH44" t="s">
        <v>1162</v>
      </c>
      <c r="AI44"/>
      <c r="AJ44" t="s">
        <v>52</v>
      </c>
      <c r="AK44"/>
      <c r="AL44" t="s">
        <v>53</v>
      </c>
      <c r="AM44"/>
      <c r="AN44" t="s">
        <v>75</v>
      </c>
      <c r="AO44"/>
      <c r="AP44" t="s">
        <v>76</v>
      </c>
      <c r="AQ44"/>
      <c r="AR44" t="s">
        <v>77</v>
      </c>
      <c r="AS44"/>
      <c r="AT44" t="s">
        <v>78</v>
      </c>
      <c r="AU44" t="s">
        <v>79</v>
      </c>
      <c r="AV44" t="s">
        <v>79</v>
      </c>
      <c r="AW44" t="s">
        <v>79</v>
      </c>
      <c r="AX44"/>
      <c r="AY44" t="s">
        <v>72</v>
      </c>
      <c r="AZ44" t="s">
        <v>73</v>
      </c>
      <c r="BA44" t="s">
        <v>74</v>
      </c>
      <c r="BB44"/>
      <c r="BC44" t="s">
        <v>47</v>
      </c>
      <c r="BD44"/>
      <c r="BE44" t="s">
        <v>48</v>
      </c>
      <c r="BF44"/>
      <c r="BG44" t="s">
        <v>1162</v>
      </c>
      <c r="BH44"/>
      <c r="BI44" t="s">
        <v>52</v>
      </c>
      <c r="BJ44"/>
      <c r="BK44" t="s">
        <v>53</v>
      </c>
      <c r="BL44"/>
      <c r="BM44" t="s">
        <v>75</v>
      </c>
      <c r="BN44"/>
      <c r="BO44" t="s">
        <v>76</v>
      </c>
      <c r="BP44"/>
      <c r="BQ44" t="s">
        <v>77</v>
      </c>
      <c r="BR44"/>
      <c r="BS44" t="s">
        <v>78</v>
      </c>
      <c r="BT44" t="s">
        <v>79</v>
      </c>
      <c r="BU44" t="s">
        <v>79</v>
      </c>
      <c r="BV44" t="s">
        <v>79</v>
      </c>
      <c r="BW44"/>
      <c r="BX44" t="s">
        <v>72</v>
      </c>
      <c r="BY44" t="s">
        <v>73</v>
      </c>
      <c r="BZ44" t="s">
        <v>74</v>
      </c>
      <c r="CA44"/>
      <c r="CB44" t="s">
        <v>47</v>
      </c>
      <c r="CC44"/>
      <c r="CD44" t="s">
        <v>48</v>
      </c>
      <c r="CE44"/>
      <c r="CF44" t="s">
        <v>1162</v>
      </c>
      <c r="CG44"/>
      <c r="CH44" t="s">
        <v>52</v>
      </c>
      <c r="CI44"/>
      <c r="CJ44" t="s">
        <v>53</v>
      </c>
      <c r="CK44"/>
      <c r="CL44" t="s">
        <v>75</v>
      </c>
      <c r="CM44"/>
      <c r="CN44" t="s">
        <v>76</v>
      </c>
      <c r="CO44"/>
      <c r="CP44" t="s">
        <v>77</v>
      </c>
      <c r="CQ44"/>
      <c r="CR44" t="s">
        <v>78</v>
      </c>
      <c r="CS44" t="s">
        <v>79</v>
      </c>
      <c r="CT44" t="s">
        <v>79</v>
      </c>
      <c r="CU44" t="s">
        <v>79</v>
      </c>
      <c r="CV44"/>
      <c r="CW44" t="s">
        <v>72</v>
      </c>
      <c r="CX44" t="s">
        <v>73</v>
      </c>
      <c r="CY44" t="s">
        <v>74</v>
      </c>
      <c r="CZ44"/>
      <c r="DA44" t="s">
        <v>47</v>
      </c>
      <c r="DB44"/>
      <c r="DC44" t="s">
        <v>48</v>
      </c>
      <c r="DD44"/>
      <c r="DE44" t="s">
        <v>1162</v>
      </c>
      <c r="DF44"/>
      <c r="DG44" t="s">
        <v>52</v>
      </c>
      <c r="DH44"/>
      <c r="DI44" t="s">
        <v>53</v>
      </c>
      <c r="DJ44"/>
      <c r="DK44" t="s">
        <v>75</v>
      </c>
      <c r="DL44"/>
      <c r="DM44" t="s">
        <v>76</v>
      </c>
      <c r="DN44"/>
      <c r="DO44" t="s">
        <v>77</v>
      </c>
      <c r="DP44"/>
      <c r="DQ44" t="s">
        <v>78</v>
      </c>
      <c r="DR44" s="171" t="s">
        <v>79</v>
      </c>
      <c r="DS44" s="171" t="s">
        <v>79</v>
      </c>
      <c r="DT44" s="171" t="s">
        <v>79</v>
      </c>
      <c r="DV44" s="3410"/>
      <c r="DW44" s="3410"/>
      <c r="DX44" s="3410"/>
      <c r="DY44" s="3410"/>
      <c r="DZ44" s="3410"/>
      <c r="EA44" s="3410"/>
      <c r="EB44" s="3410"/>
      <c r="EC44" s="3410"/>
      <c r="ED44" s="3410"/>
      <c r="EE44" s="3410"/>
      <c r="EF44" s="3410"/>
      <c r="EG44" s="3410"/>
      <c r="EH44" s="3410"/>
      <c r="EI44" s="3410"/>
      <c r="EJ44" s="3410"/>
      <c r="EK44" s="3410"/>
      <c r="EL44" s="3410"/>
      <c r="EM44" s="3410"/>
      <c r="EN44" s="3410"/>
      <c r="EO44" s="3410"/>
      <c r="EP44" s="3410"/>
      <c r="EQ44" s="1391"/>
      <c r="ER44" s="1391"/>
      <c r="ES44" s="1391"/>
    </row>
    <row r="45" spans="1:149" s="168" customFormat="1" ht="28.5" customHeight="1">
      <c r="A45"/>
      <c r="B45"/>
      <c r="C45" t="s">
        <v>80</v>
      </c>
      <c r="D45" t="s">
        <v>81</v>
      </c>
      <c r="E45" t="s">
        <v>80</v>
      </c>
      <c r="F45" t="s">
        <v>81</v>
      </c>
      <c r="G45" t="s">
        <v>80</v>
      </c>
      <c r="H45" t="s">
        <v>81</v>
      </c>
      <c r="I45" t="s">
        <v>80</v>
      </c>
      <c r="J45" t="s">
        <v>81</v>
      </c>
      <c r="K45" t="s">
        <v>80</v>
      </c>
      <c r="L45" t="s">
        <v>81</v>
      </c>
      <c r="M45" t="s">
        <v>80</v>
      </c>
      <c r="N45" t="s">
        <v>81</v>
      </c>
      <c r="O45" t="s">
        <v>80</v>
      </c>
      <c r="P45" t="s">
        <v>81</v>
      </c>
      <c r="Q45" t="s">
        <v>80</v>
      </c>
      <c r="R45" t="s">
        <v>81</v>
      </c>
      <c r="S45" t="s">
        <v>80</v>
      </c>
      <c r="T45" t="s">
        <v>81</v>
      </c>
      <c r="U45"/>
      <c r="V45" t="s">
        <v>77</v>
      </c>
      <c r="W45" t="s">
        <v>50</v>
      </c>
      <c r="X45" t="s">
        <v>51</v>
      </c>
      <c r="Y45"/>
      <c r="Z45"/>
      <c r="AA45"/>
      <c r="AB45" t="s">
        <v>80</v>
      </c>
      <c r="AC45" t="s">
        <v>81</v>
      </c>
      <c r="AD45" t="s">
        <v>80</v>
      </c>
      <c r="AE45" t="s">
        <v>81</v>
      </c>
      <c r="AF45" t="s">
        <v>80</v>
      </c>
      <c r="AG45" t="s">
        <v>81</v>
      </c>
      <c r="AH45" t="s">
        <v>80</v>
      </c>
      <c r="AI45" t="s">
        <v>81</v>
      </c>
      <c r="AJ45" t="s">
        <v>80</v>
      </c>
      <c r="AK45" t="s">
        <v>81</v>
      </c>
      <c r="AL45" t="s">
        <v>80</v>
      </c>
      <c r="AM45" t="s">
        <v>81</v>
      </c>
      <c r="AN45" t="s">
        <v>80</v>
      </c>
      <c r="AO45" t="s">
        <v>81</v>
      </c>
      <c r="AP45" t="s">
        <v>80</v>
      </c>
      <c r="AQ45" t="s">
        <v>81</v>
      </c>
      <c r="AR45" t="s">
        <v>80</v>
      </c>
      <c r="AS45" t="s">
        <v>81</v>
      </c>
      <c r="AT45"/>
      <c r="AU45" t="s">
        <v>77</v>
      </c>
      <c r="AV45" t="s">
        <v>50</v>
      </c>
      <c r="AW45" t="s">
        <v>51</v>
      </c>
      <c r="AX45"/>
      <c r="AY45"/>
      <c r="AZ45"/>
      <c r="BA45" t="s">
        <v>80</v>
      </c>
      <c r="BB45" t="s">
        <v>81</v>
      </c>
      <c r="BC45" t="s">
        <v>80</v>
      </c>
      <c r="BD45" t="s">
        <v>81</v>
      </c>
      <c r="BE45" t="s">
        <v>80</v>
      </c>
      <c r="BF45" t="s">
        <v>81</v>
      </c>
      <c r="BG45" t="s">
        <v>80</v>
      </c>
      <c r="BH45" t="s">
        <v>81</v>
      </c>
      <c r="BI45" t="s">
        <v>80</v>
      </c>
      <c r="BJ45" t="s">
        <v>81</v>
      </c>
      <c r="BK45" t="s">
        <v>80</v>
      </c>
      <c r="BL45" t="s">
        <v>81</v>
      </c>
      <c r="BM45" t="s">
        <v>80</v>
      </c>
      <c r="BN45" t="s">
        <v>81</v>
      </c>
      <c r="BO45" t="s">
        <v>80</v>
      </c>
      <c r="BP45" t="s">
        <v>81</v>
      </c>
      <c r="BQ45" t="s">
        <v>80</v>
      </c>
      <c r="BR45" t="s">
        <v>81</v>
      </c>
      <c r="BS45"/>
      <c r="BT45" t="s">
        <v>77</v>
      </c>
      <c r="BU45" t="s">
        <v>50</v>
      </c>
      <c r="BV45" t="s">
        <v>51</v>
      </c>
      <c r="BW45"/>
      <c r="BX45"/>
      <c r="BY45"/>
      <c r="BZ45" t="s">
        <v>80</v>
      </c>
      <c r="CA45" t="s">
        <v>81</v>
      </c>
      <c r="CB45" t="s">
        <v>80</v>
      </c>
      <c r="CC45" t="s">
        <v>81</v>
      </c>
      <c r="CD45" t="s">
        <v>80</v>
      </c>
      <c r="CE45" t="s">
        <v>81</v>
      </c>
      <c r="CF45" t="s">
        <v>80</v>
      </c>
      <c r="CG45" t="s">
        <v>81</v>
      </c>
      <c r="CH45" t="s">
        <v>80</v>
      </c>
      <c r="CI45" t="s">
        <v>81</v>
      </c>
      <c r="CJ45" t="s">
        <v>80</v>
      </c>
      <c r="CK45" t="s">
        <v>81</v>
      </c>
      <c r="CL45" t="s">
        <v>80</v>
      </c>
      <c r="CM45" t="s">
        <v>81</v>
      </c>
      <c r="CN45" t="s">
        <v>80</v>
      </c>
      <c r="CO45" t="s">
        <v>81</v>
      </c>
      <c r="CP45" t="s">
        <v>80</v>
      </c>
      <c r="CQ45" t="s">
        <v>81</v>
      </c>
      <c r="CR45"/>
      <c r="CS45" t="s">
        <v>77</v>
      </c>
      <c r="CT45" t="s">
        <v>50</v>
      </c>
      <c r="CU45" t="s">
        <v>51</v>
      </c>
      <c r="CV45"/>
      <c r="CW45"/>
      <c r="CX45"/>
      <c r="CY45" t="s">
        <v>80</v>
      </c>
      <c r="CZ45" t="s">
        <v>81</v>
      </c>
      <c r="DA45" t="s">
        <v>80</v>
      </c>
      <c r="DB45" t="s">
        <v>81</v>
      </c>
      <c r="DC45" t="s">
        <v>80</v>
      </c>
      <c r="DD45" t="s">
        <v>81</v>
      </c>
      <c r="DE45" t="s">
        <v>80</v>
      </c>
      <c r="DF45" t="s">
        <v>81</v>
      </c>
      <c r="DG45" t="s">
        <v>80</v>
      </c>
      <c r="DH45" t="s">
        <v>81</v>
      </c>
      <c r="DI45" t="s">
        <v>80</v>
      </c>
      <c r="DJ45" t="s">
        <v>81</v>
      </c>
      <c r="DK45" t="s">
        <v>80</v>
      </c>
      <c r="DL45" t="s">
        <v>81</v>
      </c>
      <c r="DM45" t="s">
        <v>80</v>
      </c>
      <c r="DN45" t="s">
        <v>81</v>
      </c>
      <c r="DO45" t="s">
        <v>80</v>
      </c>
      <c r="DP45" t="s">
        <v>81</v>
      </c>
      <c r="DQ45"/>
      <c r="DR45" s="171" t="s">
        <v>77</v>
      </c>
      <c r="DS45" s="171" t="s">
        <v>50</v>
      </c>
      <c r="DT45" s="171" t="s">
        <v>51</v>
      </c>
      <c r="DV45" s="3410"/>
      <c r="DW45" s="3410"/>
      <c r="DX45" s="1391"/>
      <c r="DY45" s="1391"/>
      <c r="DZ45" s="1391"/>
      <c r="EA45" s="1391"/>
      <c r="EB45" s="1391"/>
      <c r="EC45" s="1391"/>
      <c r="ED45" s="1391"/>
      <c r="EE45" s="1391"/>
      <c r="EF45" s="1391"/>
      <c r="EG45" s="1391"/>
      <c r="EH45" s="1391"/>
      <c r="EI45" s="1391"/>
      <c r="EJ45" s="1391"/>
      <c r="EK45" s="1392"/>
      <c r="EL45" s="1391"/>
      <c r="EM45" s="1392"/>
      <c r="EN45" s="1391"/>
      <c r="EO45" s="1391"/>
      <c r="EP45" s="3410"/>
      <c r="EQ45" s="1391"/>
      <c r="ER45" s="1391"/>
      <c r="ES45" s="1391"/>
    </row>
    <row r="46" spans="1:149" s="168" customFormat="1" ht="42" customHeight="1">
      <c r="A46" s="201">
        <v>1</v>
      </c>
      <c r="B46" s="202" t="str">
        <f>$B$10</f>
        <v>CIHANYAWAR</v>
      </c>
      <c r="C46" s="203"/>
      <c r="D46" s="203"/>
      <c r="E46" s="203"/>
      <c r="F46" s="203"/>
      <c r="G46" s="203"/>
      <c r="H46" s="203"/>
      <c r="I46" s="203"/>
      <c r="J46" s="203"/>
      <c r="K46" s="1431"/>
      <c r="L46" s="1431"/>
      <c r="M46" s="203">
        <v>67000000</v>
      </c>
      <c r="N46" s="203">
        <v>67000000</v>
      </c>
      <c r="O46" s="203">
        <v>2115700</v>
      </c>
      <c r="P46" s="203">
        <v>2115700</v>
      </c>
      <c r="Q46" s="203">
        <v>1410500</v>
      </c>
      <c r="R46" s="203">
        <v>1410500</v>
      </c>
      <c r="S46">
        <f>C46+E46+G46+I46+K46+M46+O46+Q46</f>
        <v>70526200</v>
      </c>
      <c r="T46">
        <f>D46+F46+H46+J46+L46+N46+P46+R46</f>
        <v>70526200</v>
      </c>
      <c r="U46">
        <f>IF(S46=0,0,T46/S46)</f>
        <v>1</v>
      </c>
      <c r="V46" s="176">
        <f>SUM(S46-T46)</f>
        <v>0</v>
      </c>
      <c r="W46" s="176">
        <f>SUM(O46-P46)</f>
        <v>0</v>
      </c>
      <c r="X46" s="176">
        <f>SUM(Q46-R46)</f>
        <v>0</v>
      </c>
      <c r="Z46" s="201">
        <v>1</v>
      </c>
      <c r="AA46" s="202" t="str">
        <f>$B$10</f>
        <v>CIHANYAWAR</v>
      </c>
      <c r="AB46" s="203">
        <v>182916500</v>
      </c>
      <c r="AC46" s="203">
        <v>182916500</v>
      </c>
      <c r="AD46" s="203"/>
      <c r="AE46" s="203"/>
      <c r="AF46" s="203"/>
      <c r="AG46" s="203"/>
      <c r="AH46" s="203"/>
      <c r="AI46" s="203"/>
      <c r="AJ46" s="1431"/>
      <c r="AK46" s="1431"/>
      <c r="AL46" s="203">
        <v>40500000</v>
      </c>
      <c r="AM46" s="203">
        <v>40500000</v>
      </c>
      <c r="AN46" s="203">
        <v>7055200</v>
      </c>
      <c r="AO46" s="203">
        <v>7055200</v>
      </c>
      <c r="AP46" s="203">
        <v>4703400</v>
      </c>
      <c r="AQ46" s="203">
        <v>4703400</v>
      </c>
      <c r="AR46">
        <f>AB46+AD46+AF46+AH46+AJ46+AL46+AN46+AP46</f>
        <v>235175100</v>
      </c>
      <c r="AS46">
        <f>AC46+AE46+AG46+AI46+AK46+AM46+AO46+AQ46</f>
        <v>235175100</v>
      </c>
      <c r="AT46">
        <f>IF(AR46=0,0,AS46/AR46)</f>
        <v>1</v>
      </c>
      <c r="AU46" s="176">
        <f>SUM(AR46-AS46)</f>
        <v>0</v>
      </c>
      <c r="AV46" s="176">
        <f>SUM(AN46-AO46)</f>
        <v>0</v>
      </c>
      <c r="AW46" s="176">
        <f>SUM(AP46-AQ46)</f>
        <v>0</v>
      </c>
      <c r="AY46" s="201">
        <v>1</v>
      </c>
      <c r="AZ46" s="202" t="str">
        <f>$B$10</f>
        <v>CIHANYAWAR</v>
      </c>
      <c r="BA46" s="203">
        <v>160802000</v>
      </c>
      <c r="BB46" s="203">
        <v>160802000</v>
      </c>
      <c r="BC46" s="203"/>
      <c r="BD46" s="203"/>
      <c r="BE46" s="203"/>
      <c r="BF46" s="203"/>
      <c r="BG46" s="203"/>
      <c r="BH46" s="203"/>
      <c r="BI46" s="1431"/>
      <c r="BJ46" s="1431"/>
      <c r="BK46" s="203"/>
      <c r="BL46" s="203"/>
      <c r="BM46" s="203">
        <v>5077900</v>
      </c>
      <c r="BN46" s="203">
        <v>5077900</v>
      </c>
      <c r="BO46" s="203">
        <v>3385300</v>
      </c>
      <c r="BP46" s="203">
        <v>3385300</v>
      </c>
      <c r="BQ46">
        <f>BA46+BC46+BE46+BG46+BI46+BK46+BM46+BO46</f>
        <v>169265200</v>
      </c>
      <c r="BR46">
        <f>BB46+BD46+BF46+BH46+BJ46+BL46+BN46+BP46</f>
        <v>169265200</v>
      </c>
      <c r="BS46">
        <f>IF(BQ46=0,0,BR46/BQ46)</f>
        <v>1</v>
      </c>
      <c r="BT46" s="176">
        <f>SUM(BQ46-BR46)</f>
        <v>0</v>
      </c>
      <c r="BU46" s="176">
        <f>SUM(BM46-BN46)</f>
        <v>0</v>
      </c>
      <c r="BV46" s="176">
        <f>SUM(BO46-BP46)</f>
        <v>0</v>
      </c>
      <c r="BX46" s="201">
        <v>1</v>
      </c>
      <c r="BY46" s="202" t="str">
        <f>$B$10</f>
        <v>CIHANYAWAR</v>
      </c>
      <c r="BZ46" s="203">
        <v>143523500</v>
      </c>
      <c r="CA46" s="203">
        <v>143523500</v>
      </c>
      <c r="CB46" s="203"/>
      <c r="CC46" s="203"/>
      <c r="CD46" s="203"/>
      <c r="CE46" s="203"/>
      <c r="CF46" s="203"/>
      <c r="CG46" s="203"/>
      <c r="CH46" s="1431"/>
      <c r="CI46" s="1431"/>
      <c r="CJ46" s="203">
        <v>35900000</v>
      </c>
      <c r="CK46" s="203">
        <v>35900000</v>
      </c>
      <c r="CL46" s="203">
        <v>5665900</v>
      </c>
      <c r="CM46" s="203">
        <v>5665900</v>
      </c>
      <c r="CN46" s="203">
        <v>3777100</v>
      </c>
      <c r="CO46" s="203">
        <v>3777100</v>
      </c>
      <c r="CP46">
        <f>BZ46+CB46+CD46+CF46+CH46+CJ46+CL46+CN46</f>
        <v>188866500</v>
      </c>
      <c r="CQ46">
        <f>CA46+CC46+CE46+CG46+CI46+CK46+CM46+CO46</f>
        <v>188866500</v>
      </c>
      <c r="CR46">
        <f>IF(CP46=0,0,CQ46/CP46)</f>
        <v>1</v>
      </c>
      <c r="CS46" s="176">
        <f>SUM(CP46-CQ46)</f>
        <v>0</v>
      </c>
      <c r="CT46" s="176">
        <f>SUM(CL46-CM46)</f>
        <v>0</v>
      </c>
      <c r="CU46" s="176">
        <f>SUM(CN46-CO46)</f>
        <v>0</v>
      </c>
      <c r="CW46">
        <v>1</v>
      </c>
      <c r="CX46" t="s">
        <v>2159</v>
      </c>
      <c r="CY46"/>
      <c r="CZ46" s="203"/>
      <c r="DA46" s="203"/>
      <c r="DB46" s="203"/>
      <c r="DC46" s="203"/>
      <c r="DD46" s="203"/>
      <c r="DE46" s="203"/>
      <c r="DF46" s="203"/>
      <c r="DG46" s="1431"/>
      <c r="DH46" s="1431"/>
      <c r="DI46" s="203"/>
      <c r="DJ46" s="203"/>
      <c r="DK46" s="203"/>
      <c r="DL46" s="203"/>
      <c r="DM46" s="203"/>
      <c r="DN46" s="203"/>
      <c r="DO46">
        <f>CY46+DA46+DC46+DE46+DG46+DI46+DK46+DM46</f>
        <v>0</v>
      </c>
      <c r="DP46">
        <f>CZ46+DB46+DD46+DF46+DH46+DJ46+DL46+DN46</f>
        <v>0</v>
      </c>
      <c r="DQ46">
        <f>IF(DO46=0,0,DP46/DO46)</f>
        <v>0</v>
      </c>
      <c r="DR46" s="176">
        <f>SUM(DO46-DP46)</f>
        <v>0</v>
      </c>
      <c r="DS46" s="176">
        <f>SUM(DK46-DL46)</f>
        <v>0</v>
      </c>
      <c r="DT46" s="176">
        <f>SUM(DM46-DN46)</f>
        <v>0</v>
      </c>
      <c r="DV46" s="1387"/>
      <c r="DW46" s="1387"/>
      <c r="DX46" s="1393"/>
      <c r="DY46" s="1393"/>
      <c r="DZ46" s="1393"/>
      <c r="EA46" s="1393"/>
      <c r="EB46" s="1393"/>
      <c r="EC46" s="1393"/>
      <c r="ED46" s="1393"/>
      <c r="EE46" s="1393"/>
      <c r="EF46" s="1393"/>
      <c r="EG46" s="1393"/>
      <c r="EH46" s="1393"/>
      <c r="EI46" s="1393"/>
      <c r="EJ46" s="1393"/>
      <c r="EK46" s="1393"/>
      <c r="EL46" s="1393"/>
      <c r="EM46" s="1393"/>
      <c r="EN46" s="1379"/>
      <c r="EO46" s="1379"/>
      <c r="EP46" s="1380"/>
      <c r="EQ46" s="1381"/>
      <c r="ER46" s="1381"/>
      <c r="ES46" s="1381"/>
    </row>
    <row r="47" spans="1:149" s="168" customFormat="1" ht="42" customHeight="1">
      <c r="A47" s="204">
        <v>2</v>
      </c>
      <c r="B47" s="202" t="str">
        <f>$B$11</f>
        <v>NAGRAK UTARA</v>
      </c>
      <c r="C47" s="203"/>
      <c r="D47" s="203"/>
      <c r="E47" s="205"/>
      <c r="F47" s="205"/>
      <c r="G47" s="205"/>
      <c r="H47" s="205"/>
      <c r="I47" s="205"/>
      <c r="J47" s="205"/>
      <c r="K47" s="1432"/>
      <c r="L47" s="1432"/>
      <c r="M47" s="205">
        <v>48000000</v>
      </c>
      <c r="N47" s="205">
        <v>48000000</v>
      </c>
      <c r="O47" s="205">
        <v>1515700</v>
      </c>
      <c r="P47" s="205">
        <v>1515700</v>
      </c>
      <c r="Q47" s="205">
        <v>1010500</v>
      </c>
      <c r="R47" s="205">
        <v>1010500</v>
      </c>
      <c r="S47" s="177">
        <f t="shared" ref="S47:S61" si="39">C47+E47+G47+M47+O47+Q47</f>
        <v>50526200</v>
      </c>
      <c r="T47" s="177">
        <f t="shared" ref="T47:T61" si="40">D47+F47+H47+N47+P47+R47</f>
        <v>50526200</v>
      </c>
      <c r="U47" s="178">
        <f t="shared" ref="U47:U61" si="41">IF(S47=0,0,T47/S47)</f>
        <v>1</v>
      </c>
      <c r="V47" s="176">
        <f t="shared" ref="V47:V60" si="42">SUM(S47-T47)</f>
        <v>0</v>
      </c>
      <c r="W47" s="176">
        <f t="shared" ref="W47:W60" si="43">SUM(O47-P47)</f>
        <v>0</v>
      </c>
      <c r="X47" s="176">
        <f t="shared" ref="X47:X60" si="44">SUM(Q47-R47)</f>
        <v>0</v>
      </c>
      <c r="Z47" s="204">
        <v>2</v>
      </c>
      <c r="AA47" s="202" t="str">
        <f>$B$11</f>
        <v>NAGRAK UTARA</v>
      </c>
      <c r="AB47" s="203">
        <v>183528000</v>
      </c>
      <c r="AC47" s="203">
        <v>183528000</v>
      </c>
      <c r="AD47" s="205"/>
      <c r="AE47" s="205"/>
      <c r="AF47" s="205"/>
      <c r="AG47" s="205"/>
      <c r="AH47" s="205"/>
      <c r="AI47" s="205"/>
      <c r="AJ47" s="1432"/>
      <c r="AK47" s="1432"/>
      <c r="AL47" s="205">
        <v>98500000</v>
      </c>
      <c r="AM47" s="205">
        <v>98500000</v>
      </c>
      <c r="AN47" s="205">
        <v>8906100</v>
      </c>
      <c r="AO47" s="205">
        <v>8906100</v>
      </c>
      <c r="AP47" s="205">
        <v>5937400</v>
      </c>
      <c r="AQ47" s="205">
        <v>5937400</v>
      </c>
      <c r="AR47" s="177">
        <f t="shared" ref="AR47:AR61" si="45">AB47+AD47+AF47+AL47+AN47+AP47</f>
        <v>296871500</v>
      </c>
      <c r="AS47" s="177">
        <f t="shared" ref="AS47:AS61" si="46">AC47+AE47+AG47+AM47+AO47+AQ47</f>
        <v>296871500</v>
      </c>
      <c r="AT47" s="178">
        <f t="shared" ref="AT47:AT61" si="47">IF(AR47=0,0,AS47/AR47)</f>
        <v>1</v>
      </c>
      <c r="AU47" s="176">
        <f t="shared" ref="AU47:AU60" si="48">SUM(AR47-AS47)</f>
        <v>0</v>
      </c>
      <c r="AV47" s="176">
        <f t="shared" ref="AV47:AV60" si="49">SUM(AN47-AO47)</f>
        <v>0</v>
      </c>
      <c r="AW47" s="176">
        <f t="shared" ref="AW47:AW60" si="50">SUM(AP47-AQ47)</f>
        <v>0</v>
      </c>
      <c r="AY47" s="204">
        <v>2</v>
      </c>
      <c r="AZ47" s="202" t="str">
        <f>$B$11</f>
        <v>NAGRAK UTARA</v>
      </c>
      <c r="BA47" s="203"/>
      <c r="BB47" s="203"/>
      <c r="BC47" s="205"/>
      <c r="BD47" s="205"/>
      <c r="BE47" s="205"/>
      <c r="BF47" s="205"/>
      <c r="BG47" s="205"/>
      <c r="BH47" s="205"/>
      <c r="BI47" s="1432"/>
      <c r="BJ47" s="1432"/>
      <c r="BK47" s="205"/>
      <c r="BL47" s="205"/>
      <c r="BM47" s="205"/>
      <c r="BN47" s="205"/>
      <c r="BO47" s="205"/>
      <c r="BP47" s="205"/>
      <c r="BQ47" s="177">
        <f t="shared" ref="BQ47:BQ61" si="51">BA47+BC47+BE47+BK47+BM47+BO47</f>
        <v>0</v>
      </c>
      <c r="BR47" s="177">
        <f t="shared" ref="BR47:BR61" si="52">BB47+BD47+BF47+BL47+BN47+BP47</f>
        <v>0</v>
      </c>
      <c r="BS47" s="178">
        <f t="shared" ref="BS47:BS61" si="53">IF(BQ47=0,0,BR47/BQ47)</f>
        <v>0</v>
      </c>
      <c r="BT47" s="176">
        <f t="shared" ref="BT47:BT60" si="54">SUM(BQ47-BR47)</f>
        <v>0</v>
      </c>
      <c r="BU47" s="176">
        <f t="shared" ref="BU47:BU60" si="55">SUM(BM47-BN47)</f>
        <v>0</v>
      </c>
      <c r="BV47" s="176">
        <f t="shared" ref="BV47:BV60" si="56">SUM(BO47-BP47)</f>
        <v>0</v>
      </c>
      <c r="BX47" s="204">
        <v>2</v>
      </c>
      <c r="BY47" s="202" t="str">
        <f>$B$11</f>
        <v>NAGRAK UTARA</v>
      </c>
      <c r="BZ47" s="203">
        <v>259395600</v>
      </c>
      <c r="CA47" s="203">
        <v>259395600</v>
      </c>
      <c r="CB47" s="205"/>
      <c r="CC47" s="205"/>
      <c r="CD47" s="205"/>
      <c r="CE47" s="205"/>
      <c r="CF47" s="205"/>
      <c r="CG47" s="205"/>
      <c r="CH47" s="1432"/>
      <c r="CI47" s="1432"/>
      <c r="CJ47" s="205">
        <v>179000000</v>
      </c>
      <c r="CK47" s="205">
        <v>179000000</v>
      </c>
      <c r="CL47" s="205">
        <v>13844000</v>
      </c>
      <c r="CM47" s="205">
        <v>13844000</v>
      </c>
      <c r="CN47" s="205">
        <v>9229300</v>
      </c>
      <c r="CO47" s="205">
        <v>9229300</v>
      </c>
      <c r="CP47" s="177">
        <f t="shared" ref="CP47:CP61" si="57">BZ47+CB47+CD47+CJ47+CL47+CN47</f>
        <v>461468900</v>
      </c>
      <c r="CQ47" s="177">
        <f t="shared" ref="CQ47:CQ61" si="58">CA47+CC47+CE47+CK47+CM47+CO47</f>
        <v>461468900</v>
      </c>
      <c r="CR47" s="178">
        <f t="shared" ref="CR47:CR61" si="59">IF(CP47=0,0,CQ47/CP47)</f>
        <v>1</v>
      </c>
      <c r="CS47" s="176">
        <f t="shared" ref="CS47:CS60" si="60">SUM(CP47-CQ47)</f>
        <v>0</v>
      </c>
      <c r="CT47" s="176">
        <f t="shared" ref="CT47:CT60" si="61">SUM(CL47-CM47)</f>
        <v>0</v>
      </c>
      <c r="CU47" s="176">
        <f t="shared" ref="CU47:CU60" si="62">SUM(CN47-CO47)</f>
        <v>0</v>
      </c>
      <c r="CW47">
        <v>2</v>
      </c>
      <c r="CX47" t="s">
        <v>1846</v>
      </c>
      <c r="CY47">
        <v>0</v>
      </c>
      <c r="CZ47" s="205">
        <v>0</v>
      </c>
      <c r="DA47" s="205"/>
      <c r="DB47" s="205"/>
      <c r="DC47" s="205"/>
      <c r="DD47" s="205"/>
      <c r="DE47" s="205"/>
      <c r="DF47" s="205"/>
      <c r="DG47" s="1432"/>
      <c r="DH47" s="1432"/>
      <c r="DI47" s="205">
        <v>13400000</v>
      </c>
      <c r="DJ47" s="205">
        <v>13400000</v>
      </c>
      <c r="DK47" s="205">
        <v>423200</v>
      </c>
      <c r="DL47" s="205">
        <v>423200</v>
      </c>
      <c r="DM47" s="205">
        <v>282100</v>
      </c>
      <c r="DN47" s="205">
        <v>282100</v>
      </c>
      <c r="DO47" s="177">
        <f t="shared" ref="DO47:DO61" si="63">CY47+DA47+DC47+DI47+DK47+DM47</f>
        <v>14105300</v>
      </c>
      <c r="DP47" s="177">
        <f t="shared" ref="DP47:DP61" si="64">CZ47+DB47+DD47+DJ47+DL47+DN47</f>
        <v>14105300</v>
      </c>
      <c r="DQ47" s="178">
        <f t="shared" ref="DQ47:DQ61" si="65">IF(DO47=0,0,DP47/DO47)</f>
        <v>1</v>
      </c>
      <c r="DR47" s="176">
        <f t="shared" ref="DR47:DR60" si="66">SUM(DO47-DP47)</f>
        <v>0</v>
      </c>
      <c r="DS47" s="176">
        <f t="shared" ref="DS47:DS60" si="67">SUM(DK47-DL47)</f>
        <v>0</v>
      </c>
      <c r="DT47" s="176">
        <f t="shared" ref="DT47:DT60" si="68">SUM(DM47-DN47)</f>
        <v>0</v>
      </c>
      <c r="DV47" s="1387"/>
      <c r="DW47" s="1387"/>
      <c r="DX47" s="1393"/>
      <c r="DY47" s="1393"/>
      <c r="DZ47" s="1393"/>
      <c r="EA47" s="1393"/>
      <c r="EB47" s="1393"/>
      <c r="EC47" s="1393"/>
      <c r="ED47" s="1393"/>
      <c r="EE47" s="1393"/>
      <c r="EF47" s="1393"/>
      <c r="EG47" s="1393"/>
      <c r="EH47" s="1393"/>
      <c r="EI47" s="1393"/>
      <c r="EJ47" s="1393"/>
      <c r="EK47" s="1393"/>
      <c r="EL47" s="1393"/>
      <c r="EM47" s="1393"/>
      <c r="EN47" s="1379"/>
      <c r="EO47" s="1379"/>
      <c r="EP47" s="1380"/>
      <c r="EQ47" s="1381"/>
      <c r="ER47" s="1381"/>
      <c r="ES47" s="1381"/>
    </row>
    <row r="48" spans="1:149" s="168" customFormat="1" ht="42" customHeight="1">
      <c r="A48" s="204">
        <v>3</v>
      </c>
      <c r="B48" s="202" t="str">
        <f>$B$12</f>
        <v>DARMAREJA</v>
      </c>
      <c r="C48" s="205"/>
      <c r="D48" s="205"/>
      <c r="E48" s="205"/>
      <c r="F48" s="205"/>
      <c r="G48" s="205"/>
      <c r="H48" s="205"/>
      <c r="I48" s="205"/>
      <c r="J48" s="205"/>
      <c r="K48" s="1432"/>
      <c r="L48" s="1432"/>
      <c r="M48" s="205">
        <v>48000000</v>
      </c>
      <c r="N48" s="205">
        <v>48000000</v>
      </c>
      <c r="O48" s="205">
        <v>1515700</v>
      </c>
      <c r="P48" s="205">
        <v>1515700</v>
      </c>
      <c r="Q48" s="205">
        <v>1010500</v>
      </c>
      <c r="R48" s="205">
        <v>1010500</v>
      </c>
      <c r="S48" s="177">
        <f t="shared" si="39"/>
        <v>50526200</v>
      </c>
      <c r="T48" s="177">
        <f t="shared" si="40"/>
        <v>50526200</v>
      </c>
      <c r="U48" s="178">
        <f t="shared" si="41"/>
        <v>1</v>
      </c>
      <c r="V48" s="176">
        <f t="shared" si="42"/>
        <v>0</v>
      </c>
      <c r="W48" s="176">
        <f t="shared" si="43"/>
        <v>0</v>
      </c>
      <c r="X48" s="176">
        <f t="shared" si="44"/>
        <v>0</v>
      </c>
      <c r="Z48" s="204">
        <v>3</v>
      </c>
      <c r="AA48" s="202" t="str">
        <f>$B$12</f>
        <v>DARMAREJA</v>
      </c>
      <c r="AB48" s="205">
        <v>152752300</v>
      </c>
      <c r="AC48" s="205">
        <v>152752300</v>
      </c>
      <c r="AD48" s="205"/>
      <c r="AE48" s="205"/>
      <c r="AF48" s="205"/>
      <c r="AG48" s="205"/>
      <c r="AH48" s="205"/>
      <c r="AI48" s="205"/>
      <c r="AJ48" s="1432"/>
      <c r="AK48" s="1432"/>
      <c r="AL48" s="205">
        <v>32500000</v>
      </c>
      <c r="AM48" s="205">
        <v>32500000</v>
      </c>
      <c r="AN48" s="205">
        <v>5850200</v>
      </c>
      <c r="AO48" s="205">
        <v>5850200</v>
      </c>
      <c r="AP48" s="205">
        <v>3900200</v>
      </c>
      <c r="AQ48" s="205">
        <v>3900200</v>
      </c>
      <c r="AR48" s="177">
        <f t="shared" si="45"/>
        <v>195002700</v>
      </c>
      <c r="AS48" s="177">
        <f t="shared" si="46"/>
        <v>195002700</v>
      </c>
      <c r="AT48" s="178">
        <f t="shared" si="47"/>
        <v>1</v>
      </c>
      <c r="AU48" s="176">
        <f t="shared" si="48"/>
        <v>0</v>
      </c>
      <c r="AV48" s="176">
        <f t="shared" si="49"/>
        <v>0</v>
      </c>
      <c r="AW48" s="176">
        <f t="shared" si="50"/>
        <v>0</v>
      </c>
      <c r="AY48" s="204">
        <v>3</v>
      </c>
      <c r="AZ48" s="202" t="str">
        <f>$B$12</f>
        <v>DARMAREJA</v>
      </c>
      <c r="BA48" s="205">
        <v>50346000</v>
      </c>
      <c r="BB48" s="205">
        <v>50346000</v>
      </c>
      <c r="BC48" s="205"/>
      <c r="BD48" s="205"/>
      <c r="BE48" s="205"/>
      <c r="BF48" s="205"/>
      <c r="BG48" s="205"/>
      <c r="BH48" s="205"/>
      <c r="BI48" s="1432"/>
      <c r="BJ48" s="1432"/>
      <c r="BK48" s="205"/>
      <c r="BL48" s="205"/>
      <c r="BM48" s="205">
        <v>1589800</v>
      </c>
      <c r="BN48" s="205">
        <v>1589800</v>
      </c>
      <c r="BO48" s="205">
        <v>1059900</v>
      </c>
      <c r="BP48" s="205">
        <v>1059900</v>
      </c>
      <c r="BQ48" s="177">
        <f t="shared" si="51"/>
        <v>52995700</v>
      </c>
      <c r="BR48" s="177">
        <f t="shared" si="52"/>
        <v>52995700</v>
      </c>
      <c r="BS48" s="178">
        <f t="shared" si="53"/>
        <v>1</v>
      </c>
      <c r="BT48" s="176">
        <f t="shared" si="54"/>
        <v>0</v>
      </c>
      <c r="BU48" s="176">
        <f t="shared" si="55"/>
        <v>0</v>
      </c>
      <c r="BV48" s="176">
        <f t="shared" si="56"/>
        <v>0</v>
      </c>
      <c r="BX48" s="204">
        <v>3</v>
      </c>
      <c r="BY48" s="202" t="str">
        <f>$B$12</f>
        <v>DARMAREJA</v>
      </c>
      <c r="BZ48" s="205">
        <v>137725000</v>
      </c>
      <c r="CA48" s="205">
        <v>137725000</v>
      </c>
      <c r="CB48" s="205"/>
      <c r="CC48" s="205"/>
      <c r="CD48" s="205"/>
      <c r="CE48" s="205"/>
      <c r="CF48" s="205"/>
      <c r="CG48" s="205"/>
      <c r="CH48" s="1432"/>
      <c r="CI48" s="1432"/>
      <c r="CJ48" s="205">
        <v>60000000</v>
      </c>
      <c r="CK48" s="205">
        <v>60000000</v>
      </c>
      <c r="CL48" s="205">
        <v>6244000</v>
      </c>
      <c r="CM48" s="205">
        <v>6244000</v>
      </c>
      <c r="CN48" s="205">
        <v>4162500</v>
      </c>
      <c r="CO48" s="205">
        <v>4162500</v>
      </c>
      <c r="CP48" s="177">
        <f t="shared" si="57"/>
        <v>208131500</v>
      </c>
      <c r="CQ48" s="177">
        <f t="shared" si="58"/>
        <v>208131500</v>
      </c>
      <c r="CR48" s="178">
        <f t="shared" si="59"/>
        <v>1</v>
      </c>
      <c r="CS48" s="176">
        <f t="shared" si="60"/>
        <v>0</v>
      </c>
      <c r="CT48" s="176">
        <f t="shared" si="61"/>
        <v>0</v>
      </c>
      <c r="CU48" s="176">
        <f t="shared" si="62"/>
        <v>0</v>
      </c>
      <c r="CW48">
        <v>3</v>
      </c>
      <c r="CX48" t="s">
        <v>2160</v>
      </c>
      <c r="CY48">
        <v>64498000</v>
      </c>
      <c r="CZ48" s="205">
        <v>64498000</v>
      </c>
      <c r="DA48" s="205"/>
      <c r="DB48" s="205"/>
      <c r="DC48" s="205"/>
      <c r="DD48" s="205"/>
      <c r="DE48" s="205"/>
      <c r="DF48" s="205"/>
      <c r="DG48" s="1432"/>
      <c r="DH48" s="1432"/>
      <c r="DI48" s="205">
        <v>10650000</v>
      </c>
      <c r="DJ48" s="205">
        <v>10650000</v>
      </c>
      <c r="DK48" s="205">
        <v>2373000</v>
      </c>
      <c r="DL48" s="205">
        <v>2373000</v>
      </c>
      <c r="DM48" s="205">
        <v>1582300</v>
      </c>
      <c r="DN48" s="205">
        <v>1582300</v>
      </c>
      <c r="DO48" s="177">
        <f t="shared" si="63"/>
        <v>79103300</v>
      </c>
      <c r="DP48" s="177">
        <f t="shared" si="64"/>
        <v>79103300</v>
      </c>
      <c r="DQ48" s="178">
        <f t="shared" si="65"/>
        <v>1</v>
      </c>
      <c r="DR48" s="176">
        <f t="shared" si="66"/>
        <v>0</v>
      </c>
      <c r="DS48" s="176">
        <f t="shared" si="67"/>
        <v>0</v>
      </c>
      <c r="DT48" s="176">
        <f t="shared" si="68"/>
        <v>0</v>
      </c>
      <c r="DV48" s="1387"/>
      <c r="DW48" s="1387"/>
      <c r="DX48" s="1393"/>
      <c r="DY48" s="1393"/>
      <c r="DZ48" s="1393"/>
      <c r="EA48" s="1393"/>
      <c r="EB48" s="1393"/>
      <c r="EC48" s="1393"/>
      <c r="ED48" s="1393"/>
      <c r="EE48" s="1393"/>
      <c r="EF48" s="1393"/>
      <c r="EG48" s="1393"/>
      <c r="EH48" s="1393"/>
      <c r="EI48" s="1393"/>
      <c r="EJ48" s="1393"/>
      <c r="EK48" s="1393"/>
      <c r="EL48" s="1393"/>
      <c r="EM48" s="1393"/>
      <c r="EN48" s="1379"/>
      <c r="EO48" s="1379"/>
      <c r="EP48" s="1380"/>
      <c r="EQ48" s="1381"/>
      <c r="ER48" s="1381"/>
      <c r="ES48" s="1381"/>
    </row>
    <row r="49" spans="1:149" s="168" customFormat="1" ht="42" customHeight="1">
      <c r="A49" s="204">
        <v>4</v>
      </c>
      <c r="B49" s="202" t="str">
        <f>$B$13</f>
        <v>BALEKAMBANG</v>
      </c>
      <c r="C49" s="205">
        <v>112317000</v>
      </c>
      <c r="D49" s="205">
        <v>112317000</v>
      </c>
      <c r="E49" s="205"/>
      <c r="F49" s="205"/>
      <c r="G49" s="205"/>
      <c r="H49" s="205"/>
      <c r="I49" s="205"/>
      <c r="J49" s="205"/>
      <c r="K49" s="1432"/>
      <c r="L49" s="1432"/>
      <c r="M49" s="205">
        <v>19000000</v>
      </c>
      <c r="N49" s="205">
        <v>19000000</v>
      </c>
      <c r="O49" s="205">
        <v>4146800</v>
      </c>
      <c r="P49" s="205">
        <v>4146800</v>
      </c>
      <c r="Q49" s="205">
        <v>2764500</v>
      </c>
      <c r="R49" s="205">
        <v>2764500</v>
      </c>
      <c r="S49" s="177">
        <f t="shared" si="39"/>
        <v>138228300</v>
      </c>
      <c r="T49" s="177">
        <f t="shared" si="40"/>
        <v>138228300</v>
      </c>
      <c r="U49" s="178">
        <f t="shared" si="41"/>
        <v>1</v>
      </c>
      <c r="V49" s="176">
        <f t="shared" si="42"/>
        <v>0</v>
      </c>
      <c r="W49" s="176">
        <f t="shared" si="43"/>
        <v>0</v>
      </c>
      <c r="X49" s="176">
        <f t="shared" si="44"/>
        <v>0</v>
      </c>
      <c r="Z49" s="204">
        <v>4</v>
      </c>
      <c r="AA49" s="202" t="str">
        <f>$B$13</f>
        <v>BALEKAMBANG</v>
      </c>
      <c r="AB49" s="205">
        <v>99854500</v>
      </c>
      <c r="AC49" s="205">
        <v>99854500</v>
      </c>
      <c r="AD49" s="205"/>
      <c r="AE49" s="205"/>
      <c r="AF49" s="205"/>
      <c r="AG49" s="205"/>
      <c r="AH49" s="205"/>
      <c r="AI49" s="205"/>
      <c r="AJ49" s="1432"/>
      <c r="AK49" s="1432"/>
      <c r="AL49" s="205">
        <v>58500000</v>
      </c>
      <c r="AM49" s="205">
        <v>58500000</v>
      </c>
      <c r="AN49" s="205">
        <v>5000600</v>
      </c>
      <c r="AO49" s="205">
        <v>5000600</v>
      </c>
      <c r="AP49" s="205">
        <v>3333500</v>
      </c>
      <c r="AQ49" s="205">
        <v>3333500</v>
      </c>
      <c r="AR49" s="177">
        <f t="shared" si="45"/>
        <v>166688600</v>
      </c>
      <c r="AS49" s="177">
        <f t="shared" si="46"/>
        <v>166688600</v>
      </c>
      <c r="AT49" s="178">
        <f t="shared" si="47"/>
        <v>1</v>
      </c>
      <c r="AU49" s="176">
        <f t="shared" si="48"/>
        <v>0</v>
      </c>
      <c r="AV49" s="176">
        <f t="shared" si="49"/>
        <v>0</v>
      </c>
      <c r="AW49" s="176">
        <f t="shared" si="50"/>
        <v>0</v>
      </c>
      <c r="AY49" s="204">
        <v>4</v>
      </c>
      <c r="AZ49" s="202" t="str">
        <f>$B$13</f>
        <v>BALEKAMBANG</v>
      </c>
      <c r="BA49" s="205"/>
      <c r="BB49" s="205"/>
      <c r="BC49" s="205"/>
      <c r="BD49" s="205"/>
      <c r="BE49" s="205"/>
      <c r="BF49" s="205"/>
      <c r="BG49" s="205"/>
      <c r="BH49" s="205"/>
      <c r="BI49" s="1432"/>
      <c r="BJ49" s="1432"/>
      <c r="BK49" s="205"/>
      <c r="BL49" s="205"/>
      <c r="BM49" s="205"/>
      <c r="BN49" s="205"/>
      <c r="BO49" s="205"/>
      <c r="BP49" s="205"/>
      <c r="BQ49" s="177">
        <f t="shared" si="51"/>
        <v>0</v>
      </c>
      <c r="BR49" s="177">
        <f t="shared" si="52"/>
        <v>0</v>
      </c>
      <c r="BS49" s="178">
        <f t="shared" si="53"/>
        <v>0</v>
      </c>
      <c r="BT49" s="176">
        <f t="shared" si="54"/>
        <v>0</v>
      </c>
      <c r="BU49" s="176">
        <f t="shared" si="55"/>
        <v>0</v>
      </c>
      <c r="BV49" s="176">
        <f t="shared" si="56"/>
        <v>0</v>
      </c>
      <c r="BX49" s="204">
        <v>4</v>
      </c>
      <c r="BY49" s="202" t="str">
        <f>$B$13</f>
        <v>BALEKAMBANG</v>
      </c>
      <c r="BZ49" s="205">
        <v>158738500</v>
      </c>
      <c r="CA49" s="205">
        <v>158738500</v>
      </c>
      <c r="CB49" s="205"/>
      <c r="CC49" s="205"/>
      <c r="CD49" s="205"/>
      <c r="CE49" s="205"/>
      <c r="CF49" s="205"/>
      <c r="CG49" s="205"/>
      <c r="CH49" s="1432"/>
      <c r="CI49" s="1432"/>
      <c r="CJ49" s="205">
        <v>47000000</v>
      </c>
      <c r="CK49" s="205">
        <v>47000000</v>
      </c>
      <c r="CL49" s="205">
        <v>6496900</v>
      </c>
      <c r="CM49" s="205">
        <v>6496900</v>
      </c>
      <c r="CN49" s="205">
        <v>4331500</v>
      </c>
      <c r="CO49" s="205">
        <v>4331500</v>
      </c>
      <c r="CP49" s="177">
        <f t="shared" si="57"/>
        <v>216566900</v>
      </c>
      <c r="CQ49" s="177">
        <f t="shared" si="58"/>
        <v>216566900</v>
      </c>
      <c r="CR49" s="178">
        <f t="shared" si="59"/>
        <v>1</v>
      </c>
      <c r="CS49" s="176">
        <f t="shared" si="60"/>
        <v>0</v>
      </c>
      <c r="CT49" s="176">
        <f t="shared" si="61"/>
        <v>0</v>
      </c>
      <c r="CU49" s="176">
        <f t="shared" si="62"/>
        <v>0</v>
      </c>
      <c r="CW49">
        <v>4</v>
      </c>
      <c r="CX49" t="s">
        <v>1844</v>
      </c>
      <c r="CY49">
        <v>50258500</v>
      </c>
      <c r="CZ49" s="205">
        <v>50258500</v>
      </c>
      <c r="DA49" s="205"/>
      <c r="DB49" s="205"/>
      <c r="DC49" s="205"/>
      <c r="DD49" s="205"/>
      <c r="DE49" s="205"/>
      <c r="DF49" s="205"/>
      <c r="DG49" s="1432"/>
      <c r="DH49" s="1432"/>
      <c r="DI49" s="205">
        <v>0</v>
      </c>
      <c r="DJ49" s="205">
        <v>0</v>
      </c>
      <c r="DK49" s="205">
        <v>1587100</v>
      </c>
      <c r="DL49" s="205">
        <v>1587100</v>
      </c>
      <c r="DM49" s="205">
        <v>1058000</v>
      </c>
      <c r="DN49" s="205">
        <v>1058000</v>
      </c>
      <c r="DO49" s="177">
        <f t="shared" si="63"/>
        <v>52903600</v>
      </c>
      <c r="DP49" s="177">
        <f t="shared" si="64"/>
        <v>52903600</v>
      </c>
      <c r="DQ49" s="178">
        <f t="shared" si="65"/>
        <v>1</v>
      </c>
      <c r="DR49" s="176">
        <f t="shared" si="66"/>
        <v>0</v>
      </c>
      <c r="DS49" s="176">
        <f t="shared" si="67"/>
        <v>0</v>
      </c>
      <c r="DT49" s="176">
        <f t="shared" si="68"/>
        <v>0</v>
      </c>
      <c r="DV49" s="1387"/>
      <c r="DW49" s="1387"/>
      <c r="DX49" s="1393"/>
      <c r="DY49" s="1393"/>
      <c r="DZ49" s="1393"/>
      <c r="EA49" s="1393"/>
      <c r="EB49" s="1393"/>
      <c r="EC49" s="1393"/>
      <c r="ED49" s="1393"/>
      <c r="EE49" s="1393"/>
      <c r="EF49" s="1393"/>
      <c r="EG49" s="1393"/>
      <c r="EH49" s="1393"/>
      <c r="EI49" s="1393"/>
      <c r="EJ49" s="1393"/>
      <c r="EK49" s="1393"/>
      <c r="EL49" s="1393"/>
      <c r="EM49" s="1393"/>
      <c r="EN49" s="1379"/>
      <c r="EO49" s="1379"/>
      <c r="EP49" s="1380"/>
      <c r="EQ49" s="1381"/>
      <c r="ER49" s="1381"/>
      <c r="ES49" s="1381"/>
    </row>
    <row r="50" spans="1:149" s="168" customFormat="1" ht="42" customHeight="1">
      <c r="A50" s="204">
        <v>5</v>
      </c>
      <c r="B50" s="202" t="str">
        <f>$B$14</f>
        <v>NAGRAK SELATAN</v>
      </c>
      <c r="C50" s="205">
        <v>95210000</v>
      </c>
      <c r="D50" s="205">
        <v>95210000</v>
      </c>
      <c r="E50" s="205"/>
      <c r="F50" s="205"/>
      <c r="G50" s="205"/>
      <c r="H50" s="205"/>
      <c r="I50" s="205"/>
      <c r="J50" s="205"/>
      <c r="K50" s="1432"/>
      <c r="L50" s="1432"/>
      <c r="M50" s="205">
        <v>32000000</v>
      </c>
      <c r="N50" s="205">
        <v>32000000</v>
      </c>
      <c r="O50" s="205">
        <v>4017600</v>
      </c>
      <c r="P50" s="205">
        <v>4017600</v>
      </c>
      <c r="Q50" s="205">
        <v>2678000</v>
      </c>
      <c r="R50" s="205">
        <v>2678000</v>
      </c>
      <c r="S50" s="177">
        <f t="shared" si="39"/>
        <v>133905600</v>
      </c>
      <c r="T50" s="177">
        <f t="shared" si="40"/>
        <v>133905600</v>
      </c>
      <c r="U50" s="178">
        <f t="shared" si="41"/>
        <v>1</v>
      </c>
      <c r="V50" s="176">
        <f t="shared" si="42"/>
        <v>0</v>
      </c>
      <c r="W50" s="176">
        <f t="shared" si="43"/>
        <v>0</v>
      </c>
      <c r="X50" s="176">
        <f t="shared" si="44"/>
        <v>0</v>
      </c>
      <c r="Z50" s="204">
        <v>5</v>
      </c>
      <c r="AA50" s="202" t="str">
        <f>$B$14</f>
        <v>NAGRAK SELATAN</v>
      </c>
      <c r="AB50" s="205">
        <v>97448900</v>
      </c>
      <c r="AC50" s="205">
        <v>97448900</v>
      </c>
      <c r="AD50" s="205"/>
      <c r="AE50" s="205"/>
      <c r="AF50" s="205"/>
      <c r="AG50" s="205"/>
      <c r="AH50" s="205"/>
      <c r="AI50" s="205"/>
      <c r="AJ50" s="1432"/>
      <c r="AK50" s="1432"/>
      <c r="AL50" s="205">
        <v>50000000</v>
      </c>
      <c r="AM50" s="205">
        <v>50000000</v>
      </c>
      <c r="AN50" s="205">
        <v>4656300</v>
      </c>
      <c r="AO50" s="205">
        <v>4656300</v>
      </c>
      <c r="AP50" s="205">
        <v>3104100</v>
      </c>
      <c r="AQ50" s="205">
        <v>3104100</v>
      </c>
      <c r="AR50" s="177">
        <f t="shared" si="45"/>
        <v>155209300</v>
      </c>
      <c r="AS50" s="177">
        <f t="shared" si="46"/>
        <v>155209300</v>
      </c>
      <c r="AT50" s="178">
        <f t="shared" si="47"/>
        <v>1</v>
      </c>
      <c r="AU50" s="176">
        <f t="shared" si="48"/>
        <v>0</v>
      </c>
      <c r="AV50" s="176">
        <f t="shared" si="49"/>
        <v>0</v>
      </c>
      <c r="AW50" s="176">
        <f t="shared" si="50"/>
        <v>0</v>
      </c>
      <c r="AY50" s="204">
        <v>5</v>
      </c>
      <c r="AZ50" s="202" t="str">
        <f>$B$14</f>
        <v>NAGRAK SELATAN</v>
      </c>
      <c r="BA50" s="205"/>
      <c r="BB50" s="205"/>
      <c r="BC50" s="205"/>
      <c r="BD50" s="205"/>
      <c r="BE50" s="205"/>
      <c r="BF50" s="205"/>
      <c r="BG50" s="205"/>
      <c r="BH50" s="205"/>
      <c r="BI50" s="1432"/>
      <c r="BJ50" s="1432"/>
      <c r="BK50" s="205"/>
      <c r="BL50" s="205"/>
      <c r="BM50" s="205"/>
      <c r="BN50" s="205"/>
      <c r="BO50" s="205"/>
      <c r="BP50" s="205"/>
      <c r="BQ50" s="177">
        <f t="shared" si="51"/>
        <v>0</v>
      </c>
      <c r="BR50" s="177">
        <f t="shared" si="52"/>
        <v>0</v>
      </c>
      <c r="BS50" s="178">
        <f t="shared" si="53"/>
        <v>0</v>
      </c>
      <c r="BT50" s="176">
        <f t="shared" si="54"/>
        <v>0</v>
      </c>
      <c r="BU50" s="176">
        <f t="shared" si="55"/>
        <v>0</v>
      </c>
      <c r="BV50" s="176">
        <f t="shared" si="56"/>
        <v>0</v>
      </c>
      <c r="BX50" s="204">
        <v>5</v>
      </c>
      <c r="BY50" s="202" t="str">
        <f>$B$14</f>
        <v>NAGRAK SELATAN</v>
      </c>
      <c r="BZ50" s="205">
        <v>168736000</v>
      </c>
      <c r="CA50" s="205">
        <v>168736000</v>
      </c>
      <c r="CB50" s="205"/>
      <c r="CC50" s="205"/>
      <c r="CD50" s="205"/>
      <c r="CE50" s="205"/>
      <c r="CF50" s="205"/>
      <c r="CG50" s="205"/>
      <c r="CH50" s="1432"/>
      <c r="CI50" s="1432"/>
      <c r="CJ50" s="205">
        <v>30500000</v>
      </c>
      <c r="CK50" s="205">
        <v>30500000</v>
      </c>
      <c r="CL50" s="205">
        <v>6291600</v>
      </c>
      <c r="CM50" s="205">
        <v>6291600</v>
      </c>
      <c r="CN50" s="205">
        <v>4194600</v>
      </c>
      <c r="CO50" s="205">
        <v>4194600</v>
      </c>
      <c r="CP50" s="177">
        <f t="shared" si="57"/>
        <v>209722200</v>
      </c>
      <c r="CQ50" s="177">
        <f t="shared" si="58"/>
        <v>209722200</v>
      </c>
      <c r="CR50" s="178">
        <f t="shared" si="59"/>
        <v>1</v>
      </c>
      <c r="CS50" s="176">
        <f t="shared" si="60"/>
        <v>0</v>
      </c>
      <c r="CT50" s="176">
        <f t="shared" si="61"/>
        <v>0</v>
      </c>
      <c r="CU50" s="176">
        <f t="shared" si="62"/>
        <v>0</v>
      </c>
      <c r="CW50">
        <v>5</v>
      </c>
      <c r="CX50" t="s">
        <v>1856</v>
      </c>
      <c r="CY50"/>
      <c r="CZ50" s="205"/>
      <c r="DA50" s="205"/>
      <c r="DB50" s="205"/>
      <c r="DC50" s="205"/>
      <c r="DD50" s="205"/>
      <c r="DE50" s="205"/>
      <c r="DF50" s="205"/>
      <c r="DG50" s="1432"/>
      <c r="DH50" s="1432"/>
      <c r="DI50" s="205"/>
      <c r="DJ50" s="205"/>
      <c r="DK50" s="205"/>
      <c r="DL50" s="205"/>
      <c r="DM50" s="205"/>
      <c r="DN50" s="205"/>
      <c r="DO50" s="177">
        <f t="shared" si="63"/>
        <v>0</v>
      </c>
      <c r="DP50" s="177">
        <f t="shared" si="64"/>
        <v>0</v>
      </c>
      <c r="DQ50" s="178">
        <f t="shared" si="65"/>
        <v>0</v>
      </c>
      <c r="DR50" s="176">
        <f t="shared" si="66"/>
        <v>0</v>
      </c>
      <c r="DS50" s="176">
        <f t="shared" si="67"/>
        <v>0</v>
      </c>
      <c r="DT50" s="176">
        <f t="shared" si="68"/>
        <v>0</v>
      </c>
      <c r="DV50" s="1387"/>
      <c r="DW50" s="1387"/>
      <c r="DX50" s="1393"/>
      <c r="DY50" s="1393"/>
      <c r="DZ50" s="1393"/>
      <c r="EA50" s="1393"/>
      <c r="EB50" s="1393"/>
      <c r="EC50" s="1393"/>
      <c r="ED50" s="1393"/>
      <c r="EE50" s="1393"/>
      <c r="EF50" s="1393"/>
      <c r="EG50" s="1393"/>
      <c r="EH50" s="1393"/>
      <c r="EI50" s="1393"/>
      <c r="EJ50" s="1393"/>
      <c r="EK50" s="1393"/>
      <c r="EL50" s="1393"/>
      <c r="EM50" s="1393"/>
      <c r="EN50" s="1379"/>
      <c r="EO50" s="1379"/>
      <c r="EP50" s="1380"/>
      <c r="EQ50" s="1381"/>
      <c r="ER50" s="1381"/>
      <c r="ES50" s="1381"/>
    </row>
    <row r="51" spans="1:149" s="168" customFormat="1" ht="42" customHeight="1">
      <c r="A51" s="204">
        <v>6</v>
      </c>
      <c r="B51" s="202" t="str">
        <f>$B$15</f>
        <v>KALAPAREA</v>
      </c>
      <c r="C51" s="205">
        <v>85124000</v>
      </c>
      <c r="D51" s="205">
        <v>85124000</v>
      </c>
      <c r="E51" s="205"/>
      <c r="F51" s="205"/>
      <c r="G51" s="205"/>
      <c r="H51" s="205"/>
      <c r="I51" s="205"/>
      <c r="J51" s="205"/>
      <c r="K51" s="1432"/>
      <c r="L51" s="1432"/>
      <c r="M51" s="205">
        <v>28000000</v>
      </c>
      <c r="N51" s="205">
        <v>28000000</v>
      </c>
      <c r="O51" s="205">
        <v>3572400</v>
      </c>
      <c r="P51" s="205">
        <v>3572400</v>
      </c>
      <c r="Q51" s="205">
        <v>2381500</v>
      </c>
      <c r="R51" s="205">
        <v>2381500</v>
      </c>
      <c r="S51" s="177">
        <f t="shared" si="39"/>
        <v>119077900</v>
      </c>
      <c r="T51" s="177">
        <f t="shared" si="40"/>
        <v>119077900</v>
      </c>
      <c r="U51" s="178">
        <f t="shared" si="41"/>
        <v>1</v>
      </c>
      <c r="V51" s="176">
        <f t="shared" si="42"/>
        <v>0</v>
      </c>
      <c r="W51" s="176">
        <f t="shared" si="43"/>
        <v>0</v>
      </c>
      <c r="X51" s="176">
        <f t="shared" si="44"/>
        <v>0</v>
      </c>
      <c r="Z51" s="204">
        <v>6</v>
      </c>
      <c r="AA51" s="202" t="str">
        <f>$B$15</f>
        <v>KALAPAREA</v>
      </c>
      <c r="AB51" s="205">
        <v>157898600</v>
      </c>
      <c r="AC51" s="205">
        <v>157898600</v>
      </c>
      <c r="AD51" s="205"/>
      <c r="AE51" s="205"/>
      <c r="AF51" s="205"/>
      <c r="AG51" s="205"/>
      <c r="AH51" s="205"/>
      <c r="AI51" s="205"/>
      <c r="AJ51" s="1432"/>
      <c r="AK51" s="1432"/>
      <c r="AL51" s="205">
        <v>35500000</v>
      </c>
      <c r="AM51" s="205">
        <v>35500000</v>
      </c>
      <c r="AN51" s="205">
        <v>6107300</v>
      </c>
      <c r="AO51" s="205">
        <v>6107300</v>
      </c>
      <c r="AP51" s="205">
        <v>4072000</v>
      </c>
      <c r="AQ51" s="205">
        <v>4072000</v>
      </c>
      <c r="AR51" s="177">
        <f t="shared" si="45"/>
        <v>203577900</v>
      </c>
      <c r="AS51" s="177">
        <f t="shared" si="46"/>
        <v>203577900</v>
      </c>
      <c r="AT51" s="178">
        <f t="shared" si="47"/>
        <v>1</v>
      </c>
      <c r="AU51" s="176">
        <f t="shared" si="48"/>
        <v>0</v>
      </c>
      <c r="AV51" s="176">
        <f t="shared" si="49"/>
        <v>0</v>
      </c>
      <c r="AW51" s="176">
        <f t="shared" si="50"/>
        <v>0</v>
      </c>
      <c r="AY51" s="204">
        <v>6</v>
      </c>
      <c r="AZ51" s="202" t="str">
        <f>$B$15</f>
        <v>KALAPAREA</v>
      </c>
      <c r="BA51" s="205"/>
      <c r="BB51" s="205"/>
      <c r="BC51" s="205"/>
      <c r="BD51" s="205"/>
      <c r="BE51" s="205"/>
      <c r="BF51" s="205"/>
      <c r="BG51" s="205"/>
      <c r="BH51" s="205"/>
      <c r="BI51" s="1432"/>
      <c r="BJ51" s="1432"/>
      <c r="BK51" s="205"/>
      <c r="BL51" s="205"/>
      <c r="BM51" s="205"/>
      <c r="BN51" s="205"/>
      <c r="BO51" s="205"/>
      <c r="BP51" s="205"/>
      <c r="BQ51" s="177">
        <f t="shared" si="51"/>
        <v>0</v>
      </c>
      <c r="BR51" s="177">
        <f t="shared" si="52"/>
        <v>0</v>
      </c>
      <c r="BS51" s="178">
        <f t="shared" si="53"/>
        <v>0</v>
      </c>
      <c r="BT51" s="176">
        <f t="shared" si="54"/>
        <v>0</v>
      </c>
      <c r="BU51" s="176">
        <f t="shared" si="55"/>
        <v>0</v>
      </c>
      <c r="BV51" s="176">
        <f t="shared" si="56"/>
        <v>0</v>
      </c>
      <c r="BX51" s="204">
        <v>6</v>
      </c>
      <c r="BY51" s="202" t="str">
        <f>$B$15</f>
        <v>KALAPAREA</v>
      </c>
      <c r="BZ51" s="205">
        <v>87100300</v>
      </c>
      <c r="CA51" s="205">
        <v>87100300</v>
      </c>
      <c r="CB51" s="205"/>
      <c r="CC51" s="205"/>
      <c r="CD51" s="205"/>
      <c r="CE51" s="205"/>
      <c r="CF51" s="205"/>
      <c r="CG51" s="205"/>
      <c r="CH51" s="1432"/>
      <c r="CI51" s="1432"/>
      <c r="CJ51" s="205">
        <v>47000000</v>
      </c>
      <c r="CK51" s="205">
        <v>47000000</v>
      </c>
      <c r="CL51" s="205">
        <v>4234700</v>
      </c>
      <c r="CM51" s="205">
        <v>4234700</v>
      </c>
      <c r="CN51" s="205">
        <v>2823000</v>
      </c>
      <c r="CO51" s="205">
        <v>2823000</v>
      </c>
      <c r="CP51" s="177">
        <f t="shared" si="57"/>
        <v>141158000</v>
      </c>
      <c r="CQ51" s="177">
        <f t="shared" si="58"/>
        <v>141158000</v>
      </c>
      <c r="CR51" s="178">
        <f t="shared" si="59"/>
        <v>1</v>
      </c>
      <c r="CS51" s="176">
        <f t="shared" si="60"/>
        <v>0</v>
      </c>
      <c r="CT51" s="176">
        <f t="shared" si="61"/>
        <v>0</v>
      </c>
      <c r="CU51" s="176">
        <f t="shared" si="62"/>
        <v>0</v>
      </c>
      <c r="CW51">
        <v>6</v>
      </c>
      <c r="CX51" t="s">
        <v>1858</v>
      </c>
      <c r="CY51"/>
      <c r="CZ51" s="205"/>
      <c r="DA51" s="205"/>
      <c r="DB51" s="205"/>
      <c r="DC51" s="205"/>
      <c r="DD51" s="205"/>
      <c r="DE51" s="205"/>
      <c r="DF51" s="205"/>
      <c r="DG51" s="1432"/>
      <c r="DH51" s="1432"/>
      <c r="DI51" s="205"/>
      <c r="DJ51" s="205"/>
      <c r="DK51" s="205"/>
      <c r="DL51" s="205"/>
      <c r="DM51" s="205"/>
      <c r="DN51" s="205"/>
      <c r="DO51" s="177">
        <f t="shared" si="63"/>
        <v>0</v>
      </c>
      <c r="DP51" s="177">
        <f t="shared" si="64"/>
        <v>0</v>
      </c>
      <c r="DQ51" s="178">
        <f t="shared" si="65"/>
        <v>0</v>
      </c>
      <c r="DR51" s="176">
        <f t="shared" si="66"/>
        <v>0</v>
      </c>
      <c r="DS51" s="176">
        <f t="shared" si="67"/>
        <v>0</v>
      </c>
      <c r="DT51" s="176">
        <f t="shared" si="68"/>
        <v>0</v>
      </c>
      <c r="DV51" s="1387"/>
      <c r="DW51" s="1387"/>
      <c r="DX51" s="1393"/>
      <c r="DY51" s="1393"/>
      <c r="DZ51" s="1393"/>
      <c r="EA51" s="1393"/>
      <c r="EB51" s="1393"/>
      <c r="EC51" s="1393"/>
      <c r="ED51" s="1393"/>
      <c r="EE51" s="1393"/>
      <c r="EF51" s="1393"/>
      <c r="EG51" s="1393"/>
      <c r="EH51" s="1393"/>
      <c r="EI51" s="1393"/>
      <c r="EJ51" s="1393"/>
      <c r="EK51" s="1393"/>
      <c r="EL51" s="1393"/>
      <c r="EM51" s="1393"/>
      <c r="EN51" s="1379"/>
      <c r="EO51" s="1379"/>
      <c r="EP51" s="1380"/>
      <c r="EQ51" s="1381"/>
      <c r="ER51" s="1381"/>
      <c r="ES51" s="1381"/>
    </row>
    <row r="52" spans="1:149" s="168" customFormat="1" ht="42" customHeight="1">
      <c r="A52" s="204">
        <v>7</v>
      </c>
      <c r="B52" s="202" t="str">
        <f>$B$16</f>
        <v>BABAKAN PANJANG</v>
      </c>
      <c r="C52" s="205">
        <v>195609000</v>
      </c>
      <c r="D52" s="205">
        <v>195609000</v>
      </c>
      <c r="E52" s="205"/>
      <c r="F52" s="205"/>
      <c r="G52" s="205"/>
      <c r="H52" s="205"/>
      <c r="I52" s="205"/>
      <c r="J52" s="205"/>
      <c r="K52" s="1432"/>
      <c r="L52" s="1432"/>
      <c r="M52" s="205">
        <v>52500000</v>
      </c>
      <c r="N52" s="205">
        <v>52500000</v>
      </c>
      <c r="O52" s="205">
        <v>7835100</v>
      </c>
      <c r="P52" s="205">
        <v>7835100</v>
      </c>
      <c r="Q52" s="205">
        <v>5223600</v>
      </c>
      <c r="R52" s="205">
        <v>5223600</v>
      </c>
      <c r="S52" s="177">
        <f t="shared" si="39"/>
        <v>261167700</v>
      </c>
      <c r="T52" s="177">
        <f t="shared" si="40"/>
        <v>261167700</v>
      </c>
      <c r="U52" s="178">
        <f t="shared" si="41"/>
        <v>1</v>
      </c>
      <c r="V52" s="176">
        <f t="shared" si="42"/>
        <v>0</v>
      </c>
      <c r="W52" s="176">
        <f t="shared" si="43"/>
        <v>0</v>
      </c>
      <c r="X52" s="176">
        <f t="shared" si="44"/>
        <v>0</v>
      </c>
      <c r="Z52" s="204">
        <v>7</v>
      </c>
      <c r="AA52" s="202" t="str">
        <f>$B$16</f>
        <v>BABAKAN PANJANG</v>
      </c>
      <c r="AB52" s="205">
        <v>156230600</v>
      </c>
      <c r="AC52" s="205">
        <v>156230600</v>
      </c>
      <c r="AD52" s="205"/>
      <c r="AE52" s="205"/>
      <c r="AF52" s="205"/>
      <c r="AG52" s="205"/>
      <c r="AH52" s="205"/>
      <c r="AI52" s="205"/>
      <c r="AJ52" s="1432"/>
      <c r="AK52" s="1432"/>
      <c r="AL52" s="205">
        <v>51000000</v>
      </c>
      <c r="AM52" s="205">
        <v>51000000</v>
      </c>
      <c r="AN52" s="205">
        <v>6544000</v>
      </c>
      <c r="AO52" s="205">
        <v>6544000</v>
      </c>
      <c r="AP52" s="205">
        <v>4362600</v>
      </c>
      <c r="AQ52" s="205">
        <v>4362600</v>
      </c>
      <c r="AR52" s="177">
        <f t="shared" si="45"/>
        <v>218137200</v>
      </c>
      <c r="AS52" s="177">
        <f t="shared" si="46"/>
        <v>218137200</v>
      </c>
      <c r="AT52" s="178">
        <f t="shared" si="47"/>
        <v>1</v>
      </c>
      <c r="AU52" s="176">
        <f t="shared" si="48"/>
        <v>0</v>
      </c>
      <c r="AV52" s="176">
        <f t="shared" si="49"/>
        <v>0</v>
      </c>
      <c r="AW52" s="176">
        <f t="shared" si="50"/>
        <v>0</v>
      </c>
      <c r="AY52" s="204">
        <v>7</v>
      </c>
      <c r="AZ52" s="202" t="str">
        <f>$B$16</f>
        <v>BABAKAN PANJANG</v>
      </c>
      <c r="BA52" s="205">
        <v>84864000</v>
      </c>
      <c r="BB52" s="205">
        <v>84864000</v>
      </c>
      <c r="BC52" s="205"/>
      <c r="BD52" s="205"/>
      <c r="BE52" s="205"/>
      <c r="BF52" s="205"/>
      <c r="BG52" s="205"/>
      <c r="BH52" s="205"/>
      <c r="BI52" s="1432"/>
      <c r="BJ52" s="1432"/>
      <c r="BK52" s="205"/>
      <c r="BL52" s="205"/>
      <c r="BM52" s="205">
        <v>2679900</v>
      </c>
      <c r="BN52" s="205">
        <v>2679900</v>
      </c>
      <c r="BO52" s="205">
        <v>1786600</v>
      </c>
      <c r="BP52" s="205">
        <v>1786600</v>
      </c>
      <c r="BQ52" s="177">
        <f t="shared" si="51"/>
        <v>89330500</v>
      </c>
      <c r="BR52" s="177">
        <f t="shared" si="52"/>
        <v>89330500</v>
      </c>
      <c r="BS52" s="178">
        <f t="shared" si="53"/>
        <v>1</v>
      </c>
      <c r="BT52" s="176">
        <f t="shared" si="54"/>
        <v>0</v>
      </c>
      <c r="BU52" s="176">
        <f t="shared" si="55"/>
        <v>0</v>
      </c>
      <c r="BV52" s="176">
        <f t="shared" si="56"/>
        <v>0</v>
      </c>
      <c r="BX52" s="204">
        <v>7</v>
      </c>
      <c r="BY52" s="202" t="str">
        <f>$B$16</f>
        <v>BABAKAN PANJANG</v>
      </c>
      <c r="BZ52" s="205">
        <v>250312500</v>
      </c>
      <c r="CA52" s="205">
        <v>250312500</v>
      </c>
      <c r="CB52" s="205"/>
      <c r="CC52" s="205"/>
      <c r="CD52" s="205"/>
      <c r="CE52" s="205"/>
      <c r="CF52" s="205"/>
      <c r="CG52" s="205"/>
      <c r="CH52" s="1432"/>
      <c r="CI52" s="1432"/>
      <c r="CJ52" s="205">
        <v>40600000</v>
      </c>
      <c r="CK52" s="205">
        <v>40600000</v>
      </c>
      <c r="CL52" s="205">
        <v>9186700</v>
      </c>
      <c r="CM52" s="205">
        <v>9186700</v>
      </c>
      <c r="CN52" s="205">
        <v>6124400</v>
      </c>
      <c r="CO52" s="205">
        <v>6124400</v>
      </c>
      <c r="CP52" s="177">
        <f t="shared" si="57"/>
        <v>306223600</v>
      </c>
      <c r="CQ52" s="177">
        <f t="shared" si="58"/>
        <v>306223600</v>
      </c>
      <c r="CR52" s="178">
        <f t="shared" si="59"/>
        <v>1</v>
      </c>
      <c r="CS52" s="176">
        <f t="shared" si="60"/>
        <v>0</v>
      </c>
      <c r="CT52" s="176">
        <f t="shared" si="61"/>
        <v>0</v>
      </c>
      <c r="CU52" s="176">
        <f t="shared" si="62"/>
        <v>0</v>
      </c>
      <c r="CW52">
        <v>7</v>
      </c>
      <c r="CX52" t="s">
        <v>1848</v>
      </c>
      <c r="CY52">
        <v>61193500</v>
      </c>
      <c r="CZ52" s="205">
        <v>61193500</v>
      </c>
      <c r="DA52" s="205"/>
      <c r="DB52" s="205"/>
      <c r="DC52" s="205"/>
      <c r="DD52" s="205"/>
      <c r="DE52" s="205"/>
      <c r="DF52" s="205"/>
      <c r="DG52" s="1432"/>
      <c r="DH52" s="1432"/>
      <c r="DI52" s="205">
        <v>54500000</v>
      </c>
      <c r="DJ52" s="205">
        <v>54500000</v>
      </c>
      <c r="DK52" s="205">
        <v>3653400</v>
      </c>
      <c r="DL52" s="205">
        <v>3653400</v>
      </c>
      <c r="DM52" s="205">
        <v>2435500</v>
      </c>
      <c r="DN52" s="205">
        <v>2435500</v>
      </c>
      <c r="DO52" s="177">
        <f t="shared" si="63"/>
        <v>121782400</v>
      </c>
      <c r="DP52" s="177">
        <f t="shared" si="64"/>
        <v>121782400</v>
      </c>
      <c r="DQ52" s="178">
        <f t="shared" si="65"/>
        <v>1</v>
      </c>
      <c r="DR52" s="176">
        <f t="shared" si="66"/>
        <v>0</v>
      </c>
      <c r="DS52" s="176">
        <f t="shared" si="67"/>
        <v>0</v>
      </c>
      <c r="DT52" s="176">
        <f t="shared" si="68"/>
        <v>0</v>
      </c>
      <c r="DV52" s="1387"/>
      <c r="DW52" s="1387"/>
      <c r="DX52" s="1393"/>
      <c r="DY52" s="1393"/>
      <c r="DZ52" s="1393"/>
      <c r="EA52" s="1393"/>
      <c r="EB52" s="1393"/>
      <c r="EC52" s="1393"/>
      <c r="ED52" s="1393"/>
      <c r="EE52" s="1393"/>
      <c r="EF52" s="1393"/>
      <c r="EG52" s="1393"/>
      <c r="EH52" s="1393"/>
      <c r="EI52" s="1393"/>
      <c r="EJ52" s="1393"/>
      <c r="EK52" s="1393"/>
      <c r="EL52" s="1393"/>
      <c r="EM52" s="1393"/>
      <c r="EN52" s="1379"/>
      <c r="EO52" s="1379"/>
      <c r="EP52" s="1380"/>
      <c r="EQ52" s="1381"/>
      <c r="ER52" s="1381"/>
      <c r="ES52" s="1381"/>
    </row>
    <row r="53" spans="1:149" s="168" customFormat="1" ht="42" customHeight="1">
      <c r="A53" s="204">
        <v>8</v>
      </c>
      <c r="B53" s="202" t="str">
        <f>$B$17</f>
        <v>PAWENANG</v>
      </c>
      <c r="C53" s="205">
        <v>146550000</v>
      </c>
      <c r="D53" s="205">
        <v>146550000</v>
      </c>
      <c r="E53" s="205"/>
      <c r="F53" s="205"/>
      <c r="G53" s="205"/>
      <c r="H53" s="205"/>
      <c r="I53" s="205"/>
      <c r="J53" s="205"/>
      <c r="K53" s="1432"/>
      <c r="L53" s="1432"/>
      <c r="M53" s="205">
        <v>26000000</v>
      </c>
      <c r="N53" s="205">
        <v>26000000</v>
      </c>
      <c r="O53" s="205">
        <v>5448800</v>
      </c>
      <c r="P53" s="205">
        <v>5448800</v>
      </c>
      <c r="Q53" s="205">
        <v>3632700</v>
      </c>
      <c r="R53" s="205">
        <v>3632700</v>
      </c>
      <c r="S53" s="177">
        <f t="shared" si="39"/>
        <v>181631500</v>
      </c>
      <c r="T53" s="177">
        <f t="shared" si="40"/>
        <v>181631500</v>
      </c>
      <c r="U53" s="178">
        <f t="shared" si="41"/>
        <v>1</v>
      </c>
      <c r="V53" s="176">
        <f t="shared" si="42"/>
        <v>0</v>
      </c>
      <c r="W53" s="176">
        <f t="shared" si="43"/>
        <v>0</v>
      </c>
      <c r="X53" s="176">
        <f t="shared" si="44"/>
        <v>0</v>
      </c>
      <c r="Z53" s="204">
        <v>8</v>
      </c>
      <c r="AA53" s="202" t="str">
        <f>$B$17</f>
        <v>PAWENANG</v>
      </c>
      <c r="AB53" s="205">
        <v>152401000</v>
      </c>
      <c r="AC53" s="205">
        <v>152401000</v>
      </c>
      <c r="AD53" s="205"/>
      <c r="AE53" s="205"/>
      <c r="AF53" s="205"/>
      <c r="AG53" s="205"/>
      <c r="AH53" s="205"/>
      <c r="AI53" s="205"/>
      <c r="AJ53" s="1432"/>
      <c r="AK53" s="1432"/>
      <c r="AL53" s="205">
        <v>10000000</v>
      </c>
      <c r="AM53" s="205">
        <v>10000000</v>
      </c>
      <c r="AN53" s="205">
        <v>5128500</v>
      </c>
      <c r="AO53" s="205">
        <v>5128500</v>
      </c>
      <c r="AP53" s="205">
        <v>3419000</v>
      </c>
      <c r="AQ53" s="205">
        <v>3419000</v>
      </c>
      <c r="AR53" s="177">
        <f t="shared" si="45"/>
        <v>170948500</v>
      </c>
      <c r="AS53" s="177">
        <f t="shared" si="46"/>
        <v>170948500</v>
      </c>
      <c r="AT53" s="178">
        <f t="shared" si="47"/>
        <v>1</v>
      </c>
      <c r="AU53" s="176">
        <f t="shared" si="48"/>
        <v>0</v>
      </c>
      <c r="AV53" s="176">
        <f t="shared" si="49"/>
        <v>0</v>
      </c>
      <c r="AW53" s="176">
        <f t="shared" si="50"/>
        <v>0</v>
      </c>
      <c r="AY53" s="204">
        <v>8</v>
      </c>
      <c r="AZ53" s="202" t="str">
        <f>$B$17</f>
        <v>PAWENANG</v>
      </c>
      <c r="BA53" s="205"/>
      <c r="BB53" s="205"/>
      <c r="BC53" s="205"/>
      <c r="BD53" s="205"/>
      <c r="BE53" s="205"/>
      <c r="BF53" s="205"/>
      <c r="BG53" s="205"/>
      <c r="BH53" s="205"/>
      <c r="BI53" s="1432"/>
      <c r="BJ53" s="1432"/>
      <c r="BK53" s="205"/>
      <c r="BL53" s="205"/>
      <c r="BM53" s="205"/>
      <c r="BN53" s="205"/>
      <c r="BO53" s="205"/>
      <c r="BP53" s="205"/>
      <c r="BQ53" s="177">
        <f t="shared" si="51"/>
        <v>0</v>
      </c>
      <c r="BR53" s="177">
        <f t="shared" si="52"/>
        <v>0</v>
      </c>
      <c r="BS53" s="178">
        <f t="shared" si="53"/>
        <v>0</v>
      </c>
      <c r="BT53" s="176">
        <f t="shared" si="54"/>
        <v>0</v>
      </c>
      <c r="BU53" s="176">
        <f t="shared" si="55"/>
        <v>0</v>
      </c>
      <c r="BV53" s="176">
        <f t="shared" si="56"/>
        <v>0</v>
      </c>
      <c r="BX53" s="204">
        <v>8</v>
      </c>
      <c r="BY53" s="202" t="str">
        <f>$B$17</f>
        <v>PAWENANG</v>
      </c>
      <c r="BZ53" s="205">
        <v>153429100</v>
      </c>
      <c r="CA53" s="205">
        <v>153429100</v>
      </c>
      <c r="CB53" s="205"/>
      <c r="CC53" s="205"/>
      <c r="CD53" s="205"/>
      <c r="CE53" s="205"/>
      <c r="CF53" s="205"/>
      <c r="CG53" s="205"/>
      <c r="CH53" s="1432"/>
      <c r="CI53" s="1432"/>
      <c r="CJ53" s="205">
        <v>27500000</v>
      </c>
      <c r="CK53" s="205">
        <v>27500000</v>
      </c>
      <c r="CL53" s="205">
        <v>5713800</v>
      </c>
      <c r="CM53" s="205">
        <v>5713800</v>
      </c>
      <c r="CN53" s="205">
        <v>3809500</v>
      </c>
      <c r="CO53" s="205">
        <v>3809500</v>
      </c>
      <c r="CP53" s="177">
        <f t="shared" si="57"/>
        <v>190452400</v>
      </c>
      <c r="CQ53" s="177">
        <f t="shared" si="58"/>
        <v>190452400</v>
      </c>
      <c r="CR53" s="178">
        <f t="shared" si="59"/>
        <v>1</v>
      </c>
      <c r="CS53" s="176">
        <f t="shared" si="60"/>
        <v>0</v>
      </c>
      <c r="CT53" s="176">
        <f t="shared" si="61"/>
        <v>0</v>
      </c>
      <c r="CU53" s="176">
        <f t="shared" si="62"/>
        <v>0</v>
      </c>
      <c r="CW53">
        <v>8</v>
      </c>
      <c r="CX53" t="s">
        <v>1840</v>
      </c>
      <c r="CY53">
        <v>0</v>
      </c>
      <c r="CZ53" s="205">
        <v>0</v>
      </c>
      <c r="DA53" s="205"/>
      <c r="DB53" s="205"/>
      <c r="DC53" s="205"/>
      <c r="DD53" s="205"/>
      <c r="DE53" s="205"/>
      <c r="DF53" s="205"/>
      <c r="DG53" s="1432"/>
      <c r="DH53" s="1432"/>
      <c r="DI53" s="205">
        <v>12500000</v>
      </c>
      <c r="DJ53" s="205">
        <v>12500000</v>
      </c>
      <c r="DK53" s="205">
        <v>394700</v>
      </c>
      <c r="DL53" s="205">
        <v>394700</v>
      </c>
      <c r="DM53" s="205">
        <v>263200</v>
      </c>
      <c r="DN53" s="205">
        <v>263200</v>
      </c>
      <c r="DO53" s="177">
        <f t="shared" si="63"/>
        <v>13157900</v>
      </c>
      <c r="DP53" s="177">
        <f t="shared" si="64"/>
        <v>13157900</v>
      </c>
      <c r="DQ53" s="178">
        <f t="shared" si="65"/>
        <v>1</v>
      </c>
      <c r="DR53" s="176">
        <f t="shared" si="66"/>
        <v>0</v>
      </c>
      <c r="DS53" s="176">
        <f t="shared" si="67"/>
        <v>0</v>
      </c>
      <c r="DT53" s="176">
        <f t="shared" si="68"/>
        <v>0</v>
      </c>
      <c r="DV53" s="1387"/>
      <c r="DW53" s="1387"/>
      <c r="DX53" s="1393"/>
      <c r="DY53" s="1393"/>
      <c r="DZ53" s="1393"/>
      <c r="EA53" s="1393"/>
      <c r="EB53" s="1393"/>
      <c r="EC53" s="1393"/>
      <c r="ED53" s="1393"/>
      <c r="EE53" s="1393"/>
      <c r="EF53" s="1393"/>
      <c r="EG53" s="1393"/>
      <c r="EH53" s="1393"/>
      <c r="EI53" s="1393"/>
      <c r="EJ53" s="1393"/>
      <c r="EK53" s="1393"/>
      <c r="EL53" s="1393"/>
      <c r="EM53" s="1393"/>
      <c r="EN53" s="1379"/>
      <c r="EO53" s="1379"/>
      <c r="EP53" s="1380"/>
      <c r="EQ53" s="1381"/>
      <c r="ER53" s="1381"/>
      <c r="ES53" s="1381"/>
    </row>
    <row r="54" spans="1:149" s="168" customFormat="1" ht="42" customHeight="1">
      <c r="A54" s="204">
        <v>9</v>
      </c>
      <c r="B54" s="202" t="str">
        <f>$B$18</f>
        <v>CISARUA</v>
      </c>
      <c r="C54" s="205">
        <v>135965000</v>
      </c>
      <c r="D54" s="205">
        <v>135965000</v>
      </c>
      <c r="E54" s="205"/>
      <c r="F54" s="205"/>
      <c r="G54" s="205"/>
      <c r="H54" s="205"/>
      <c r="I54" s="205"/>
      <c r="J54" s="205"/>
      <c r="K54" s="1432"/>
      <c r="L54" s="1432"/>
      <c r="M54" s="206">
        <v>7000000</v>
      </c>
      <c r="N54" s="206">
        <v>7000000</v>
      </c>
      <c r="O54" s="205">
        <v>4514600</v>
      </c>
      <c r="P54" s="205">
        <v>4514600</v>
      </c>
      <c r="Q54" s="205">
        <v>3009800</v>
      </c>
      <c r="R54" s="205">
        <v>3009800</v>
      </c>
      <c r="S54" s="177">
        <f t="shared" si="39"/>
        <v>150489400</v>
      </c>
      <c r="T54" s="177">
        <f t="shared" si="40"/>
        <v>150489400</v>
      </c>
      <c r="U54" s="178">
        <f t="shared" si="41"/>
        <v>1</v>
      </c>
      <c r="V54" s="176">
        <f t="shared" si="42"/>
        <v>0</v>
      </c>
      <c r="W54" s="176">
        <f t="shared" si="43"/>
        <v>0</v>
      </c>
      <c r="X54" s="176">
        <f t="shared" si="44"/>
        <v>0</v>
      </c>
      <c r="Z54" s="204">
        <v>9</v>
      </c>
      <c r="AA54" s="202" t="str">
        <f>$B$18</f>
        <v>CISARUA</v>
      </c>
      <c r="AB54" s="205">
        <v>119790600</v>
      </c>
      <c r="AC54" s="205">
        <v>119790600</v>
      </c>
      <c r="AD54" s="205"/>
      <c r="AE54" s="205"/>
      <c r="AF54" s="205"/>
      <c r="AG54" s="205"/>
      <c r="AH54" s="205"/>
      <c r="AI54" s="205"/>
      <c r="AJ54" s="1432"/>
      <c r="AK54" s="1432"/>
      <c r="AL54" s="206">
        <v>66000000</v>
      </c>
      <c r="AM54" s="206">
        <v>66000000</v>
      </c>
      <c r="AN54" s="205">
        <v>5866900</v>
      </c>
      <c r="AO54" s="205">
        <v>5866900</v>
      </c>
      <c r="AP54" s="205">
        <v>3911300</v>
      </c>
      <c r="AQ54" s="205">
        <v>3911300</v>
      </c>
      <c r="AR54" s="177">
        <f t="shared" si="45"/>
        <v>195568800</v>
      </c>
      <c r="AS54" s="177">
        <f t="shared" si="46"/>
        <v>195568800</v>
      </c>
      <c r="AT54" s="178">
        <f t="shared" si="47"/>
        <v>1</v>
      </c>
      <c r="AU54" s="176">
        <f t="shared" si="48"/>
        <v>0</v>
      </c>
      <c r="AV54" s="176">
        <f t="shared" si="49"/>
        <v>0</v>
      </c>
      <c r="AW54" s="176">
        <f t="shared" si="50"/>
        <v>0</v>
      </c>
      <c r="AY54" s="204">
        <v>9</v>
      </c>
      <c r="AZ54" s="202" t="str">
        <f>$B$18</f>
        <v>CISARUA</v>
      </c>
      <c r="BA54" s="205"/>
      <c r="BB54" s="205"/>
      <c r="BC54" s="205"/>
      <c r="BD54" s="205"/>
      <c r="BE54" s="205"/>
      <c r="BF54" s="205"/>
      <c r="BG54" s="205"/>
      <c r="BH54" s="205"/>
      <c r="BI54" s="1432"/>
      <c r="BJ54" s="1432"/>
      <c r="BK54" s="206"/>
      <c r="BL54" s="206"/>
      <c r="BM54" s="205"/>
      <c r="BN54" s="205"/>
      <c r="BO54" s="205"/>
      <c r="BP54" s="205"/>
      <c r="BQ54" s="177">
        <f t="shared" si="51"/>
        <v>0</v>
      </c>
      <c r="BR54" s="177">
        <f t="shared" si="52"/>
        <v>0</v>
      </c>
      <c r="BS54" s="178">
        <f t="shared" si="53"/>
        <v>0</v>
      </c>
      <c r="BT54" s="176">
        <f t="shared" si="54"/>
        <v>0</v>
      </c>
      <c r="BU54" s="176">
        <f t="shared" si="55"/>
        <v>0</v>
      </c>
      <c r="BV54" s="176">
        <f t="shared" si="56"/>
        <v>0</v>
      </c>
      <c r="BX54" s="204">
        <v>9</v>
      </c>
      <c r="BY54" s="202" t="str">
        <f>$B$18</f>
        <v>CISARUA</v>
      </c>
      <c r="BZ54" s="205">
        <v>207527500</v>
      </c>
      <c r="CA54" s="205">
        <v>207527500</v>
      </c>
      <c r="CB54" s="205"/>
      <c r="CC54" s="205"/>
      <c r="CD54" s="205"/>
      <c r="CE54" s="205"/>
      <c r="CF54" s="205"/>
      <c r="CG54" s="205"/>
      <c r="CH54" s="1432"/>
      <c r="CI54" s="1432"/>
      <c r="CJ54" s="206">
        <v>24000000</v>
      </c>
      <c r="CK54" s="206">
        <v>24000000</v>
      </c>
      <c r="CL54" s="205">
        <v>7311500</v>
      </c>
      <c r="CM54" s="205">
        <v>7311500</v>
      </c>
      <c r="CN54" s="205">
        <v>4874200</v>
      </c>
      <c r="CO54" s="205">
        <v>4874200</v>
      </c>
      <c r="CP54" s="177">
        <f t="shared" si="57"/>
        <v>243713200</v>
      </c>
      <c r="CQ54" s="177">
        <f t="shared" si="58"/>
        <v>243713200</v>
      </c>
      <c r="CR54" s="178">
        <f t="shared" si="59"/>
        <v>1</v>
      </c>
      <c r="CS54" s="176">
        <f t="shared" si="60"/>
        <v>0</v>
      </c>
      <c r="CT54" s="176">
        <f t="shared" si="61"/>
        <v>0</v>
      </c>
      <c r="CU54" s="176">
        <f t="shared" si="62"/>
        <v>0</v>
      </c>
      <c r="CW54">
        <v>9</v>
      </c>
      <c r="CX54" t="s">
        <v>1842</v>
      </c>
      <c r="CY54">
        <v>190000000</v>
      </c>
      <c r="CZ54" s="205">
        <v>190000000</v>
      </c>
      <c r="DA54" s="205"/>
      <c r="DB54" s="205"/>
      <c r="DC54" s="205"/>
      <c r="DD54" s="205"/>
      <c r="DE54" s="205"/>
      <c r="DF54" s="205"/>
      <c r="DG54" s="1432"/>
      <c r="DH54" s="1432"/>
      <c r="DI54" s="206">
        <v>18000000</v>
      </c>
      <c r="DJ54" s="206">
        <v>18000000</v>
      </c>
      <c r="DK54" s="205">
        <v>6568600</v>
      </c>
      <c r="DL54" s="205">
        <v>6568600</v>
      </c>
      <c r="DM54" s="205">
        <v>4378900</v>
      </c>
      <c r="DN54" s="205">
        <v>4378900</v>
      </c>
      <c r="DO54" s="177">
        <f t="shared" si="63"/>
        <v>218947500</v>
      </c>
      <c r="DP54" s="177">
        <f t="shared" si="64"/>
        <v>218947500</v>
      </c>
      <c r="DQ54" s="178">
        <f t="shared" si="65"/>
        <v>1</v>
      </c>
      <c r="DR54" s="176">
        <f t="shared" si="66"/>
        <v>0</v>
      </c>
      <c r="DS54" s="176">
        <f t="shared" si="67"/>
        <v>0</v>
      </c>
      <c r="DT54" s="176">
        <f t="shared" si="68"/>
        <v>0</v>
      </c>
      <c r="DV54" s="1387"/>
      <c r="DW54" s="1387"/>
      <c r="DX54" s="1393"/>
      <c r="DY54" s="1393"/>
      <c r="DZ54" s="1393"/>
      <c r="EA54" s="1393"/>
      <c r="EB54" s="1393"/>
      <c r="EC54" s="1393"/>
      <c r="ED54" s="1393"/>
      <c r="EE54" s="1393"/>
      <c r="EF54" s="1393"/>
      <c r="EG54" s="1393"/>
      <c r="EH54" s="1393"/>
      <c r="EI54" s="1393"/>
      <c r="EJ54" s="1393"/>
      <c r="EK54" s="1393"/>
      <c r="EL54" s="1393"/>
      <c r="EM54" s="1393"/>
      <c r="EN54" s="1379"/>
      <c r="EO54" s="1379"/>
      <c r="EP54" s="1380"/>
      <c r="EQ54" s="1381"/>
      <c r="ER54" s="1381"/>
      <c r="ES54" s="1381"/>
    </row>
    <row r="55" spans="1:149" s="168" customFormat="1" ht="42" customHeight="1">
      <c r="A55" s="204">
        <v>10</v>
      </c>
      <c r="B55" s="202" t="str">
        <f>$B$19</f>
        <v>GIRIJAYA</v>
      </c>
      <c r="C55" s="207">
        <v>86740000</v>
      </c>
      <c r="D55" s="207">
        <v>86740000</v>
      </c>
      <c r="E55" s="206"/>
      <c r="F55" s="206"/>
      <c r="G55" s="206"/>
      <c r="H55" s="206"/>
      <c r="I55" s="206"/>
      <c r="J55" s="206"/>
      <c r="K55" s="1433"/>
      <c r="L55" s="1433"/>
      <c r="M55" s="206">
        <v>64500000</v>
      </c>
      <c r="N55" s="206">
        <v>64500000</v>
      </c>
      <c r="O55" s="206">
        <v>4776000</v>
      </c>
      <c r="P55" s="206">
        <v>4776000</v>
      </c>
      <c r="Q55" s="206">
        <v>3184000</v>
      </c>
      <c r="R55" s="206">
        <v>3184000</v>
      </c>
      <c r="S55" s="177">
        <f t="shared" si="39"/>
        <v>159200000</v>
      </c>
      <c r="T55" s="177">
        <f t="shared" si="40"/>
        <v>159200000</v>
      </c>
      <c r="U55" s="178">
        <f t="shared" si="41"/>
        <v>1</v>
      </c>
      <c r="V55" s="176">
        <f t="shared" si="42"/>
        <v>0</v>
      </c>
      <c r="W55" s="176">
        <f t="shared" si="43"/>
        <v>0</v>
      </c>
      <c r="X55" s="176">
        <f t="shared" si="44"/>
        <v>0</v>
      </c>
      <c r="Z55" s="204">
        <v>10</v>
      </c>
      <c r="AA55" s="202" t="str">
        <f>$B$19</f>
        <v>GIRIJAYA</v>
      </c>
      <c r="AB55" s="207">
        <v>122179000</v>
      </c>
      <c r="AC55" s="207">
        <v>122179000</v>
      </c>
      <c r="AD55" s="206"/>
      <c r="AE55" s="206"/>
      <c r="AF55" s="206"/>
      <c r="AG55" s="206"/>
      <c r="AH55" s="206"/>
      <c r="AI55" s="206"/>
      <c r="AJ55" s="1433"/>
      <c r="AK55" s="1433"/>
      <c r="AL55" s="206">
        <v>32500000</v>
      </c>
      <c r="AM55" s="206">
        <v>32500000</v>
      </c>
      <c r="AN55" s="206">
        <v>4884900</v>
      </c>
      <c r="AO55" s="206">
        <v>4884900</v>
      </c>
      <c r="AP55" s="206">
        <v>3256500</v>
      </c>
      <c r="AQ55" s="206">
        <v>3256500</v>
      </c>
      <c r="AR55" s="177">
        <f t="shared" si="45"/>
        <v>162820400</v>
      </c>
      <c r="AS55" s="177">
        <f t="shared" si="46"/>
        <v>162820400</v>
      </c>
      <c r="AT55" s="178">
        <f t="shared" si="47"/>
        <v>1</v>
      </c>
      <c r="AU55" s="176">
        <f t="shared" si="48"/>
        <v>0</v>
      </c>
      <c r="AV55" s="176">
        <f t="shared" si="49"/>
        <v>0</v>
      </c>
      <c r="AW55" s="176">
        <f t="shared" si="50"/>
        <v>0</v>
      </c>
      <c r="AY55" s="204">
        <v>10</v>
      </c>
      <c r="AZ55" s="202" t="str">
        <f>$B$19</f>
        <v>GIRIJAYA</v>
      </c>
      <c r="BA55" s="207"/>
      <c r="BB55" s="207"/>
      <c r="BC55" s="206"/>
      <c r="BD55" s="206"/>
      <c r="BE55" s="206"/>
      <c r="BF55" s="206"/>
      <c r="BG55" s="206"/>
      <c r="BH55" s="206"/>
      <c r="BI55" s="1433"/>
      <c r="BJ55" s="1433"/>
      <c r="BK55" s="206"/>
      <c r="BL55" s="206"/>
      <c r="BM55" s="206"/>
      <c r="BN55" s="206"/>
      <c r="BO55" s="206"/>
      <c r="BP55" s="206"/>
      <c r="BQ55" s="177">
        <f t="shared" si="51"/>
        <v>0</v>
      </c>
      <c r="BR55" s="177">
        <f t="shared" si="52"/>
        <v>0</v>
      </c>
      <c r="BS55" s="178">
        <f t="shared" si="53"/>
        <v>0</v>
      </c>
      <c r="BT55" s="176">
        <f t="shared" si="54"/>
        <v>0</v>
      </c>
      <c r="BU55" s="176">
        <f t="shared" si="55"/>
        <v>0</v>
      </c>
      <c r="BV55" s="176">
        <f t="shared" si="56"/>
        <v>0</v>
      </c>
      <c r="BX55" s="204">
        <v>10</v>
      </c>
      <c r="BY55" s="202" t="str">
        <f>$B$19</f>
        <v>GIRIJAYA</v>
      </c>
      <c r="BZ55" s="207">
        <v>0</v>
      </c>
      <c r="CA55" s="207">
        <v>0</v>
      </c>
      <c r="CB55" s="206"/>
      <c r="CC55" s="206"/>
      <c r="CD55" s="206"/>
      <c r="CE55" s="206"/>
      <c r="CF55" s="206"/>
      <c r="CG55" s="206"/>
      <c r="CH55" s="1433"/>
      <c r="CI55" s="1433"/>
      <c r="CJ55" s="206">
        <v>21000000</v>
      </c>
      <c r="CK55" s="206">
        <v>21000000</v>
      </c>
      <c r="CL55" s="206">
        <v>663300</v>
      </c>
      <c r="CM55" s="206">
        <v>663200</v>
      </c>
      <c r="CN55" s="206">
        <v>442100</v>
      </c>
      <c r="CO55" s="206">
        <v>442000</v>
      </c>
      <c r="CP55" s="177">
        <f t="shared" si="57"/>
        <v>22105400</v>
      </c>
      <c r="CQ55" s="177">
        <f t="shared" si="58"/>
        <v>22105200</v>
      </c>
      <c r="CR55" s="178">
        <f t="shared" si="59"/>
        <v>0.99999095243696112</v>
      </c>
      <c r="CS55" s="176">
        <f t="shared" si="60"/>
        <v>200</v>
      </c>
      <c r="CT55" s="176">
        <f t="shared" si="61"/>
        <v>100</v>
      </c>
      <c r="CU55" s="176">
        <f t="shared" si="62"/>
        <v>100</v>
      </c>
      <c r="CW55">
        <v>10</v>
      </c>
      <c r="CX55" t="s">
        <v>1852</v>
      </c>
      <c r="CY55"/>
      <c r="CZ55" s="205"/>
      <c r="DA55" s="205"/>
      <c r="DB55" s="205"/>
      <c r="DC55" s="206"/>
      <c r="DD55" s="206"/>
      <c r="DE55" s="206"/>
      <c r="DF55" s="206"/>
      <c r="DG55" s="1433"/>
      <c r="DH55" s="1433"/>
      <c r="DI55" s="206"/>
      <c r="DJ55" s="206"/>
      <c r="DK55" s="206"/>
      <c r="DL55" s="206"/>
      <c r="DM55" s="206"/>
      <c r="DN55" s="206"/>
      <c r="DO55" s="177">
        <f t="shared" si="63"/>
        <v>0</v>
      </c>
      <c r="DP55" s="177">
        <f t="shared" si="64"/>
        <v>0</v>
      </c>
      <c r="DQ55" s="178">
        <f t="shared" si="65"/>
        <v>0</v>
      </c>
      <c r="DR55" s="176">
        <f t="shared" si="66"/>
        <v>0</v>
      </c>
      <c r="DS55" s="176">
        <f t="shared" si="67"/>
        <v>0</v>
      </c>
      <c r="DT55" s="176">
        <f t="shared" si="68"/>
        <v>0</v>
      </c>
      <c r="DV55" s="1387"/>
      <c r="DW55" s="1387"/>
      <c r="DX55" s="1393"/>
      <c r="DY55" s="1393"/>
      <c r="DZ55" s="1393"/>
      <c r="EA55" s="1393"/>
      <c r="EB55" s="1393"/>
      <c r="EC55" s="1393"/>
      <c r="ED55" s="1393"/>
      <c r="EE55" s="1393"/>
      <c r="EF55" s="1393"/>
      <c r="EG55" s="1393"/>
      <c r="EH55" s="1393"/>
      <c r="EI55" s="1393"/>
      <c r="EJ55" s="1393"/>
      <c r="EK55" s="1393"/>
      <c r="EL55" s="1393"/>
      <c r="EM55" s="1393"/>
      <c r="EN55" s="1379"/>
      <c r="EO55" s="1379"/>
      <c r="EP55" s="1380"/>
      <c r="EQ55" s="1381"/>
      <c r="ER55" s="1381"/>
      <c r="ES55" s="1381"/>
    </row>
    <row r="56" spans="1:149" s="168" customFormat="1" ht="42" customHeight="1">
      <c r="A56" s="204">
        <v>11</v>
      </c>
      <c r="B56" s="202" t="s">
        <v>1893</v>
      </c>
      <c r="C56" s="207">
        <v>203185000</v>
      </c>
      <c r="D56" s="207">
        <v>203185000</v>
      </c>
      <c r="E56" s="206"/>
      <c r="F56" s="206"/>
      <c r="G56" s="206"/>
      <c r="H56" s="206"/>
      <c r="I56" s="206"/>
      <c r="J56" s="206"/>
      <c r="K56" s="1433"/>
      <c r="L56" s="1433"/>
      <c r="M56" s="206"/>
      <c r="N56" s="206"/>
      <c r="O56" s="206">
        <v>6416300</v>
      </c>
      <c r="P56" s="206">
        <v>6416300</v>
      </c>
      <c r="Q56" s="206">
        <v>4277500</v>
      </c>
      <c r="R56" s="206">
        <v>4277500</v>
      </c>
      <c r="S56" s="177">
        <f t="shared" si="39"/>
        <v>213878800</v>
      </c>
      <c r="T56" s="177">
        <f t="shared" si="40"/>
        <v>213878800</v>
      </c>
      <c r="U56" s="178">
        <f t="shared" si="41"/>
        <v>1</v>
      </c>
      <c r="V56" s="176">
        <f t="shared" si="42"/>
        <v>0</v>
      </c>
      <c r="W56" s="176">
        <f t="shared" si="43"/>
        <v>0</v>
      </c>
      <c r="X56" s="176">
        <f t="shared" si="44"/>
        <v>0</v>
      </c>
      <c r="Z56" s="204">
        <v>11</v>
      </c>
      <c r="AA56" s="202">
        <f>$B$20</f>
        <v>0</v>
      </c>
      <c r="AB56" s="207"/>
      <c r="AC56" s="207"/>
      <c r="AD56" s="206"/>
      <c r="AE56" s="206"/>
      <c r="AF56" s="206"/>
      <c r="AG56" s="206"/>
      <c r="AH56" s="206"/>
      <c r="AI56" s="206"/>
      <c r="AJ56" s="1433"/>
      <c r="AK56" s="1433"/>
      <c r="AL56" s="206"/>
      <c r="AM56" s="206"/>
      <c r="AN56" s="206"/>
      <c r="AO56" s="206"/>
      <c r="AP56" s="206"/>
      <c r="AQ56" s="206"/>
      <c r="AR56" s="177">
        <f t="shared" si="45"/>
        <v>0</v>
      </c>
      <c r="AS56" s="177">
        <f t="shared" si="46"/>
        <v>0</v>
      </c>
      <c r="AT56" s="178">
        <f t="shared" si="47"/>
        <v>0</v>
      </c>
      <c r="AU56" s="176">
        <f t="shared" si="48"/>
        <v>0</v>
      </c>
      <c r="AV56" s="176">
        <f t="shared" si="49"/>
        <v>0</v>
      </c>
      <c r="AW56" s="176">
        <f t="shared" si="50"/>
        <v>0</v>
      </c>
      <c r="AY56" s="204">
        <v>11</v>
      </c>
      <c r="AZ56" s="202">
        <f>$B$20</f>
        <v>0</v>
      </c>
      <c r="BA56" s="207"/>
      <c r="BB56" s="207"/>
      <c r="BC56" s="206"/>
      <c r="BD56" s="206"/>
      <c r="BE56" s="206"/>
      <c r="BF56" s="206"/>
      <c r="BG56" s="206"/>
      <c r="BH56" s="206"/>
      <c r="BI56" s="1433"/>
      <c r="BJ56" s="1433"/>
      <c r="BK56" s="206"/>
      <c r="BL56" s="206"/>
      <c r="BM56" s="206"/>
      <c r="BN56" s="206"/>
      <c r="BO56" s="206"/>
      <c r="BP56" s="206"/>
      <c r="BQ56" s="177">
        <f t="shared" si="51"/>
        <v>0</v>
      </c>
      <c r="BR56" s="177">
        <f t="shared" si="52"/>
        <v>0</v>
      </c>
      <c r="BS56" s="178">
        <f t="shared" si="53"/>
        <v>0</v>
      </c>
      <c r="BT56" s="176">
        <f t="shared" si="54"/>
        <v>0</v>
      </c>
      <c r="BU56" s="176">
        <f t="shared" si="55"/>
        <v>0</v>
      </c>
      <c r="BV56" s="176">
        <f t="shared" si="56"/>
        <v>0</v>
      </c>
      <c r="BX56" s="204">
        <v>11</v>
      </c>
      <c r="BY56" s="202">
        <f>$B$20</f>
        <v>0</v>
      </c>
      <c r="BZ56" s="207"/>
      <c r="CA56" s="207"/>
      <c r="CB56" s="206"/>
      <c r="CC56" s="206"/>
      <c r="CD56" s="206"/>
      <c r="CE56" s="206"/>
      <c r="CF56" s="206"/>
      <c r="CG56" s="206"/>
      <c r="CH56" s="1433"/>
      <c r="CI56" s="1433"/>
      <c r="CJ56" s="206"/>
      <c r="CK56" s="206"/>
      <c r="CL56" s="206"/>
      <c r="CM56" s="206"/>
      <c r="CN56" s="206"/>
      <c r="CO56" s="206"/>
      <c r="CP56" s="177">
        <f t="shared" si="57"/>
        <v>0</v>
      </c>
      <c r="CQ56" s="177">
        <f t="shared" si="58"/>
        <v>0</v>
      </c>
      <c r="CR56" s="178">
        <f t="shared" si="59"/>
        <v>0</v>
      </c>
      <c r="CS56" s="176">
        <f t="shared" si="60"/>
        <v>0</v>
      </c>
      <c r="CT56" s="176">
        <f t="shared" si="61"/>
        <v>0</v>
      </c>
      <c r="CU56" s="176">
        <f t="shared" si="62"/>
        <v>0</v>
      </c>
      <c r="CW56" s="201">
        <v>11</v>
      </c>
      <c r="CX56" s="202">
        <f>$B$20</f>
        <v>0</v>
      </c>
      <c r="CY56"/>
      <c r="CZ56"/>
      <c r="DA56"/>
      <c r="DB56"/>
      <c r="DC56" s="206"/>
      <c r="DD56" s="206"/>
      <c r="DE56" s="206"/>
      <c r="DF56" s="206"/>
      <c r="DG56" s="1433"/>
      <c r="DH56" s="1433"/>
      <c r="DI56" s="206"/>
      <c r="DJ56" s="206"/>
      <c r="DK56" s="206"/>
      <c r="DL56" s="206"/>
      <c r="DM56" s="206"/>
      <c r="DN56" s="206"/>
      <c r="DO56" s="177">
        <f t="shared" si="63"/>
        <v>0</v>
      </c>
      <c r="DP56" s="177">
        <f t="shared" si="64"/>
        <v>0</v>
      </c>
      <c r="DQ56" s="178">
        <f t="shared" si="65"/>
        <v>0</v>
      </c>
      <c r="DR56" s="176">
        <f t="shared" si="66"/>
        <v>0</v>
      </c>
      <c r="DS56" s="176">
        <f t="shared" si="67"/>
        <v>0</v>
      </c>
      <c r="DT56" s="176">
        <f t="shared" si="68"/>
        <v>0</v>
      </c>
      <c r="DV56" s="1387"/>
      <c r="DW56" s="1387"/>
      <c r="DX56" s="1393"/>
      <c r="DY56" s="1393"/>
      <c r="DZ56" s="1393"/>
      <c r="EA56" s="1393"/>
      <c r="EB56" s="1393"/>
      <c r="EC56" s="1393"/>
      <c r="ED56" s="1393"/>
      <c r="EE56" s="1393"/>
      <c r="EF56" s="1393"/>
      <c r="EG56" s="1393"/>
      <c r="EH56" s="1393"/>
      <c r="EI56" s="1393"/>
      <c r="EJ56" s="1393"/>
      <c r="EK56" s="1393"/>
      <c r="EL56" s="1393"/>
      <c r="EM56" s="1393"/>
      <c r="EN56" s="1379"/>
      <c r="EO56" s="1379"/>
      <c r="EP56" s="1380"/>
      <c r="EQ56" s="1381"/>
      <c r="ER56" s="1381"/>
      <c r="ES56" s="1381"/>
    </row>
    <row r="57" spans="1:149" s="168" customFormat="1" ht="42" customHeight="1">
      <c r="A57" s="204">
        <v>12</v>
      </c>
      <c r="B57" s="202" t="s">
        <v>1894</v>
      </c>
      <c r="C57" s="207">
        <v>209800000</v>
      </c>
      <c r="D57" s="207">
        <v>209800000</v>
      </c>
      <c r="E57" s="206"/>
      <c r="F57" s="206"/>
      <c r="G57" s="206"/>
      <c r="H57" s="206"/>
      <c r="I57" s="206"/>
      <c r="J57" s="206"/>
      <c r="K57" s="1433"/>
      <c r="L57" s="1433"/>
      <c r="M57" s="206"/>
      <c r="N57" s="206"/>
      <c r="O57" s="206">
        <v>6625300</v>
      </c>
      <c r="P57" s="206">
        <v>6625300</v>
      </c>
      <c r="Q57" s="206">
        <v>4416900</v>
      </c>
      <c r="R57" s="206">
        <v>4416900</v>
      </c>
      <c r="S57" s="177">
        <f t="shared" si="39"/>
        <v>220842200</v>
      </c>
      <c r="T57" s="177">
        <f t="shared" si="40"/>
        <v>220842200</v>
      </c>
      <c r="U57" s="178">
        <f t="shared" si="41"/>
        <v>1</v>
      </c>
      <c r="V57" s="176">
        <f t="shared" si="42"/>
        <v>0</v>
      </c>
      <c r="W57" s="176">
        <f t="shared" si="43"/>
        <v>0</v>
      </c>
      <c r="X57" s="176">
        <f t="shared" si="44"/>
        <v>0</v>
      </c>
      <c r="Z57" s="204">
        <v>12</v>
      </c>
      <c r="AA57" s="202">
        <f>$B$21</f>
        <v>0</v>
      </c>
      <c r="AB57" s="207"/>
      <c r="AC57" s="207"/>
      <c r="AD57" s="206"/>
      <c r="AE57" s="206"/>
      <c r="AF57" s="206"/>
      <c r="AG57" s="206"/>
      <c r="AH57" s="206"/>
      <c r="AI57" s="206"/>
      <c r="AJ57" s="1433"/>
      <c r="AK57" s="1433"/>
      <c r="AL57" s="206"/>
      <c r="AM57" s="206"/>
      <c r="AN57" s="206"/>
      <c r="AO57" s="206"/>
      <c r="AP57" s="206"/>
      <c r="AQ57" s="206"/>
      <c r="AR57" s="177">
        <f t="shared" si="45"/>
        <v>0</v>
      </c>
      <c r="AS57" s="177">
        <f t="shared" si="46"/>
        <v>0</v>
      </c>
      <c r="AT57" s="178">
        <f t="shared" si="47"/>
        <v>0</v>
      </c>
      <c r="AU57" s="176">
        <f t="shared" si="48"/>
        <v>0</v>
      </c>
      <c r="AV57" s="176">
        <f t="shared" si="49"/>
        <v>0</v>
      </c>
      <c r="AW57" s="176">
        <f t="shared" si="50"/>
        <v>0</v>
      </c>
      <c r="AY57" s="204">
        <v>12</v>
      </c>
      <c r="AZ57" s="202">
        <f>$B$21</f>
        <v>0</v>
      </c>
      <c r="BA57" s="207"/>
      <c r="BB57" s="207"/>
      <c r="BC57" s="206"/>
      <c r="BD57" s="206"/>
      <c r="BE57" s="206"/>
      <c r="BF57" s="206"/>
      <c r="BG57" s="206"/>
      <c r="BH57" s="206"/>
      <c r="BI57" s="1433"/>
      <c r="BJ57" s="1433"/>
      <c r="BK57" s="206"/>
      <c r="BL57" s="206"/>
      <c r="BM57" s="206"/>
      <c r="BN57" s="206"/>
      <c r="BO57" s="206"/>
      <c r="BP57" s="206"/>
      <c r="BQ57" s="177">
        <f t="shared" si="51"/>
        <v>0</v>
      </c>
      <c r="BR57" s="177">
        <f t="shared" si="52"/>
        <v>0</v>
      </c>
      <c r="BS57" s="178">
        <f t="shared" si="53"/>
        <v>0</v>
      </c>
      <c r="BT57" s="176">
        <f t="shared" si="54"/>
        <v>0</v>
      </c>
      <c r="BU57" s="176">
        <f t="shared" si="55"/>
        <v>0</v>
      </c>
      <c r="BV57" s="176">
        <f t="shared" si="56"/>
        <v>0</v>
      </c>
      <c r="BX57" s="204">
        <v>12</v>
      </c>
      <c r="BY57" s="202">
        <f>$B$21</f>
        <v>0</v>
      </c>
      <c r="BZ57" s="207"/>
      <c r="CA57" s="207"/>
      <c r="CB57" s="206"/>
      <c r="CC57" s="206"/>
      <c r="CD57" s="206"/>
      <c r="CE57" s="206"/>
      <c r="CF57" s="206"/>
      <c r="CG57" s="206"/>
      <c r="CH57" s="1433"/>
      <c r="CI57" s="1433"/>
      <c r="CJ57" s="206"/>
      <c r="CK57" s="206"/>
      <c r="CL57" s="206"/>
      <c r="CM57" s="206"/>
      <c r="CN57" s="206"/>
      <c r="CO57" s="206"/>
      <c r="CP57" s="177">
        <f t="shared" si="57"/>
        <v>0</v>
      </c>
      <c r="CQ57" s="177">
        <f t="shared" si="58"/>
        <v>0</v>
      </c>
      <c r="CR57" s="178">
        <f t="shared" si="59"/>
        <v>0</v>
      </c>
      <c r="CS57" s="176">
        <f t="shared" si="60"/>
        <v>0</v>
      </c>
      <c r="CT57" s="176">
        <f t="shared" si="61"/>
        <v>0</v>
      </c>
      <c r="CU57" s="176">
        <f t="shared" si="62"/>
        <v>0</v>
      </c>
      <c r="CW57" s="204">
        <v>12</v>
      </c>
      <c r="CX57" s="202">
        <f>$B$21</f>
        <v>0</v>
      </c>
      <c r="CY57" s="207"/>
      <c r="CZ57" s="207"/>
      <c r="DA57" s="206"/>
      <c r="DB57" s="206"/>
      <c r="DC57" s="206"/>
      <c r="DD57" s="206"/>
      <c r="DE57" s="206"/>
      <c r="DF57" s="206"/>
      <c r="DG57" s="1433"/>
      <c r="DH57" s="1433"/>
      <c r="DI57" s="206"/>
      <c r="DJ57" s="206"/>
      <c r="DK57" s="206"/>
      <c r="DL57" s="206"/>
      <c r="DM57" s="206"/>
      <c r="DN57" s="206"/>
      <c r="DO57" s="177">
        <f t="shared" si="63"/>
        <v>0</v>
      </c>
      <c r="DP57" s="177">
        <f t="shared" si="64"/>
        <v>0</v>
      </c>
      <c r="DQ57" s="178">
        <f t="shared" si="65"/>
        <v>0</v>
      </c>
      <c r="DR57" s="176">
        <f t="shared" si="66"/>
        <v>0</v>
      </c>
      <c r="DS57" s="176">
        <f t="shared" si="67"/>
        <v>0</v>
      </c>
      <c r="DT57" s="176">
        <f t="shared" si="68"/>
        <v>0</v>
      </c>
      <c r="DV57" s="1387"/>
      <c r="DW57" s="1387"/>
      <c r="DX57" s="1393"/>
      <c r="DY57" s="1393"/>
      <c r="DZ57" s="1393"/>
      <c r="EA57" s="1393"/>
      <c r="EB57" s="1393"/>
      <c r="EC57" s="1393"/>
      <c r="ED57" s="1393"/>
      <c r="EE57" s="1393"/>
      <c r="EF57" s="1393"/>
      <c r="EG57" s="1393"/>
      <c r="EH57" s="1393"/>
      <c r="EI57" s="1393"/>
      <c r="EJ57" s="1393"/>
      <c r="EK57" s="1393"/>
      <c r="EL57" s="1393"/>
      <c r="EM57" s="1393"/>
      <c r="EN57" s="1379"/>
      <c r="EO57" s="1379"/>
      <c r="EP57" s="1380"/>
      <c r="EQ57" s="1381"/>
      <c r="ER57" s="1381"/>
      <c r="ES57" s="1381"/>
    </row>
    <row r="58" spans="1:149" s="168" customFormat="1" ht="42" customHeight="1">
      <c r="A58" s="204">
        <v>13</v>
      </c>
      <c r="B58" s="202">
        <f>$B$22</f>
        <v>0</v>
      </c>
      <c r="C58" s="207"/>
      <c r="D58" s="207"/>
      <c r="E58" s="206"/>
      <c r="F58" s="206"/>
      <c r="G58" s="206"/>
      <c r="H58" s="206"/>
      <c r="I58" s="206"/>
      <c r="J58" s="206"/>
      <c r="K58" s="1433"/>
      <c r="L58" s="1433"/>
      <c r="M58" s="206"/>
      <c r="N58" s="206"/>
      <c r="O58" s="206"/>
      <c r="P58" s="206"/>
      <c r="Q58" s="206"/>
      <c r="R58" s="206"/>
      <c r="S58" s="177">
        <f t="shared" si="39"/>
        <v>0</v>
      </c>
      <c r="T58" s="177">
        <f t="shared" si="40"/>
        <v>0</v>
      </c>
      <c r="U58" s="178">
        <f t="shared" si="41"/>
        <v>0</v>
      </c>
      <c r="V58" s="176">
        <f t="shared" si="42"/>
        <v>0</v>
      </c>
      <c r="W58" s="176">
        <f t="shared" si="43"/>
        <v>0</v>
      </c>
      <c r="X58" s="176">
        <f t="shared" si="44"/>
        <v>0</v>
      </c>
      <c r="Z58" s="204">
        <v>13</v>
      </c>
      <c r="AA58" s="202">
        <f>$B$22</f>
        <v>0</v>
      </c>
      <c r="AB58" s="207"/>
      <c r="AC58" s="207"/>
      <c r="AD58" s="206"/>
      <c r="AE58" s="206"/>
      <c r="AF58" s="206"/>
      <c r="AG58" s="206"/>
      <c r="AH58" s="206"/>
      <c r="AI58" s="206"/>
      <c r="AJ58" s="1433"/>
      <c r="AK58" s="1433"/>
      <c r="AL58" s="206"/>
      <c r="AM58" s="206"/>
      <c r="AN58" s="206"/>
      <c r="AO58" s="206"/>
      <c r="AP58" s="206"/>
      <c r="AQ58" s="206"/>
      <c r="AR58" s="177">
        <f t="shared" si="45"/>
        <v>0</v>
      </c>
      <c r="AS58" s="177">
        <f t="shared" si="46"/>
        <v>0</v>
      </c>
      <c r="AT58" s="178">
        <f t="shared" si="47"/>
        <v>0</v>
      </c>
      <c r="AU58" s="176">
        <f t="shared" si="48"/>
        <v>0</v>
      </c>
      <c r="AV58" s="176">
        <f t="shared" si="49"/>
        <v>0</v>
      </c>
      <c r="AW58" s="176">
        <f t="shared" si="50"/>
        <v>0</v>
      </c>
      <c r="AY58" s="204">
        <v>13</v>
      </c>
      <c r="AZ58" s="202">
        <f>$B$22</f>
        <v>0</v>
      </c>
      <c r="BA58" s="207"/>
      <c r="BB58" s="207"/>
      <c r="BC58" s="206"/>
      <c r="BD58" s="206"/>
      <c r="BE58" s="206"/>
      <c r="BF58" s="206"/>
      <c r="BG58" s="206"/>
      <c r="BH58" s="206"/>
      <c r="BI58" s="1433"/>
      <c r="BJ58" s="1433"/>
      <c r="BK58" s="206"/>
      <c r="BL58" s="206"/>
      <c r="BM58" s="206"/>
      <c r="BN58" s="206"/>
      <c r="BO58" s="206"/>
      <c r="BP58" s="206"/>
      <c r="BQ58" s="177">
        <f t="shared" si="51"/>
        <v>0</v>
      </c>
      <c r="BR58" s="177">
        <f t="shared" si="52"/>
        <v>0</v>
      </c>
      <c r="BS58" s="178">
        <f t="shared" si="53"/>
        <v>0</v>
      </c>
      <c r="BT58" s="176">
        <f t="shared" si="54"/>
        <v>0</v>
      </c>
      <c r="BU58" s="176">
        <f t="shared" si="55"/>
        <v>0</v>
      </c>
      <c r="BV58" s="176">
        <f t="shared" si="56"/>
        <v>0</v>
      </c>
      <c r="BX58" s="204">
        <v>13</v>
      </c>
      <c r="BY58" s="202">
        <f>$B$22</f>
        <v>0</v>
      </c>
      <c r="BZ58" s="207"/>
      <c r="CA58" s="207"/>
      <c r="CB58" s="206"/>
      <c r="CC58" s="206"/>
      <c r="CD58" s="206"/>
      <c r="CE58" s="206"/>
      <c r="CF58" s="206"/>
      <c r="CG58" s="206"/>
      <c r="CH58" s="1433"/>
      <c r="CI58" s="1433"/>
      <c r="CJ58" s="206"/>
      <c r="CK58" s="206"/>
      <c r="CL58" s="206"/>
      <c r="CM58" s="206"/>
      <c r="CN58" s="206"/>
      <c r="CO58" s="206"/>
      <c r="CP58" s="177">
        <f t="shared" si="57"/>
        <v>0</v>
      </c>
      <c r="CQ58" s="177">
        <f t="shared" si="58"/>
        <v>0</v>
      </c>
      <c r="CR58" s="178">
        <f t="shared" si="59"/>
        <v>0</v>
      </c>
      <c r="CS58" s="176">
        <f t="shared" si="60"/>
        <v>0</v>
      </c>
      <c r="CT58" s="176">
        <f t="shared" si="61"/>
        <v>0</v>
      </c>
      <c r="CU58" s="176">
        <f t="shared" si="62"/>
        <v>0</v>
      </c>
      <c r="CW58" s="204">
        <v>13</v>
      </c>
      <c r="CX58" s="202">
        <f>$B$22</f>
        <v>0</v>
      </c>
      <c r="CY58" s="207"/>
      <c r="CZ58" s="207"/>
      <c r="DA58" s="206"/>
      <c r="DB58" s="206"/>
      <c r="DC58" s="206"/>
      <c r="DD58" s="206"/>
      <c r="DE58" s="206"/>
      <c r="DF58" s="206"/>
      <c r="DG58" s="1433"/>
      <c r="DH58" s="1433"/>
      <c r="DI58" s="206"/>
      <c r="DJ58" s="206"/>
      <c r="DK58" s="206"/>
      <c r="DL58" s="206"/>
      <c r="DM58" s="206"/>
      <c r="DN58" s="206"/>
      <c r="DO58" s="177">
        <f t="shared" si="63"/>
        <v>0</v>
      </c>
      <c r="DP58" s="177">
        <f t="shared" si="64"/>
        <v>0</v>
      </c>
      <c r="DQ58" s="178">
        <f t="shared" si="65"/>
        <v>0</v>
      </c>
      <c r="DR58" s="176">
        <f t="shared" si="66"/>
        <v>0</v>
      </c>
      <c r="DS58" s="176">
        <f t="shared" si="67"/>
        <v>0</v>
      </c>
      <c r="DT58" s="176">
        <f t="shared" si="68"/>
        <v>0</v>
      </c>
      <c r="DV58" s="1387"/>
      <c r="DW58" s="1387"/>
      <c r="DX58" s="1393"/>
      <c r="DY58" s="1393"/>
      <c r="DZ58" s="1393"/>
      <c r="EA58" s="1393"/>
      <c r="EB58" s="1393"/>
      <c r="EC58" s="1393"/>
      <c r="ED58" s="1393"/>
      <c r="EE58" s="1393"/>
      <c r="EF58" s="1393"/>
      <c r="EG58" s="1393"/>
      <c r="EH58" s="1393"/>
      <c r="EI58" s="1393"/>
      <c r="EJ58" s="1393"/>
      <c r="EK58" s="1393"/>
      <c r="EL58" s="1393"/>
      <c r="EM58" s="1393"/>
      <c r="EN58" s="1379"/>
      <c r="EO58" s="1379"/>
      <c r="EP58" s="1380"/>
      <c r="EQ58" s="1381"/>
      <c r="ER58" s="1381"/>
      <c r="ES58" s="1381"/>
    </row>
    <row r="59" spans="1:149" s="168" customFormat="1" ht="42" customHeight="1">
      <c r="A59" s="204">
        <v>14</v>
      </c>
      <c r="B59" s="202">
        <f>$B$23</f>
        <v>0</v>
      </c>
      <c r="C59" s="207"/>
      <c r="D59" s="207"/>
      <c r="E59" s="206"/>
      <c r="F59" s="206"/>
      <c r="G59" s="206"/>
      <c r="H59" s="206"/>
      <c r="I59" s="206"/>
      <c r="J59" s="206"/>
      <c r="K59" s="1433"/>
      <c r="L59" s="1433"/>
      <c r="M59" s="206"/>
      <c r="N59" s="206"/>
      <c r="O59" s="206"/>
      <c r="P59" s="206"/>
      <c r="Q59" s="206"/>
      <c r="R59" s="206"/>
      <c r="S59" s="177">
        <f t="shared" si="39"/>
        <v>0</v>
      </c>
      <c r="T59" s="177">
        <f t="shared" si="40"/>
        <v>0</v>
      </c>
      <c r="U59" s="178">
        <f t="shared" si="41"/>
        <v>0</v>
      </c>
      <c r="V59" s="176">
        <f t="shared" si="42"/>
        <v>0</v>
      </c>
      <c r="W59" s="176">
        <f t="shared" si="43"/>
        <v>0</v>
      </c>
      <c r="X59" s="176">
        <f t="shared" si="44"/>
        <v>0</v>
      </c>
      <c r="Z59" s="204">
        <v>14</v>
      </c>
      <c r="AA59" s="202">
        <f>$B$23</f>
        <v>0</v>
      </c>
      <c r="AB59" s="207"/>
      <c r="AC59" s="207"/>
      <c r="AD59" s="206"/>
      <c r="AE59" s="206"/>
      <c r="AF59" s="206"/>
      <c r="AG59" s="206"/>
      <c r="AH59" s="206"/>
      <c r="AI59" s="206"/>
      <c r="AJ59" s="1433"/>
      <c r="AK59" s="1433"/>
      <c r="AL59" s="206"/>
      <c r="AM59" s="206"/>
      <c r="AN59" s="206"/>
      <c r="AO59" s="206"/>
      <c r="AP59" s="206"/>
      <c r="AQ59" s="206"/>
      <c r="AR59" s="177">
        <f t="shared" si="45"/>
        <v>0</v>
      </c>
      <c r="AS59" s="177">
        <f t="shared" si="46"/>
        <v>0</v>
      </c>
      <c r="AT59" s="178">
        <f t="shared" si="47"/>
        <v>0</v>
      </c>
      <c r="AU59" s="176">
        <f t="shared" si="48"/>
        <v>0</v>
      </c>
      <c r="AV59" s="176">
        <f t="shared" si="49"/>
        <v>0</v>
      </c>
      <c r="AW59" s="176">
        <f t="shared" si="50"/>
        <v>0</v>
      </c>
      <c r="AY59" s="204">
        <v>14</v>
      </c>
      <c r="AZ59" s="202">
        <f>$B$23</f>
        <v>0</v>
      </c>
      <c r="BA59" s="207"/>
      <c r="BB59" s="207"/>
      <c r="BC59" s="206"/>
      <c r="BD59" s="206"/>
      <c r="BE59" s="206"/>
      <c r="BF59" s="206"/>
      <c r="BG59" s="206"/>
      <c r="BH59" s="206"/>
      <c r="BI59" s="1433"/>
      <c r="BJ59" s="1433"/>
      <c r="BK59" s="206"/>
      <c r="BL59" s="206"/>
      <c r="BM59" s="206"/>
      <c r="BN59" s="206"/>
      <c r="BO59" s="206"/>
      <c r="BP59" s="206"/>
      <c r="BQ59" s="177">
        <f t="shared" si="51"/>
        <v>0</v>
      </c>
      <c r="BR59" s="177">
        <f t="shared" si="52"/>
        <v>0</v>
      </c>
      <c r="BS59" s="178">
        <f t="shared" si="53"/>
        <v>0</v>
      </c>
      <c r="BT59" s="176">
        <f t="shared" si="54"/>
        <v>0</v>
      </c>
      <c r="BU59" s="176">
        <f t="shared" si="55"/>
        <v>0</v>
      </c>
      <c r="BV59" s="176">
        <f t="shared" si="56"/>
        <v>0</v>
      </c>
      <c r="BX59" s="204">
        <v>14</v>
      </c>
      <c r="BY59" s="202">
        <f>$B$23</f>
        <v>0</v>
      </c>
      <c r="BZ59" s="207"/>
      <c r="CA59" s="207"/>
      <c r="CB59" s="206"/>
      <c r="CC59" s="206"/>
      <c r="CD59" s="206"/>
      <c r="CE59" s="206"/>
      <c r="CF59" s="206"/>
      <c r="CG59" s="206"/>
      <c r="CH59" s="1433"/>
      <c r="CI59" s="1433"/>
      <c r="CJ59" s="206"/>
      <c r="CK59" s="206"/>
      <c r="CL59" s="206"/>
      <c r="CM59" s="206"/>
      <c r="CN59" s="206"/>
      <c r="CO59" s="206"/>
      <c r="CP59" s="177">
        <f t="shared" si="57"/>
        <v>0</v>
      </c>
      <c r="CQ59" s="177">
        <f t="shared" si="58"/>
        <v>0</v>
      </c>
      <c r="CR59" s="178">
        <f t="shared" si="59"/>
        <v>0</v>
      </c>
      <c r="CS59" s="176">
        <f t="shared" si="60"/>
        <v>0</v>
      </c>
      <c r="CT59" s="176">
        <f t="shared" si="61"/>
        <v>0</v>
      </c>
      <c r="CU59" s="176">
        <f t="shared" si="62"/>
        <v>0</v>
      </c>
      <c r="CW59" s="204">
        <v>14</v>
      </c>
      <c r="CX59" s="202">
        <f>$B$23</f>
        <v>0</v>
      </c>
      <c r="CY59" s="207"/>
      <c r="CZ59" s="207"/>
      <c r="DA59" s="206"/>
      <c r="DB59" s="206"/>
      <c r="DC59" s="206"/>
      <c r="DD59" s="206"/>
      <c r="DE59" s="206"/>
      <c r="DF59" s="206"/>
      <c r="DG59" s="1433"/>
      <c r="DH59" s="1433"/>
      <c r="DI59" s="206"/>
      <c r="DJ59" s="206"/>
      <c r="DK59" s="206"/>
      <c r="DL59" s="206"/>
      <c r="DM59" s="206"/>
      <c r="DN59" s="206"/>
      <c r="DO59" s="177">
        <f t="shared" si="63"/>
        <v>0</v>
      </c>
      <c r="DP59" s="177">
        <f t="shared" si="64"/>
        <v>0</v>
      </c>
      <c r="DQ59" s="178">
        <f t="shared" si="65"/>
        <v>0</v>
      </c>
      <c r="DR59" s="176">
        <f t="shared" si="66"/>
        <v>0</v>
      </c>
      <c r="DS59" s="176">
        <f t="shared" si="67"/>
        <v>0</v>
      </c>
      <c r="DT59" s="176">
        <f t="shared" si="68"/>
        <v>0</v>
      </c>
      <c r="DV59" s="1387"/>
      <c r="DW59" s="1387"/>
      <c r="DX59" s="1393"/>
      <c r="DY59" s="1393"/>
      <c r="DZ59" s="1393"/>
      <c r="EA59" s="1393"/>
      <c r="EB59" s="1393"/>
      <c r="EC59" s="1393"/>
      <c r="ED59" s="1393"/>
      <c r="EE59" s="1393"/>
      <c r="EF59" s="1393"/>
      <c r="EG59" s="1393"/>
      <c r="EH59" s="1393"/>
      <c r="EI59" s="1393"/>
      <c r="EJ59" s="1393"/>
      <c r="EK59" s="1393"/>
      <c r="EL59" s="1393"/>
      <c r="EM59" s="1393"/>
      <c r="EN59" s="1379"/>
      <c r="EO59" s="1379"/>
      <c r="EP59" s="1380"/>
      <c r="EQ59" s="1381"/>
      <c r="ER59" s="1381"/>
      <c r="ES59" s="1381"/>
    </row>
    <row r="60" spans="1:149" s="168" customFormat="1" ht="42" customHeight="1">
      <c r="A60" s="204">
        <v>15</v>
      </c>
      <c r="B60" s="202">
        <f>$B$24</f>
        <v>0</v>
      </c>
      <c r="C60" s="207"/>
      <c r="D60" s="207"/>
      <c r="E60" s="206"/>
      <c r="F60" s="206"/>
      <c r="G60" s="206"/>
      <c r="H60" s="206"/>
      <c r="I60" s="206"/>
      <c r="J60" s="206"/>
      <c r="K60" s="1433"/>
      <c r="L60" s="1433"/>
      <c r="M60" s="206"/>
      <c r="N60" s="206"/>
      <c r="O60" s="206"/>
      <c r="P60" s="206"/>
      <c r="Q60" s="206"/>
      <c r="R60" s="206"/>
      <c r="S60" s="177">
        <f t="shared" si="39"/>
        <v>0</v>
      </c>
      <c r="T60" s="177">
        <f t="shared" si="40"/>
        <v>0</v>
      </c>
      <c r="U60" s="178">
        <f t="shared" si="41"/>
        <v>0</v>
      </c>
      <c r="V60" s="176">
        <f t="shared" si="42"/>
        <v>0</v>
      </c>
      <c r="W60" s="176">
        <f t="shared" si="43"/>
        <v>0</v>
      </c>
      <c r="X60" s="176">
        <f t="shared" si="44"/>
        <v>0</v>
      </c>
      <c r="Z60" s="204">
        <v>15</v>
      </c>
      <c r="AA60" s="202">
        <f>$B$24</f>
        <v>0</v>
      </c>
      <c r="AB60" s="207"/>
      <c r="AC60" s="207"/>
      <c r="AD60" s="206"/>
      <c r="AE60" s="206"/>
      <c r="AF60" s="206"/>
      <c r="AG60" s="206"/>
      <c r="AH60" s="206"/>
      <c r="AI60" s="206"/>
      <c r="AJ60" s="1433"/>
      <c r="AK60" s="1433"/>
      <c r="AL60" s="206"/>
      <c r="AM60" s="206"/>
      <c r="AN60" s="206"/>
      <c r="AO60" s="206"/>
      <c r="AP60" s="206"/>
      <c r="AQ60" s="206"/>
      <c r="AR60" s="177">
        <f t="shared" si="45"/>
        <v>0</v>
      </c>
      <c r="AS60" s="177">
        <f t="shared" si="46"/>
        <v>0</v>
      </c>
      <c r="AT60" s="178">
        <f t="shared" si="47"/>
        <v>0</v>
      </c>
      <c r="AU60" s="176">
        <f t="shared" si="48"/>
        <v>0</v>
      </c>
      <c r="AV60" s="176">
        <f t="shared" si="49"/>
        <v>0</v>
      </c>
      <c r="AW60" s="176">
        <f t="shared" si="50"/>
        <v>0</v>
      </c>
      <c r="AY60" s="204">
        <v>15</v>
      </c>
      <c r="AZ60" s="202">
        <f>$B$24</f>
        <v>0</v>
      </c>
      <c r="BA60" s="207"/>
      <c r="BB60" s="207"/>
      <c r="BC60" s="206"/>
      <c r="BD60" s="206"/>
      <c r="BE60" s="206"/>
      <c r="BF60" s="206"/>
      <c r="BG60" s="206"/>
      <c r="BH60" s="206"/>
      <c r="BI60" s="1433"/>
      <c r="BJ60" s="1433"/>
      <c r="BK60" s="206"/>
      <c r="BL60" s="206"/>
      <c r="BM60" s="206"/>
      <c r="BN60" s="206"/>
      <c r="BO60" s="206"/>
      <c r="BP60" s="206"/>
      <c r="BQ60" s="177">
        <f t="shared" si="51"/>
        <v>0</v>
      </c>
      <c r="BR60" s="177">
        <f t="shared" si="52"/>
        <v>0</v>
      </c>
      <c r="BS60" s="178">
        <f t="shared" si="53"/>
        <v>0</v>
      </c>
      <c r="BT60" s="176">
        <f t="shared" si="54"/>
        <v>0</v>
      </c>
      <c r="BU60" s="176">
        <f t="shared" si="55"/>
        <v>0</v>
      </c>
      <c r="BV60" s="176">
        <f t="shared" si="56"/>
        <v>0</v>
      </c>
      <c r="BX60" s="204">
        <v>15</v>
      </c>
      <c r="BY60" s="202">
        <f>$B$24</f>
        <v>0</v>
      </c>
      <c r="BZ60" s="207"/>
      <c r="CA60" s="207"/>
      <c r="CB60" s="206"/>
      <c r="CC60" s="206"/>
      <c r="CD60" s="206"/>
      <c r="CE60" s="206"/>
      <c r="CF60" s="206"/>
      <c r="CG60" s="206"/>
      <c r="CH60" s="1433"/>
      <c r="CI60" s="1433"/>
      <c r="CJ60" s="206"/>
      <c r="CK60" s="206"/>
      <c r="CL60" s="206"/>
      <c r="CM60" s="206"/>
      <c r="CN60" s="206"/>
      <c r="CO60" s="206"/>
      <c r="CP60" s="177">
        <f t="shared" si="57"/>
        <v>0</v>
      </c>
      <c r="CQ60" s="177">
        <f t="shared" si="58"/>
        <v>0</v>
      </c>
      <c r="CR60" s="178">
        <f t="shared" si="59"/>
        <v>0</v>
      </c>
      <c r="CS60" s="176">
        <f t="shared" si="60"/>
        <v>0</v>
      </c>
      <c r="CT60" s="176">
        <f t="shared" si="61"/>
        <v>0</v>
      </c>
      <c r="CU60" s="176">
        <f t="shared" si="62"/>
        <v>0</v>
      </c>
      <c r="CW60" s="204">
        <v>15</v>
      </c>
      <c r="CX60" s="202">
        <f>$B$24</f>
        <v>0</v>
      </c>
      <c r="CY60" s="207"/>
      <c r="CZ60" s="207"/>
      <c r="DA60" s="206"/>
      <c r="DB60" s="206"/>
      <c r="DC60" s="206"/>
      <c r="DD60" s="206"/>
      <c r="DE60" s="206"/>
      <c r="DF60" s="206"/>
      <c r="DG60" s="1433"/>
      <c r="DH60" s="1433"/>
      <c r="DI60" s="206"/>
      <c r="DJ60" s="206"/>
      <c r="DK60" s="206"/>
      <c r="DL60" s="206"/>
      <c r="DM60" s="206"/>
      <c r="DN60" s="206"/>
      <c r="DO60" s="177">
        <f t="shared" si="63"/>
        <v>0</v>
      </c>
      <c r="DP60" s="177">
        <f t="shared" si="64"/>
        <v>0</v>
      </c>
      <c r="DQ60" s="178">
        <f t="shared" si="65"/>
        <v>0</v>
      </c>
      <c r="DR60" s="176">
        <f t="shared" si="66"/>
        <v>0</v>
      </c>
      <c r="DS60" s="176">
        <f t="shared" si="67"/>
        <v>0</v>
      </c>
      <c r="DT60" s="176">
        <f t="shared" si="68"/>
        <v>0</v>
      </c>
      <c r="DV60" s="1387"/>
      <c r="DW60" s="1387"/>
      <c r="DX60" s="1393"/>
      <c r="DY60" s="1393"/>
      <c r="DZ60" s="1393"/>
      <c r="EA60" s="1393"/>
      <c r="EB60" s="1393"/>
      <c r="EC60" s="1393"/>
      <c r="ED60" s="1393"/>
      <c r="EE60" s="1393"/>
      <c r="EF60" s="1393"/>
      <c r="EG60" s="1393"/>
      <c r="EH60" s="1393"/>
      <c r="EI60" s="1393"/>
      <c r="EJ60" s="1393"/>
      <c r="EK60" s="1393"/>
      <c r="EL60" s="1393"/>
      <c r="EM60" s="1393"/>
      <c r="EN60" s="1379"/>
      <c r="EO60" s="1379"/>
      <c r="EP60" s="1380"/>
      <c r="EQ60" s="1381"/>
      <c r="ER60" s="1381"/>
      <c r="ES60" s="1381"/>
    </row>
    <row r="61" spans="1:149" s="168" customFormat="1" ht="42" customHeight="1">
      <c r="A61" s="204">
        <v>16</v>
      </c>
      <c r="B61" s="202">
        <f>$B$25</f>
        <v>0</v>
      </c>
      <c r="C61" s="207"/>
      <c r="D61" s="207"/>
      <c r="E61" s="206"/>
      <c r="F61" s="206"/>
      <c r="G61" s="206"/>
      <c r="H61" s="206"/>
      <c r="I61" s="206"/>
      <c r="J61" s="206"/>
      <c r="K61" s="1433"/>
      <c r="L61" s="1433"/>
      <c r="M61" s="206"/>
      <c r="N61" s="206"/>
      <c r="O61" s="206"/>
      <c r="P61" s="206"/>
      <c r="Q61" s="206"/>
      <c r="R61" s="206"/>
      <c r="S61" s="177">
        <f t="shared" si="39"/>
        <v>0</v>
      </c>
      <c r="T61" s="177">
        <f t="shared" si="40"/>
        <v>0</v>
      </c>
      <c r="U61" s="178">
        <f t="shared" si="41"/>
        <v>0</v>
      </c>
      <c r="V61" s="176">
        <f>SUM(S61-T61)</f>
        <v>0</v>
      </c>
      <c r="W61" s="176">
        <f>SUM(O61-P61)</f>
        <v>0</v>
      </c>
      <c r="X61" s="176">
        <f>SUM(Q61-R61)</f>
        <v>0</v>
      </c>
      <c r="Z61" s="204">
        <v>16</v>
      </c>
      <c r="AA61" s="202">
        <f>$B$25</f>
        <v>0</v>
      </c>
      <c r="AB61" s="207"/>
      <c r="AC61" s="207"/>
      <c r="AD61" s="206"/>
      <c r="AE61" s="206"/>
      <c r="AF61" s="206"/>
      <c r="AG61" s="206"/>
      <c r="AH61" s="206"/>
      <c r="AI61" s="206"/>
      <c r="AJ61" s="1433"/>
      <c r="AK61" s="1433"/>
      <c r="AL61" s="206"/>
      <c r="AM61" s="206"/>
      <c r="AN61" s="206"/>
      <c r="AO61" s="206"/>
      <c r="AP61" s="206"/>
      <c r="AQ61" s="206"/>
      <c r="AR61" s="177">
        <f t="shared" si="45"/>
        <v>0</v>
      </c>
      <c r="AS61" s="177">
        <f t="shared" si="46"/>
        <v>0</v>
      </c>
      <c r="AT61" s="178">
        <f t="shared" si="47"/>
        <v>0</v>
      </c>
      <c r="AU61" s="176">
        <f>SUM(AR61-AS61)</f>
        <v>0</v>
      </c>
      <c r="AV61" s="176">
        <f>SUM(AN61-AO61)</f>
        <v>0</v>
      </c>
      <c r="AW61" s="176">
        <f>SUM(AP61-AQ61)</f>
        <v>0</v>
      </c>
      <c r="AY61" s="204">
        <v>16</v>
      </c>
      <c r="AZ61" s="202">
        <f>$B$25</f>
        <v>0</v>
      </c>
      <c r="BA61" s="207"/>
      <c r="BB61" s="207"/>
      <c r="BC61" s="206"/>
      <c r="BD61" s="206"/>
      <c r="BE61" s="206"/>
      <c r="BF61" s="206"/>
      <c r="BG61" s="206"/>
      <c r="BH61" s="206"/>
      <c r="BI61" s="1433"/>
      <c r="BJ61" s="1433"/>
      <c r="BK61" s="206"/>
      <c r="BL61" s="206"/>
      <c r="BM61" s="206"/>
      <c r="BN61" s="206"/>
      <c r="BO61" s="206"/>
      <c r="BP61" s="206"/>
      <c r="BQ61" s="177">
        <f t="shared" si="51"/>
        <v>0</v>
      </c>
      <c r="BR61" s="177">
        <f t="shared" si="52"/>
        <v>0</v>
      </c>
      <c r="BS61" s="178">
        <f t="shared" si="53"/>
        <v>0</v>
      </c>
      <c r="BT61" s="176">
        <f>SUM(BQ61-BR61)</f>
        <v>0</v>
      </c>
      <c r="BU61" s="176">
        <f>SUM(BM61-BN61)</f>
        <v>0</v>
      </c>
      <c r="BV61" s="176">
        <f>SUM(BO61-BP61)</f>
        <v>0</v>
      </c>
      <c r="BX61" s="204">
        <v>16</v>
      </c>
      <c r="BY61" s="202">
        <f>$B$25</f>
        <v>0</v>
      </c>
      <c r="BZ61" s="207"/>
      <c r="CA61" s="207"/>
      <c r="CB61" s="206"/>
      <c r="CC61" s="206"/>
      <c r="CD61" s="206"/>
      <c r="CE61" s="206"/>
      <c r="CF61" s="206"/>
      <c r="CG61" s="206"/>
      <c r="CH61" s="1433"/>
      <c r="CI61" s="1433"/>
      <c r="CJ61" s="206"/>
      <c r="CK61" s="206"/>
      <c r="CL61" s="206"/>
      <c r="CM61" s="206"/>
      <c r="CN61" s="206"/>
      <c r="CO61" s="206"/>
      <c r="CP61" s="177">
        <f t="shared" si="57"/>
        <v>0</v>
      </c>
      <c r="CQ61" s="177">
        <f t="shared" si="58"/>
        <v>0</v>
      </c>
      <c r="CR61" s="178">
        <f t="shared" si="59"/>
        <v>0</v>
      </c>
      <c r="CS61" s="176">
        <f>SUM(CP61-CQ61)</f>
        <v>0</v>
      </c>
      <c r="CT61" s="176">
        <f>SUM(CL61-CM61)</f>
        <v>0</v>
      </c>
      <c r="CU61" s="176">
        <f>SUM(CN61-CO61)</f>
        <v>0</v>
      </c>
      <c r="CW61" s="204">
        <v>16</v>
      </c>
      <c r="CX61" s="202">
        <f>$B$25</f>
        <v>0</v>
      </c>
      <c r="CY61" s="207"/>
      <c r="CZ61" s="207"/>
      <c r="DA61" s="206"/>
      <c r="DB61" s="206"/>
      <c r="DC61" s="206"/>
      <c r="DD61" s="206"/>
      <c r="DE61" s="206"/>
      <c r="DF61" s="206"/>
      <c r="DG61" s="1433"/>
      <c r="DH61" s="1433"/>
      <c r="DI61" s="206"/>
      <c r="DJ61" s="206"/>
      <c r="DK61" s="206"/>
      <c r="DL61" s="206"/>
      <c r="DM61" s="206"/>
      <c r="DN61" s="206"/>
      <c r="DO61" s="177">
        <f t="shared" si="63"/>
        <v>0</v>
      </c>
      <c r="DP61" s="177">
        <f t="shared" si="64"/>
        <v>0</v>
      </c>
      <c r="DQ61" s="178">
        <f t="shared" si="65"/>
        <v>0</v>
      </c>
      <c r="DR61" s="176">
        <f>SUM(DO61-DP61)</f>
        <v>0</v>
      </c>
      <c r="DS61" s="176">
        <f>SUM(DK61-DL61)</f>
        <v>0</v>
      </c>
      <c r="DT61" s="176">
        <f>SUM(DM61-DN61)</f>
        <v>0</v>
      </c>
      <c r="DV61" s="1387"/>
      <c r="DW61" s="1387"/>
      <c r="DX61" s="1393"/>
      <c r="DY61" s="1393"/>
      <c r="DZ61" s="1393"/>
      <c r="EA61" s="1393"/>
      <c r="EB61" s="1393"/>
      <c r="EC61" s="1393"/>
      <c r="ED61" s="1393"/>
      <c r="EE61" s="1393"/>
      <c r="EF61" s="1393"/>
      <c r="EG61" s="1393"/>
      <c r="EH61" s="1393"/>
      <c r="EI61" s="1393"/>
      <c r="EJ61" s="1393"/>
      <c r="EK61" s="1393"/>
      <c r="EL61" s="1393"/>
      <c r="EM61" s="1393"/>
      <c r="EN61" s="1379"/>
      <c r="EO61" s="1379"/>
      <c r="EP61" s="1380"/>
      <c r="EQ61" s="1381"/>
      <c r="ER61" s="1381"/>
      <c r="ES61" s="1381"/>
    </row>
    <row r="62" spans="1:149" s="168" customFormat="1" ht="16.5" thickBot="1">
      <c r="A62" s="179"/>
      <c r="B62" s="1376"/>
      <c r="C62" s="181"/>
      <c r="D62" s="182"/>
      <c r="E62" s="182"/>
      <c r="F62" s="182"/>
      <c r="G62" s="182"/>
      <c r="H62" s="182"/>
      <c r="I62" s="182"/>
      <c r="J62" s="182"/>
      <c r="K62" s="1434"/>
      <c r="L62" s="1434"/>
      <c r="M62" s="182"/>
      <c r="N62" s="182"/>
      <c r="O62" s="182"/>
      <c r="P62" s="182"/>
      <c r="Q62" s="182"/>
      <c r="R62" s="183"/>
      <c r="S62" s="1374"/>
      <c r="T62" s="1374"/>
      <c r="U62" s="1375"/>
      <c r="V62" s="1373"/>
      <c r="W62" s="1373"/>
      <c r="X62" s="1373"/>
      <c r="Z62" s="179"/>
      <c r="AA62" s="1376"/>
      <c r="AB62" s="181"/>
      <c r="AC62" s="182"/>
      <c r="AD62" s="182"/>
      <c r="AE62" s="182"/>
      <c r="AF62" s="182"/>
      <c r="AG62" s="182"/>
      <c r="AH62" s="182"/>
      <c r="AI62" s="182"/>
      <c r="AJ62" s="1434"/>
      <c r="AK62" s="1434"/>
      <c r="AL62" s="182"/>
      <c r="AM62" s="182"/>
      <c r="AN62" s="182"/>
      <c r="AO62" s="182"/>
      <c r="AP62" s="182"/>
      <c r="AQ62" s="183"/>
      <c r="AR62" s="1374"/>
      <c r="AS62" s="1374"/>
      <c r="AT62" s="1375"/>
      <c r="AU62" s="1373"/>
      <c r="AV62" s="1373"/>
      <c r="AW62" s="1373"/>
      <c r="AY62" s="179"/>
      <c r="AZ62" s="1376"/>
      <c r="BA62" s="181"/>
      <c r="BB62" s="182"/>
      <c r="BC62" s="182"/>
      <c r="BD62" s="182"/>
      <c r="BE62" s="182"/>
      <c r="BF62" s="182"/>
      <c r="BG62" s="182"/>
      <c r="BH62" s="182"/>
      <c r="BI62" s="1434"/>
      <c r="BJ62" s="1434"/>
      <c r="BK62" s="182"/>
      <c r="BL62" s="182"/>
      <c r="BM62" s="182"/>
      <c r="BN62" s="182"/>
      <c r="BO62" s="182"/>
      <c r="BP62" s="183"/>
      <c r="BQ62" s="1374"/>
      <c r="BR62" s="1374"/>
      <c r="BS62" s="1375"/>
      <c r="BT62" s="1373"/>
      <c r="BU62" s="1373"/>
      <c r="BV62" s="1373"/>
      <c r="BX62" s="179"/>
      <c r="BY62" s="1376"/>
      <c r="BZ62" s="181"/>
      <c r="CA62" s="182"/>
      <c r="CB62" s="182"/>
      <c r="CC62" s="182"/>
      <c r="CD62" s="182"/>
      <c r="CE62" s="182"/>
      <c r="CF62" s="182"/>
      <c r="CG62" s="182"/>
      <c r="CH62" s="1434"/>
      <c r="CI62" s="1434"/>
      <c r="CJ62" s="182"/>
      <c r="CK62" s="182"/>
      <c r="CL62" s="182"/>
      <c r="CM62" s="182"/>
      <c r="CN62" s="182"/>
      <c r="CO62" s="183"/>
      <c r="CP62" s="1374"/>
      <c r="CQ62" s="1374"/>
      <c r="CR62" s="1375"/>
      <c r="CS62" s="1373"/>
      <c r="CT62" s="1373"/>
      <c r="CU62" s="1373"/>
      <c r="CW62" s="179"/>
      <c r="CX62" s="1376"/>
      <c r="CY62" s="181"/>
      <c r="CZ62" s="182"/>
      <c r="DA62" s="182"/>
      <c r="DB62" s="182"/>
      <c r="DC62" s="182"/>
      <c r="DD62" s="182"/>
      <c r="DE62" s="182"/>
      <c r="DF62" s="182"/>
      <c r="DG62" s="1434"/>
      <c r="DH62" s="1434"/>
      <c r="DI62" s="182"/>
      <c r="DJ62" s="182"/>
      <c r="DK62" s="182"/>
      <c r="DL62" s="182"/>
      <c r="DM62" s="182"/>
      <c r="DN62" s="183"/>
      <c r="DO62" s="1374"/>
      <c r="DP62" s="1374"/>
      <c r="DQ62" s="1375"/>
      <c r="DR62" s="1373"/>
      <c r="DS62" s="1373"/>
      <c r="DT62" s="1373"/>
      <c r="DV62" s="1387"/>
      <c r="DW62" s="1387"/>
      <c r="DX62" s="1379"/>
      <c r="DY62" s="1379"/>
      <c r="DZ62" s="1379"/>
      <c r="EA62" s="1379"/>
      <c r="EB62" s="1379"/>
      <c r="EC62" s="1379"/>
      <c r="ED62" s="1379"/>
      <c r="EE62" s="1379"/>
      <c r="EF62" s="1379"/>
      <c r="EG62" s="1379"/>
      <c r="EH62" s="1379"/>
      <c r="EI62" s="1379"/>
      <c r="EJ62" s="1379"/>
      <c r="EK62" s="1379"/>
      <c r="EL62" s="1379"/>
      <c r="EM62" s="1379"/>
      <c r="EN62" s="1379"/>
      <c r="EO62" s="1379"/>
      <c r="EP62" s="1380"/>
      <c r="EQ62" s="1381"/>
      <c r="ER62" s="1381"/>
      <c r="ES62" s="1381"/>
    </row>
    <row r="63" spans="1:149" s="168" customFormat="1" ht="45" customHeight="1" thickTop="1" thickBot="1">
      <c r="A63" s="3410" t="s">
        <v>77</v>
      </c>
      <c r="B63" s="3410"/>
      <c r="C63" s="185">
        <f>SUM(C46:C61)</f>
        <v>1270500000</v>
      </c>
      <c r="D63" s="185">
        <f t="shared" ref="D63:S63" si="69">SUM(D46:D61)</f>
        <v>1270500000</v>
      </c>
      <c r="E63" s="185">
        <f t="shared" si="69"/>
        <v>0</v>
      </c>
      <c r="F63" s="185">
        <f t="shared" si="69"/>
        <v>0</v>
      </c>
      <c r="G63" s="185">
        <f t="shared" si="69"/>
        <v>0</v>
      </c>
      <c r="H63" s="185">
        <f t="shared" si="69"/>
        <v>0</v>
      </c>
      <c r="I63" s="185">
        <f t="shared" si="69"/>
        <v>0</v>
      </c>
      <c r="J63" s="185">
        <f t="shared" si="69"/>
        <v>0</v>
      </c>
      <c r="K63" s="1435">
        <f t="shared" si="69"/>
        <v>0</v>
      </c>
      <c r="L63" s="1435">
        <f t="shared" si="69"/>
        <v>0</v>
      </c>
      <c r="M63" s="185">
        <f t="shared" si="69"/>
        <v>392000000</v>
      </c>
      <c r="N63" s="185">
        <f t="shared" si="69"/>
        <v>392000000</v>
      </c>
      <c r="O63" s="185">
        <f t="shared" si="69"/>
        <v>52500000</v>
      </c>
      <c r="P63" s="185">
        <f t="shared" si="69"/>
        <v>52500000</v>
      </c>
      <c r="Q63" s="185">
        <f t="shared" si="69"/>
        <v>35000000</v>
      </c>
      <c r="R63" s="185">
        <f t="shared" si="69"/>
        <v>35000000</v>
      </c>
      <c r="S63" s="185">
        <f t="shared" si="69"/>
        <v>1750000000</v>
      </c>
      <c r="T63" s="185">
        <f>SUM(T46:T61)</f>
        <v>1750000000</v>
      </c>
      <c r="U63" s="186">
        <f>IF(S63=0,0,T63/S63)</f>
        <v>1</v>
      </c>
      <c r="V63" s="3410">
        <f>SUM(S63-T63)</f>
        <v>0</v>
      </c>
      <c r="W63" s="3410"/>
      <c r="Z63" s="3410" t="s">
        <v>77</v>
      </c>
      <c r="AA63" s="3410"/>
      <c r="AB63" s="185">
        <f>SUM(AB46:AB61)</f>
        <v>1425000000</v>
      </c>
      <c r="AC63" s="185">
        <f t="shared" ref="AC63:AR63" si="70">SUM(AC46:AC61)</f>
        <v>1425000000</v>
      </c>
      <c r="AD63" s="185">
        <f t="shared" si="70"/>
        <v>0</v>
      </c>
      <c r="AE63" s="185">
        <f t="shared" si="70"/>
        <v>0</v>
      </c>
      <c r="AF63" s="185">
        <f t="shared" si="70"/>
        <v>0</v>
      </c>
      <c r="AG63" s="185">
        <f t="shared" si="70"/>
        <v>0</v>
      </c>
      <c r="AH63" s="185">
        <f t="shared" si="70"/>
        <v>0</v>
      </c>
      <c r="AI63" s="185">
        <f t="shared" si="70"/>
        <v>0</v>
      </c>
      <c r="AJ63" s="1435">
        <f t="shared" si="70"/>
        <v>0</v>
      </c>
      <c r="AK63" s="1435">
        <f t="shared" si="70"/>
        <v>0</v>
      </c>
      <c r="AL63" s="185">
        <f t="shared" si="70"/>
        <v>475000000</v>
      </c>
      <c r="AM63" s="185">
        <f t="shared" si="70"/>
        <v>475000000</v>
      </c>
      <c r="AN63" s="185">
        <f t="shared" si="70"/>
        <v>60000000</v>
      </c>
      <c r="AO63" s="185">
        <f t="shared" si="70"/>
        <v>60000000</v>
      </c>
      <c r="AP63" s="185">
        <f t="shared" si="70"/>
        <v>40000000</v>
      </c>
      <c r="AQ63" s="185">
        <f t="shared" si="70"/>
        <v>40000000</v>
      </c>
      <c r="AR63" s="185">
        <f t="shared" si="70"/>
        <v>2000000000</v>
      </c>
      <c r="AS63" s="185">
        <f>SUM(AS46:AS61)</f>
        <v>2000000000</v>
      </c>
      <c r="AT63" s="186">
        <f>IF(AR63=0,0,AS63/AR63)</f>
        <v>1</v>
      </c>
      <c r="AU63" s="3410">
        <f>SUM(AR63-AS63)</f>
        <v>0</v>
      </c>
      <c r="AV63" s="3410"/>
      <c r="AY63" s="3410" t="s">
        <v>77</v>
      </c>
      <c r="AZ63" s="3410"/>
      <c r="BA63" s="185">
        <f>SUM(BA46:BA61)</f>
        <v>296012000</v>
      </c>
      <c r="BB63" s="185">
        <f t="shared" ref="BB63:BQ63" si="71">SUM(BB46:BB61)</f>
        <v>296012000</v>
      </c>
      <c r="BC63" s="185">
        <f t="shared" si="71"/>
        <v>0</v>
      </c>
      <c r="BD63" s="185">
        <f t="shared" si="71"/>
        <v>0</v>
      </c>
      <c r="BE63" s="185">
        <f t="shared" si="71"/>
        <v>0</v>
      </c>
      <c r="BF63" s="185">
        <f t="shared" si="71"/>
        <v>0</v>
      </c>
      <c r="BG63" s="185">
        <f t="shared" si="71"/>
        <v>0</v>
      </c>
      <c r="BH63" s="185">
        <f t="shared" si="71"/>
        <v>0</v>
      </c>
      <c r="BI63" s="1435">
        <f t="shared" si="71"/>
        <v>0</v>
      </c>
      <c r="BJ63" s="1435">
        <f t="shared" si="71"/>
        <v>0</v>
      </c>
      <c r="BK63" s="185">
        <f t="shared" si="71"/>
        <v>0</v>
      </c>
      <c r="BL63" s="185">
        <f t="shared" si="71"/>
        <v>0</v>
      </c>
      <c r="BM63" s="185">
        <f t="shared" si="71"/>
        <v>9347600</v>
      </c>
      <c r="BN63" s="185">
        <f t="shared" si="71"/>
        <v>9347600</v>
      </c>
      <c r="BO63" s="185">
        <f t="shared" si="71"/>
        <v>6231800</v>
      </c>
      <c r="BP63" s="185">
        <f t="shared" si="71"/>
        <v>6231800</v>
      </c>
      <c r="BQ63" s="185">
        <f t="shared" si="71"/>
        <v>311591400</v>
      </c>
      <c r="BR63" s="185">
        <f>SUM(BR46:BR61)</f>
        <v>311591400</v>
      </c>
      <c r="BS63" s="186">
        <f>IF(BQ63=0,0,BR63/BQ63)</f>
        <v>1</v>
      </c>
      <c r="BT63" s="3410">
        <f>SUM(BQ63-BR63)</f>
        <v>0</v>
      </c>
      <c r="BU63" s="3410"/>
      <c r="BX63" s="3410" t="s">
        <v>77</v>
      </c>
      <c r="BY63" s="3410"/>
      <c r="BZ63" s="185">
        <f>SUM(BZ46:BZ61)</f>
        <v>1566488000</v>
      </c>
      <c r="CA63" s="185">
        <f t="shared" ref="CA63:CP63" si="72">SUM(CA46:CA61)</f>
        <v>1566488000</v>
      </c>
      <c r="CB63" s="185">
        <f t="shared" si="72"/>
        <v>0</v>
      </c>
      <c r="CC63" s="185">
        <f t="shared" si="72"/>
        <v>0</v>
      </c>
      <c r="CD63" s="185">
        <f t="shared" si="72"/>
        <v>0</v>
      </c>
      <c r="CE63" s="185">
        <f t="shared" si="72"/>
        <v>0</v>
      </c>
      <c r="CF63" s="185">
        <f t="shared" si="72"/>
        <v>0</v>
      </c>
      <c r="CG63" s="185">
        <f t="shared" si="72"/>
        <v>0</v>
      </c>
      <c r="CH63" s="1435">
        <f t="shared" si="72"/>
        <v>0</v>
      </c>
      <c r="CI63" s="1435">
        <f t="shared" si="72"/>
        <v>0</v>
      </c>
      <c r="CJ63" s="185">
        <f t="shared" si="72"/>
        <v>512500000</v>
      </c>
      <c r="CK63" s="185">
        <f t="shared" si="72"/>
        <v>512500000</v>
      </c>
      <c r="CL63" s="185">
        <f t="shared" si="72"/>
        <v>65652400</v>
      </c>
      <c r="CM63" s="185">
        <f t="shared" si="72"/>
        <v>65652300</v>
      </c>
      <c r="CN63" s="185">
        <f t="shared" si="72"/>
        <v>43768200</v>
      </c>
      <c r="CO63" s="185">
        <f t="shared" si="72"/>
        <v>43768100</v>
      </c>
      <c r="CP63" s="185">
        <f t="shared" si="72"/>
        <v>2188408600</v>
      </c>
      <c r="CQ63" s="185">
        <f>SUM(CQ46:CQ61)</f>
        <v>2188408400</v>
      </c>
      <c r="CR63" s="186">
        <f>IF(CP63=0,0,CQ63/CP63)</f>
        <v>0.99999990860938859</v>
      </c>
      <c r="CS63" s="3410">
        <f>SUM(CP63-CQ63)</f>
        <v>200</v>
      </c>
      <c r="CT63" s="3410"/>
      <c r="CW63" s="3410" t="s">
        <v>77</v>
      </c>
      <c r="CX63" s="3410"/>
      <c r="CY63" s="185">
        <f>SUM(CY46:CY61)</f>
        <v>365950000</v>
      </c>
      <c r="CZ63" s="185">
        <f t="shared" ref="CZ63:DO63" si="73">SUM(CZ46:CZ61)</f>
        <v>365950000</v>
      </c>
      <c r="DA63" s="185">
        <f t="shared" si="73"/>
        <v>0</v>
      </c>
      <c r="DB63" s="185">
        <f t="shared" si="73"/>
        <v>0</v>
      </c>
      <c r="DC63" s="185">
        <f t="shared" si="73"/>
        <v>0</v>
      </c>
      <c r="DD63" s="185">
        <f t="shared" si="73"/>
        <v>0</v>
      </c>
      <c r="DE63" s="185">
        <f t="shared" si="73"/>
        <v>0</v>
      </c>
      <c r="DF63" s="185">
        <f t="shared" si="73"/>
        <v>0</v>
      </c>
      <c r="DG63" s="1435">
        <f t="shared" si="73"/>
        <v>0</v>
      </c>
      <c r="DH63" s="1435">
        <f t="shared" si="73"/>
        <v>0</v>
      </c>
      <c r="DI63" s="185">
        <f t="shared" si="73"/>
        <v>109050000</v>
      </c>
      <c r="DJ63" s="185">
        <f t="shared" si="73"/>
        <v>109050000</v>
      </c>
      <c r="DK63" s="185">
        <f t="shared" si="73"/>
        <v>15000000</v>
      </c>
      <c r="DL63" s="185">
        <f t="shared" si="73"/>
        <v>15000000</v>
      </c>
      <c r="DM63" s="185">
        <f t="shared" si="73"/>
        <v>10000000</v>
      </c>
      <c r="DN63" s="185">
        <f t="shared" si="73"/>
        <v>10000000</v>
      </c>
      <c r="DO63" s="185">
        <f t="shared" si="73"/>
        <v>500000000</v>
      </c>
      <c r="DP63" s="185">
        <f>SUM(DP46:DP61)</f>
        <v>500000000</v>
      </c>
      <c r="DQ63" s="186">
        <f>IF(DO63=0,0,DP63/DO63)</f>
        <v>1</v>
      </c>
      <c r="DR63" s="3410">
        <f>SUM(DO63-DP63)</f>
        <v>0</v>
      </c>
      <c r="DS63" s="3410"/>
      <c r="DV63" s="3410"/>
      <c r="DW63" s="3410"/>
      <c r="DX63" s="1394"/>
      <c r="DY63" s="1394"/>
      <c r="DZ63" s="1394"/>
      <c r="EA63" s="1394"/>
      <c r="EB63" s="1394"/>
      <c r="EC63" s="1394"/>
      <c r="ED63" s="1394"/>
      <c r="EE63" s="1394"/>
      <c r="EF63" s="1394"/>
      <c r="EG63" s="1394"/>
      <c r="EH63" s="1394"/>
      <c r="EI63" s="1394"/>
      <c r="EJ63" s="1394"/>
      <c r="EK63" s="1394"/>
      <c r="EL63" s="1394"/>
      <c r="EM63" s="1394"/>
      <c r="EN63" s="1394"/>
      <c r="EO63" s="1394"/>
      <c r="EP63" s="1395"/>
      <c r="EQ63" s="3410"/>
      <c r="ER63" s="3410"/>
      <c r="ES63" s="1387"/>
    </row>
    <row r="64" spans="1:149" s="168" customFormat="1" ht="16.5" thickTop="1">
      <c r="A64" s="188"/>
      <c r="B64" s="189"/>
      <c r="C64" s="184"/>
      <c r="P64" s="190"/>
      <c r="R64" s="190"/>
      <c r="T64" s="190"/>
      <c r="Z64" s="188"/>
      <c r="AA64" s="189"/>
      <c r="AB64" s="184"/>
      <c r="AO64" s="190"/>
      <c r="AQ64" s="190"/>
      <c r="AS64" s="190"/>
      <c r="AY64" s="188"/>
      <c r="AZ64" s="189"/>
      <c r="BA64" s="184"/>
      <c r="BN64" s="190"/>
      <c r="BP64" s="190"/>
      <c r="BR64" s="190"/>
      <c r="BX64" s="188"/>
      <c r="BY64" s="189"/>
      <c r="BZ64" s="184"/>
      <c r="CM64" s="190"/>
      <c r="CO64" s="190"/>
      <c r="CQ64" s="190"/>
      <c r="CW64" s="188"/>
      <c r="CX64" s="189"/>
      <c r="CY64" s="184"/>
      <c r="DL64" s="190"/>
      <c r="DN64" s="190"/>
      <c r="DP64" s="190"/>
      <c r="DV64" s="1397"/>
      <c r="DW64" s="1387"/>
      <c r="DX64" s="1381"/>
      <c r="DY64" s="1387"/>
      <c r="DZ64" s="1387"/>
      <c r="EA64" s="1387"/>
      <c r="EB64" s="1387"/>
      <c r="EC64" s="1387"/>
      <c r="ED64" s="1387"/>
      <c r="EE64" s="1387"/>
      <c r="EF64" s="1387"/>
      <c r="EG64" s="1387"/>
      <c r="EH64" s="1387"/>
      <c r="EI64" s="1387"/>
      <c r="EJ64" s="1387"/>
      <c r="EK64" s="1398"/>
      <c r="EL64" s="1387"/>
      <c r="EM64" s="1398"/>
      <c r="EN64" s="1387"/>
      <c r="EO64" s="1398"/>
      <c r="EP64" s="1387"/>
      <c r="EQ64" s="1387"/>
      <c r="ER64" s="1387"/>
      <c r="ES64" s="1387"/>
    </row>
    <row r="65" spans="1:149" s="168" customFormat="1" ht="15">
      <c r="B65" s="3410" t="s">
        <v>82</v>
      </c>
      <c r="C65" s="3410"/>
      <c r="D65" s="3410"/>
      <c r="E65" s="3410"/>
      <c r="F65" s="3410"/>
      <c r="G65" s="3410"/>
      <c r="H65" s="3410"/>
      <c r="I65" s="3410"/>
      <c r="J65" s="3410"/>
      <c r="K65" s="3410"/>
      <c r="L65" s="3410"/>
      <c r="M65" s="3410"/>
      <c r="N65" s="3410"/>
      <c r="O65" s="3410"/>
      <c r="P65" s="3410"/>
      <c r="Q65" s="191"/>
      <c r="R65" s="3410" t="s">
        <v>83</v>
      </c>
      <c r="S65" s="3410"/>
      <c r="T65" s="3410"/>
      <c r="U65" s="191"/>
      <c r="AA65" s="3410" t="s">
        <v>82</v>
      </c>
      <c r="AB65" s="3410"/>
      <c r="AC65" s="3410"/>
      <c r="AD65" s="3410"/>
      <c r="AE65" s="3410"/>
      <c r="AF65" s="3410"/>
      <c r="AG65" s="3410"/>
      <c r="AH65" s="3410"/>
      <c r="AI65" s="3410"/>
      <c r="AJ65" s="3410"/>
      <c r="AK65" s="3410"/>
      <c r="AL65" s="3410"/>
      <c r="AM65" s="3410"/>
      <c r="AN65" s="3410"/>
      <c r="AO65" s="3410"/>
      <c r="AP65" s="191"/>
      <c r="AQ65" s="3410" t="s">
        <v>83</v>
      </c>
      <c r="AR65" s="3410"/>
      <c r="AS65" s="3410"/>
      <c r="AT65" s="191"/>
      <c r="AZ65" s="3410" t="s">
        <v>82</v>
      </c>
      <c r="BA65" s="3410"/>
      <c r="BB65" s="3410"/>
      <c r="BC65" s="3410"/>
      <c r="BD65" s="3410"/>
      <c r="BE65" s="3410"/>
      <c r="BF65" s="3410"/>
      <c r="BG65" s="3410"/>
      <c r="BH65" s="3410"/>
      <c r="BI65" s="3410"/>
      <c r="BJ65" s="3410"/>
      <c r="BK65" s="3410"/>
      <c r="BL65" s="3410"/>
      <c r="BM65" s="3410"/>
      <c r="BN65" s="3410"/>
      <c r="BO65" s="191"/>
      <c r="BP65" s="3410" t="s">
        <v>83</v>
      </c>
      <c r="BQ65" s="3410"/>
      <c r="BR65" s="3410"/>
      <c r="BS65" s="191"/>
      <c r="BY65" s="3410" t="s">
        <v>82</v>
      </c>
      <c r="BZ65" s="3410"/>
      <c r="CA65" s="3410"/>
      <c r="CB65" s="3410"/>
      <c r="CC65" s="3410"/>
      <c r="CD65" s="3410"/>
      <c r="CE65" s="3410"/>
      <c r="CF65" s="3410"/>
      <c r="CG65" s="3410"/>
      <c r="CH65" s="3410"/>
      <c r="CI65" s="3410"/>
      <c r="CJ65" s="3410"/>
      <c r="CK65" s="3410"/>
      <c r="CL65" s="3410"/>
      <c r="CM65" s="3410"/>
      <c r="CN65" s="191"/>
      <c r="CO65" s="3410" t="s">
        <v>83</v>
      </c>
      <c r="CP65" s="3410"/>
      <c r="CQ65" s="3410"/>
      <c r="CR65" s="191"/>
      <c r="CX65" s="3410" t="s">
        <v>82</v>
      </c>
      <c r="CY65" s="3410"/>
      <c r="CZ65" s="3410"/>
      <c r="DA65" s="3410"/>
      <c r="DB65" s="3410"/>
      <c r="DC65" s="3410"/>
      <c r="DD65" s="3410"/>
      <c r="DE65" s="3410"/>
      <c r="DF65" s="3410"/>
      <c r="DG65" s="3410"/>
      <c r="DH65" s="3410"/>
      <c r="DI65" s="3410"/>
      <c r="DJ65" s="3410"/>
      <c r="DK65" s="3410"/>
      <c r="DL65" s="3410"/>
      <c r="DM65" s="191"/>
      <c r="DN65" s="3410" t="s">
        <v>83</v>
      </c>
      <c r="DO65" s="3410"/>
      <c r="DP65" s="3410"/>
      <c r="DQ65" s="191"/>
      <c r="DV65" s="1387"/>
      <c r="DW65" s="3410"/>
      <c r="DX65" s="3410"/>
      <c r="DY65" s="3410"/>
      <c r="DZ65" s="3410"/>
      <c r="EA65" s="3410"/>
      <c r="EB65" s="3410"/>
      <c r="EC65" s="3410"/>
      <c r="ED65" s="3410"/>
      <c r="EE65" s="3410"/>
      <c r="EF65" s="3410"/>
      <c r="EG65" s="3410"/>
      <c r="EH65" s="3410"/>
      <c r="EI65" s="3410"/>
      <c r="EJ65" s="3410"/>
      <c r="EK65" s="3410"/>
      <c r="EL65" s="1399"/>
      <c r="EM65" s="3410"/>
      <c r="EN65" s="3410"/>
      <c r="EO65" s="3410"/>
      <c r="EP65" s="1399"/>
      <c r="EQ65" s="1387"/>
      <c r="ER65" s="1387"/>
      <c r="ES65" s="1387"/>
    </row>
    <row r="66" spans="1:149" s="168" customFormat="1" ht="15">
      <c r="B66" s="191"/>
      <c r="C66" s="191"/>
      <c r="D66" s="191"/>
      <c r="E66" s="191"/>
      <c r="F66" s="191"/>
      <c r="G66" s="191"/>
      <c r="H66" s="191"/>
      <c r="I66" s="191"/>
      <c r="J66" s="191"/>
      <c r="K66" s="191"/>
      <c r="L66" s="191"/>
      <c r="M66" s="191"/>
      <c r="N66" s="191"/>
      <c r="O66" s="191"/>
      <c r="P66" s="187"/>
      <c r="Q66" s="191"/>
      <c r="R66" s="187"/>
      <c r="S66" s="191"/>
      <c r="T66" s="191"/>
      <c r="U66" s="191"/>
      <c r="AA66" s="191"/>
      <c r="AB66" s="191"/>
      <c r="AC66" s="191"/>
      <c r="AD66" s="191"/>
      <c r="AE66" s="191"/>
      <c r="AF66" s="191"/>
      <c r="AG66" s="191"/>
      <c r="AH66" s="191"/>
      <c r="AI66" s="191"/>
      <c r="AJ66" s="191"/>
      <c r="AK66" s="191"/>
      <c r="AL66" s="191"/>
      <c r="AM66" s="191"/>
      <c r="AN66" s="191"/>
      <c r="AO66" s="187"/>
      <c r="AP66" s="191"/>
      <c r="AQ66" s="187"/>
      <c r="AR66" s="191"/>
      <c r="AS66" s="191"/>
      <c r="AT66" s="191"/>
      <c r="AZ66" s="191"/>
      <c r="BA66" s="191"/>
      <c r="BB66" s="191"/>
      <c r="BC66" s="191"/>
      <c r="BD66" s="191"/>
      <c r="BE66" s="191"/>
      <c r="BF66" s="191"/>
      <c r="BG66" s="191"/>
      <c r="BH66" s="191"/>
      <c r="BI66" s="191"/>
      <c r="BJ66" s="191"/>
      <c r="BK66" s="191"/>
      <c r="BL66" s="191"/>
      <c r="BM66" s="191"/>
      <c r="BN66" s="187"/>
      <c r="BO66" s="191"/>
      <c r="BP66" s="187"/>
      <c r="BQ66" s="191"/>
      <c r="BR66" s="191"/>
      <c r="BS66" s="191"/>
      <c r="BY66" s="191"/>
      <c r="BZ66" s="191"/>
      <c r="CA66" s="191"/>
      <c r="CB66" s="191"/>
      <c r="CC66" s="191"/>
      <c r="CD66" s="191"/>
      <c r="CE66" s="191"/>
      <c r="CF66" s="191"/>
      <c r="CG66" s="191"/>
      <c r="CH66" s="191"/>
      <c r="CI66" s="191"/>
      <c r="CJ66" s="191"/>
      <c r="CK66" s="191"/>
      <c r="CL66" s="191"/>
      <c r="CM66" s="187"/>
      <c r="CN66" s="191"/>
      <c r="CO66" s="187"/>
      <c r="CP66" s="191"/>
      <c r="CQ66" s="191"/>
      <c r="CR66" s="191"/>
      <c r="CX66" s="191"/>
      <c r="CY66" s="191"/>
      <c r="CZ66" s="191"/>
      <c r="DA66" s="191"/>
      <c r="DB66" s="191"/>
      <c r="DC66" s="191"/>
      <c r="DD66" s="191"/>
      <c r="DE66" s="191"/>
      <c r="DF66" s="191"/>
      <c r="DG66" s="191"/>
      <c r="DH66" s="191"/>
      <c r="DI66" s="191"/>
      <c r="DJ66" s="191"/>
      <c r="DK66" s="191"/>
      <c r="DL66" s="187"/>
      <c r="DM66" s="191"/>
      <c r="DN66" s="187"/>
      <c r="DO66" s="191"/>
      <c r="DP66" s="191"/>
      <c r="DQ66" s="191"/>
      <c r="DV66" s="1387"/>
      <c r="DW66" s="1399"/>
      <c r="DX66" s="1399"/>
      <c r="DY66" s="1399"/>
      <c r="DZ66" s="1399"/>
      <c r="EA66" s="1399"/>
      <c r="EB66" s="1399"/>
      <c r="EC66" s="1399"/>
      <c r="ED66" s="1399"/>
      <c r="EE66" s="1399"/>
      <c r="EF66" s="1399"/>
      <c r="EG66" s="1399"/>
      <c r="EH66" s="1399"/>
      <c r="EI66" s="1399"/>
      <c r="EJ66" s="1399"/>
      <c r="EK66" s="1396"/>
      <c r="EL66" s="1399"/>
      <c r="EM66" s="1396"/>
      <c r="EN66" s="1399"/>
      <c r="EO66" s="1399"/>
      <c r="EP66" s="1399"/>
      <c r="EQ66" s="1387"/>
      <c r="ER66" s="1387"/>
      <c r="ES66" s="1387"/>
    </row>
    <row r="67" spans="1:149" s="168" customFormat="1" ht="15">
      <c r="B67" s="191"/>
      <c r="C67" s="191"/>
      <c r="D67" s="191"/>
      <c r="E67" s="191"/>
      <c r="F67" s="191"/>
      <c r="G67" s="191"/>
      <c r="H67" s="191"/>
      <c r="I67" s="191"/>
      <c r="J67" s="191"/>
      <c r="K67" s="191"/>
      <c r="L67" s="191"/>
      <c r="M67" s="191"/>
      <c r="N67" s="191"/>
      <c r="O67" s="191"/>
      <c r="P67" s="187"/>
      <c r="Q67" s="191"/>
      <c r="R67" s="187"/>
      <c r="S67" s="191"/>
      <c r="T67" s="191"/>
      <c r="U67" s="191"/>
      <c r="AA67" s="191"/>
      <c r="AB67" s="191"/>
      <c r="AC67" s="191"/>
      <c r="AD67" s="191"/>
      <c r="AE67" s="191"/>
      <c r="AF67" s="191"/>
      <c r="AG67" s="191"/>
      <c r="AH67" s="191"/>
      <c r="AI67" s="191"/>
      <c r="AJ67" s="191"/>
      <c r="AK67" s="191"/>
      <c r="AL67" s="191"/>
      <c r="AM67" s="191"/>
      <c r="AN67" s="191"/>
      <c r="AO67" s="187"/>
      <c r="AP67" s="191"/>
      <c r="AQ67" s="187"/>
      <c r="AR67" s="191"/>
      <c r="AS67" s="191"/>
      <c r="AT67" s="191"/>
      <c r="AZ67" s="191"/>
      <c r="BA67" s="191"/>
      <c r="BB67" s="191"/>
      <c r="BC67" s="191"/>
      <c r="BD67" s="191"/>
      <c r="BE67" s="191"/>
      <c r="BF67" s="191"/>
      <c r="BG67" s="191"/>
      <c r="BH67" s="191"/>
      <c r="BI67" s="191"/>
      <c r="BJ67" s="191"/>
      <c r="BK67" s="191"/>
      <c r="BL67" s="191"/>
      <c r="BM67" s="191"/>
      <c r="BN67" s="187"/>
      <c r="BO67" s="191"/>
      <c r="BP67" s="187"/>
      <c r="BQ67" s="191"/>
      <c r="BR67" s="191"/>
      <c r="BS67" s="191"/>
      <c r="BY67" s="191"/>
      <c r="BZ67" s="191"/>
      <c r="CA67" s="191"/>
      <c r="CB67" s="191"/>
      <c r="CC67" s="191"/>
      <c r="CD67" s="191"/>
      <c r="CE67" s="191"/>
      <c r="CF67" s="191"/>
      <c r="CG67" s="191"/>
      <c r="CH67" s="191"/>
      <c r="CI67" s="191"/>
      <c r="CJ67" s="191"/>
      <c r="CK67" s="191"/>
      <c r="CL67" s="191"/>
      <c r="CM67" s="187"/>
      <c r="CN67" s="191"/>
      <c r="CO67" s="187"/>
      <c r="CP67" s="191"/>
      <c r="CQ67" s="191"/>
      <c r="CR67" s="191"/>
      <c r="CX67" s="191"/>
      <c r="CY67" s="191"/>
      <c r="CZ67" s="191"/>
      <c r="DA67" s="191"/>
      <c r="DB67" s="191"/>
      <c r="DC67" s="191"/>
      <c r="DD67" s="191"/>
      <c r="DE67" s="191"/>
      <c r="DF67" s="191"/>
      <c r="DG67" s="191"/>
      <c r="DH67" s="191"/>
      <c r="DI67" s="191"/>
      <c r="DJ67" s="191"/>
      <c r="DK67" s="191"/>
      <c r="DL67" s="187"/>
      <c r="DM67" s="191"/>
      <c r="DN67" s="187"/>
      <c r="DO67" s="191"/>
      <c r="DP67" s="191"/>
      <c r="DQ67" s="191"/>
      <c r="DV67" s="1387"/>
      <c r="DW67" s="1399"/>
      <c r="DX67" s="1399"/>
      <c r="DY67" s="1399"/>
      <c r="DZ67" s="1399"/>
      <c r="EA67" s="1399"/>
      <c r="EB67" s="1399"/>
      <c r="EC67" s="1399"/>
      <c r="ED67" s="1399"/>
      <c r="EE67" s="1399"/>
      <c r="EF67" s="1399"/>
      <c r="EG67" s="1399"/>
      <c r="EH67" s="1399"/>
      <c r="EI67" s="1399"/>
      <c r="EJ67" s="1399"/>
      <c r="EK67" s="1396"/>
      <c r="EL67" s="1399"/>
      <c r="EM67" s="1396"/>
      <c r="EN67" s="1399"/>
      <c r="EO67" s="1399"/>
      <c r="EP67" s="1399"/>
      <c r="EQ67" s="1387"/>
      <c r="ER67" s="1387"/>
      <c r="ES67" s="1387"/>
    </row>
    <row r="68" spans="1:149" s="168" customFormat="1" ht="15">
      <c r="B68" s="191"/>
      <c r="C68" s="191"/>
      <c r="D68" s="191"/>
      <c r="E68" s="191"/>
      <c r="F68" s="191"/>
      <c r="G68" s="191"/>
      <c r="H68" s="191"/>
      <c r="I68" s="191"/>
      <c r="J68" s="191"/>
      <c r="K68" s="191"/>
      <c r="L68" s="191"/>
      <c r="M68" s="191"/>
      <c r="N68" s="191"/>
      <c r="O68" s="191"/>
      <c r="P68" s="187"/>
      <c r="Q68" s="191"/>
      <c r="R68" s="187"/>
      <c r="S68" s="191"/>
      <c r="T68" s="191"/>
      <c r="U68" s="191"/>
      <c r="AA68" s="191"/>
      <c r="AB68" s="191"/>
      <c r="AC68" s="191"/>
      <c r="AD68" s="191"/>
      <c r="AE68" s="191"/>
      <c r="AF68" s="191"/>
      <c r="AG68" s="191"/>
      <c r="AH68" s="191"/>
      <c r="AI68" s="191"/>
      <c r="AJ68" s="191"/>
      <c r="AK68" s="191"/>
      <c r="AL68" s="191"/>
      <c r="AM68" s="191"/>
      <c r="AN68" s="191"/>
      <c r="AO68" s="187"/>
      <c r="AP68" s="191"/>
      <c r="AQ68" s="187"/>
      <c r="AR68" s="191"/>
      <c r="AS68" s="191"/>
      <c r="AT68" s="191"/>
      <c r="AZ68" s="191"/>
      <c r="BA68" s="191"/>
      <c r="BB68" s="191"/>
      <c r="BC68" s="191"/>
      <c r="BD68" s="191"/>
      <c r="BE68" s="191"/>
      <c r="BF68" s="191"/>
      <c r="BG68" s="191"/>
      <c r="BH68" s="191"/>
      <c r="BI68" s="191"/>
      <c r="BJ68" s="191"/>
      <c r="BK68" s="191"/>
      <c r="BL68" s="191"/>
      <c r="BM68" s="191"/>
      <c r="BN68" s="187"/>
      <c r="BO68" s="191"/>
      <c r="BP68" s="187"/>
      <c r="BQ68" s="191"/>
      <c r="BR68" s="191"/>
      <c r="BS68" s="191"/>
      <c r="BY68" s="191"/>
      <c r="BZ68" s="191"/>
      <c r="CA68" s="191"/>
      <c r="CB68" s="191"/>
      <c r="CC68" s="191"/>
      <c r="CD68" s="191"/>
      <c r="CE68" s="191"/>
      <c r="CF68" s="191"/>
      <c r="CG68" s="191"/>
      <c r="CH68" s="191"/>
      <c r="CI68" s="191"/>
      <c r="CJ68" s="191"/>
      <c r="CK68" s="191"/>
      <c r="CL68" s="191"/>
      <c r="CM68" s="187"/>
      <c r="CN68" s="191"/>
      <c r="CO68" s="187"/>
      <c r="CP68" s="191"/>
      <c r="CQ68" s="191"/>
      <c r="CR68" s="191"/>
      <c r="CX68" s="191"/>
      <c r="CY68" s="191"/>
      <c r="CZ68" s="191"/>
      <c r="DA68" s="191"/>
      <c r="DB68" s="191"/>
      <c r="DC68" s="191"/>
      <c r="DD68" s="191"/>
      <c r="DE68" s="191"/>
      <c r="DF68" s="191"/>
      <c r="DG68" s="191"/>
      <c r="DH68" s="191"/>
      <c r="DI68" s="191"/>
      <c r="DJ68" s="191"/>
      <c r="DK68" s="191"/>
      <c r="DL68" s="187"/>
      <c r="DM68" s="191"/>
      <c r="DN68" s="187"/>
      <c r="DO68" s="191"/>
      <c r="DP68" s="191"/>
      <c r="DQ68" s="191"/>
      <c r="DV68" s="1387"/>
      <c r="DW68" s="1399"/>
      <c r="DX68" s="1399"/>
      <c r="DY68" s="1399"/>
      <c r="DZ68" s="1399"/>
      <c r="EA68" s="1399"/>
      <c r="EB68" s="1399"/>
      <c r="EC68" s="1399"/>
      <c r="ED68" s="1399"/>
      <c r="EE68" s="1399"/>
      <c r="EF68" s="1399"/>
      <c r="EG68" s="1399"/>
      <c r="EH68" s="1399"/>
      <c r="EI68" s="1399"/>
      <c r="EJ68" s="1399"/>
      <c r="EK68" s="1396"/>
      <c r="EL68" s="1399"/>
      <c r="EM68" s="1396"/>
      <c r="EN68" s="1399"/>
      <c r="EO68" s="1399"/>
      <c r="EP68" s="1399"/>
      <c r="EQ68" s="1387"/>
      <c r="ER68" s="1387"/>
      <c r="ES68" s="1387"/>
    </row>
    <row r="69" spans="1:149" s="168" customFormat="1" ht="15">
      <c r="B69" s="191"/>
      <c r="C69" s="191"/>
      <c r="D69" s="191"/>
      <c r="E69" s="191"/>
      <c r="F69" s="191"/>
      <c r="G69" s="191"/>
      <c r="H69" s="191"/>
      <c r="I69" s="191"/>
      <c r="J69" s="191"/>
      <c r="K69" s="191"/>
      <c r="L69" s="191"/>
      <c r="M69" s="191"/>
      <c r="N69" s="191"/>
      <c r="O69" s="191"/>
      <c r="P69" s="187"/>
      <c r="Q69" s="191"/>
      <c r="R69" s="187"/>
      <c r="S69" s="191"/>
      <c r="T69" s="191"/>
      <c r="U69" s="191"/>
      <c r="AA69" s="191"/>
      <c r="AB69" s="191"/>
      <c r="AC69" s="191"/>
      <c r="AD69" s="191"/>
      <c r="AE69" s="191"/>
      <c r="AF69" s="191"/>
      <c r="AG69" s="191"/>
      <c r="AH69" s="191"/>
      <c r="AI69" s="191"/>
      <c r="AJ69" s="191"/>
      <c r="AK69" s="191"/>
      <c r="AL69" s="191"/>
      <c r="AM69" s="191"/>
      <c r="AN69" s="191"/>
      <c r="AO69" s="187"/>
      <c r="AP69" s="191"/>
      <c r="AQ69" s="187"/>
      <c r="AR69" s="191"/>
      <c r="AS69" s="191"/>
      <c r="AT69" s="191"/>
      <c r="AZ69" s="191"/>
      <c r="BA69" s="191"/>
      <c r="BB69" s="191"/>
      <c r="BC69" s="191"/>
      <c r="BD69" s="191"/>
      <c r="BE69" s="191"/>
      <c r="BF69" s="191"/>
      <c r="BG69" s="191"/>
      <c r="BH69" s="191"/>
      <c r="BI69" s="191"/>
      <c r="BJ69" s="191"/>
      <c r="BK69" s="191"/>
      <c r="BL69" s="191"/>
      <c r="BM69" s="191"/>
      <c r="BN69" s="187"/>
      <c r="BO69" s="191"/>
      <c r="BP69" s="187"/>
      <c r="BQ69" s="191"/>
      <c r="BR69" s="191"/>
      <c r="BS69" s="191"/>
      <c r="BY69" s="191"/>
      <c r="BZ69" s="191"/>
      <c r="CA69" s="191"/>
      <c r="CB69" s="191"/>
      <c r="CC69" s="191"/>
      <c r="CD69" s="191"/>
      <c r="CE69" s="191"/>
      <c r="CF69" s="191"/>
      <c r="CG69" s="191"/>
      <c r="CH69" s="191"/>
      <c r="CI69" s="191"/>
      <c r="CJ69" s="191"/>
      <c r="CK69" s="191"/>
      <c r="CL69" s="191"/>
      <c r="CM69" s="187"/>
      <c r="CN69" s="191"/>
      <c r="CO69" s="187"/>
      <c r="CP69" s="191"/>
      <c r="CQ69" s="191"/>
      <c r="CR69" s="191"/>
      <c r="CX69" s="191"/>
      <c r="CY69" s="191"/>
      <c r="CZ69" s="191"/>
      <c r="DA69" s="191"/>
      <c r="DB69" s="191"/>
      <c r="DC69" s="191"/>
      <c r="DD69" s="191"/>
      <c r="DE69" s="191"/>
      <c r="DF69" s="191"/>
      <c r="DG69" s="191"/>
      <c r="DH69" s="191"/>
      <c r="DI69" s="191"/>
      <c r="DJ69" s="191"/>
      <c r="DK69" s="191"/>
      <c r="DL69" s="187"/>
      <c r="DM69" s="191"/>
      <c r="DN69" s="187"/>
      <c r="DO69" s="191"/>
      <c r="DP69" s="191"/>
      <c r="DQ69" s="191"/>
      <c r="DV69" s="1387"/>
      <c r="DW69" s="1399"/>
      <c r="DX69" s="1399"/>
      <c r="DY69" s="1399"/>
      <c r="DZ69" s="1399"/>
      <c r="EA69" s="1399"/>
      <c r="EB69" s="1399"/>
      <c r="EC69" s="1399"/>
      <c r="ED69" s="1399"/>
      <c r="EE69" s="1399"/>
      <c r="EF69" s="1399"/>
      <c r="EG69" s="1399"/>
      <c r="EH69" s="1399"/>
      <c r="EI69" s="1399"/>
      <c r="EJ69" s="1399"/>
      <c r="EK69" s="1396"/>
      <c r="EL69" s="1399"/>
      <c r="EM69" s="1396"/>
      <c r="EN69" s="1399"/>
      <c r="EO69" s="1399"/>
      <c r="EP69" s="1399"/>
      <c r="EQ69" s="1387"/>
      <c r="ER69" s="1387"/>
      <c r="ES69" s="1387"/>
    </row>
    <row r="70" spans="1:149" s="168" customFormat="1" ht="15">
      <c r="B70" s="192" t="s">
        <v>2643</v>
      </c>
      <c r="C70" s="193"/>
      <c r="D70" s="3410" t="str">
        <f>$D$34</f>
        <v>-</v>
      </c>
      <c r="E70" s="3410"/>
      <c r="G70" s="192" t="str">
        <f>$G$34</f>
        <v>-</v>
      </c>
      <c r="H70" s="192"/>
      <c r="I70" s="192" t="str">
        <f>$I$34</f>
        <v>Yudi B</v>
      </c>
      <c r="J70" s="192"/>
      <c r="K70" s="187" t="str">
        <f>$K$34</f>
        <v>Endang Taryana</v>
      </c>
      <c r="L70" s="192"/>
      <c r="M70" s="192"/>
      <c r="N70" s="192"/>
      <c r="O70" s="192"/>
      <c r="P70" s="194"/>
      <c r="Q70" s="192"/>
      <c r="R70" s="3410" t="str">
        <f>$R$34</f>
        <v>Arin Yustini, SE</v>
      </c>
      <c r="S70" s="3410"/>
      <c r="T70" s="3410"/>
      <c r="U70" s="191"/>
      <c r="AA70" s="192" t="str">
        <f>$B$34</f>
        <v>Dadin</v>
      </c>
      <c r="AB70" s="193"/>
      <c r="AC70" s="3410" t="str">
        <f>$D$34</f>
        <v>-</v>
      </c>
      <c r="AD70" s="3410"/>
      <c r="AF70" s="192" t="str">
        <f>$G$34</f>
        <v>-</v>
      </c>
      <c r="AG70" s="192"/>
      <c r="AH70" s="192" t="str">
        <f>$I$34</f>
        <v>Yudi B</v>
      </c>
      <c r="AI70" s="192"/>
      <c r="AJ70" s="187" t="str">
        <f>$K$34</f>
        <v>Endang Taryana</v>
      </c>
      <c r="AK70" s="192"/>
      <c r="AL70" s="192"/>
      <c r="AM70" s="192"/>
      <c r="AN70" s="192"/>
      <c r="AO70" s="194"/>
      <c r="AP70" s="192"/>
      <c r="AQ70" s="3410" t="str">
        <f>$R$34</f>
        <v>Arin Yustini, SE</v>
      </c>
      <c r="AR70" s="3410"/>
      <c r="AS70" s="3410"/>
      <c r="AT70" s="191"/>
      <c r="AZ70" s="192" t="str">
        <f>$B$34</f>
        <v>Dadin</v>
      </c>
      <c r="BA70" s="193"/>
      <c r="BB70" s="3410" t="str">
        <f>$D$34</f>
        <v>-</v>
      </c>
      <c r="BC70" s="3410"/>
      <c r="BE70" s="192" t="str">
        <f>$G$34</f>
        <v>-</v>
      </c>
      <c r="BF70" s="192"/>
      <c r="BG70" s="192" t="str">
        <f>$I$34</f>
        <v>Yudi B</v>
      </c>
      <c r="BH70" s="192"/>
      <c r="BI70" s="187" t="str">
        <f>$K$34</f>
        <v>Endang Taryana</v>
      </c>
      <c r="BJ70" s="192"/>
      <c r="BK70" s="192"/>
      <c r="BL70" s="192"/>
      <c r="BM70" s="192"/>
      <c r="BN70" s="194"/>
      <c r="BO70" s="192"/>
      <c r="BP70" s="3410" t="str">
        <f>$R$34</f>
        <v>Arin Yustini, SE</v>
      </c>
      <c r="BQ70" s="3410"/>
      <c r="BR70" s="3410"/>
      <c r="BS70" s="191"/>
      <c r="BY70" s="192" t="str">
        <f>$B$34</f>
        <v>Dadin</v>
      </c>
      <c r="BZ70" s="193"/>
      <c r="CA70" s="3410" t="str">
        <f>$D$34</f>
        <v>-</v>
      </c>
      <c r="CB70" s="3410"/>
      <c r="CD70" s="192" t="str">
        <f>$G$34</f>
        <v>-</v>
      </c>
      <c r="CE70" s="192"/>
      <c r="CF70" s="192" t="str">
        <f>$I$34</f>
        <v>Yudi B</v>
      </c>
      <c r="CG70" s="192"/>
      <c r="CH70" s="187" t="str">
        <f>$K$34</f>
        <v>Endang Taryana</v>
      </c>
      <c r="CI70" s="192"/>
      <c r="CJ70" s="192"/>
      <c r="CK70" s="192"/>
      <c r="CL70" s="192"/>
      <c r="CM70" s="194"/>
      <c r="CN70" s="192"/>
      <c r="CO70" s="3410" t="str">
        <f>$R$34</f>
        <v>Arin Yustini, SE</v>
      </c>
      <c r="CP70" s="3410"/>
      <c r="CQ70" s="3410"/>
      <c r="CR70" s="191"/>
      <c r="CX70" s="192" t="str">
        <f>$B$34</f>
        <v>Dadin</v>
      </c>
      <c r="CY70" s="193"/>
      <c r="CZ70" s="3410" t="str">
        <f>$D$34</f>
        <v>-</v>
      </c>
      <c r="DA70" s="3410"/>
      <c r="DC70" s="192" t="str">
        <f>$G$34</f>
        <v>-</v>
      </c>
      <c r="DD70" s="192"/>
      <c r="DE70" s="192" t="str">
        <f>$I$34</f>
        <v>Yudi B</v>
      </c>
      <c r="DF70" s="192"/>
      <c r="DG70" s="187" t="str">
        <f>$K$34</f>
        <v>Endang Taryana</v>
      </c>
      <c r="DH70" s="192"/>
      <c r="DI70" s="192"/>
      <c r="DJ70" s="192"/>
      <c r="DK70" s="192"/>
      <c r="DL70" s="194"/>
      <c r="DM70" s="192"/>
      <c r="DN70" s="3410" t="str">
        <f>$R$34</f>
        <v>Arin Yustini, SE</v>
      </c>
      <c r="DO70" s="3410"/>
      <c r="DP70" s="3410"/>
      <c r="DQ70" s="191"/>
      <c r="DV70" s="1387"/>
      <c r="DW70" s="1400"/>
      <c r="DX70" s="1401"/>
      <c r="DY70" s="3410"/>
      <c r="DZ70" s="3410"/>
      <c r="EA70" s="1387"/>
      <c r="EB70" s="1400"/>
      <c r="EC70" s="1400"/>
      <c r="ED70" s="1400"/>
      <c r="EE70" s="1400"/>
      <c r="EF70" s="1396"/>
      <c r="EG70" s="1400"/>
      <c r="EH70" s="1400"/>
      <c r="EI70" s="1400"/>
      <c r="EJ70" s="1400"/>
      <c r="EK70" s="1402"/>
      <c r="EL70" s="1400"/>
      <c r="EM70" s="3410"/>
      <c r="EN70" s="3410"/>
      <c r="EO70" s="3410"/>
      <c r="EP70" s="1399"/>
      <c r="EQ70" s="1387"/>
      <c r="ER70" s="1387"/>
      <c r="ES70" s="1387"/>
    </row>
    <row r="71" spans="1:149" s="168" customFormat="1" ht="15">
      <c r="B71" s="191" t="str">
        <f>$B$35</f>
        <v>BKAD</v>
      </c>
      <c r="D71" s="3410" t="str">
        <f>$D$35</f>
        <v xml:space="preserve">Fasilitator Kecamatan </v>
      </c>
      <c r="E71" s="3410"/>
      <c r="G71" s="191" t="str">
        <f>$G$35</f>
        <v>Fasilitator Teknik</v>
      </c>
      <c r="H71" s="191"/>
      <c r="I71" s="191" t="s">
        <v>2640</v>
      </c>
      <c r="J71" s="191"/>
      <c r="K71" s="187" t="str">
        <f>$K$35</f>
        <v>Ketua UPK</v>
      </c>
      <c r="L71" s="191"/>
      <c r="M71" s="192"/>
      <c r="N71" s="191"/>
      <c r="O71" s="191"/>
      <c r="P71" s="187"/>
      <c r="Q71" s="191"/>
      <c r="R71" s="3410" t="str">
        <f>$R$35</f>
        <v>Bendahara UPK</v>
      </c>
      <c r="S71" s="3410"/>
      <c r="T71" s="3410"/>
      <c r="U71" s="191"/>
      <c r="AA71" s="191" t="str">
        <f>$B$35</f>
        <v>BKAD</v>
      </c>
      <c r="AC71" s="3410" t="str">
        <f>$D$35</f>
        <v xml:space="preserve">Fasilitator Kecamatan </v>
      </c>
      <c r="AD71" s="3410"/>
      <c r="AF71" s="191" t="str">
        <f>$G$35</f>
        <v>Fasilitator Teknik</v>
      </c>
      <c r="AG71" s="191"/>
      <c r="AH71" s="191" t="str">
        <f>$I$35</f>
        <v>PJOK</v>
      </c>
      <c r="AI71" s="191"/>
      <c r="AJ71" s="187" t="str">
        <f>$K$35</f>
        <v>Ketua UPK</v>
      </c>
      <c r="AK71" s="191"/>
      <c r="AL71" s="192"/>
      <c r="AM71" s="191"/>
      <c r="AN71" s="191"/>
      <c r="AO71" s="187"/>
      <c r="AP71" s="191"/>
      <c r="AQ71" s="3410" t="str">
        <f>$R$35</f>
        <v>Bendahara UPK</v>
      </c>
      <c r="AR71" s="3410"/>
      <c r="AS71" s="3410"/>
      <c r="AT71" s="191"/>
      <c r="AZ71" s="191" t="str">
        <f>$B$35</f>
        <v>BKAD</v>
      </c>
      <c r="BB71" s="3410" t="str">
        <f>$D$35</f>
        <v xml:space="preserve">Fasilitator Kecamatan </v>
      </c>
      <c r="BC71" s="3410"/>
      <c r="BE71" s="191" t="str">
        <f>$G$35</f>
        <v>Fasilitator Teknik</v>
      </c>
      <c r="BF71" s="191"/>
      <c r="BG71" s="191" t="str">
        <f>$I$35</f>
        <v>PJOK</v>
      </c>
      <c r="BH71" s="191"/>
      <c r="BI71" s="187" t="str">
        <f>$K$35</f>
        <v>Ketua UPK</v>
      </c>
      <c r="BJ71" s="191"/>
      <c r="BK71" s="192"/>
      <c r="BL71" s="191"/>
      <c r="BM71" s="191"/>
      <c r="BN71" s="187"/>
      <c r="BO71" s="191"/>
      <c r="BP71" s="3410" t="str">
        <f>$R$35</f>
        <v>Bendahara UPK</v>
      </c>
      <c r="BQ71" s="3410"/>
      <c r="BR71" s="3410"/>
      <c r="BS71" s="191"/>
      <c r="BY71" s="191" t="str">
        <f>$B$35</f>
        <v>BKAD</v>
      </c>
      <c r="CA71" s="3410" t="str">
        <f>$D$35</f>
        <v xml:space="preserve">Fasilitator Kecamatan </v>
      </c>
      <c r="CB71" s="3410"/>
      <c r="CD71" s="191" t="str">
        <f>$G$35</f>
        <v>Fasilitator Teknik</v>
      </c>
      <c r="CE71" s="191"/>
      <c r="CF71" s="191" t="str">
        <f>$I$35</f>
        <v>PJOK</v>
      </c>
      <c r="CG71" s="191"/>
      <c r="CH71" s="187" t="str">
        <f>$K$35</f>
        <v>Ketua UPK</v>
      </c>
      <c r="CI71" s="191"/>
      <c r="CJ71" s="192"/>
      <c r="CK71" s="191"/>
      <c r="CL71" s="191"/>
      <c r="CM71" s="187"/>
      <c r="CN71" s="191"/>
      <c r="CO71" s="3410" t="str">
        <f>$R$35</f>
        <v>Bendahara UPK</v>
      </c>
      <c r="CP71" s="3410"/>
      <c r="CQ71" s="3410"/>
      <c r="CR71" s="191"/>
      <c r="CX71" s="191" t="str">
        <f>$B$35</f>
        <v>BKAD</v>
      </c>
      <c r="CZ71" s="3410" t="str">
        <f>$D$35</f>
        <v xml:space="preserve">Fasilitator Kecamatan </v>
      </c>
      <c r="DA71" s="3410"/>
      <c r="DC71" s="191" t="str">
        <f>$G$35</f>
        <v>Fasilitator Teknik</v>
      </c>
      <c r="DD71" s="191"/>
      <c r="DE71" s="191" t="str">
        <f>$I$35</f>
        <v>PJOK</v>
      </c>
      <c r="DF71" s="191"/>
      <c r="DG71" s="187" t="str">
        <f>$K$35</f>
        <v>Ketua UPK</v>
      </c>
      <c r="DH71" s="191"/>
      <c r="DI71" s="192"/>
      <c r="DJ71" s="191"/>
      <c r="DK71" s="191"/>
      <c r="DL71" s="187"/>
      <c r="DM71" s="191"/>
      <c r="DN71" s="3410" t="str">
        <f>$R$35</f>
        <v>Bendahara UPK</v>
      </c>
      <c r="DO71" s="3410"/>
      <c r="DP71" s="3410"/>
      <c r="DQ71" s="191"/>
      <c r="DV71" s="1387"/>
      <c r="DW71" s="1399"/>
      <c r="DX71" s="1387"/>
      <c r="DY71" s="3410"/>
      <c r="DZ71" s="3410"/>
      <c r="EA71" s="1387"/>
      <c r="EB71" s="1399"/>
      <c r="EC71" s="1399"/>
      <c r="ED71" s="1399"/>
      <c r="EE71" s="1399"/>
      <c r="EF71" s="1396"/>
      <c r="EG71" s="1399"/>
      <c r="EH71" s="1400"/>
      <c r="EI71" s="1399"/>
      <c r="EJ71" s="1399"/>
      <c r="EK71" s="1396"/>
      <c r="EL71" s="1399"/>
      <c r="EM71" s="3410"/>
      <c r="EN71" s="3410"/>
      <c r="EO71" s="3410"/>
      <c r="EP71" s="1399"/>
      <c r="EQ71" s="1387"/>
      <c r="ER71" s="1387"/>
      <c r="ES71" s="1387"/>
    </row>
    <row r="73" spans="1:149">
      <c r="A73" s="3410" t="s">
        <v>0</v>
      </c>
      <c r="B73" s="3410"/>
      <c r="C73" s="3410"/>
      <c r="D73" s="3410"/>
      <c r="E73" s="3410"/>
      <c r="F73" s="3410"/>
      <c r="G73" s="3410"/>
      <c r="H73" s="3410"/>
      <c r="I73" s="3410"/>
      <c r="J73" s="3410"/>
      <c r="K73" s="3410"/>
      <c r="L73" s="3410"/>
      <c r="M73" s="3410"/>
      <c r="N73" s="3410"/>
      <c r="O73" s="3410"/>
      <c r="P73" s="3410"/>
      <c r="Q73" s="3410"/>
      <c r="R73" s="3410"/>
      <c r="S73" s="3410"/>
      <c r="T73" s="3410"/>
      <c r="U73" s="3410"/>
      <c r="Z73" s="3410" t="s">
        <v>0</v>
      </c>
      <c r="AA73" s="3410"/>
      <c r="AB73" s="3410"/>
      <c r="AC73" s="3410"/>
      <c r="AD73" s="3410"/>
      <c r="AE73" s="3410"/>
      <c r="AF73" s="3410"/>
      <c r="AG73" s="3410"/>
      <c r="AH73" s="3410"/>
      <c r="AI73" s="3410"/>
      <c r="AJ73" s="3410"/>
      <c r="AK73" s="3410"/>
      <c r="AL73" s="3410"/>
      <c r="AM73" s="3410"/>
      <c r="AN73" s="3410"/>
      <c r="AO73" s="3410"/>
      <c r="AP73" s="3410"/>
      <c r="AQ73" s="3410"/>
      <c r="AR73" s="3410"/>
      <c r="AS73" s="3410"/>
      <c r="AT73" s="3410"/>
      <c r="AY73" s="3410" t="s">
        <v>0</v>
      </c>
      <c r="AZ73" s="3410"/>
      <c r="BA73" s="3410"/>
      <c r="BB73" s="3410"/>
      <c r="BC73" s="3410"/>
      <c r="BD73" s="3410"/>
      <c r="BE73" s="3410"/>
      <c r="BF73" s="3410"/>
      <c r="BG73" s="3410"/>
      <c r="BH73" s="3410"/>
      <c r="BI73" s="3410"/>
      <c r="BJ73" s="3410"/>
      <c r="BK73" s="3410"/>
      <c r="BL73" s="3410"/>
      <c r="BM73" s="3410"/>
      <c r="BN73" s="3410"/>
      <c r="BO73" s="3410"/>
      <c r="BP73" s="3410"/>
      <c r="BQ73" s="3410"/>
      <c r="BR73" s="3410"/>
      <c r="BS73" s="3410"/>
      <c r="BX73" s="3410" t="s">
        <v>0</v>
      </c>
      <c r="BY73" s="3410"/>
      <c r="BZ73" s="3410"/>
      <c r="CA73" s="3410"/>
      <c r="CB73" s="3410"/>
      <c r="CC73" s="3410"/>
      <c r="CD73" s="3410"/>
      <c r="CE73" s="3410"/>
      <c r="CF73" s="3410"/>
      <c r="CG73" s="3410"/>
      <c r="CH73" s="3410"/>
      <c r="CI73" s="3410"/>
      <c r="CJ73" s="3410"/>
      <c r="CK73" s="3410"/>
      <c r="CL73" s="3410"/>
      <c r="CM73" s="3410"/>
      <c r="CN73" s="3410"/>
      <c r="CO73" s="3410"/>
      <c r="CP73" s="3410"/>
      <c r="CQ73" s="3410"/>
      <c r="CR73" s="3410"/>
      <c r="CW73" s="3410" t="s">
        <v>0</v>
      </c>
      <c r="CX73" s="3410"/>
      <c r="CY73" s="3410"/>
      <c r="CZ73" s="3410"/>
      <c r="DA73" s="3410"/>
      <c r="DB73" s="3410"/>
      <c r="DC73" s="3410"/>
      <c r="DD73" s="3410"/>
      <c r="DE73" s="3410"/>
      <c r="DF73" s="3410"/>
      <c r="DG73" s="3410"/>
      <c r="DH73" s="3410"/>
      <c r="DI73" s="3410"/>
      <c r="DJ73" s="3410"/>
      <c r="DK73" s="3410"/>
      <c r="DL73" s="3410"/>
      <c r="DM73" s="3410"/>
      <c r="DN73" s="3410"/>
      <c r="DO73" s="3410"/>
      <c r="DP73" s="3410"/>
      <c r="DQ73" s="3410"/>
      <c r="DV73" s="3410" t="s">
        <v>0</v>
      </c>
      <c r="DW73" s="3410"/>
      <c r="DX73" s="3410"/>
      <c r="DY73" s="3410"/>
      <c r="DZ73" s="3410"/>
      <c r="EA73" s="3410"/>
      <c r="EB73" s="3410"/>
      <c r="EC73" s="3410"/>
      <c r="ED73" s="3410"/>
      <c r="EE73" s="3410"/>
      <c r="EF73" s="3410"/>
      <c r="EG73" s="3410"/>
      <c r="EH73" s="3410"/>
      <c r="EI73" s="3410"/>
      <c r="EJ73" s="3410"/>
      <c r="EK73" s="3410"/>
      <c r="EL73" s="3410"/>
      <c r="EM73" s="3410"/>
      <c r="EN73" s="3410"/>
      <c r="EO73" s="3410"/>
      <c r="EP73" s="3410"/>
      <c r="EQ73" s="26"/>
      <c r="ER73" s="27"/>
      <c r="ES73" s="27"/>
    </row>
    <row r="74" spans="1:149">
      <c r="A74" s="3410" t="s">
        <v>1171</v>
      </c>
      <c r="B74" s="3410"/>
      <c r="C74" s="3410"/>
      <c r="D74" s="3410"/>
      <c r="E74" s="3410"/>
      <c r="F74" s="3410"/>
      <c r="G74" s="3410"/>
      <c r="H74" s="3410"/>
      <c r="I74" s="3410"/>
      <c r="J74" s="3410"/>
      <c r="K74" s="3410"/>
      <c r="L74" s="3410"/>
      <c r="M74" s="3410"/>
      <c r="N74" s="3410"/>
      <c r="O74" s="3410"/>
      <c r="P74" s="3410"/>
      <c r="Q74" s="3410"/>
      <c r="R74" s="3410"/>
      <c r="S74" s="3410"/>
      <c r="T74" s="3410"/>
      <c r="U74" s="3410"/>
      <c r="Z74" s="3410" t="s">
        <v>1170</v>
      </c>
      <c r="AA74" s="3410"/>
      <c r="AB74" s="3410"/>
      <c r="AC74" s="3410"/>
      <c r="AD74" s="3410"/>
      <c r="AE74" s="3410"/>
      <c r="AF74" s="3410"/>
      <c r="AG74" s="3410"/>
      <c r="AH74" s="3410"/>
      <c r="AI74" s="3410"/>
      <c r="AJ74" s="3410"/>
      <c r="AK74" s="3410"/>
      <c r="AL74" s="3410"/>
      <c r="AM74" s="3410"/>
      <c r="AN74" s="3410"/>
      <c r="AO74" s="3410"/>
      <c r="AP74" s="3410"/>
      <c r="AQ74" s="3410"/>
      <c r="AR74" s="3410"/>
      <c r="AS74" s="3410"/>
      <c r="AT74" s="3410"/>
      <c r="AY74" s="3410" t="s">
        <v>1172</v>
      </c>
      <c r="AZ74" s="3410"/>
      <c r="BA74" s="3410"/>
      <c r="BB74" s="3410"/>
      <c r="BC74" s="3410"/>
      <c r="BD74" s="3410"/>
      <c r="BE74" s="3410"/>
      <c r="BF74" s="3410"/>
      <c r="BG74" s="3410"/>
      <c r="BH74" s="3410"/>
      <c r="BI74" s="3410"/>
      <c r="BJ74" s="3410"/>
      <c r="BK74" s="3410"/>
      <c r="BL74" s="3410"/>
      <c r="BM74" s="3410"/>
      <c r="BN74" s="3410"/>
      <c r="BO74" s="3410"/>
      <c r="BP74" s="3410"/>
      <c r="BQ74" s="3410"/>
      <c r="BR74" s="3410"/>
      <c r="BS74" s="3410"/>
      <c r="BX74" s="3410" t="s">
        <v>1173</v>
      </c>
      <c r="BY74" s="3410"/>
      <c r="BZ74" s="3410"/>
      <c r="CA74" s="3410"/>
      <c r="CB74" s="3410"/>
      <c r="CC74" s="3410"/>
      <c r="CD74" s="3410"/>
      <c r="CE74" s="3410"/>
      <c r="CF74" s="3410"/>
      <c r="CG74" s="3410"/>
      <c r="CH74" s="3410"/>
      <c r="CI74" s="3410"/>
      <c r="CJ74" s="3410"/>
      <c r="CK74" s="3410"/>
      <c r="CL74" s="3410"/>
      <c r="CM74" s="3410"/>
      <c r="CN74" s="3410"/>
      <c r="CO74" s="3410"/>
      <c r="CP74" s="3410"/>
      <c r="CQ74" s="3410"/>
      <c r="CR74" s="3410"/>
      <c r="CW74" s="3410" t="s">
        <v>1174</v>
      </c>
      <c r="CX74" s="3410"/>
      <c r="CY74" s="3410"/>
      <c r="CZ74" s="3410"/>
      <c r="DA74" s="3410"/>
      <c r="DB74" s="3410"/>
      <c r="DC74" s="3410"/>
      <c r="DD74" s="3410"/>
      <c r="DE74" s="3410"/>
      <c r="DF74" s="3410"/>
      <c r="DG74" s="3410"/>
      <c r="DH74" s="3410"/>
      <c r="DI74" s="3410"/>
      <c r="DJ74" s="3410"/>
      <c r="DK74" s="3410"/>
      <c r="DL74" s="3410"/>
      <c r="DM74" s="3410"/>
      <c r="DN74" s="3410"/>
      <c r="DO74" s="3410"/>
      <c r="DP74" s="3410"/>
      <c r="DQ74" s="3410"/>
      <c r="DV74" s="3410" t="s">
        <v>1177</v>
      </c>
      <c r="DW74" s="3410"/>
      <c r="DX74" s="3410"/>
      <c r="DY74" s="3410"/>
      <c r="DZ74" s="3410"/>
      <c r="EA74" s="3410"/>
      <c r="EB74" s="3410"/>
      <c r="EC74" s="3410"/>
      <c r="ED74" s="3410"/>
      <c r="EE74" s="3410"/>
      <c r="EF74" s="3410"/>
      <c r="EG74" s="3410"/>
      <c r="EH74" s="3410"/>
      <c r="EI74" s="3410"/>
      <c r="EJ74" s="3410"/>
      <c r="EK74" s="3410"/>
      <c r="EL74" s="3410"/>
      <c r="EM74" s="3410"/>
      <c r="EN74" s="3410"/>
      <c r="EO74" s="3410"/>
      <c r="EP74" s="3410"/>
      <c r="EQ74" s="26"/>
      <c r="ER74" s="27"/>
      <c r="ES74" s="27"/>
    </row>
    <row r="75" spans="1:149">
      <c r="A75" s="28"/>
      <c r="B75" s="28"/>
      <c r="C75" s="28"/>
      <c r="D75" s="28"/>
      <c r="E75" s="28"/>
      <c r="F75" s="28"/>
      <c r="G75" s="28"/>
      <c r="H75" s="28"/>
      <c r="I75" s="28"/>
      <c r="J75" s="28"/>
      <c r="K75" s="28"/>
      <c r="L75" s="28"/>
      <c r="M75" s="28"/>
      <c r="N75" s="28"/>
      <c r="O75" s="28"/>
      <c r="P75" s="29"/>
      <c r="Q75" s="28"/>
      <c r="R75" s="29"/>
      <c r="S75" s="28"/>
      <c r="T75" s="28"/>
      <c r="U75" s="28"/>
      <c r="Z75" s="28"/>
      <c r="AA75" s="28"/>
      <c r="AB75" s="28"/>
      <c r="AC75" s="28"/>
      <c r="AD75" s="28"/>
      <c r="AE75" s="28"/>
      <c r="AF75" s="28"/>
      <c r="AG75" s="28"/>
      <c r="AH75" s="28"/>
      <c r="AI75" s="28"/>
      <c r="AJ75" s="28"/>
      <c r="AK75" s="28"/>
      <c r="AL75" s="28"/>
      <c r="AM75" s="28"/>
      <c r="AN75" s="28"/>
      <c r="AO75" s="29"/>
      <c r="AP75" s="28"/>
      <c r="AQ75" s="29"/>
      <c r="AR75" s="28"/>
      <c r="AS75" s="28"/>
      <c r="AT75" s="28"/>
      <c r="AY75" s="28"/>
      <c r="AZ75" s="28"/>
      <c r="BA75" s="28"/>
      <c r="BB75" s="28"/>
      <c r="BC75" s="28"/>
      <c r="BD75" s="28"/>
      <c r="BE75" s="28"/>
      <c r="BF75" s="28"/>
      <c r="BG75" s="28"/>
      <c r="BH75" s="28"/>
      <c r="BI75" s="28"/>
      <c r="BJ75" s="28"/>
      <c r="BK75" s="28"/>
      <c r="BL75" s="28"/>
      <c r="BM75" s="28"/>
      <c r="BN75" s="29"/>
      <c r="BO75" s="28"/>
      <c r="BP75" s="29"/>
      <c r="BQ75" s="28"/>
      <c r="BR75" s="28"/>
      <c r="BS75" s="28"/>
      <c r="BX75" s="28"/>
      <c r="BY75" s="28"/>
      <c r="BZ75" s="28"/>
      <c r="CA75" s="28"/>
      <c r="CB75" s="28"/>
      <c r="CC75" s="28"/>
      <c r="CD75" s="28"/>
      <c r="CE75" s="28"/>
      <c r="CF75" s="28"/>
      <c r="CG75" s="28"/>
      <c r="CH75" s="28"/>
      <c r="CI75" s="28"/>
      <c r="CJ75" s="28"/>
      <c r="CK75" s="28"/>
      <c r="CL75" s="28"/>
      <c r="CM75" s="29"/>
      <c r="CN75" s="28"/>
      <c r="CO75" s="29"/>
      <c r="CP75" s="28"/>
      <c r="CQ75" s="28"/>
      <c r="CR75" s="28"/>
      <c r="CW75" s="28"/>
      <c r="CX75" s="28"/>
      <c r="CY75" s="28"/>
      <c r="CZ75" s="28"/>
      <c r="DA75" s="28"/>
      <c r="DB75" s="28"/>
      <c r="DC75" s="28"/>
      <c r="DD75" s="28"/>
      <c r="DE75" s="28"/>
      <c r="DF75" s="28"/>
      <c r="DG75" s="28"/>
      <c r="DH75" s="28"/>
      <c r="DI75" s="28"/>
      <c r="DJ75" s="28"/>
      <c r="DK75" s="28"/>
      <c r="DL75" s="29"/>
      <c r="DM75" s="28"/>
      <c r="DN75" s="29"/>
      <c r="DO75" s="28"/>
      <c r="DP75" s="28"/>
      <c r="DQ75" s="28"/>
      <c r="DV75" s="28"/>
      <c r="DW75" s="28"/>
      <c r="DX75" s="28"/>
      <c r="DY75" s="28"/>
      <c r="DZ75" s="28"/>
      <c r="EA75" s="28"/>
      <c r="EB75" s="28"/>
      <c r="EC75" s="28"/>
      <c r="ED75" s="28"/>
      <c r="EE75" s="28"/>
      <c r="EF75" s="28"/>
      <c r="EG75" s="28"/>
      <c r="EH75" s="28"/>
      <c r="EI75" s="28"/>
      <c r="EJ75" s="28"/>
      <c r="EK75" s="29"/>
      <c r="EL75" s="28"/>
      <c r="EM75" s="29"/>
      <c r="EN75" s="28"/>
      <c r="EO75" s="28"/>
      <c r="EP75" s="28"/>
      <c r="EQ75" s="26"/>
      <c r="ER75" s="27"/>
      <c r="ES75" s="27"/>
    </row>
    <row r="76" spans="1:149" s="168" customFormat="1" ht="15.75">
      <c r="A76" s="167"/>
      <c r="B76" s="413" t="s">
        <v>2</v>
      </c>
      <c r="C76" s="30" t="str">
        <f>$C$4</f>
        <v>:  Nagrak</v>
      </c>
      <c r="E76" s="167"/>
      <c r="F76" s="167"/>
      <c r="G76" s="167"/>
      <c r="H76" s="167"/>
      <c r="I76" s="167"/>
      <c r="J76" s="167"/>
      <c r="K76" s="167"/>
      <c r="L76" s="167"/>
      <c r="M76" s="167"/>
      <c r="N76" s="167"/>
      <c r="O76" s="167"/>
      <c r="Q76" s="412" t="s">
        <v>71</v>
      </c>
      <c r="R76" s="3410" t="str">
        <f>$R$4</f>
        <v>29 Februari 2016 2016</v>
      </c>
      <c r="S76" s="3410"/>
      <c r="T76" s="167"/>
      <c r="U76" s="167"/>
      <c r="Z76" s="167"/>
      <c r="AA76" s="413" t="s">
        <v>2</v>
      </c>
      <c r="AB76" s="30" t="str">
        <f>$C$4</f>
        <v>:  Nagrak</v>
      </c>
      <c r="AD76" s="167"/>
      <c r="AE76" s="167"/>
      <c r="AF76" s="167"/>
      <c r="AG76" s="167"/>
      <c r="AH76" s="167"/>
      <c r="AI76" s="167"/>
      <c r="AJ76" s="167"/>
      <c r="AK76" s="167"/>
      <c r="AL76" s="167"/>
      <c r="AM76" s="167"/>
      <c r="AN76" s="167"/>
      <c r="AP76" s="412" t="s">
        <v>71</v>
      </c>
      <c r="AQ76" s="3410" t="str">
        <f>$R$4</f>
        <v>29 Februari 2016 2016</v>
      </c>
      <c r="AR76" s="3410"/>
      <c r="AS76" s="167"/>
      <c r="AT76" s="167"/>
      <c r="AY76" s="167"/>
      <c r="AZ76" s="413" t="s">
        <v>2</v>
      </c>
      <c r="BA76" s="30" t="str">
        <f>$C$4</f>
        <v>:  Nagrak</v>
      </c>
      <c r="BC76" s="167"/>
      <c r="BD76" s="167"/>
      <c r="BE76" s="167"/>
      <c r="BF76" s="167"/>
      <c r="BG76" s="167"/>
      <c r="BH76" s="167"/>
      <c r="BI76" s="167"/>
      <c r="BJ76" s="167"/>
      <c r="BK76" s="167"/>
      <c r="BL76" s="167"/>
      <c r="BM76" s="167"/>
      <c r="BO76" s="412" t="s">
        <v>71</v>
      </c>
      <c r="BP76" s="3410" t="str">
        <f>$R$4</f>
        <v>29 Februari 2016 2016</v>
      </c>
      <c r="BQ76" s="3410"/>
      <c r="BR76" s="167"/>
      <c r="BS76" s="167"/>
      <c r="BX76" s="167"/>
      <c r="BY76" s="413" t="s">
        <v>2</v>
      </c>
      <c r="BZ76" s="30" t="str">
        <f>$C$4</f>
        <v>:  Nagrak</v>
      </c>
      <c r="CB76" s="167"/>
      <c r="CC76" s="167"/>
      <c r="CD76" s="167"/>
      <c r="CE76" s="167"/>
      <c r="CF76" s="167"/>
      <c r="CG76" s="167"/>
      <c r="CH76" s="167"/>
      <c r="CI76" s="167"/>
      <c r="CJ76" s="167"/>
      <c r="CK76" s="167"/>
      <c r="CL76" s="167"/>
      <c r="CN76" s="412" t="s">
        <v>71</v>
      </c>
      <c r="CO76" s="3410" t="str">
        <f>$R$4</f>
        <v>29 Februari 2016 2016</v>
      </c>
      <c r="CP76" s="3410"/>
      <c r="CQ76" s="167"/>
      <c r="CR76" s="167"/>
      <c r="CW76" s="167"/>
      <c r="CX76" s="413" t="s">
        <v>2</v>
      </c>
      <c r="CY76" s="30" t="str">
        <f>$C$4</f>
        <v>:  Nagrak</v>
      </c>
      <c r="DA76" s="167"/>
      <c r="DB76" s="167"/>
      <c r="DC76" s="167"/>
      <c r="DD76" s="167"/>
      <c r="DE76" s="167"/>
      <c r="DF76" s="167"/>
      <c r="DG76" s="167"/>
      <c r="DH76" s="167"/>
      <c r="DI76" s="167"/>
      <c r="DJ76" s="167"/>
      <c r="DK76" s="167"/>
      <c r="DM76" s="412" t="s">
        <v>71</v>
      </c>
      <c r="DN76" s="3410" t="str">
        <f>$R$4</f>
        <v>29 Februari 2016 2016</v>
      </c>
      <c r="DO76" s="3410"/>
      <c r="DP76" s="167"/>
      <c r="DQ76" s="167"/>
      <c r="DV76" s="167"/>
      <c r="DW76" s="413" t="s">
        <v>2</v>
      </c>
      <c r="DX76" s="30" t="str">
        <f>$C$4</f>
        <v>:  Nagrak</v>
      </c>
      <c r="DZ76" s="167"/>
      <c r="EA76" s="167"/>
      <c r="EB76" s="167"/>
      <c r="EC76" s="167"/>
      <c r="ED76" s="167"/>
      <c r="EE76" s="167"/>
      <c r="EF76" s="167"/>
      <c r="EG76" s="167"/>
      <c r="EH76" s="167"/>
      <c r="EI76" s="167"/>
      <c r="EJ76" s="167"/>
      <c r="EL76" s="412" t="s">
        <v>71</v>
      </c>
      <c r="EM76" s="3410" t="str">
        <f>$R$4</f>
        <v>29 Februari 2016 2016</v>
      </c>
      <c r="EN76" s="3410"/>
      <c r="EO76" s="167"/>
      <c r="EP76" s="167"/>
    </row>
    <row r="77" spans="1:149" s="168" customFormat="1" ht="15.75">
      <c r="A77" s="167"/>
      <c r="B77" s="413" t="s">
        <v>4</v>
      </c>
      <c r="C77" s="30" t="str">
        <f>$C$5</f>
        <v>:  Sukabumi</v>
      </c>
      <c r="E77" s="167"/>
      <c r="F77" s="167"/>
      <c r="G77" s="167"/>
      <c r="H77" s="167"/>
      <c r="I77" s="167"/>
      <c r="J77" s="167"/>
      <c r="K77" s="167"/>
      <c r="L77" s="167"/>
      <c r="M77" s="167"/>
      <c r="N77" s="169"/>
      <c r="O77" s="170"/>
      <c r="P77" s="170"/>
      <c r="Q77" s="170"/>
      <c r="R77" s="170"/>
      <c r="S77" s="170"/>
      <c r="T77" s="170"/>
      <c r="Z77" s="167"/>
      <c r="AA77" s="413" t="s">
        <v>4</v>
      </c>
      <c r="AB77" s="30" t="str">
        <f>$C$5</f>
        <v>:  Sukabumi</v>
      </c>
      <c r="AD77" s="167"/>
      <c r="AE77" s="167"/>
      <c r="AF77" s="167"/>
      <c r="AG77" s="167"/>
      <c r="AH77" s="167"/>
      <c r="AI77" s="167"/>
      <c r="AJ77" s="167"/>
      <c r="AK77" s="167"/>
      <c r="AL77" s="167"/>
      <c r="AM77" s="169"/>
      <c r="AN77" s="170"/>
      <c r="AO77" s="170"/>
      <c r="AP77" s="170"/>
      <c r="AQ77" s="170"/>
      <c r="AR77" s="170"/>
      <c r="AS77" s="170"/>
      <c r="AY77" s="167"/>
      <c r="AZ77" s="413" t="s">
        <v>4</v>
      </c>
      <c r="BA77" s="30" t="str">
        <f>$C$5</f>
        <v>:  Sukabumi</v>
      </c>
      <c r="BC77" s="167"/>
      <c r="BD77" s="167"/>
      <c r="BE77" s="167"/>
      <c r="BF77" s="167"/>
      <c r="BG77" s="167"/>
      <c r="BH77" s="167"/>
      <c r="BI77" s="167"/>
      <c r="BJ77" s="167"/>
      <c r="BK77" s="167"/>
      <c r="BL77" s="169"/>
      <c r="BM77" s="170"/>
      <c r="BN77" s="170"/>
      <c r="BO77" s="170"/>
      <c r="BP77" s="170"/>
      <c r="BQ77" s="170"/>
      <c r="BR77" s="170"/>
      <c r="BX77" s="167"/>
      <c r="BY77" s="413" t="s">
        <v>4</v>
      </c>
      <c r="BZ77" s="30" t="str">
        <f>$C$5</f>
        <v>:  Sukabumi</v>
      </c>
      <c r="CB77" s="167"/>
      <c r="CC77" s="167"/>
      <c r="CD77" s="167"/>
      <c r="CE77" s="167"/>
      <c r="CF77" s="167"/>
      <c r="CG77" s="167"/>
      <c r="CH77" s="167"/>
      <c r="CI77" s="167"/>
      <c r="CJ77" s="167"/>
      <c r="CK77" s="169"/>
      <c r="CL77" s="170"/>
      <c r="CM77" s="170"/>
      <c r="CN77" s="170"/>
      <c r="CO77" s="170"/>
      <c r="CP77" s="170"/>
      <c r="CQ77" s="170"/>
      <c r="CW77" s="167"/>
      <c r="CX77" s="413" t="s">
        <v>4</v>
      </c>
      <c r="CY77" s="30" t="str">
        <f>$C$5</f>
        <v>:  Sukabumi</v>
      </c>
      <c r="DA77" s="167"/>
      <c r="DB77" s="167"/>
      <c r="DC77" s="167"/>
      <c r="DD77" s="167"/>
      <c r="DE77" s="167"/>
      <c r="DF77" s="167"/>
      <c r="DG77" s="167"/>
      <c r="DH77" s="167"/>
      <c r="DI77" s="167"/>
      <c r="DJ77" s="169"/>
      <c r="DK77" s="170"/>
      <c r="DL77" s="170"/>
      <c r="DM77" s="170"/>
      <c r="DN77" s="170"/>
      <c r="DO77" s="170"/>
      <c r="DP77" s="170"/>
      <c r="DV77" s="167"/>
      <c r="DW77" s="413" t="s">
        <v>4</v>
      </c>
      <c r="DX77" s="30" t="str">
        <f>$C$5</f>
        <v>:  Sukabumi</v>
      </c>
      <c r="DZ77" s="167"/>
      <c r="EA77" s="167"/>
      <c r="EB77" s="167"/>
      <c r="EC77" s="167"/>
      <c r="ED77" s="167"/>
      <c r="EE77" s="167"/>
      <c r="EF77" s="167"/>
      <c r="EG77" s="167"/>
      <c r="EH77" s="167"/>
      <c r="EI77" s="169"/>
      <c r="EJ77" s="170"/>
      <c r="EK77" s="170"/>
      <c r="EL77" s="170"/>
      <c r="EM77" s="170"/>
      <c r="EN77" s="170"/>
      <c r="EO77" s="170"/>
    </row>
    <row r="78" spans="1:149" s="168" customFormat="1" ht="15.75">
      <c r="A78" s="167"/>
      <c r="B78" s="413" t="s">
        <v>6</v>
      </c>
      <c r="C78" s="30" t="str">
        <f>$C$6</f>
        <v>:  Jawa Barat</v>
      </c>
      <c r="E78" s="167"/>
      <c r="F78" s="167"/>
      <c r="G78" s="167"/>
      <c r="H78" s="167"/>
      <c r="I78" s="167"/>
      <c r="J78" s="167"/>
      <c r="K78" s="167"/>
      <c r="L78" s="167"/>
      <c r="M78" s="167"/>
      <c r="N78" s="169"/>
      <c r="O78" s="170"/>
      <c r="P78" s="170"/>
      <c r="Q78" s="170"/>
      <c r="R78" s="170"/>
      <c r="S78" s="170"/>
      <c r="T78" s="170"/>
      <c r="Z78" s="167"/>
      <c r="AA78" s="413" t="s">
        <v>6</v>
      </c>
      <c r="AB78" s="30" t="str">
        <f>$C$6</f>
        <v>:  Jawa Barat</v>
      </c>
      <c r="AD78" s="167"/>
      <c r="AE78" s="167"/>
      <c r="AF78" s="167"/>
      <c r="AG78" s="167"/>
      <c r="AH78" s="167"/>
      <c r="AI78" s="167"/>
      <c r="AJ78" s="167"/>
      <c r="AK78" s="167"/>
      <c r="AL78" s="167"/>
      <c r="AM78" s="169"/>
      <c r="AN78" s="170"/>
      <c r="AO78" s="170"/>
      <c r="AP78" s="170"/>
      <c r="AQ78" s="170"/>
      <c r="AR78" s="170"/>
      <c r="AS78" s="170"/>
      <c r="AY78" s="167"/>
      <c r="AZ78" s="413" t="s">
        <v>6</v>
      </c>
      <c r="BA78" s="30" t="str">
        <f>$C$6</f>
        <v>:  Jawa Barat</v>
      </c>
      <c r="BC78" s="167"/>
      <c r="BD78" s="167"/>
      <c r="BE78" s="167"/>
      <c r="BF78" s="167"/>
      <c r="BG78" s="167"/>
      <c r="BH78" s="167"/>
      <c r="BI78" s="167"/>
      <c r="BJ78" s="167"/>
      <c r="BK78" s="167"/>
      <c r="BL78" s="169"/>
      <c r="BM78" s="170"/>
      <c r="BN78" s="170"/>
      <c r="BO78" s="170"/>
      <c r="BP78" s="170"/>
      <c r="BQ78" s="170"/>
      <c r="BR78" s="170"/>
      <c r="BX78" s="167"/>
      <c r="BY78" s="413" t="s">
        <v>6</v>
      </c>
      <c r="BZ78" s="30" t="str">
        <f>$C$6</f>
        <v>:  Jawa Barat</v>
      </c>
      <c r="CB78" s="167"/>
      <c r="CC78" s="167"/>
      <c r="CD78" s="167"/>
      <c r="CE78" s="167"/>
      <c r="CF78" s="167"/>
      <c r="CG78" s="167"/>
      <c r="CH78" s="167"/>
      <c r="CI78" s="167"/>
      <c r="CJ78" s="167"/>
      <c r="CK78" s="169"/>
      <c r="CL78" s="170"/>
      <c r="CM78" s="170"/>
      <c r="CN78" s="170"/>
      <c r="CO78" s="170"/>
      <c r="CP78" s="170"/>
      <c r="CQ78" s="170"/>
      <c r="CW78" s="167"/>
      <c r="CX78" s="413" t="s">
        <v>6</v>
      </c>
      <c r="CY78" s="30" t="str">
        <f>$C$6</f>
        <v>:  Jawa Barat</v>
      </c>
      <c r="DA78" s="167"/>
      <c r="DB78" s="167"/>
      <c r="DC78" s="167"/>
      <c r="DD78" s="167"/>
      <c r="DE78" s="167"/>
      <c r="DF78" s="167"/>
      <c r="DG78" s="167"/>
      <c r="DH78" s="167"/>
      <c r="DI78" s="167"/>
      <c r="DJ78" s="169"/>
      <c r="DK78" s="170"/>
      <c r="DL78" s="170"/>
      <c r="DM78" s="170"/>
      <c r="DN78" s="170"/>
      <c r="DO78" s="170"/>
      <c r="DP78" s="170"/>
      <c r="DV78" s="167"/>
      <c r="DW78" s="413" t="s">
        <v>6</v>
      </c>
      <c r="DX78" s="30" t="str">
        <f>$C$6</f>
        <v>:  Jawa Barat</v>
      </c>
      <c r="DZ78" s="167"/>
      <c r="EA78" s="167"/>
      <c r="EB78" s="167"/>
      <c r="EC78" s="167"/>
      <c r="ED78" s="167"/>
      <c r="EE78" s="167"/>
      <c r="EF78" s="167"/>
      <c r="EG78" s="167"/>
      <c r="EH78" s="167"/>
      <c r="EI78" s="169"/>
      <c r="EJ78" s="170"/>
      <c r="EK78" s="170"/>
      <c r="EL78" s="170"/>
      <c r="EM78" s="170"/>
      <c r="EN78" s="170"/>
      <c r="EO78" s="170"/>
    </row>
    <row r="79" spans="1:149" ht="13.5" thickBot="1">
      <c r="A79" s="31"/>
      <c r="B79" s="31"/>
      <c r="C79" s="31"/>
      <c r="D79" s="31"/>
      <c r="E79" s="31"/>
      <c r="F79" s="31"/>
      <c r="G79" s="31"/>
      <c r="H79" s="31"/>
      <c r="I79" s="31"/>
      <c r="J79" s="31"/>
      <c r="K79" s="31"/>
      <c r="L79" s="31"/>
      <c r="M79" s="31"/>
      <c r="N79" s="31"/>
      <c r="O79" s="31"/>
      <c r="P79" s="32"/>
      <c r="Q79" s="31"/>
      <c r="R79" s="32"/>
      <c r="S79" s="31"/>
      <c r="T79" s="31"/>
      <c r="U79" s="33"/>
      <c r="Z79" s="31"/>
      <c r="AA79" s="31"/>
      <c r="AB79" s="31"/>
      <c r="AC79" s="31"/>
      <c r="AD79" s="31"/>
      <c r="AE79" s="31"/>
      <c r="AF79" s="31"/>
      <c r="AG79" s="31"/>
      <c r="AH79" s="31"/>
      <c r="AI79" s="31"/>
      <c r="AJ79" s="31"/>
      <c r="AK79" s="31"/>
      <c r="AL79" s="31"/>
      <c r="AM79" s="31"/>
      <c r="AN79" s="31"/>
      <c r="AO79" s="32"/>
      <c r="AP79" s="31"/>
      <c r="AQ79" s="32"/>
      <c r="AR79" s="31"/>
      <c r="AS79" s="31"/>
      <c r="AT79" s="33"/>
      <c r="AY79" s="31"/>
      <c r="AZ79" s="31"/>
      <c r="BA79" s="31"/>
      <c r="BB79" s="31"/>
      <c r="BC79" s="31"/>
      <c r="BD79" s="31"/>
      <c r="BE79" s="31"/>
      <c r="BF79" s="31"/>
      <c r="BG79" s="31"/>
      <c r="BH79" s="31"/>
      <c r="BI79" s="31"/>
      <c r="BJ79" s="31"/>
      <c r="BK79" s="31"/>
      <c r="BL79" s="31"/>
      <c r="BM79" s="31"/>
      <c r="BN79" s="32"/>
      <c r="BO79" s="31"/>
      <c r="BP79" s="32"/>
      <c r="BQ79" s="31"/>
      <c r="BR79" s="31"/>
      <c r="BS79" s="33"/>
      <c r="BX79" s="31"/>
      <c r="BY79" s="31"/>
      <c r="BZ79" s="31"/>
      <c r="CA79" s="31"/>
      <c r="CB79" s="31"/>
      <c r="CC79" s="31"/>
      <c r="CD79" s="31"/>
      <c r="CE79" s="31"/>
      <c r="CF79" s="31"/>
      <c r="CG79" s="31"/>
      <c r="CH79" s="31"/>
      <c r="CI79" s="31"/>
      <c r="CJ79" s="31"/>
      <c r="CK79" s="31"/>
      <c r="CL79" s="31"/>
      <c r="CM79" s="32"/>
      <c r="CN79" s="31"/>
      <c r="CO79" s="32"/>
      <c r="CP79" s="31"/>
      <c r="CQ79" s="31"/>
      <c r="CR79" s="33"/>
      <c r="CW79" s="31"/>
      <c r="CX79" s="31"/>
      <c r="CY79" s="31"/>
      <c r="CZ79" s="31"/>
      <c r="DA79" s="31"/>
      <c r="DB79" s="31"/>
      <c r="DC79" s="31"/>
      <c r="DD79" s="31"/>
      <c r="DE79" s="31"/>
      <c r="DF79" s="31"/>
      <c r="DG79" s="31"/>
      <c r="DH79" s="31"/>
      <c r="DI79" s="31"/>
      <c r="DJ79" s="31"/>
      <c r="DK79" s="31"/>
      <c r="DL79" s="32"/>
      <c r="DM79" s="31"/>
      <c r="DN79" s="32"/>
      <c r="DO79" s="31"/>
      <c r="DP79" s="31"/>
      <c r="DQ79" s="33"/>
      <c r="DV79" s="31"/>
      <c r="DW79" s="31"/>
      <c r="DX79" s="31"/>
      <c r="DY79" s="31"/>
      <c r="DZ79" s="31"/>
      <c r="EA79" s="31"/>
      <c r="EB79" s="31"/>
      <c r="EC79" s="31"/>
      <c r="ED79" s="31"/>
      <c r="EE79" s="31"/>
      <c r="EF79" s="31"/>
      <c r="EG79" s="31"/>
      <c r="EH79" s="31"/>
      <c r="EI79" s="31"/>
      <c r="EJ79" s="31"/>
      <c r="EK79" s="32"/>
      <c r="EL79" s="31"/>
      <c r="EM79" s="32"/>
      <c r="EN79" s="31"/>
      <c r="EO79" s="31"/>
      <c r="EP79" s="33"/>
      <c r="EQ79" s="26"/>
      <c r="ER79" s="27"/>
      <c r="ES79" s="27"/>
    </row>
    <row r="80" spans="1:149" s="168" customFormat="1" ht="33" customHeight="1" thickTop="1">
      <c r="A80" s="3410" t="s">
        <v>72</v>
      </c>
      <c r="B80" s="3410" t="s">
        <v>73</v>
      </c>
      <c r="C80" s="3410" t="s">
        <v>74</v>
      </c>
      <c r="D80" s="3410"/>
      <c r="E80" s="3410" t="s">
        <v>47</v>
      </c>
      <c r="F80" s="3410"/>
      <c r="G80" s="3410" t="s">
        <v>48</v>
      </c>
      <c r="H80" s="3410"/>
      <c r="I80" s="3410" t="s">
        <v>1162</v>
      </c>
      <c r="J80" s="3410"/>
      <c r="K80" s="3410" t="s">
        <v>52</v>
      </c>
      <c r="L80" s="3410"/>
      <c r="M80" s="3410" t="s">
        <v>53</v>
      </c>
      <c r="N80" s="3410"/>
      <c r="O80" s="3410" t="s">
        <v>75</v>
      </c>
      <c r="P80" s="3410"/>
      <c r="Q80" s="3410" t="s">
        <v>76</v>
      </c>
      <c r="R80" s="3410"/>
      <c r="S80" s="3410" t="s">
        <v>77</v>
      </c>
      <c r="T80" s="3410"/>
      <c r="U80" s="3410" t="s">
        <v>78</v>
      </c>
      <c r="V80" s="171" t="s">
        <v>79</v>
      </c>
      <c r="W80" s="171" t="s">
        <v>79</v>
      </c>
      <c r="X80" s="171" t="s">
        <v>79</v>
      </c>
      <c r="Z80" s="3410" t="s">
        <v>72</v>
      </c>
      <c r="AA80" s="3410" t="s">
        <v>73</v>
      </c>
      <c r="AB80" s="3410" t="s">
        <v>74</v>
      </c>
      <c r="AC80" s="3410"/>
      <c r="AD80" s="3410" t="s">
        <v>47</v>
      </c>
      <c r="AE80" s="3410"/>
      <c r="AF80" s="3410" t="s">
        <v>48</v>
      </c>
      <c r="AG80" s="3410"/>
      <c r="AH80" s="3410" t="s">
        <v>1162</v>
      </c>
      <c r="AI80" s="3410"/>
      <c r="AJ80" s="3410" t="s">
        <v>52</v>
      </c>
      <c r="AK80" s="3410"/>
      <c r="AL80" s="3410" t="s">
        <v>53</v>
      </c>
      <c r="AM80" s="3410"/>
      <c r="AN80" s="3410" t="s">
        <v>75</v>
      </c>
      <c r="AO80" s="3410"/>
      <c r="AP80" s="3410" t="s">
        <v>76</v>
      </c>
      <c r="AQ80" s="3410"/>
      <c r="AR80" s="3410" t="s">
        <v>77</v>
      </c>
      <c r="AS80" s="3410"/>
      <c r="AT80" s="3410" t="s">
        <v>78</v>
      </c>
      <c r="AU80" s="171" t="s">
        <v>79</v>
      </c>
      <c r="AV80" s="171" t="s">
        <v>79</v>
      </c>
      <c r="AW80" s="171" t="s">
        <v>79</v>
      </c>
      <c r="AY80" s="3410" t="s">
        <v>72</v>
      </c>
      <c r="AZ80" s="3410" t="s">
        <v>73</v>
      </c>
      <c r="BA80" s="3410" t="s">
        <v>74</v>
      </c>
      <c r="BB80" s="3410"/>
      <c r="BC80" s="3410" t="s">
        <v>47</v>
      </c>
      <c r="BD80" s="3410"/>
      <c r="BE80" s="3410" t="s">
        <v>48</v>
      </c>
      <c r="BF80" s="3410"/>
      <c r="BG80" s="3410" t="s">
        <v>1162</v>
      </c>
      <c r="BH80" s="3410"/>
      <c r="BI80" s="3410" t="s">
        <v>52</v>
      </c>
      <c r="BJ80" s="3410"/>
      <c r="BK80" s="3410" t="s">
        <v>53</v>
      </c>
      <c r="BL80" s="3410"/>
      <c r="BM80" s="3410" t="s">
        <v>75</v>
      </c>
      <c r="BN80" s="3410"/>
      <c r="BO80" s="3410" t="s">
        <v>76</v>
      </c>
      <c r="BP80" s="3410"/>
      <c r="BQ80" s="3410" t="s">
        <v>77</v>
      </c>
      <c r="BR80" s="3410"/>
      <c r="BS80" s="3410" t="s">
        <v>78</v>
      </c>
      <c r="BT80" s="171" t="s">
        <v>79</v>
      </c>
      <c r="BU80" s="171" t="s">
        <v>79</v>
      </c>
      <c r="BV80" s="171" t="s">
        <v>79</v>
      </c>
      <c r="BX80" s="3410" t="s">
        <v>72</v>
      </c>
      <c r="BY80" s="3410" t="s">
        <v>73</v>
      </c>
      <c r="BZ80" s="3410" t="s">
        <v>74</v>
      </c>
      <c r="CA80" s="3410"/>
      <c r="CB80" s="3410" t="s">
        <v>47</v>
      </c>
      <c r="CC80" s="3410"/>
      <c r="CD80" s="3410" t="s">
        <v>48</v>
      </c>
      <c r="CE80" s="3410"/>
      <c r="CF80" s="3410" t="s">
        <v>1162</v>
      </c>
      <c r="CG80" s="3410"/>
      <c r="CH80" s="3410" t="s">
        <v>52</v>
      </c>
      <c r="CI80" s="3410"/>
      <c r="CJ80" s="3410" t="s">
        <v>53</v>
      </c>
      <c r="CK80" s="3410"/>
      <c r="CL80" s="3410" t="s">
        <v>75</v>
      </c>
      <c r="CM80" s="3410"/>
      <c r="CN80" s="3410" t="s">
        <v>76</v>
      </c>
      <c r="CO80" s="3410"/>
      <c r="CP80" s="3410" t="s">
        <v>77</v>
      </c>
      <c r="CQ80" s="3410"/>
      <c r="CR80" s="3410" t="s">
        <v>78</v>
      </c>
      <c r="CS80" s="171" t="s">
        <v>79</v>
      </c>
      <c r="CT80" s="171" t="s">
        <v>79</v>
      </c>
      <c r="CU80" s="171" t="s">
        <v>79</v>
      </c>
      <c r="CW80" s="3410" t="s">
        <v>72</v>
      </c>
      <c r="CX80" s="3410" t="s">
        <v>73</v>
      </c>
      <c r="CY80" s="3410" t="s">
        <v>74</v>
      </c>
      <c r="CZ80" s="3410"/>
      <c r="DA80" s="3410" t="s">
        <v>47</v>
      </c>
      <c r="DB80" s="3410"/>
      <c r="DC80" s="3410" t="s">
        <v>48</v>
      </c>
      <c r="DD80" s="3410"/>
      <c r="DE80" s="3410" t="s">
        <v>1162</v>
      </c>
      <c r="DF80" s="3410"/>
      <c r="DG80" s="3410" t="s">
        <v>52</v>
      </c>
      <c r="DH80" s="3410"/>
      <c r="DI80" s="3410" t="s">
        <v>53</v>
      </c>
      <c r="DJ80" s="3410"/>
      <c r="DK80" s="3410" t="s">
        <v>75</v>
      </c>
      <c r="DL80" s="3410"/>
      <c r="DM80" s="3410" t="s">
        <v>76</v>
      </c>
      <c r="DN80" s="3410"/>
      <c r="DO80" s="3410" t="s">
        <v>77</v>
      </c>
      <c r="DP80" s="3410"/>
      <c r="DQ80" s="3410" t="s">
        <v>78</v>
      </c>
      <c r="DR80" s="171" t="s">
        <v>79</v>
      </c>
      <c r="DS80" s="171" t="s">
        <v>79</v>
      </c>
      <c r="DT80" s="171" t="s">
        <v>79</v>
      </c>
      <c r="DV80" s="3410" t="s">
        <v>72</v>
      </c>
      <c r="DW80" s="3410" t="s">
        <v>73</v>
      </c>
      <c r="DX80" s="3410" t="s">
        <v>74</v>
      </c>
      <c r="DY80" s="3410"/>
      <c r="DZ80" s="3410" t="s">
        <v>47</v>
      </c>
      <c r="EA80" s="3410"/>
      <c r="EB80" s="3410" t="s">
        <v>48</v>
      </c>
      <c r="EC80" s="3410"/>
      <c r="ED80" s="3410" t="s">
        <v>1162</v>
      </c>
      <c r="EE80" s="3410"/>
      <c r="EF80" s="3410" t="s">
        <v>52</v>
      </c>
      <c r="EG80" s="3410"/>
      <c r="EH80" s="3410" t="s">
        <v>53</v>
      </c>
      <c r="EI80" s="3410"/>
      <c r="EJ80" s="3410" t="s">
        <v>75</v>
      </c>
      <c r="EK80" s="3410"/>
      <c r="EL80" s="3410" t="s">
        <v>76</v>
      </c>
      <c r="EM80" s="3410"/>
      <c r="EN80" s="3410" t="s">
        <v>77</v>
      </c>
      <c r="EO80" s="3410"/>
      <c r="EP80" s="3410" t="s">
        <v>78</v>
      </c>
      <c r="EQ80" s="171" t="s">
        <v>79</v>
      </c>
      <c r="ER80" s="171" t="s">
        <v>79</v>
      </c>
      <c r="ES80" s="171" t="s">
        <v>79</v>
      </c>
    </row>
    <row r="81" spans="1:149" s="168" customFormat="1" ht="28.5" customHeight="1" thickBot="1">
      <c r="A81" s="3410"/>
      <c r="B81" s="3410"/>
      <c r="C81" s="172" t="s">
        <v>80</v>
      </c>
      <c r="D81" s="172" t="s">
        <v>81</v>
      </c>
      <c r="E81" s="172" t="s">
        <v>80</v>
      </c>
      <c r="F81" s="172" t="s">
        <v>81</v>
      </c>
      <c r="G81" s="172" t="s">
        <v>80</v>
      </c>
      <c r="H81" s="172" t="s">
        <v>81</v>
      </c>
      <c r="I81" s="1430" t="s">
        <v>80</v>
      </c>
      <c r="J81" s="1430" t="s">
        <v>81</v>
      </c>
      <c r="K81" s="1430" t="s">
        <v>80</v>
      </c>
      <c r="L81" s="1430" t="s">
        <v>81</v>
      </c>
      <c r="M81" s="1430" t="s">
        <v>80</v>
      </c>
      <c r="N81" s="1430" t="s">
        <v>81</v>
      </c>
      <c r="O81" s="172" t="s">
        <v>80</v>
      </c>
      <c r="P81" s="173" t="s">
        <v>81</v>
      </c>
      <c r="Q81" s="172" t="s">
        <v>80</v>
      </c>
      <c r="R81" s="173" t="s">
        <v>81</v>
      </c>
      <c r="S81" s="172" t="s">
        <v>80</v>
      </c>
      <c r="T81" s="172" t="s">
        <v>81</v>
      </c>
      <c r="U81" s="3410"/>
      <c r="V81" s="171" t="s">
        <v>77</v>
      </c>
      <c r="W81" s="171" t="s">
        <v>50</v>
      </c>
      <c r="X81" s="171" t="s">
        <v>51</v>
      </c>
      <c r="Z81" s="3410"/>
      <c r="AA81" s="3410"/>
      <c r="AB81" s="172" t="s">
        <v>80</v>
      </c>
      <c r="AC81" s="172" t="s">
        <v>81</v>
      </c>
      <c r="AD81" s="172" t="s">
        <v>80</v>
      </c>
      <c r="AE81" s="172" t="s">
        <v>81</v>
      </c>
      <c r="AF81" s="172" t="s">
        <v>80</v>
      </c>
      <c r="AG81" s="172" t="s">
        <v>81</v>
      </c>
      <c r="AH81" s="1430" t="s">
        <v>80</v>
      </c>
      <c r="AI81" s="1430" t="s">
        <v>81</v>
      </c>
      <c r="AJ81" s="1430" t="s">
        <v>80</v>
      </c>
      <c r="AK81" s="1430" t="s">
        <v>81</v>
      </c>
      <c r="AL81" s="1430" t="s">
        <v>80</v>
      </c>
      <c r="AM81" s="1430" t="s">
        <v>81</v>
      </c>
      <c r="AN81" s="172" t="s">
        <v>80</v>
      </c>
      <c r="AO81" s="173" t="s">
        <v>81</v>
      </c>
      <c r="AP81" s="172" t="s">
        <v>80</v>
      </c>
      <c r="AQ81" s="173" t="s">
        <v>81</v>
      </c>
      <c r="AR81" s="172" t="s">
        <v>80</v>
      </c>
      <c r="AS81" s="172" t="s">
        <v>81</v>
      </c>
      <c r="AT81" s="3410"/>
      <c r="AU81" s="171" t="s">
        <v>77</v>
      </c>
      <c r="AV81" s="171" t="s">
        <v>50</v>
      </c>
      <c r="AW81" s="171" t="s">
        <v>51</v>
      </c>
      <c r="AY81" s="3410"/>
      <c r="AZ81" s="3410"/>
      <c r="BA81" s="172" t="s">
        <v>80</v>
      </c>
      <c r="BB81" s="172" t="s">
        <v>81</v>
      </c>
      <c r="BC81" s="172" t="s">
        <v>80</v>
      </c>
      <c r="BD81" s="172" t="s">
        <v>81</v>
      </c>
      <c r="BE81" s="172" t="s">
        <v>80</v>
      </c>
      <c r="BF81" s="172" t="s">
        <v>81</v>
      </c>
      <c r="BG81" s="1430" t="s">
        <v>80</v>
      </c>
      <c r="BH81" s="1430" t="s">
        <v>81</v>
      </c>
      <c r="BI81" s="1430" t="s">
        <v>80</v>
      </c>
      <c r="BJ81" s="1430" t="s">
        <v>81</v>
      </c>
      <c r="BK81" s="1430" t="s">
        <v>80</v>
      </c>
      <c r="BL81" s="1430" t="s">
        <v>81</v>
      </c>
      <c r="BM81" s="172" t="s">
        <v>80</v>
      </c>
      <c r="BN81" s="173" t="s">
        <v>81</v>
      </c>
      <c r="BO81" s="172" t="s">
        <v>80</v>
      </c>
      <c r="BP81" s="173" t="s">
        <v>81</v>
      </c>
      <c r="BQ81" s="172" t="s">
        <v>80</v>
      </c>
      <c r="BR81" s="172" t="s">
        <v>81</v>
      </c>
      <c r="BS81" s="3410"/>
      <c r="BT81" s="171" t="s">
        <v>77</v>
      </c>
      <c r="BU81" s="171" t="s">
        <v>50</v>
      </c>
      <c r="BV81" s="171" t="s">
        <v>51</v>
      </c>
      <c r="BX81" s="3410"/>
      <c r="BY81" s="3410"/>
      <c r="BZ81" s="172" t="s">
        <v>80</v>
      </c>
      <c r="CA81" s="172" t="s">
        <v>81</v>
      </c>
      <c r="CB81" s="172" t="s">
        <v>80</v>
      </c>
      <c r="CC81" s="172" t="s">
        <v>81</v>
      </c>
      <c r="CD81" s="172" t="s">
        <v>80</v>
      </c>
      <c r="CE81" s="172" t="s">
        <v>81</v>
      </c>
      <c r="CF81" s="1430" t="s">
        <v>80</v>
      </c>
      <c r="CG81" s="1430" t="s">
        <v>81</v>
      </c>
      <c r="CH81" s="1430" t="s">
        <v>80</v>
      </c>
      <c r="CI81" s="1430" t="s">
        <v>81</v>
      </c>
      <c r="CJ81" s="1430" t="s">
        <v>80</v>
      </c>
      <c r="CK81" s="1430" t="s">
        <v>81</v>
      </c>
      <c r="CL81" s="172" t="s">
        <v>80</v>
      </c>
      <c r="CM81" s="173" t="s">
        <v>81</v>
      </c>
      <c r="CN81" s="172" t="s">
        <v>80</v>
      </c>
      <c r="CO81" s="173" t="s">
        <v>81</v>
      </c>
      <c r="CP81" s="172" t="s">
        <v>80</v>
      </c>
      <c r="CQ81" s="172" t="s">
        <v>81</v>
      </c>
      <c r="CR81" s="3410"/>
      <c r="CS81" s="171" t="s">
        <v>77</v>
      </c>
      <c r="CT81" s="171" t="s">
        <v>50</v>
      </c>
      <c r="CU81" s="171" t="s">
        <v>51</v>
      </c>
      <c r="CW81" s="3410"/>
      <c r="CX81" s="3410"/>
      <c r="CY81" s="172" t="s">
        <v>80</v>
      </c>
      <c r="CZ81" s="172" t="s">
        <v>81</v>
      </c>
      <c r="DA81" s="172" t="s">
        <v>80</v>
      </c>
      <c r="DB81" s="172" t="s">
        <v>81</v>
      </c>
      <c r="DC81" s="172" t="s">
        <v>80</v>
      </c>
      <c r="DD81" s="172" t="s">
        <v>81</v>
      </c>
      <c r="DE81" s="1430" t="s">
        <v>80</v>
      </c>
      <c r="DF81" s="1430" t="s">
        <v>81</v>
      </c>
      <c r="DG81" s="1430" t="s">
        <v>80</v>
      </c>
      <c r="DH81" s="1430" t="s">
        <v>81</v>
      </c>
      <c r="DI81" s="1430" t="s">
        <v>80</v>
      </c>
      <c r="DJ81" s="1430" t="s">
        <v>81</v>
      </c>
      <c r="DK81" s="172" t="s">
        <v>80</v>
      </c>
      <c r="DL81" s="173" t="s">
        <v>81</v>
      </c>
      <c r="DM81" s="172" t="s">
        <v>80</v>
      </c>
      <c r="DN81" s="173" t="s">
        <v>81</v>
      </c>
      <c r="DO81" s="172" t="s">
        <v>80</v>
      </c>
      <c r="DP81" s="172" t="s">
        <v>81</v>
      </c>
      <c r="DQ81" s="3410"/>
      <c r="DR81" s="171" t="s">
        <v>77</v>
      </c>
      <c r="DS81" s="171" t="s">
        <v>50</v>
      </c>
      <c r="DT81" s="171" t="s">
        <v>51</v>
      </c>
      <c r="DV81" s="3410"/>
      <c r="DW81" s="3410"/>
      <c r="DX81" s="172" t="s">
        <v>80</v>
      </c>
      <c r="DY81" s="172" t="s">
        <v>81</v>
      </c>
      <c r="DZ81" s="172" t="s">
        <v>80</v>
      </c>
      <c r="EA81" s="172" t="s">
        <v>81</v>
      </c>
      <c r="EB81" s="172" t="s">
        <v>80</v>
      </c>
      <c r="EC81" s="172" t="s">
        <v>81</v>
      </c>
      <c r="ED81" s="1430" t="s">
        <v>80</v>
      </c>
      <c r="EE81" s="1430" t="s">
        <v>81</v>
      </c>
      <c r="EF81" s="1430" t="s">
        <v>80</v>
      </c>
      <c r="EG81" s="1430" t="s">
        <v>81</v>
      </c>
      <c r="EH81" s="1430" t="s">
        <v>80</v>
      </c>
      <c r="EI81" s="1430" t="s">
        <v>81</v>
      </c>
      <c r="EJ81" s="172" t="s">
        <v>80</v>
      </c>
      <c r="EK81" s="173" t="s">
        <v>81</v>
      </c>
      <c r="EL81" s="172" t="s">
        <v>80</v>
      </c>
      <c r="EM81" s="173" t="s">
        <v>81</v>
      </c>
      <c r="EN81" s="172" t="s">
        <v>80</v>
      </c>
      <c r="EO81" s="172" t="s">
        <v>81</v>
      </c>
      <c r="EP81" s="3410"/>
      <c r="EQ81" s="171" t="s">
        <v>77</v>
      </c>
      <c r="ER81" s="171" t="s">
        <v>50</v>
      </c>
      <c r="ES81" s="171" t="s">
        <v>51</v>
      </c>
    </row>
    <row r="82" spans="1:149" s="168" customFormat="1" ht="42" customHeight="1" thickTop="1">
      <c r="A82" s="201">
        <v>1</v>
      </c>
      <c r="B82" s="202" t="str">
        <f>$B$10</f>
        <v>CIHANYAWAR</v>
      </c>
      <c r="C82" s="203"/>
      <c r="D82" s="203"/>
      <c r="E82" s="203"/>
      <c r="F82" s="203"/>
      <c r="G82" s="203"/>
      <c r="H82" s="203"/>
      <c r="I82" s="1431"/>
      <c r="J82" s="1431"/>
      <c r="K82" s="1431"/>
      <c r="L82" s="1431"/>
      <c r="M82" s="1431"/>
      <c r="N82" s="1431"/>
      <c r="O82" s="203"/>
      <c r="P82" s="203"/>
      <c r="Q82" s="203"/>
      <c r="R82" s="203"/>
      <c r="S82" s="174">
        <f>C82+E82+G82+I82+K82+M82+O82+Q82</f>
        <v>0</v>
      </c>
      <c r="T82" s="174">
        <f>D82+F82+H82+J82+L82+N82+P82+R82</f>
        <v>0</v>
      </c>
      <c r="U82" s="175">
        <f>IF(S82=0,0,T82/S82)</f>
        <v>0</v>
      </c>
      <c r="V82" s="176">
        <f>SUM(S82-T82)</f>
        <v>0</v>
      </c>
      <c r="W82" s="176">
        <f>SUM(O82-P82)</f>
        <v>0</v>
      </c>
      <c r="X82" s="176">
        <f>SUM(Q82-R82)</f>
        <v>0</v>
      </c>
      <c r="Z82" s="201">
        <v>1</v>
      </c>
      <c r="AA82" s="202" t="str">
        <f>$B$10</f>
        <v>CIHANYAWAR</v>
      </c>
      <c r="AB82" s="203"/>
      <c r="AC82" s="203"/>
      <c r="AD82" s="203"/>
      <c r="AE82" s="203"/>
      <c r="AF82" s="203"/>
      <c r="AG82" s="203"/>
      <c r="AH82" s="1431"/>
      <c r="AI82" s="1431"/>
      <c r="AJ82" s="1431"/>
      <c r="AK82" s="1431"/>
      <c r="AL82" s="1431"/>
      <c r="AM82" s="1431"/>
      <c r="AN82" s="203"/>
      <c r="AO82" s="203"/>
      <c r="AP82" s="203"/>
      <c r="AQ82" s="203"/>
      <c r="AR82" s="174">
        <f>AB82+AD82+AF82+AH82+AJ82+AL82+AN82+AP82</f>
        <v>0</v>
      </c>
      <c r="AS82" s="174">
        <f>AC82+AE82+AG82+AI82+AK82+AM82+AO82+AQ82</f>
        <v>0</v>
      </c>
      <c r="AT82" s="175">
        <f>IF(AR82=0,0,AS82/AR82)</f>
        <v>0</v>
      </c>
      <c r="AU82" s="176">
        <f>SUM(AR82-AS82)</f>
        <v>0</v>
      </c>
      <c r="AV82" s="176">
        <f>SUM(AN82-AO82)</f>
        <v>0</v>
      </c>
      <c r="AW82" s="176">
        <f>SUM(AP82-AQ82)</f>
        <v>0</v>
      </c>
      <c r="AY82" s="201">
        <v>1</v>
      </c>
      <c r="AZ82" s="202" t="str">
        <f>$B$10</f>
        <v>CIHANYAWAR</v>
      </c>
      <c r="BA82" s="203"/>
      <c r="BB82" s="203"/>
      <c r="BC82" s="203"/>
      <c r="BD82" s="203"/>
      <c r="BE82" s="203"/>
      <c r="BF82" s="203"/>
      <c r="BG82" s="1431"/>
      <c r="BH82" s="1431"/>
      <c r="BI82" s="1431"/>
      <c r="BJ82" s="1431"/>
      <c r="BK82" s="1431"/>
      <c r="BL82" s="1431"/>
      <c r="BM82" s="203"/>
      <c r="BN82" s="203"/>
      <c r="BO82" s="203"/>
      <c r="BP82" s="203"/>
      <c r="BQ82" s="174">
        <f>BA82+BC82+BE82+BG82+BI82+BK82+BM82+BO82</f>
        <v>0</v>
      </c>
      <c r="BR82" s="174">
        <f>BB82+BD82+BF82+BH82+BJ82+BL82+BN82+BP82</f>
        <v>0</v>
      </c>
      <c r="BS82" s="175">
        <f>IF(BQ82=0,0,BR82/BQ82)</f>
        <v>0</v>
      </c>
      <c r="BT82" s="176">
        <f>SUM(BQ82-BR82)</f>
        <v>0</v>
      </c>
      <c r="BU82" s="176">
        <f>SUM(BM82-BN82)</f>
        <v>0</v>
      </c>
      <c r="BV82" s="176">
        <f>SUM(BO82-BP82)</f>
        <v>0</v>
      </c>
      <c r="BX82" s="201">
        <v>1</v>
      </c>
      <c r="BY82" s="202" t="str">
        <f>$B$10</f>
        <v>CIHANYAWAR</v>
      </c>
      <c r="BZ82" s="203"/>
      <c r="CA82" s="203"/>
      <c r="CB82" s="203"/>
      <c r="CC82" s="203"/>
      <c r="CD82" s="203"/>
      <c r="CE82" s="203"/>
      <c r="CF82" s="1431"/>
      <c r="CG82" s="1431"/>
      <c r="CH82" s="1431"/>
      <c r="CI82" s="1431"/>
      <c r="CJ82" s="1431"/>
      <c r="CK82" s="1431"/>
      <c r="CL82" s="203"/>
      <c r="CM82" s="203"/>
      <c r="CN82" s="203"/>
      <c r="CO82" s="203"/>
      <c r="CP82" s="174">
        <f>BZ82+CB82+CD82+CF82+CH82+CJ82+CL82+CN82</f>
        <v>0</v>
      </c>
      <c r="CQ82" s="174">
        <f>CA82+CC82+CE82+CG82+CI82+CK82+CM82+CO82</f>
        <v>0</v>
      </c>
      <c r="CR82" s="175">
        <f>IF(CP82=0,0,CQ82/CP82)</f>
        <v>0</v>
      </c>
      <c r="CS82" s="176">
        <f>SUM(CP82-CQ82)</f>
        <v>0</v>
      </c>
      <c r="CT82" s="176">
        <f>SUM(CL82-CM82)</f>
        <v>0</v>
      </c>
      <c r="CU82" s="176">
        <f>SUM(CN82-CO82)</f>
        <v>0</v>
      </c>
      <c r="CW82" s="201">
        <v>1</v>
      </c>
      <c r="CX82" s="202" t="str">
        <f>$B$10</f>
        <v>CIHANYAWAR</v>
      </c>
      <c r="CY82" s="203"/>
      <c r="CZ82" s="203"/>
      <c r="DA82" s="203"/>
      <c r="DB82" s="203"/>
      <c r="DC82" s="203"/>
      <c r="DD82" s="203"/>
      <c r="DE82" s="1431"/>
      <c r="DF82" s="1431"/>
      <c r="DG82" s="1431"/>
      <c r="DH82" s="1431"/>
      <c r="DI82" s="1431"/>
      <c r="DJ82" s="1431"/>
      <c r="DK82" s="203"/>
      <c r="DL82" s="203"/>
      <c r="DM82" s="203"/>
      <c r="DN82" s="203"/>
      <c r="DO82" s="174">
        <f>CY82+DA82+DC82+DE82+DG82+DI82+DK82+DM82</f>
        <v>0</v>
      </c>
      <c r="DP82" s="174">
        <f>CZ82+DB82+DD82+DF82+DH82+DJ82+DL82+DN82</f>
        <v>0</v>
      </c>
      <c r="DQ82" s="175">
        <f>IF(DO82=0,0,DP82/DO82)</f>
        <v>0</v>
      </c>
      <c r="DR82" s="176">
        <f>SUM(DO82-DP82)</f>
        <v>0</v>
      </c>
      <c r="DS82" s="176">
        <f>SUM(DK82-DL82)</f>
        <v>0</v>
      </c>
      <c r="DT82" s="176">
        <f>SUM(DM82-DN82)</f>
        <v>0</v>
      </c>
      <c r="DV82" s="201">
        <v>1</v>
      </c>
      <c r="DW82" s="202" t="str">
        <f>$B$10</f>
        <v>CIHANYAWAR</v>
      </c>
      <c r="DX82" s="203"/>
      <c r="DY82" s="203"/>
      <c r="DZ82" s="203"/>
      <c r="EA82" s="203"/>
      <c r="EB82" s="203"/>
      <c r="EC82" s="203"/>
      <c r="ED82" s="1431"/>
      <c r="EE82" s="1431"/>
      <c r="EF82" s="1431"/>
      <c r="EG82" s="1431"/>
      <c r="EH82" s="1431"/>
      <c r="EI82" s="1431"/>
      <c r="EJ82" s="203"/>
      <c r="EK82" s="203"/>
      <c r="EL82" s="203"/>
      <c r="EM82" s="203"/>
      <c r="EN82" s="174">
        <f>DX82+DZ82+EB82+ED82+EF82+EH82+EJ82+EL82</f>
        <v>0</v>
      </c>
      <c r="EO82" s="174">
        <f>DY82+EA82+EC82+EE82+EG82+EI82+EK82+EM82</f>
        <v>0</v>
      </c>
      <c r="EP82" s="175">
        <f>IF(EN82=0,0,EO82/EN82)</f>
        <v>0</v>
      </c>
      <c r="EQ82" s="176">
        <f>SUM(EN82-EO82)</f>
        <v>0</v>
      </c>
      <c r="ER82" s="176">
        <f>SUM(EJ82-EK82)</f>
        <v>0</v>
      </c>
      <c r="ES82" s="176">
        <f>SUM(EL82-EM82)</f>
        <v>0</v>
      </c>
    </row>
    <row r="83" spans="1:149" s="168" customFormat="1" ht="42" customHeight="1">
      <c r="A83" s="204">
        <v>2</v>
      </c>
      <c r="B83" s="202" t="str">
        <f>$B$11</f>
        <v>NAGRAK UTARA</v>
      </c>
      <c r="C83" s="203"/>
      <c r="D83" s="203"/>
      <c r="E83" s="205"/>
      <c r="F83" s="205"/>
      <c r="G83" s="205"/>
      <c r="H83" s="205"/>
      <c r="I83" s="1432"/>
      <c r="J83" s="1432"/>
      <c r="K83" s="1432"/>
      <c r="L83" s="1432"/>
      <c r="M83" s="1432"/>
      <c r="N83" s="1432"/>
      <c r="O83" s="205"/>
      <c r="P83" s="205"/>
      <c r="Q83" s="205"/>
      <c r="R83" s="205"/>
      <c r="S83" s="177">
        <f t="shared" ref="S83:S97" si="74">C83+E83+G83+M83+O83+Q83</f>
        <v>0</v>
      </c>
      <c r="T83" s="177">
        <f t="shared" ref="T83:T97" si="75">D83+F83+H83+N83+P83+R83</f>
        <v>0</v>
      </c>
      <c r="U83" s="178">
        <f t="shared" ref="U83:U97" si="76">IF(S83=0,0,T83/S83)</f>
        <v>0</v>
      </c>
      <c r="V83" s="176">
        <f t="shared" ref="V83:V96" si="77">SUM(S83-T83)</f>
        <v>0</v>
      </c>
      <c r="W83" s="176">
        <f t="shared" ref="W83:W96" si="78">SUM(O83-P83)</f>
        <v>0</v>
      </c>
      <c r="X83" s="176">
        <f t="shared" ref="X83:X96" si="79">SUM(Q83-R83)</f>
        <v>0</v>
      </c>
      <c r="Z83" s="204">
        <v>2</v>
      </c>
      <c r="AA83" s="202" t="str">
        <f>$B$11</f>
        <v>NAGRAK UTARA</v>
      </c>
      <c r="AB83" s="203"/>
      <c r="AC83" s="203"/>
      <c r="AD83" s="205"/>
      <c r="AE83" s="205"/>
      <c r="AF83" s="205"/>
      <c r="AG83" s="205"/>
      <c r="AH83" s="1432"/>
      <c r="AI83" s="1432"/>
      <c r="AJ83" s="1432"/>
      <c r="AK83" s="1432"/>
      <c r="AL83" s="1432"/>
      <c r="AM83" s="1432"/>
      <c r="AN83" s="205"/>
      <c r="AO83" s="205"/>
      <c r="AP83" s="205"/>
      <c r="AQ83" s="205"/>
      <c r="AR83" s="177">
        <f t="shared" ref="AR83:AR97" si="80">AB83+AD83+AF83+AL83+AN83+AP83</f>
        <v>0</v>
      </c>
      <c r="AS83" s="177">
        <f t="shared" ref="AS83:AS97" si="81">AC83+AE83+AG83+AM83+AO83+AQ83</f>
        <v>0</v>
      </c>
      <c r="AT83" s="178">
        <f t="shared" ref="AT83:AT97" si="82">IF(AR83=0,0,AS83/AR83)</f>
        <v>0</v>
      </c>
      <c r="AU83" s="176">
        <f t="shared" ref="AU83:AU96" si="83">SUM(AR83-AS83)</f>
        <v>0</v>
      </c>
      <c r="AV83" s="176">
        <f t="shared" ref="AV83:AV96" si="84">SUM(AN83-AO83)</f>
        <v>0</v>
      </c>
      <c r="AW83" s="176">
        <f t="shared" ref="AW83:AW96" si="85">SUM(AP83-AQ83)</f>
        <v>0</v>
      </c>
      <c r="AY83" s="204">
        <v>2</v>
      </c>
      <c r="AZ83" s="202" t="str">
        <f>$B$11</f>
        <v>NAGRAK UTARA</v>
      </c>
      <c r="BA83" s="203"/>
      <c r="BB83" s="203"/>
      <c r="BC83" s="205"/>
      <c r="BD83" s="205"/>
      <c r="BE83" s="205"/>
      <c r="BF83" s="205"/>
      <c r="BG83" s="1432"/>
      <c r="BH83" s="1432"/>
      <c r="BI83" s="1432"/>
      <c r="BJ83" s="1432"/>
      <c r="BK83" s="1432"/>
      <c r="BL83" s="1432"/>
      <c r="BM83" s="205"/>
      <c r="BN83" s="205"/>
      <c r="BO83" s="205"/>
      <c r="BP83" s="205"/>
      <c r="BQ83" s="177">
        <f t="shared" ref="BQ83:BQ97" si="86">BA83+BC83+BE83+BK83+BM83+BO83</f>
        <v>0</v>
      </c>
      <c r="BR83" s="177">
        <f t="shared" ref="BR83:BR97" si="87">BB83+BD83+BF83+BL83+BN83+BP83</f>
        <v>0</v>
      </c>
      <c r="BS83" s="178">
        <f t="shared" ref="BS83:BS97" si="88">IF(BQ83=0,0,BR83/BQ83)</f>
        <v>0</v>
      </c>
      <c r="BT83" s="176">
        <f t="shared" ref="BT83:BT96" si="89">SUM(BQ83-BR83)</f>
        <v>0</v>
      </c>
      <c r="BU83" s="176">
        <f t="shared" ref="BU83:BU96" si="90">SUM(BM83-BN83)</f>
        <v>0</v>
      </c>
      <c r="BV83" s="176">
        <f t="shared" ref="BV83:BV96" si="91">SUM(BO83-BP83)</f>
        <v>0</v>
      </c>
      <c r="BX83" s="204">
        <v>2</v>
      </c>
      <c r="BY83" s="202" t="str">
        <f>$B$11</f>
        <v>NAGRAK UTARA</v>
      </c>
      <c r="BZ83" s="203"/>
      <c r="CA83" s="203"/>
      <c r="CB83" s="205"/>
      <c r="CC83" s="205"/>
      <c r="CD83" s="205"/>
      <c r="CE83" s="205"/>
      <c r="CF83" s="1432"/>
      <c r="CG83" s="1432"/>
      <c r="CH83" s="1432"/>
      <c r="CI83" s="1432"/>
      <c r="CJ83" s="1432"/>
      <c r="CK83" s="1432"/>
      <c r="CL83" s="205"/>
      <c r="CM83" s="205"/>
      <c r="CN83" s="205"/>
      <c r="CO83" s="205"/>
      <c r="CP83" s="177">
        <f t="shared" ref="CP83:CP97" si="92">BZ83+CB83+CD83+CJ83+CL83+CN83</f>
        <v>0</v>
      </c>
      <c r="CQ83" s="177">
        <f t="shared" ref="CQ83:CQ97" si="93">CA83+CC83+CE83+CK83+CM83+CO83</f>
        <v>0</v>
      </c>
      <c r="CR83" s="178">
        <f t="shared" ref="CR83:CR97" si="94">IF(CP83=0,0,CQ83/CP83)</f>
        <v>0</v>
      </c>
      <c r="CS83" s="176">
        <f t="shared" ref="CS83:CS96" si="95">SUM(CP83-CQ83)</f>
        <v>0</v>
      </c>
      <c r="CT83" s="176">
        <f t="shared" ref="CT83:CT96" si="96">SUM(CL83-CM83)</f>
        <v>0</v>
      </c>
      <c r="CU83" s="176">
        <f t="shared" ref="CU83:CU96" si="97">SUM(CN83-CO83)</f>
        <v>0</v>
      </c>
      <c r="CW83" s="204">
        <v>2</v>
      </c>
      <c r="CX83" s="202" t="str">
        <f>$B$11</f>
        <v>NAGRAK UTARA</v>
      </c>
      <c r="CY83" s="203"/>
      <c r="CZ83" s="203"/>
      <c r="DA83" s="205"/>
      <c r="DB83" s="205"/>
      <c r="DC83" s="205"/>
      <c r="DD83" s="205"/>
      <c r="DE83" s="1432"/>
      <c r="DF83" s="1432"/>
      <c r="DG83" s="1432"/>
      <c r="DH83" s="1432"/>
      <c r="DI83" s="1432"/>
      <c r="DJ83" s="1432"/>
      <c r="DK83" s="205"/>
      <c r="DL83" s="205"/>
      <c r="DM83" s="205"/>
      <c r="DN83" s="205"/>
      <c r="DO83" s="177">
        <f t="shared" ref="DO83:DO97" si="98">CY83+DA83+DC83+DI83+DK83+DM83</f>
        <v>0</v>
      </c>
      <c r="DP83" s="177">
        <f t="shared" ref="DP83:DP97" si="99">CZ83+DB83+DD83+DJ83+DL83+DN83</f>
        <v>0</v>
      </c>
      <c r="DQ83" s="178">
        <f t="shared" ref="DQ83:DQ97" si="100">IF(DO83=0,0,DP83/DO83)</f>
        <v>0</v>
      </c>
      <c r="DR83" s="176">
        <f t="shared" ref="DR83:DR96" si="101">SUM(DO83-DP83)</f>
        <v>0</v>
      </c>
      <c r="DS83" s="176">
        <f t="shared" ref="DS83:DS96" si="102">SUM(DK83-DL83)</f>
        <v>0</v>
      </c>
      <c r="DT83" s="176">
        <f t="shared" ref="DT83:DT96" si="103">SUM(DM83-DN83)</f>
        <v>0</v>
      </c>
      <c r="DV83" s="204">
        <v>2</v>
      </c>
      <c r="DW83" s="202" t="str">
        <f>$B$11</f>
        <v>NAGRAK UTARA</v>
      </c>
      <c r="DX83" s="203"/>
      <c r="DY83" s="203"/>
      <c r="DZ83" s="205"/>
      <c r="EA83" s="205"/>
      <c r="EB83" s="205"/>
      <c r="EC83" s="205"/>
      <c r="ED83" s="1432"/>
      <c r="EE83" s="1432"/>
      <c r="EF83" s="1432"/>
      <c r="EG83" s="1432"/>
      <c r="EH83" s="1432"/>
      <c r="EI83" s="1432"/>
      <c r="EJ83" s="205"/>
      <c r="EK83" s="205"/>
      <c r="EL83" s="205"/>
      <c r="EM83" s="205"/>
      <c r="EN83" s="177">
        <f t="shared" ref="EN83:EN97" si="104">DX83+DZ83+EB83+EH83+EJ83+EL83</f>
        <v>0</v>
      </c>
      <c r="EO83" s="177">
        <f t="shared" ref="EO83:EO97" si="105">DY83+EA83+EC83+EI83+EK83+EM83</f>
        <v>0</v>
      </c>
      <c r="EP83" s="178">
        <f t="shared" ref="EP83:EP97" si="106">IF(EN83=0,0,EO83/EN83)</f>
        <v>0</v>
      </c>
      <c r="EQ83" s="176">
        <f t="shared" ref="EQ83:EQ96" si="107">SUM(EN83-EO83)</f>
        <v>0</v>
      </c>
      <c r="ER83" s="176">
        <f t="shared" ref="ER83:ER96" si="108">SUM(EJ83-EK83)</f>
        <v>0</v>
      </c>
      <c r="ES83" s="176">
        <f t="shared" ref="ES83:ES96" si="109">SUM(EL83-EM83)</f>
        <v>0</v>
      </c>
    </row>
    <row r="84" spans="1:149" s="168" customFormat="1" ht="42" customHeight="1">
      <c r="A84" s="204">
        <v>3</v>
      </c>
      <c r="B84" s="202" t="str">
        <f>$B$12</f>
        <v>DARMAREJA</v>
      </c>
      <c r="C84" s="205"/>
      <c r="D84" s="205"/>
      <c r="E84" s="205"/>
      <c r="F84" s="205"/>
      <c r="G84" s="205"/>
      <c r="H84" s="205"/>
      <c r="I84" s="1432"/>
      <c r="J84" s="1432"/>
      <c r="K84" s="1432"/>
      <c r="L84" s="1432"/>
      <c r="M84" s="1432"/>
      <c r="N84" s="1432"/>
      <c r="O84" s="205"/>
      <c r="P84" s="205"/>
      <c r="Q84" s="205"/>
      <c r="R84" s="205"/>
      <c r="S84" s="177">
        <f t="shared" si="74"/>
        <v>0</v>
      </c>
      <c r="T84" s="177">
        <f t="shared" si="75"/>
        <v>0</v>
      </c>
      <c r="U84" s="178">
        <f t="shared" si="76"/>
        <v>0</v>
      </c>
      <c r="V84" s="176">
        <f t="shared" si="77"/>
        <v>0</v>
      </c>
      <c r="W84" s="176">
        <f t="shared" si="78"/>
        <v>0</v>
      </c>
      <c r="X84" s="176">
        <f t="shared" si="79"/>
        <v>0</v>
      </c>
      <c r="Z84" s="204">
        <v>3</v>
      </c>
      <c r="AA84" s="202" t="str">
        <f>$B$12</f>
        <v>DARMAREJA</v>
      </c>
      <c r="AB84" s="205"/>
      <c r="AC84" s="205"/>
      <c r="AD84" s="205"/>
      <c r="AE84" s="205"/>
      <c r="AF84" s="205"/>
      <c r="AG84" s="205"/>
      <c r="AH84" s="1432"/>
      <c r="AI84" s="1432"/>
      <c r="AJ84" s="1432"/>
      <c r="AK84" s="1432"/>
      <c r="AL84" s="1432"/>
      <c r="AM84" s="1432"/>
      <c r="AN84" s="205"/>
      <c r="AO84" s="205"/>
      <c r="AP84" s="205"/>
      <c r="AQ84" s="205"/>
      <c r="AR84" s="177">
        <f t="shared" si="80"/>
        <v>0</v>
      </c>
      <c r="AS84" s="177">
        <f t="shared" si="81"/>
        <v>0</v>
      </c>
      <c r="AT84" s="178">
        <f t="shared" si="82"/>
        <v>0</v>
      </c>
      <c r="AU84" s="176">
        <f t="shared" si="83"/>
        <v>0</v>
      </c>
      <c r="AV84" s="176">
        <f t="shared" si="84"/>
        <v>0</v>
      </c>
      <c r="AW84" s="176">
        <f t="shared" si="85"/>
        <v>0</v>
      </c>
      <c r="AY84" s="204">
        <v>3</v>
      </c>
      <c r="AZ84" s="202" t="str">
        <f>$B$12</f>
        <v>DARMAREJA</v>
      </c>
      <c r="BA84" s="205"/>
      <c r="BB84" s="205"/>
      <c r="BC84" s="205"/>
      <c r="BD84" s="205"/>
      <c r="BE84" s="205"/>
      <c r="BF84" s="205"/>
      <c r="BG84" s="1432"/>
      <c r="BH84" s="1432"/>
      <c r="BI84" s="1432"/>
      <c r="BJ84" s="1432"/>
      <c r="BK84" s="1432"/>
      <c r="BL84" s="1432"/>
      <c r="BM84" s="205"/>
      <c r="BN84" s="205"/>
      <c r="BO84" s="205"/>
      <c r="BP84" s="205"/>
      <c r="BQ84" s="177">
        <f t="shared" si="86"/>
        <v>0</v>
      </c>
      <c r="BR84" s="177">
        <f t="shared" si="87"/>
        <v>0</v>
      </c>
      <c r="BS84" s="178">
        <f t="shared" si="88"/>
        <v>0</v>
      </c>
      <c r="BT84" s="176">
        <f t="shared" si="89"/>
        <v>0</v>
      </c>
      <c r="BU84" s="176">
        <f t="shared" si="90"/>
        <v>0</v>
      </c>
      <c r="BV84" s="176">
        <f t="shared" si="91"/>
        <v>0</v>
      </c>
      <c r="BX84" s="204">
        <v>3</v>
      </c>
      <c r="BY84" s="202" t="str">
        <f>$B$12</f>
        <v>DARMAREJA</v>
      </c>
      <c r="BZ84" s="205"/>
      <c r="CA84" s="205"/>
      <c r="CB84" s="205"/>
      <c r="CC84" s="205"/>
      <c r="CD84" s="205"/>
      <c r="CE84" s="205"/>
      <c r="CF84" s="1432"/>
      <c r="CG84" s="1432"/>
      <c r="CH84" s="1432"/>
      <c r="CI84" s="1432"/>
      <c r="CJ84" s="1432"/>
      <c r="CK84" s="1432"/>
      <c r="CL84" s="205"/>
      <c r="CM84" s="205"/>
      <c r="CN84" s="205"/>
      <c r="CO84" s="205"/>
      <c r="CP84" s="177">
        <f t="shared" si="92"/>
        <v>0</v>
      </c>
      <c r="CQ84" s="177">
        <f t="shared" si="93"/>
        <v>0</v>
      </c>
      <c r="CR84" s="178">
        <f t="shared" si="94"/>
        <v>0</v>
      </c>
      <c r="CS84" s="176">
        <f t="shared" si="95"/>
        <v>0</v>
      </c>
      <c r="CT84" s="176">
        <f t="shared" si="96"/>
        <v>0</v>
      </c>
      <c r="CU84" s="176">
        <f t="shared" si="97"/>
        <v>0</v>
      </c>
      <c r="CW84" s="204">
        <v>3</v>
      </c>
      <c r="CX84" s="202" t="str">
        <f>$B$12</f>
        <v>DARMAREJA</v>
      </c>
      <c r="CY84" s="205"/>
      <c r="CZ84" s="205"/>
      <c r="DA84" s="205"/>
      <c r="DB84" s="205"/>
      <c r="DC84" s="205"/>
      <c r="DD84" s="205"/>
      <c r="DE84" s="1432"/>
      <c r="DF84" s="1432"/>
      <c r="DG84" s="1432"/>
      <c r="DH84" s="1432"/>
      <c r="DI84" s="1432"/>
      <c r="DJ84" s="1432"/>
      <c r="DK84" s="205"/>
      <c r="DL84" s="205"/>
      <c r="DM84" s="205"/>
      <c r="DN84" s="205"/>
      <c r="DO84" s="177">
        <f t="shared" si="98"/>
        <v>0</v>
      </c>
      <c r="DP84" s="177">
        <f t="shared" si="99"/>
        <v>0</v>
      </c>
      <c r="DQ84" s="178">
        <f t="shared" si="100"/>
        <v>0</v>
      </c>
      <c r="DR84" s="176">
        <f t="shared" si="101"/>
        <v>0</v>
      </c>
      <c r="DS84" s="176">
        <f t="shared" si="102"/>
        <v>0</v>
      </c>
      <c r="DT84" s="176">
        <f t="shared" si="103"/>
        <v>0</v>
      </c>
      <c r="DV84" s="204">
        <v>3</v>
      </c>
      <c r="DW84" s="202" t="str">
        <f>$B$12</f>
        <v>DARMAREJA</v>
      </c>
      <c r="DX84" s="205"/>
      <c r="DY84" s="205"/>
      <c r="DZ84" s="205"/>
      <c r="EA84" s="205"/>
      <c r="EB84" s="205"/>
      <c r="EC84" s="205"/>
      <c r="ED84" s="1432"/>
      <c r="EE84" s="1432"/>
      <c r="EF84" s="1432"/>
      <c r="EG84" s="1432"/>
      <c r="EH84" s="1432"/>
      <c r="EI84" s="1432"/>
      <c r="EJ84" s="205"/>
      <c r="EK84" s="205"/>
      <c r="EL84" s="205"/>
      <c r="EM84" s="205"/>
      <c r="EN84" s="177">
        <f t="shared" si="104"/>
        <v>0</v>
      </c>
      <c r="EO84" s="177">
        <f t="shared" si="105"/>
        <v>0</v>
      </c>
      <c r="EP84" s="178">
        <f t="shared" si="106"/>
        <v>0</v>
      </c>
      <c r="EQ84" s="176">
        <f t="shared" si="107"/>
        <v>0</v>
      </c>
      <c r="ER84" s="176">
        <f t="shared" si="108"/>
        <v>0</v>
      </c>
      <c r="ES84" s="176">
        <f t="shared" si="109"/>
        <v>0</v>
      </c>
    </row>
    <row r="85" spans="1:149" s="168" customFormat="1" ht="42" customHeight="1">
      <c r="A85" s="204">
        <v>4</v>
      </c>
      <c r="B85" s="202" t="str">
        <f>$B$13</f>
        <v>BALEKAMBANG</v>
      </c>
      <c r="C85" s="205"/>
      <c r="D85" s="205"/>
      <c r="E85" s="205"/>
      <c r="F85" s="205"/>
      <c r="G85" s="205"/>
      <c r="H85" s="205"/>
      <c r="I85" s="1432"/>
      <c r="J85" s="1432"/>
      <c r="K85" s="1432"/>
      <c r="L85" s="1432"/>
      <c r="M85" s="1432"/>
      <c r="N85" s="1432"/>
      <c r="O85" s="205"/>
      <c r="P85" s="205"/>
      <c r="Q85" s="205"/>
      <c r="R85" s="205"/>
      <c r="S85" s="177">
        <f t="shared" si="74"/>
        <v>0</v>
      </c>
      <c r="T85" s="177">
        <f t="shared" si="75"/>
        <v>0</v>
      </c>
      <c r="U85" s="178">
        <f t="shared" si="76"/>
        <v>0</v>
      </c>
      <c r="V85" s="176">
        <f t="shared" si="77"/>
        <v>0</v>
      </c>
      <c r="W85" s="176">
        <f t="shared" si="78"/>
        <v>0</v>
      </c>
      <c r="X85" s="176">
        <f t="shared" si="79"/>
        <v>0</v>
      </c>
      <c r="Z85" s="204">
        <v>4</v>
      </c>
      <c r="AA85" s="202" t="str">
        <f>$B$13</f>
        <v>BALEKAMBANG</v>
      </c>
      <c r="AB85" s="205"/>
      <c r="AC85" s="205"/>
      <c r="AD85" s="205"/>
      <c r="AE85" s="205"/>
      <c r="AF85" s="205"/>
      <c r="AG85" s="205"/>
      <c r="AH85" s="1432"/>
      <c r="AI85" s="1432"/>
      <c r="AJ85" s="1432"/>
      <c r="AK85" s="1432"/>
      <c r="AL85" s="1432"/>
      <c r="AM85" s="1432"/>
      <c r="AN85" s="205"/>
      <c r="AO85" s="205"/>
      <c r="AP85" s="205"/>
      <c r="AQ85" s="205"/>
      <c r="AR85" s="177">
        <f t="shared" si="80"/>
        <v>0</v>
      </c>
      <c r="AS85" s="177">
        <f t="shared" si="81"/>
        <v>0</v>
      </c>
      <c r="AT85" s="178">
        <f t="shared" si="82"/>
        <v>0</v>
      </c>
      <c r="AU85" s="176">
        <f t="shared" si="83"/>
        <v>0</v>
      </c>
      <c r="AV85" s="176">
        <f t="shared" si="84"/>
        <v>0</v>
      </c>
      <c r="AW85" s="176">
        <f t="shared" si="85"/>
        <v>0</v>
      </c>
      <c r="AY85" s="204">
        <v>4</v>
      </c>
      <c r="AZ85" s="202" t="str">
        <f>$B$13</f>
        <v>BALEKAMBANG</v>
      </c>
      <c r="BA85" s="205"/>
      <c r="BB85" s="205"/>
      <c r="BC85" s="205"/>
      <c r="BD85" s="205"/>
      <c r="BE85" s="205"/>
      <c r="BF85" s="205"/>
      <c r="BG85" s="1432"/>
      <c r="BH85" s="1432"/>
      <c r="BI85" s="1432"/>
      <c r="BJ85" s="1432"/>
      <c r="BK85" s="1432"/>
      <c r="BL85" s="1432"/>
      <c r="BM85" s="205"/>
      <c r="BN85" s="205"/>
      <c r="BO85" s="205"/>
      <c r="BP85" s="205"/>
      <c r="BQ85" s="177">
        <f t="shared" si="86"/>
        <v>0</v>
      </c>
      <c r="BR85" s="177">
        <f t="shared" si="87"/>
        <v>0</v>
      </c>
      <c r="BS85" s="178">
        <f t="shared" si="88"/>
        <v>0</v>
      </c>
      <c r="BT85" s="176">
        <f t="shared" si="89"/>
        <v>0</v>
      </c>
      <c r="BU85" s="176">
        <f t="shared" si="90"/>
        <v>0</v>
      </c>
      <c r="BV85" s="176">
        <f t="shared" si="91"/>
        <v>0</v>
      </c>
      <c r="BX85" s="204">
        <v>4</v>
      </c>
      <c r="BY85" s="202" t="str">
        <f>$B$13</f>
        <v>BALEKAMBANG</v>
      </c>
      <c r="BZ85" s="205"/>
      <c r="CA85" s="205"/>
      <c r="CB85" s="205"/>
      <c r="CC85" s="205"/>
      <c r="CD85" s="205"/>
      <c r="CE85" s="205"/>
      <c r="CF85" s="1432"/>
      <c r="CG85" s="1432"/>
      <c r="CH85" s="1432"/>
      <c r="CI85" s="1432"/>
      <c r="CJ85" s="1432"/>
      <c r="CK85" s="1432"/>
      <c r="CL85" s="205"/>
      <c r="CM85" s="205"/>
      <c r="CN85" s="205"/>
      <c r="CO85" s="205"/>
      <c r="CP85" s="177">
        <f t="shared" si="92"/>
        <v>0</v>
      </c>
      <c r="CQ85" s="177">
        <f t="shared" si="93"/>
        <v>0</v>
      </c>
      <c r="CR85" s="178">
        <f t="shared" si="94"/>
        <v>0</v>
      </c>
      <c r="CS85" s="176">
        <f t="shared" si="95"/>
        <v>0</v>
      </c>
      <c r="CT85" s="176">
        <f t="shared" si="96"/>
        <v>0</v>
      </c>
      <c r="CU85" s="176">
        <f t="shared" si="97"/>
        <v>0</v>
      </c>
      <c r="CW85" s="204">
        <v>4</v>
      </c>
      <c r="CX85" s="202" t="str">
        <f>$B$13</f>
        <v>BALEKAMBANG</v>
      </c>
      <c r="CY85" s="205"/>
      <c r="CZ85" s="205"/>
      <c r="DA85" s="205"/>
      <c r="DB85" s="205"/>
      <c r="DC85" s="205"/>
      <c r="DD85" s="205"/>
      <c r="DE85" s="1432"/>
      <c r="DF85" s="1432"/>
      <c r="DG85" s="1432"/>
      <c r="DH85" s="1432"/>
      <c r="DI85" s="1432"/>
      <c r="DJ85" s="1432"/>
      <c r="DK85" s="205"/>
      <c r="DL85" s="205"/>
      <c r="DM85" s="205"/>
      <c r="DN85" s="205"/>
      <c r="DO85" s="177">
        <f t="shared" si="98"/>
        <v>0</v>
      </c>
      <c r="DP85" s="177">
        <f t="shared" si="99"/>
        <v>0</v>
      </c>
      <c r="DQ85" s="178">
        <f t="shared" si="100"/>
        <v>0</v>
      </c>
      <c r="DR85" s="176">
        <f t="shared" si="101"/>
        <v>0</v>
      </c>
      <c r="DS85" s="176">
        <f t="shared" si="102"/>
        <v>0</v>
      </c>
      <c r="DT85" s="176">
        <f t="shared" si="103"/>
        <v>0</v>
      </c>
      <c r="DV85" s="204">
        <v>4</v>
      </c>
      <c r="DW85" s="202" t="str">
        <f>$B$13</f>
        <v>BALEKAMBANG</v>
      </c>
      <c r="DX85" s="205"/>
      <c r="DY85" s="205"/>
      <c r="DZ85" s="205"/>
      <c r="EA85" s="205"/>
      <c r="EB85" s="205"/>
      <c r="EC85" s="205"/>
      <c r="ED85" s="1432"/>
      <c r="EE85" s="1432"/>
      <c r="EF85" s="1432"/>
      <c r="EG85" s="1432"/>
      <c r="EH85" s="1432"/>
      <c r="EI85" s="1432"/>
      <c r="EJ85" s="205"/>
      <c r="EK85" s="205"/>
      <c r="EL85" s="205"/>
      <c r="EM85" s="205"/>
      <c r="EN85" s="177">
        <f t="shared" si="104"/>
        <v>0</v>
      </c>
      <c r="EO85" s="177">
        <f t="shared" si="105"/>
        <v>0</v>
      </c>
      <c r="EP85" s="178">
        <f t="shared" si="106"/>
        <v>0</v>
      </c>
      <c r="EQ85" s="176">
        <f t="shared" si="107"/>
        <v>0</v>
      </c>
      <c r="ER85" s="176">
        <f t="shared" si="108"/>
        <v>0</v>
      </c>
      <c r="ES85" s="176">
        <f t="shared" si="109"/>
        <v>0</v>
      </c>
    </row>
    <row r="86" spans="1:149" s="168" customFormat="1" ht="42" customHeight="1">
      <c r="A86" s="204">
        <v>5</v>
      </c>
      <c r="B86" s="202" t="str">
        <f>$B$14</f>
        <v>NAGRAK SELATAN</v>
      </c>
      <c r="C86" s="205"/>
      <c r="D86" s="205"/>
      <c r="E86" s="205"/>
      <c r="F86" s="205"/>
      <c r="G86" s="205"/>
      <c r="H86" s="205"/>
      <c r="I86" s="1432"/>
      <c r="J86" s="1432"/>
      <c r="K86" s="1432"/>
      <c r="L86" s="1432"/>
      <c r="M86" s="1432"/>
      <c r="N86" s="1432"/>
      <c r="O86" s="205"/>
      <c r="P86" s="205"/>
      <c r="Q86" s="205"/>
      <c r="R86" s="205"/>
      <c r="S86" s="177">
        <f t="shared" si="74"/>
        <v>0</v>
      </c>
      <c r="T86" s="177">
        <f t="shared" si="75"/>
        <v>0</v>
      </c>
      <c r="U86" s="178">
        <f t="shared" si="76"/>
        <v>0</v>
      </c>
      <c r="V86" s="176">
        <f t="shared" si="77"/>
        <v>0</v>
      </c>
      <c r="W86" s="176">
        <f t="shared" si="78"/>
        <v>0</v>
      </c>
      <c r="X86" s="176">
        <f t="shared" si="79"/>
        <v>0</v>
      </c>
      <c r="Z86" s="204">
        <v>5</v>
      </c>
      <c r="AA86" s="202" t="str">
        <f>$B$14</f>
        <v>NAGRAK SELATAN</v>
      </c>
      <c r="AB86" s="205"/>
      <c r="AC86" s="205"/>
      <c r="AD86" s="205"/>
      <c r="AE86" s="205"/>
      <c r="AF86" s="205"/>
      <c r="AG86" s="205"/>
      <c r="AH86" s="1432"/>
      <c r="AI86" s="1432"/>
      <c r="AJ86" s="1432"/>
      <c r="AK86" s="1432"/>
      <c r="AL86" s="1432"/>
      <c r="AM86" s="1432"/>
      <c r="AN86" s="205"/>
      <c r="AO86" s="205"/>
      <c r="AP86" s="205"/>
      <c r="AQ86" s="205"/>
      <c r="AR86" s="177">
        <f t="shared" si="80"/>
        <v>0</v>
      </c>
      <c r="AS86" s="177">
        <f t="shared" si="81"/>
        <v>0</v>
      </c>
      <c r="AT86" s="178">
        <f t="shared" si="82"/>
        <v>0</v>
      </c>
      <c r="AU86" s="176">
        <f t="shared" si="83"/>
        <v>0</v>
      </c>
      <c r="AV86" s="176">
        <f t="shared" si="84"/>
        <v>0</v>
      </c>
      <c r="AW86" s="176">
        <f t="shared" si="85"/>
        <v>0</v>
      </c>
      <c r="AY86" s="204">
        <v>5</v>
      </c>
      <c r="AZ86" s="202" t="str">
        <f>$B$14</f>
        <v>NAGRAK SELATAN</v>
      </c>
      <c r="BA86" s="205"/>
      <c r="BB86" s="205"/>
      <c r="BC86" s="205"/>
      <c r="BD86" s="205"/>
      <c r="BE86" s="205"/>
      <c r="BF86" s="205"/>
      <c r="BG86" s="1432"/>
      <c r="BH86" s="1432"/>
      <c r="BI86" s="1432"/>
      <c r="BJ86" s="1432"/>
      <c r="BK86" s="1432"/>
      <c r="BL86" s="1432"/>
      <c r="BM86" s="205"/>
      <c r="BN86" s="205"/>
      <c r="BO86" s="205"/>
      <c r="BP86" s="205"/>
      <c r="BQ86" s="177">
        <f t="shared" si="86"/>
        <v>0</v>
      </c>
      <c r="BR86" s="177">
        <f t="shared" si="87"/>
        <v>0</v>
      </c>
      <c r="BS86" s="178">
        <f t="shared" si="88"/>
        <v>0</v>
      </c>
      <c r="BT86" s="176">
        <f t="shared" si="89"/>
        <v>0</v>
      </c>
      <c r="BU86" s="176">
        <f t="shared" si="90"/>
        <v>0</v>
      </c>
      <c r="BV86" s="176">
        <f t="shared" si="91"/>
        <v>0</v>
      </c>
      <c r="BX86" s="204">
        <v>5</v>
      </c>
      <c r="BY86" s="202" t="str">
        <f>$B$14</f>
        <v>NAGRAK SELATAN</v>
      </c>
      <c r="BZ86" s="205"/>
      <c r="CA86" s="205"/>
      <c r="CB86" s="205"/>
      <c r="CC86" s="205"/>
      <c r="CD86" s="205"/>
      <c r="CE86" s="205"/>
      <c r="CF86" s="1432"/>
      <c r="CG86" s="1432"/>
      <c r="CH86" s="1432"/>
      <c r="CI86" s="1432"/>
      <c r="CJ86" s="1432"/>
      <c r="CK86" s="1432"/>
      <c r="CL86" s="205"/>
      <c r="CM86" s="205"/>
      <c r="CN86" s="205"/>
      <c r="CO86" s="205"/>
      <c r="CP86" s="177">
        <f t="shared" si="92"/>
        <v>0</v>
      </c>
      <c r="CQ86" s="177">
        <f t="shared" si="93"/>
        <v>0</v>
      </c>
      <c r="CR86" s="178">
        <f t="shared" si="94"/>
        <v>0</v>
      </c>
      <c r="CS86" s="176">
        <f t="shared" si="95"/>
        <v>0</v>
      </c>
      <c r="CT86" s="176">
        <f t="shared" si="96"/>
        <v>0</v>
      </c>
      <c r="CU86" s="176">
        <f t="shared" si="97"/>
        <v>0</v>
      </c>
      <c r="CW86" s="204">
        <v>5</v>
      </c>
      <c r="CX86" s="202" t="str">
        <f>$B$14</f>
        <v>NAGRAK SELATAN</v>
      </c>
      <c r="CY86" s="205"/>
      <c r="CZ86" s="205"/>
      <c r="DA86" s="205"/>
      <c r="DB86" s="205"/>
      <c r="DC86" s="205"/>
      <c r="DD86" s="205"/>
      <c r="DE86" s="1432"/>
      <c r="DF86" s="1432"/>
      <c r="DG86" s="1432"/>
      <c r="DH86" s="1432"/>
      <c r="DI86" s="1432"/>
      <c r="DJ86" s="1432"/>
      <c r="DK86" s="205"/>
      <c r="DL86" s="205"/>
      <c r="DM86" s="205"/>
      <c r="DN86" s="205"/>
      <c r="DO86" s="177">
        <f t="shared" si="98"/>
        <v>0</v>
      </c>
      <c r="DP86" s="177">
        <f t="shared" si="99"/>
        <v>0</v>
      </c>
      <c r="DQ86" s="178">
        <f t="shared" si="100"/>
        <v>0</v>
      </c>
      <c r="DR86" s="176">
        <f t="shared" si="101"/>
        <v>0</v>
      </c>
      <c r="DS86" s="176">
        <f t="shared" si="102"/>
        <v>0</v>
      </c>
      <c r="DT86" s="176">
        <f t="shared" si="103"/>
        <v>0</v>
      </c>
      <c r="DV86" s="204">
        <v>5</v>
      </c>
      <c r="DW86" s="202" t="str">
        <f>$B$14</f>
        <v>NAGRAK SELATAN</v>
      </c>
      <c r="DX86" s="205"/>
      <c r="DY86" s="205"/>
      <c r="DZ86" s="205"/>
      <c r="EA86" s="205"/>
      <c r="EB86" s="205"/>
      <c r="EC86" s="205"/>
      <c r="ED86" s="1432"/>
      <c r="EE86" s="1432"/>
      <c r="EF86" s="1432"/>
      <c r="EG86" s="1432"/>
      <c r="EH86" s="1432"/>
      <c r="EI86" s="1432"/>
      <c r="EJ86" s="205"/>
      <c r="EK86" s="205"/>
      <c r="EL86" s="205"/>
      <c r="EM86" s="205"/>
      <c r="EN86" s="177">
        <f t="shared" si="104"/>
        <v>0</v>
      </c>
      <c r="EO86" s="177">
        <f t="shared" si="105"/>
        <v>0</v>
      </c>
      <c r="EP86" s="178">
        <f t="shared" si="106"/>
        <v>0</v>
      </c>
      <c r="EQ86" s="176">
        <f t="shared" si="107"/>
        <v>0</v>
      </c>
      <c r="ER86" s="176">
        <f t="shared" si="108"/>
        <v>0</v>
      </c>
      <c r="ES86" s="176">
        <f t="shared" si="109"/>
        <v>0</v>
      </c>
    </row>
    <row r="87" spans="1:149" s="168" customFormat="1" ht="42" customHeight="1">
      <c r="A87" s="204">
        <v>6</v>
      </c>
      <c r="B87" s="202" t="str">
        <f>$B$15</f>
        <v>KALAPAREA</v>
      </c>
      <c r="C87" s="205"/>
      <c r="D87" s="205"/>
      <c r="E87" s="205"/>
      <c r="F87" s="205"/>
      <c r="G87" s="205"/>
      <c r="H87" s="205"/>
      <c r="I87" s="1432"/>
      <c r="J87" s="1432"/>
      <c r="K87" s="1432"/>
      <c r="L87" s="1432"/>
      <c r="M87" s="1432"/>
      <c r="N87" s="1432"/>
      <c r="O87" s="205"/>
      <c r="P87" s="205"/>
      <c r="Q87" s="205"/>
      <c r="R87" s="205"/>
      <c r="S87" s="177">
        <f t="shared" si="74"/>
        <v>0</v>
      </c>
      <c r="T87" s="177">
        <f t="shared" si="75"/>
        <v>0</v>
      </c>
      <c r="U87" s="178">
        <f t="shared" si="76"/>
        <v>0</v>
      </c>
      <c r="V87" s="176">
        <f t="shared" si="77"/>
        <v>0</v>
      </c>
      <c r="W87" s="176">
        <f t="shared" si="78"/>
        <v>0</v>
      </c>
      <c r="X87" s="176">
        <f t="shared" si="79"/>
        <v>0</v>
      </c>
      <c r="Z87" s="204">
        <v>6</v>
      </c>
      <c r="AA87" s="202" t="str">
        <f>$B$15</f>
        <v>KALAPAREA</v>
      </c>
      <c r="AB87" s="205"/>
      <c r="AC87" s="205"/>
      <c r="AD87" s="205"/>
      <c r="AE87" s="205"/>
      <c r="AF87" s="205"/>
      <c r="AG87" s="205"/>
      <c r="AH87" s="1432"/>
      <c r="AI87" s="1432"/>
      <c r="AJ87" s="1432"/>
      <c r="AK87" s="1432"/>
      <c r="AL87" s="1432"/>
      <c r="AM87" s="1432"/>
      <c r="AN87" s="205"/>
      <c r="AO87" s="205"/>
      <c r="AP87" s="205"/>
      <c r="AQ87" s="205"/>
      <c r="AR87" s="177">
        <f t="shared" si="80"/>
        <v>0</v>
      </c>
      <c r="AS87" s="177">
        <f t="shared" si="81"/>
        <v>0</v>
      </c>
      <c r="AT87" s="178">
        <f t="shared" si="82"/>
        <v>0</v>
      </c>
      <c r="AU87" s="176">
        <f t="shared" si="83"/>
        <v>0</v>
      </c>
      <c r="AV87" s="176">
        <f t="shared" si="84"/>
        <v>0</v>
      </c>
      <c r="AW87" s="176">
        <f t="shared" si="85"/>
        <v>0</v>
      </c>
      <c r="AY87" s="204">
        <v>6</v>
      </c>
      <c r="AZ87" s="202" t="str">
        <f>$B$15</f>
        <v>KALAPAREA</v>
      </c>
      <c r="BA87" s="205"/>
      <c r="BB87" s="205"/>
      <c r="BC87" s="205"/>
      <c r="BD87" s="205"/>
      <c r="BE87" s="205"/>
      <c r="BF87" s="205"/>
      <c r="BG87" s="1432"/>
      <c r="BH87" s="1432"/>
      <c r="BI87" s="1432"/>
      <c r="BJ87" s="1432"/>
      <c r="BK87" s="1432"/>
      <c r="BL87" s="1432"/>
      <c r="BM87" s="205"/>
      <c r="BN87" s="205"/>
      <c r="BO87" s="205"/>
      <c r="BP87" s="205"/>
      <c r="BQ87" s="177">
        <f t="shared" si="86"/>
        <v>0</v>
      </c>
      <c r="BR87" s="177">
        <f t="shared" si="87"/>
        <v>0</v>
      </c>
      <c r="BS87" s="178">
        <f t="shared" si="88"/>
        <v>0</v>
      </c>
      <c r="BT87" s="176">
        <f t="shared" si="89"/>
        <v>0</v>
      </c>
      <c r="BU87" s="176">
        <f t="shared" si="90"/>
        <v>0</v>
      </c>
      <c r="BV87" s="176">
        <f t="shared" si="91"/>
        <v>0</v>
      </c>
      <c r="BX87" s="204">
        <v>6</v>
      </c>
      <c r="BY87" s="202" t="str">
        <f>$B$15</f>
        <v>KALAPAREA</v>
      </c>
      <c r="BZ87" s="205"/>
      <c r="CA87" s="205"/>
      <c r="CB87" s="205"/>
      <c r="CC87" s="205"/>
      <c r="CD87" s="205"/>
      <c r="CE87" s="205"/>
      <c r="CF87" s="1432"/>
      <c r="CG87" s="1432"/>
      <c r="CH87" s="1432"/>
      <c r="CI87" s="1432"/>
      <c r="CJ87" s="1432"/>
      <c r="CK87" s="1432"/>
      <c r="CL87" s="205"/>
      <c r="CM87" s="205"/>
      <c r="CN87" s="205"/>
      <c r="CO87" s="205"/>
      <c r="CP87" s="177">
        <f t="shared" si="92"/>
        <v>0</v>
      </c>
      <c r="CQ87" s="177">
        <f t="shared" si="93"/>
        <v>0</v>
      </c>
      <c r="CR87" s="178">
        <f t="shared" si="94"/>
        <v>0</v>
      </c>
      <c r="CS87" s="176">
        <f t="shared" si="95"/>
        <v>0</v>
      </c>
      <c r="CT87" s="176">
        <f t="shared" si="96"/>
        <v>0</v>
      </c>
      <c r="CU87" s="176">
        <f t="shared" si="97"/>
        <v>0</v>
      </c>
      <c r="CW87" s="204">
        <v>6</v>
      </c>
      <c r="CX87" s="202" t="str">
        <f>$B$15</f>
        <v>KALAPAREA</v>
      </c>
      <c r="CY87" s="205"/>
      <c r="CZ87" s="205"/>
      <c r="DA87" s="205"/>
      <c r="DB87" s="205"/>
      <c r="DC87" s="205"/>
      <c r="DD87" s="205"/>
      <c r="DE87" s="1432"/>
      <c r="DF87" s="1432"/>
      <c r="DG87" s="1432"/>
      <c r="DH87" s="1432"/>
      <c r="DI87" s="1432"/>
      <c r="DJ87" s="1432"/>
      <c r="DK87" s="205"/>
      <c r="DL87" s="205"/>
      <c r="DM87" s="205"/>
      <c r="DN87" s="205"/>
      <c r="DO87" s="177">
        <f t="shared" si="98"/>
        <v>0</v>
      </c>
      <c r="DP87" s="177">
        <f t="shared" si="99"/>
        <v>0</v>
      </c>
      <c r="DQ87" s="178">
        <f t="shared" si="100"/>
        <v>0</v>
      </c>
      <c r="DR87" s="176">
        <f t="shared" si="101"/>
        <v>0</v>
      </c>
      <c r="DS87" s="176">
        <f t="shared" si="102"/>
        <v>0</v>
      </c>
      <c r="DT87" s="176">
        <f t="shared" si="103"/>
        <v>0</v>
      </c>
      <c r="DV87" s="204">
        <v>6</v>
      </c>
      <c r="DW87" s="202" t="str">
        <f>$B$15</f>
        <v>KALAPAREA</v>
      </c>
      <c r="DX87" s="205"/>
      <c r="DY87" s="205"/>
      <c r="DZ87" s="205"/>
      <c r="EA87" s="205"/>
      <c r="EB87" s="205"/>
      <c r="EC87" s="205"/>
      <c r="ED87" s="1432"/>
      <c r="EE87" s="1432"/>
      <c r="EF87" s="1432"/>
      <c r="EG87" s="1432"/>
      <c r="EH87" s="1432"/>
      <c r="EI87" s="1432"/>
      <c r="EJ87" s="205"/>
      <c r="EK87" s="205"/>
      <c r="EL87" s="205"/>
      <c r="EM87" s="205"/>
      <c r="EN87" s="177">
        <f t="shared" si="104"/>
        <v>0</v>
      </c>
      <c r="EO87" s="177">
        <f t="shared" si="105"/>
        <v>0</v>
      </c>
      <c r="EP87" s="178">
        <f t="shared" si="106"/>
        <v>0</v>
      </c>
      <c r="EQ87" s="176">
        <f t="shared" si="107"/>
        <v>0</v>
      </c>
      <c r="ER87" s="176">
        <f t="shared" si="108"/>
        <v>0</v>
      </c>
      <c r="ES87" s="176">
        <f t="shared" si="109"/>
        <v>0</v>
      </c>
    </row>
    <row r="88" spans="1:149" s="168" customFormat="1" ht="42" customHeight="1">
      <c r="A88" s="204">
        <v>7</v>
      </c>
      <c r="B88" s="202" t="str">
        <f>$B$16</f>
        <v>BABAKAN PANJANG</v>
      </c>
      <c r="C88" s="205"/>
      <c r="D88" s="205"/>
      <c r="E88" s="205"/>
      <c r="F88" s="205"/>
      <c r="G88" s="205"/>
      <c r="H88" s="205"/>
      <c r="I88" s="1432"/>
      <c r="J88" s="1432"/>
      <c r="K88" s="1432"/>
      <c r="L88" s="1432"/>
      <c r="M88" s="1432"/>
      <c r="N88" s="1432"/>
      <c r="O88" s="205"/>
      <c r="P88" s="205"/>
      <c r="Q88" s="205"/>
      <c r="R88" s="205"/>
      <c r="S88" s="177">
        <f t="shared" si="74"/>
        <v>0</v>
      </c>
      <c r="T88" s="177">
        <f t="shared" si="75"/>
        <v>0</v>
      </c>
      <c r="U88" s="178">
        <f t="shared" si="76"/>
        <v>0</v>
      </c>
      <c r="V88" s="176">
        <f t="shared" si="77"/>
        <v>0</v>
      </c>
      <c r="W88" s="176">
        <f t="shared" si="78"/>
        <v>0</v>
      </c>
      <c r="X88" s="176">
        <f t="shared" si="79"/>
        <v>0</v>
      </c>
      <c r="Z88" s="204">
        <v>7</v>
      </c>
      <c r="AA88" s="202" t="str">
        <f>$B$16</f>
        <v>BABAKAN PANJANG</v>
      </c>
      <c r="AB88" s="205"/>
      <c r="AC88" s="205"/>
      <c r="AD88" s="205"/>
      <c r="AE88" s="205"/>
      <c r="AF88" s="205"/>
      <c r="AG88" s="205"/>
      <c r="AH88" s="1432"/>
      <c r="AI88" s="1432"/>
      <c r="AJ88" s="1432"/>
      <c r="AK88" s="1432"/>
      <c r="AL88" s="1432"/>
      <c r="AM88" s="1432"/>
      <c r="AN88" s="205"/>
      <c r="AO88" s="205"/>
      <c r="AP88" s="205"/>
      <c r="AQ88" s="205"/>
      <c r="AR88" s="177">
        <f t="shared" si="80"/>
        <v>0</v>
      </c>
      <c r="AS88" s="177">
        <f t="shared" si="81"/>
        <v>0</v>
      </c>
      <c r="AT88" s="178">
        <f t="shared" si="82"/>
        <v>0</v>
      </c>
      <c r="AU88" s="176">
        <f t="shared" si="83"/>
        <v>0</v>
      </c>
      <c r="AV88" s="176">
        <f t="shared" si="84"/>
        <v>0</v>
      </c>
      <c r="AW88" s="176">
        <f t="shared" si="85"/>
        <v>0</v>
      </c>
      <c r="AY88" s="204">
        <v>7</v>
      </c>
      <c r="AZ88" s="202" t="str">
        <f>$B$16</f>
        <v>BABAKAN PANJANG</v>
      </c>
      <c r="BA88" s="205"/>
      <c r="BB88" s="205"/>
      <c r="BC88" s="205"/>
      <c r="BD88" s="205"/>
      <c r="BE88" s="205"/>
      <c r="BF88" s="205"/>
      <c r="BG88" s="1432"/>
      <c r="BH88" s="1432"/>
      <c r="BI88" s="1432"/>
      <c r="BJ88" s="1432"/>
      <c r="BK88" s="1432"/>
      <c r="BL88" s="1432"/>
      <c r="BM88" s="205"/>
      <c r="BN88" s="205"/>
      <c r="BO88" s="205"/>
      <c r="BP88" s="205"/>
      <c r="BQ88" s="177">
        <f t="shared" si="86"/>
        <v>0</v>
      </c>
      <c r="BR88" s="177">
        <f t="shared" si="87"/>
        <v>0</v>
      </c>
      <c r="BS88" s="178">
        <f t="shared" si="88"/>
        <v>0</v>
      </c>
      <c r="BT88" s="176">
        <f t="shared" si="89"/>
        <v>0</v>
      </c>
      <c r="BU88" s="176">
        <f t="shared" si="90"/>
        <v>0</v>
      </c>
      <c r="BV88" s="176">
        <f t="shared" si="91"/>
        <v>0</v>
      </c>
      <c r="BX88" s="204">
        <v>7</v>
      </c>
      <c r="BY88" s="202" t="str">
        <f>$B$16</f>
        <v>BABAKAN PANJANG</v>
      </c>
      <c r="BZ88" s="205"/>
      <c r="CA88" s="205"/>
      <c r="CB88" s="205"/>
      <c r="CC88" s="205"/>
      <c r="CD88" s="205"/>
      <c r="CE88" s="205"/>
      <c r="CF88" s="1432"/>
      <c r="CG88" s="1432"/>
      <c r="CH88" s="1432"/>
      <c r="CI88" s="1432"/>
      <c r="CJ88" s="1432"/>
      <c r="CK88" s="1432"/>
      <c r="CL88" s="205"/>
      <c r="CM88" s="205"/>
      <c r="CN88" s="205"/>
      <c r="CO88" s="205"/>
      <c r="CP88" s="177">
        <f t="shared" si="92"/>
        <v>0</v>
      </c>
      <c r="CQ88" s="177">
        <f t="shared" si="93"/>
        <v>0</v>
      </c>
      <c r="CR88" s="178">
        <f t="shared" si="94"/>
        <v>0</v>
      </c>
      <c r="CS88" s="176">
        <f t="shared" si="95"/>
        <v>0</v>
      </c>
      <c r="CT88" s="176">
        <f t="shared" si="96"/>
        <v>0</v>
      </c>
      <c r="CU88" s="176">
        <f t="shared" si="97"/>
        <v>0</v>
      </c>
      <c r="CW88" s="204">
        <v>7</v>
      </c>
      <c r="CX88" s="202" t="str">
        <f>$B$16</f>
        <v>BABAKAN PANJANG</v>
      </c>
      <c r="CY88" s="205"/>
      <c r="CZ88" s="205"/>
      <c r="DA88" s="205"/>
      <c r="DB88" s="205"/>
      <c r="DC88" s="205"/>
      <c r="DD88" s="205"/>
      <c r="DE88" s="1432"/>
      <c r="DF88" s="1432"/>
      <c r="DG88" s="1432"/>
      <c r="DH88" s="1432"/>
      <c r="DI88" s="1432"/>
      <c r="DJ88" s="1432"/>
      <c r="DK88" s="205"/>
      <c r="DL88" s="205"/>
      <c r="DM88" s="205"/>
      <c r="DN88" s="205"/>
      <c r="DO88" s="177">
        <f t="shared" si="98"/>
        <v>0</v>
      </c>
      <c r="DP88" s="177">
        <f t="shared" si="99"/>
        <v>0</v>
      </c>
      <c r="DQ88" s="178">
        <f t="shared" si="100"/>
        <v>0</v>
      </c>
      <c r="DR88" s="176">
        <f t="shared" si="101"/>
        <v>0</v>
      </c>
      <c r="DS88" s="176">
        <f t="shared" si="102"/>
        <v>0</v>
      </c>
      <c r="DT88" s="176">
        <f t="shared" si="103"/>
        <v>0</v>
      </c>
      <c r="DV88" s="204">
        <v>7</v>
      </c>
      <c r="DW88" s="202" t="str">
        <f>$B$16</f>
        <v>BABAKAN PANJANG</v>
      </c>
      <c r="DX88" s="205"/>
      <c r="DY88" s="205"/>
      <c r="DZ88" s="205"/>
      <c r="EA88" s="205"/>
      <c r="EB88" s="205"/>
      <c r="EC88" s="205"/>
      <c r="ED88" s="1432"/>
      <c r="EE88" s="1432"/>
      <c r="EF88" s="1432"/>
      <c r="EG88" s="1432"/>
      <c r="EH88" s="1432"/>
      <c r="EI88" s="1432"/>
      <c r="EJ88" s="205"/>
      <c r="EK88" s="205"/>
      <c r="EL88" s="205"/>
      <c r="EM88" s="205"/>
      <c r="EN88" s="177">
        <f t="shared" si="104"/>
        <v>0</v>
      </c>
      <c r="EO88" s="177">
        <f t="shared" si="105"/>
        <v>0</v>
      </c>
      <c r="EP88" s="178">
        <f t="shared" si="106"/>
        <v>0</v>
      </c>
      <c r="EQ88" s="176">
        <f t="shared" si="107"/>
        <v>0</v>
      </c>
      <c r="ER88" s="176">
        <f t="shared" si="108"/>
        <v>0</v>
      </c>
      <c r="ES88" s="176">
        <f t="shared" si="109"/>
        <v>0</v>
      </c>
    </row>
    <row r="89" spans="1:149" s="168" customFormat="1" ht="42" customHeight="1">
      <c r="A89" s="204">
        <v>8</v>
      </c>
      <c r="B89" s="202" t="str">
        <f>$B$17</f>
        <v>PAWENANG</v>
      </c>
      <c r="C89" s="205"/>
      <c r="D89" s="205"/>
      <c r="E89" s="205"/>
      <c r="F89" s="205"/>
      <c r="G89" s="205"/>
      <c r="H89" s="205"/>
      <c r="I89" s="1432"/>
      <c r="J89" s="1432"/>
      <c r="K89" s="1432"/>
      <c r="L89" s="1432"/>
      <c r="M89" s="1432"/>
      <c r="N89" s="1432"/>
      <c r="O89" s="205"/>
      <c r="P89" s="205"/>
      <c r="Q89" s="205"/>
      <c r="R89" s="205"/>
      <c r="S89" s="177">
        <f t="shared" si="74"/>
        <v>0</v>
      </c>
      <c r="T89" s="177">
        <f t="shared" si="75"/>
        <v>0</v>
      </c>
      <c r="U89" s="178">
        <f t="shared" si="76"/>
        <v>0</v>
      </c>
      <c r="V89" s="176">
        <f t="shared" si="77"/>
        <v>0</v>
      </c>
      <c r="W89" s="176">
        <f t="shared" si="78"/>
        <v>0</v>
      </c>
      <c r="X89" s="176">
        <f t="shared" si="79"/>
        <v>0</v>
      </c>
      <c r="Z89" s="204">
        <v>8</v>
      </c>
      <c r="AA89" s="202" t="str">
        <f>$B$17</f>
        <v>PAWENANG</v>
      </c>
      <c r="AB89" s="205"/>
      <c r="AC89" s="205"/>
      <c r="AD89" s="205"/>
      <c r="AE89" s="205"/>
      <c r="AF89" s="205"/>
      <c r="AG89" s="205"/>
      <c r="AH89" s="1432"/>
      <c r="AI89" s="1432"/>
      <c r="AJ89" s="1432"/>
      <c r="AK89" s="1432"/>
      <c r="AL89" s="1432"/>
      <c r="AM89" s="1432"/>
      <c r="AN89" s="205"/>
      <c r="AO89" s="205"/>
      <c r="AP89" s="205"/>
      <c r="AQ89" s="205"/>
      <c r="AR89" s="177">
        <f t="shared" si="80"/>
        <v>0</v>
      </c>
      <c r="AS89" s="177">
        <f t="shared" si="81"/>
        <v>0</v>
      </c>
      <c r="AT89" s="178">
        <f t="shared" si="82"/>
        <v>0</v>
      </c>
      <c r="AU89" s="176">
        <f t="shared" si="83"/>
        <v>0</v>
      </c>
      <c r="AV89" s="176">
        <f t="shared" si="84"/>
        <v>0</v>
      </c>
      <c r="AW89" s="176">
        <f t="shared" si="85"/>
        <v>0</v>
      </c>
      <c r="AY89" s="204">
        <v>8</v>
      </c>
      <c r="AZ89" s="202" t="str">
        <f>$B$17</f>
        <v>PAWENANG</v>
      </c>
      <c r="BA89" s="205"/>
      <c r="BB89" s="205"/>
      <c r="BC89" s="205"/>
      <c r="BD89" s="205"/>
      <c r="BE89" s="205"/>
      <c r="BF89" s="205"/>
      <c r="BG89" s="1432"/>
      <c r="BH89" s="1432"/>
      <c r="BI89" s="1432"/>
      <c r="BJ89" s="1432"/>
      <c r="BK89" s="1432"/>
      <c r="BL89" s="1432"/>
      <c r="BM89" s="205"/>
      <c r="BN89" s="205"/>
      <c r="BO89" s="205"/>
      <c r="BP89" s="205"/>
      <c r="BQ89" s="177">
        <f t="shared" si="86"/>
        <v>0</v>
      </c>
      <c r="BR89" s="177">
        <f t="shared" si="87"/>
        <v>0</v>
      </c>
      <c r="BS89" s="178">
        <f t="shared" si="88"/>
        <v>0</v>
      </c>
      <c r="BT89" s="176">
        <f t="shared" si="89"/>
        <v>0</v>
      </c>
      <c r="BU89" s="176">
        <f t="shared" si="90"/>
        <v>0</v>
      </c>
      <c r="BV89" s="176">
        <f t="shared" si="91"/>
        <v>0</v>
      </c>
      <c r="BX89" s="204">
        <v>8</v>
      </c>
      <c r="BY89" s="202" t="str">
        <f>$B$17</f>
        <v>PAWENANG</v>
      </c>
      <c r="BZ89" s="205"/>
      <c r="CA89" s="205"/>
      <c r="CB89" s="205"/>
      <c r="CC89" s="205"/>
      <c r="CD89" s="205"/>
      <c r="CE89" s="205"/>
      <c r="CF89" s="1432"/>
      <c r="CG89" s="1432"/>
      <c r="CH89" s="1432"/>
      <c r="CI89" s="1432"/>
      <c r="CJ89" s="1432"/>
      <c r="CK89" s="1432"/>
      <c r="CL89" s="205"/>
      <c r="CM89" s="205"/>
      <c r="CN89" s="205"/>
      <c r="CO89" s="205"/>
      <c r="CP89" s="177">
        <f t="shared" si="92"/>
        <v>0</v>
      </c>
      <c r="CQ89" s="177">
        <f t="shared" si="93"/>
        <v>0</v>
      </c>
      <c r="CR89" s="178">
        <f t="shared" si="94"/>
        <v>0</v>
      </c>
      <c r="CS89" s="176">
        <f t="shared" si="95"/>
        <v>0</v>
      </c>
      <c r="CT89" s="176">
        <f t="shared" si="96"/>
        <v>0</v>
      </c>
      <c r="CU89" s="176">
        <f t="shared" si="97"/>
        <v>0</v>
      </c>
      <c r="CW89" s="204">
        <v>8</v>
      </c>
      <c r="CX89" s="202" t="str">
        <f>$B$17</f>
        <v>PAWENANG</v>
      </c>
      <c r="CY89" s="205"/>
      <c r="CZ89" s="205"/>
      <c r="DA89" s="205"/>
      <c r="DB89" s="205"/>
      <c r="DC89" s="205"/>
      <c r="DD89" s="205"/>
      <c r="DE89" s="1432"/>
      <c r="DF89" s="1432"/>
      <c r="DG89" s="1432"/>
      <c r="DH89" s="1432"/>
      <c r="DI89" s="1432"/>
      <c r="DJ89" s="1432"/>
      <c r="DK89" s="205"/>
      <c r="DL89" s="205"/>
      <c r="DM89" s="205"/>
      <c r="DN89" s="205"/>
      <c r="DO89" s="177">
        <f t="shared" si="98"/>
        <v>0</v>
      </c>
      <c r="DP89" s="177">
        <f t="shared" si="99"/>
        <v>0</v>
      </c>
      <c r="DQ89" s="178">
        <f t="shared" si="100"/>
        <v>0</v>
      </c>
      <c r="DR89" s="176">
        <f t="shared" si="101"/>
        <v>0</v>
      </c>
      <c r="DS89" s="176">
        <f t="shared" si="102"/>
        <v>0</v>
      </c>
      <c r="DT89" s="176">
        <f t="shared" si="103"/>
        <v>0</v>
      </c>
      <c r="DV89" s="204">
        <v>8</v>
      </c>
      <c r="DW89" s="202" t="str">
        <f>$B$17</f>
        <v>PAWENANG</v>
      </c>
      <c r="DX89" s="205"/>
      <c r="DY89" s="205"/>
      <c r="DZ89" s="205"/>
      <c r="EA89" s="205"/>
      <c r="EB89" s="205"/>
      <c r="EC89" s="205"/>
      <c r="ED89" s="1432"/>
      <c r="EE89" s="1432"/>
      <c r="EF89" s="1432"/>
      <c r="EG89" s="1432"/>
      <c r="EH89" s="1432"/>
      <c r="EI89" s="1432"/>
      <c r="EJ89" s="205"/>
      <c r="EK89" s="205"/>
      <c r="EL89" s="205"/>
      <c r="EM89" s="205"/>
      <c r="EN89" s="177">
        <f t="shared" si="104"/>
        <v>0</v>
      </c>
      <c r="EO89" s="177">
        <f t="shared" si="105"/>
        <v>0</v>
      </c>
      <c r="EP89" s="178">
        <f t="shared" si="106"/>
        <v>0</v>
      </c>
      <c r="EQ89" s="176">
        <f t="shared" si="107"/>
        <v>0</v>
      </c>
      <c r="ER89" s="176">
        <f t="shared" si="108"/>
        <v>0</v>
      </c>
      <c r="ES89" s="176">
        <f t="shared" si="109"/>
        <v>0</v>
      </c>
    </row>
    <row r="90" spans="1:149" s="168" customFormat="1" ht="42" customHeight="1">
      <c r="A90" s="204">
        <v>9</v>
      </c>
      <c r="B90" s="202" t="str">
        <f>$B$18</f>
        <v>CISARUA</v>
      </c>
      <c r="C90" s="205"/>
      <c r="D90" s="205"/>
      <c r="E90" s="205"/>
      <c r="F90" s="205"/>
      <c r="G90" s="205"/>
      <c r="H90" s="205"/>
      <c r="I90" s="1432"/>
      <c r="J90" s="1432"/>
      <c r="K90" s="1432"/>
      <c r="L90" s="1432"/>
      <c r="M90" s="1433"/>
      <c r="N90" s="1433"/>
      <c r="O90" s="205"/>
      <c r="P90" s="205"/>
      <c r="Q90" s="205"/>
      <c r="R90" s="205"/>
      <c r="S90" s="177">
        <f t="shared" si="74"/>
        <v>0</v>
      </c>
      <c r="T90" s="177">
        <f t="shared" si="75"/>
        <v>0</v>
      </c>
      <c r="U90" s="178">
        <f t="shared" si="76"/>
        <v>0</v>
      </c>
      <c r="V90" s="176">
        <f t="shared" si="77"/>
        <v>0</v>
      </c>
      <c r="W90" s="176">
        <f t="shared" si="78"/>
        <v>0</v>
      </c>
      <c r="X90" s="176">
        <f t="shared" si="79"/>
        <v>0</v>
      </c>
      <c r="Z90" s="204">
        <v>9</v>
      </c>
      <c r="AA90" s="202" t="str">
        <f>$B$18</f>
        <v>CISARUA</v>
      </c>
      <c r="AB90" s="205"/>
      <c r="AC90" s="205"/>
      <c r="AD90" s="205"/>
      <c r="AE90" s="205"/>
      <c r="AF90" s="205"/>
      <c r="AG90" s="205"/>
      <c r="AH90" s="1432"/>
      <c r="AI90" s="1432"/>
      <c r="AJ90" s="1432"/>
      <c r="AK90" s="1432"/>
      <c r="AL90" s="1433"/>
      <c r="AM90" s="1433"/>
      <c r="AN90" s="205"/>
      <c r="AO90" s="205"/>
      <c r="AP90" s="205"/>
      <c r="AQ90" s="205"/>
      <c r="AR90" s="177">
        <f t="shared" si="80"/>
        <v>0</v>
      </c>
      <c r="AS90" s="177">
        <f t="shared" si="81"/>
        <v>0</v>
      </c>
      <c r="AT90" s="178">
        <f t="shared" si="82"/>
        <v>0</v>
      </c>
      <c r="AU90" s="176">
        <f t="shared" si="83"/>
        <v>0</v>
      </c>
      <c r="AV90" s="176">
        <f t="shared" si="84"/>
        <v>0</v>
      </c>
      <c r="AW90" s="176">
        <f t="shared" si="85"/>
        <v>0</v>
      </c>
      <c r="AY90" s="204">
        <v>9</v>
      </c>
      <c r="AZ90" s="202" t="str">
        <f>$B$18</f>
        <v>CISARUA</v>
      </c>
      <c r="BA90" s="205"/>
      <c r="BB90" s="205"/>
      <c r="BC90" s="205"/>
      <c r="BD90" s="205"/>
      <c r="BE90" s="205"/>
      <c r="BF90" s="205"/>
      <c r="BG90" s="1432"/>
      <c r="BH90" s="1432"/>
      <c r="BI90" s="1432"/>
      <c r="BJ90" s="1432"/>
      <c r="BK90" s="1433"/>
      <c r="BL90" s="1433"/>
      <c r="BM90" s="205"/>
      <c r="BN90" s="205"/>
      <c r="BO90" s="205"/>
      <c r="BP90" s="205"/>
      <c r="BQ90" s="177">
        <f t="shared" si="86"/>
        <v>0</v>
      </c>
      <c r="BR90" s="177">
        <f t="shared" si="87"/>
        <v>0</v>
      </c>
      <c r="BS90" s="178">
        <f t="shared" si="88"/>
        <v>0</v>
      </c>
      <c r="BT90" s="176">
        <f t="shared" si="89"/>
        <v>0</v>
      </c>
      <c r="BU90" s="176">
        <f t="shared" si="90"/>
        <v>0</v>
      </c>
      <c r="BV90" s="176">
        <f t="shared" si="91"/>
        <v>0</v>
      </c>
      <c r="BX90" s="204">
        <v>9</v>
      </c>
      <c r="BY90" s="202" t="str">
        <f>$B$18</f>
        <v>CISARUA</v>
      </c>
      <c r="BZ90" s="205"/>
      <c r="CA90" s="205"/>
      <c r="CB90" s="205"/>
      <c r="CC90" s="205"/>
      <c r="CD90" s="205"/>
      <c r="CE90" s="205"/>
      <c r="CF90" s="1432"/>
      <c r="CG90" s="1432"/>
      <c r="CH90" s="1432"/>
      <c r="CI90" s="1432"/>
      <c r="CJ90" s="1433"/>
      <c r="CK90" s="1433"/>
      <c r="CL90" s="205"/>
      <c r="CM90" s="205"/>
      <c r="CN90" s="205"/>
      <c r="CO90" s="205"/>
      <c r="CP90" s="177">
        <f t="shared" si="92"/>
        <v>0</v>
      </c>
      <c r="CQ90" s="177">
        <f t="shared" si="93"/>
        <v>0</v>
      </c>
      <c r="CR90" s="178">
        <f t="shared" si="94"/>
        <v>0</v>
      </c>
      <c r="CS90" s="176">
        <f t="shared" si="95"/>
        <v>0</v>
      </c>
      <c r="CT90" s="176">
        <f t="shared" si="96"/>
        <v>0</v>
      </c>
      <c r="CU90" s="176">
        <f t="shared" si="97"/>
        <v>0</v>
      </c>
      <c r="CW90" s="204">
        <v>9</v>
      </c>
      <c r="CX90" s="202" t="str">
        <f>$B$18</f>
        <v>CISARUA</v>
      </c>
      <c r="CY90" s="205"/>
      <c r="CZ90" s="205"/>
      <c r="DA90" s="205"/>
      <c r="DB90" s="205"/>
      <c r="DC90" s="205"/>
      <c r="DD90" s="205"/>
      <c r="DE90" s="1432"/>
      <c r="DF90" s="1432"/>
      <c r="DG90" s="1432"/>
      <c r="DH90" s="1432"/>
      <c r="DI90" s="1433"/>
      <c r="DJ90" s="1433"/>
      <c r="DK90" s="205"/>
      <c r="DL90" s="205"/>
      <c r="DM90" s="205"/>
      <c r="DN90" s="205"/>
      <c r="DO90" s="177">
        <f t="shared" si="98"/>
        <v>0</v>
      </c>
      <c r="DP90" s="177">
        <f t="shared" si="99"/>
        <v>0</v>
      </c>
      <c r="DQ90" s="178">
        <f t="shared" si="100"/>
        <v>0</v>
      </c>
      <c r="DR90" s="176">
        <f t="shared" si="101"/>
        <v>0</v>
      </c>
      <c r="DS90" s="176">
        <f t="shared" si="102"/>
        <v>0</v>
      </c>
      <c r="DT90" s="176">
        <f t="shared" si="103"/>
        <v>0</v>
      </c>
      <c r="DV90" s="204">
        <v>9</v>
      </c>
      <c r="DW90" s="202" t="str">
        <f>$B$18</f>
        <v>CISARUA</v>
      </c>
      <c r="DX90" s="205"/>
      <c r="DY90" s="205"/>
      <c r="DZ90" s="205"/>
      <c r="EA90" s="205"/>
      <c r="EB90" s="205"/>
      <c r="EC90" s="205"/>
      <c r="ED90" s="1432"/>
      <c r="EE90" s="1432"/>
      <c r="EF90" s="1432"/>
      <c r="EG90" s="1432"/>
      <c r="EH90" s="1433"/>
      <c r="EI90" s="1433"/>
      <c r="EJ90" s="205"/>
      <c r="EK90" s="205"/>
      <c r="EL90" s="205"/>
      <c r="EM90" s="205"/>
      <c r="EN90" s="177">
        <f t="shared" si="104"/>
        <v>0</v>
      </c>
      <c r="EO90" s="177">
        <f t="shared" si="105"/>
        <v>0</v>
      </c>
      <c r="EP90" s="178">
        <f t="shared" si="106"/>
        <v>0</v>
      </c>
      <c r="EQ90" s="176">
        <f t="shared" si="107"/>
        <v>0</v>
      </c>
      <c r="ER90" s="176">
        <f t="shared" si="108"/>
        <v>0</v>
      </c>
      <c r="ES90" s="176">
        <f t="shared" si="109"/>
        <v>0</v>
      </c>
    </row>
    <row r="91" spans="1:149" s="168" customFormat="1" ht="42" customHeight="1">
      <c r="A91" s="204">
        <v>10</v>
      </c>
      <c r="B91" s="202" t="str">
        <f>$B$19</f>
        <v>GIRIJAYA</v>
      </c>
      <c r="C91" s="207"/>
      <c r="D91" s="207"/>
      <c r="E91" s="206"/>
      <c r="F91" s="206"/>
      <c r="G91" s="206"/>
      <c r="H91" s="206"/>
      <c r="I91" s="1433"/>
      <c r="J91" s="1433"/>
      <c r="K91" s="1433"/>
      <c r="L91" s="1433"/>
      <c r="M91" s="1433"/>
      <c r="N91" s="1433"/>
      <c r="O91" s="206"/>
      <c r="P91" s="206"/>
      <c r="Q91" s="206"/>
      <c r="R91" s="206"/>
      <c r="S91" s="177">
        <f t="shared" si="74"/>
        <v>0</v>
      </c>
      <c r="T91" s="177">
        <f t="shared" si="75"/>
        <v>0</v>
      </c>
      <c r="U91" s="178">
        <f t="shared" si="76"/>
        <v>0</v>
      </c>
      <c r="V91" s="176">
        <f t="shared" si="77"/>
        <v>0</v>
      </c>
      <c r="W91" s="176">
        <f t="shared" si="78"/>
        <v>0</v>
      </c>
      <c r="X91" s="176">
        <f t="shared" si="79"/>
        <v>0</v>
      </c>
      <c r="Z91" s="204">
        <v>10</v>
      </c>
      <c r="AA91" s="202" t="str">
        <f>$B$19</f>
        <v>GIRIJAYA</v>
      </c>
      <c r="AB91" s="207"/>
      <c r="AC91" s="207"/>
      <c r="AD91" s="206"/>
      <c r="AE91" s="206"/>
      <c r="AF91" s="206"/>
      <c r="AG91" s="206"/>
      <c r="AH91" s="1433"/>
      <c r="AI91" s="1433"/>
      <c r="AJ91" s="1433"/>
      <c r="AK91" s="1433"/>
      <c r="AL91" s="1433"/>
      <c r="AM91" s="1433"/>
      <c r="AN91" s="206"/>
      <c r="AO91" s="206"/>
      <c r="AP91" s="206"/>
      <c r="AQ91" s="206"/>
      <c r="AR91" s="177">
        <f t="shared" si="80"/>
        <v>0</v>
      </c>
      <c r="AS91" s="177">
        <f t="shared" si="81"/>
        <v>0</v>
      </c>
      <c r="AT91" s="178">
        <f t="shared" si="82"/>
        <v>0</v>
      </c>
      <c r="AU91" s="176">
        <f t="shared" si="83"/>
        <v>0</v>
      </c>
      <c r="AV91" s="176">
        <f t="shared" si="84"/>
        <v>0</v>
      </c>
      <c r="AW91" s="176">
        <f t="shared" si="85"/>
        <v>0</v>
      </c>
      <c r="AY91" s="204">
        <v>10</v>
      </c>
      <c r="AZ91" s="202" t="str">
        <f>$B$19</f>
        <v>GIRIJAYA</v>
      </c>
      <c r="BA91" s="207"/>
      <c r="BB91" s="207"/>
      <c r="BC91" s="206"/>
      <c r="BD91" s="206"/>
      <c r="BE91" s="206"/>
      <c r="BF91" s="206"/>
      <c r="BG91" s="1433"/>
      <c r="BH91" s="1433"/>
      <c r="BI91" s="1433"/>
      <c r="BJ91" s="1433"/>
      <c r="BK91" s="1433"/>
      <c r="BL91" s="1433"/>
      <c r="BM91" s="206"/>
      <c r="BN91" s="206"/>
      <c r="BO91" s="206"/>
      <c r="BP91" s="206"/>
      <c r="BQ91" s="177">
        <f t="shared" si="86"/>
        <v>0</v>
      </c>
      <c r="BR91" s="177">
        <f t="shared" si="87"/>
        <v>0</v>
      </c>
      <c r="BS91" s="178">
        <f t="shared" si="88"/>
        <v>0</v>
      </c>
      <c r="BT91" s="176">
        <f t="shared" si="89"/>
        <v>0</v>
      </c>
      <c r="BU91" s="176">
        <f t="shared" si="90"/>
        <v>0</v>
      </c>
      <c r="BV91" s="176">
        <f t="shared" si="91"/>
        <v>0</v>
      </c>
      <c r="BX91" s="204">
        <v>10</v>
      </c>
      <c r="BY91" s="202" t="str">
        <f>$B$19</f>
        <v>GIRIJAYA</v>
      </c>
      <c r="BZ91" s="207"/>
      <c r="CA91" s="207"/>
      <c r="CB91" s="206"/>
      <c r="CC91" s="206"/>
      <c r="CD91" s="206"/>
      <c r="CE91" s="206"/>
      <c r="CF91" s="1433"/>
      <c r="CG91" s="1433"/>
      <c r="CH91" s="1433"/>
      <c r="CI91" s="1433"/>
      <c r="CJ91" s="1433"/>
      <c r="CK91" s="1433"/>
      <c r="CL91" s="206"/>
      <c r="CM91" s="206"/>
      <c r="CN91" s="206"/>
      <c r="CO91" s="206"/>
      <c r="CP91" s="177">
        <f t="shared" si="92"/>
        <v>0</v>
      </c>
      <c r="CQ91" s="177">
        <f t="shared" si="93"/>
        <v>0</v>
      </c>
      <c r="CR91" s="178">
        <f t="shared" si="94"/>
        <v>0</v>
      </c>
      <c r="CS91" s="176">
        <f t="shared" si="95"/>
        <v>0</v>
      </c>
      <c r="CT91" s="176">
        <f t="shared" si="96"/>
        <v>0</v>
      </c>
      <c r="CU91" s="176">
        <f t="shared" si="97"/>
        <v>0</v>
      </c>
      <c r="CW91" s="204">
        <v>10</v>
      </c>
      <c r="CX91" s="202" t="str">
        <f>$B$19</f>
        <v>GIRIJAYA</v>
      </c>
      <c r="CY91" s="207"/>
      <c r="CZ91" s="207"/>
      <c r="DA91" s="206"/>
      <c r="DB91" s="206"/>
      <c r="DC91" s="206"/>
      <c r="DD91" s="206"/>
      <c r="DE91" s="1433"/>
      <c r="DF91" s="1433"/>
      <c r="DG91" s="1433"/>
      <c r="DH91" s="1433"/>
      <c r="DI91" s="1433"/>
      <c r="DJ91" s="1433"/>
      <c r="DK91" s="206"/>
      <c r="DL91" s="206"/>
      <c r="DM91" s="206"/>
      <c r="DN91" s="206"/>
      <c r="DO91" s="177">
        <f t="shared" si="98"/>
        <v>0</v>
      </c>
      <c r="DP91" s="177">
        <f t="shared" si="99"/>
        <v>0</v>
      </c>
      <c r="DQ91" s="178">
        <f t="shared" si="100"/>
        <v>0</v>
      </c>
      <c r="DR91" s="176">
        <f t="shared" si="101"/>
        <v>0</v>
      </c>
      <c r="DS91" s="176">
        <f t="shared" si="102"/>
        <v>0</v>
      </c>
      <c r="DT91" s="176">
        <f t="shared" si="103"/>
        <v>0</v>
      </c>
      <c r="DV91" s="204">
        <v>10</v>
      </c>
      <c r="DW91" s="202" t="str">
        <f>$B$19</f>
        <v>GIRIJAYA</v>
      </c>
      <c r="DX91" s="207"/>
      <c r="DY91" s="207"/>
      <c r="DZ91" s="206"/>
      <c r="EA91" s="206"/>
      <c r="EB91" s="206"/>
      <c r="EC91" s="206"/>
      <c r="ED91" s="1433"/>
      <c r="EE91" s="1433"/>
      <c r="EF91" s="1433"/>
      <c r="EG91" s="1433"/>
      <c r="EH91" s="1433"/>
      <c r="EI91" s="1433"/>
      <c r="EJ91" s="206"/>
      <c r="EK91" s="206"/>
      <c r="EL91" s="206"/>
      <c r="EM91" s="206"/>
      <c r="EN91" s="177">
        <f t="shared" si="104"/>
        <v>0</v>
      </c>
      <c r="EO91" s="177">
        <f t="shared" si="105"/>
        <v>0</v>
      </c>
      <c r="EP91" s="178">
        <f t="shared" si="106"/>
        <v>0</v>
      </c>
      <c r="EQ91" s="176">
        <f t="shared" si="107"/>
        <v>0</v>
      </c>
      <c r="ER91" s="176">
        <f t="shared" si="108"/>
        <v>0</v>
      </c>
      <c r="ES91" s="176">
        <f t="shared" si="109"/>
        <v>0</v>
      </c>
    </row>
    <row r="92" spans="1:149" s="168" customFormat="1" ht="42" customHeight="1">
      <c r="A92" s="204">
        <v>11</v>
      </c>
      <c r="B92" s="202">
        <f>$B$20</f>
        <v>0</v>
      </c>
      <c r="C92" s="207"/>
      <c r="D92" s="207"/>
      <c r="E92" s="206"/>
      <c r="F92" s="206"/>
      <c r="G92" s="206"/>
      <c r="H92" s="206"/>
      <c r="I92" s="1433"/>
      <c r="J92" s="1433"/>
      <c r="K92" s="1433"/>
      <c r="L92" s="1433"/>
      <c r="M92" s="1433"/>
      <c r="N92" s="1433"/>
      <c r="O92" s="206"/>
      <c r="P92" s="206"/>
      <c r="Q92" s="206"/>
      <c r="R92" s="206"/>
      <c r="S92" s="177">
        <f t="shared" si="74"/>
        <v>0</v>
      </c>
      <c r="T92" s="177">
        <f t="shared" si="75"/>
        <v>0</v>
      </c>
      <c r="U92" s="178">
        <f t="shared" si="76"/>
        <v>0</v>
      </c>
      <c r="V92" s="176">
        <f t="shared" si="77"/>
        <v>0</v>
      </c>
      <c r="W92" s="176">
        <f t="shared" si="78"/>
        <v>0</v>
      </c>
      <c r="X92" s="176">
        <f t="shared" si="79"/>
        <v>0</v>
      </c>
      <c r="Z92" s="204">
        <v>11</v>
      </c>
      <c r="AA92" s="202">
        <f>$B$20</f>
        <v>0</v>
      </c>
      <c r="AB92" s="207"/>
      <c r="AC92" s="207"/>
      <c r="AD92" s="206"/>
      <c r="AE92" s="206"/>
      <c r="AF92" s="206"/>
      <c r="AG92" s="206"/>
      <c r="AH92" s="1433"/>
      <c r="AI92" s="1433"/>
      <c r="AJ92" s="1433"/>
      <c r="AK92" s="1433"/>
      <c r="AL92" s="1433"/>
      <c r="AM92" s="1433"/>
      <c r="AN92" s="206"/>
      <c r="AO92" s="206"/>
      <c r="AP92" s="206"/>
      <c r="AQ92" s="206"/>
      <c r="AR92" s="177">
        <f t="shared" si="80"/>
        <v>0</v>
      </c>
      <c r="AS92" s="177">
        <f t="shared" si="81"/>
        <v>0</v>
      </c>
      <c r="AT92" s="178">
        <f t="shared" si="82"/>
        <v>0</v>
      </c>
      <c r="AU92" s="176">
        <f t="shared" si="83"/>
        <v>0</v>
      </c>
      <c r="AV92" s="176">
        <f t="shared" si="84"/>
        <v>0</v>
      </c>
      <c r="AW92" s="176">
        <f t="shared" si="85"/>
        <v>0</v>
      </c>
      <c r="AY92" s="204">
        <v>11</v>
      </c>
      <c r="AZ92" s="202">
        <f>$B$20</f>
        <v>0</v>
      </c>
      <c r="BA92" s="207"/>
      <c r="BB92" s="207"/>
      <c r="BC92" s="206"/>
      <c r="BD92" s="206"/>
      <c r="BE92" s="206"/>
      <c r="BF92" s="206"/>
      <c r="BG92" s="1433"/>
      <c r="BH92" s="1433"/>
      <c r="BI92" s="1433"/>
      <c r="BJ92" s="1433"/>
      <c r="BK92" s="1433"/>
      <c r="BL92" s="1433"/>
      <c r="BM92" s="206"/>
      <c r="BN92" s="206"/>
      <c r="BO92" s="206"/>
      <c r="BP92" s="206"/>
      <c r="BQ92" s="177">
        <f t="shared" si="86"/>
        <v>0</v>
      </c>
      <c r="BR92" s="177">
        <f t="shared" si="87"/>
        <v>0</v>
      </c>
      <c r="BS92" s="178">
        <f t="shared" si="88"/>
        <v>0</v>
      </c>
      <c r="BT92" s="176">
        <f t="shared" si="89"/>
        <v>0</v>
      </c>
      <c r="BU92" s="176">
        <f t="shared" si="90"/>
        <v>0</v>
      </c>
      <c r="BV92" s="176">
        <f t="shared" si="91"/>
        <v>0</v>
      </c>
      <c r="BX92" s="204">
        <v>11</v>
      </c>
      <c r="BY92" s="202">
        <f>$B$20</f>
        <v>0</v>
      </c>
      <c r="BZ92" s="207"/>
      <c r="CA92" s="207"/>
      <c r="CB92" s="206"/>
      <c r="CC92" s="206"/>
      <c r="CD92" s="206"/>
      <c r="CE92" s="206"/>
      <c r="CF92" s="1433"/>
      <c r="CG92" s="1433"/>
      <c r="CH92" s="1433"/>
      <c r="CI92" s="1433"/>
      <c r="CJ92" s="1433"/>
      <c r="CK92" s="1433"/>
      <c r="CL92" s="206"/>
      <c r="CM92" s="206"/>
      <c r="CN92" s="206"/>
      <c r="CO92" s="206"/>
      <c r="CP92" s="177">
        <f t="shared" si="92"/>
        <v>0</v>
      </c>
      <c r="CQ92" s="177">
        <f t="shared" si="93"/>
        <v>0</v>
      </c>
      <c r="CR92" s="178">
        <f t="shared" si="94"/>
        <v>0</v>
      </c>
      <c r="CS92" s="176">
        <f t="shared" si="95"/>
        <v>0</v>
      </c>
      <c r="CT92" s="176">
        <f t="shared" si="96"/>
        <v>0</v>
      </c>
      <c r="CU92" s="176">
        <f t="shared" si="97"/>
        <v>0</v>
      </c>
      <c r="CW92" s="204">
        <v>11</v>
      </c>
      <c r="CX92" s="202">
        <f>$B$20</f>
        <v>0</v>
      </c>
      <c r="CY92" s="207"/>
      <c r="CZ92" s="207"/>
      <c r="DA92" s="206"/>
      <c r="DB92" s="206"/>
      <c r="DC92" s="206"/>
      <c r="DD92" s="206"/>
      <c r="DE92" s="1433"/>
      <c r="DF92" s="1433"/>
      <c r="DG92" s="1433"/>
      <c r="DH92" s="1433"/>
      <c r="DI92" s="1433"/>
      <c r="DJ92" s="1433"/>
      <c r="DK92" s="206"/>
      <c r="DL92" s="206"/>
      <c r="DM92" s="206"/>
      <c r="DN92" s="206"/>
      <c r="DO92" s="177">
        <f t="shared" si="98"/>
        <v>0</v>
      </c>
      <c r="DP92" s="177">
        <f t="shared" si="99"/>
        <v>0</v>
      </c>
      <c r="DQ92" s="178">
        <f t="shared" si="100"/>
        <v>0</v>
      </c>
      <c r="DR92" s="176">
        <f t="shared" si="101"/>
        <v>0</v>
      </c>
      <c r="DS92" s="176">
        <f t="shared" si="102"/>
        <v>0</v>
      </c>
      <c r="DT92" s="176">
        <f t="shared" si="103"/>
        <v>0</v>
      </c>
      <c r="DV92" s="204">
        <v>11</v>
      </c>
      <c r="DW92" s="202">
        <f>$B$20</f>
        <v>0</v>
      </c>
      <c r="DX92" s="207"/>
      <c r="DY92" s="207"/>
      <c r="DZ92" s="206"/>
      <c r="EA92" s="206"/>
      <c r="EB92" s="206"/>
      <c r="EC92" s="206"/>
      <c r="ED92" s="1433"/>
      <c r="EE92" s="1433"/>
      <c r="EF92" s="1433"/>
      <c r="EG92" s="1433"/>
      <c r="EH92" s="1433"/>
      <c r="EI92" s="1433"/>
      <c r="EJ92" s="206"/>
      <c r="EK92" s="206"/>
      <c r="EL92" s="206"/>
      <c r="EM92" s="206"/>
      <c r="EN92" s="177">
        <f t="shared" si="104"/>
        <v>0</v>
      </c>
      <c r="EO92" s="177">
        <f t="shared" si="105"/>
        <v>0</v>
      </c>
      <c r="EP92" s="178">
        <f t="shared" si="106"/>
        <v>0</v>
      </c>
      <c r="EQ92" s="176">
        <f t="shared" si="107"/>
        <v>0</v>
      </c>
      <c r="ER92" s="176">
        <f t="shared" si="108"/>
        <v>0</v>
      </c>
      <c r="ES92" s="176">
        <f t="shared" si="109"/>
        <v>0</v>
      </c>
    </row>
    <row r="93" spans="1:149" s="168" customFormat="1" ht="42" customHeight="1">
      <c r="A93" s="204">
        <v>12</v>
      </c>
      <c r="B93" s="202">
        <f>$B$21</f>
        <v>0</v>
      </c>
      <c r="C93" s="207"/>
      <c r="D93" s="207"/>
      <c r="E93" s="206"/>
      <c r="F93" s="206"/>
      <c r="G93" s="206"/>
      <c r="H93" s="206"/>
      <c r="I93" s="1433"/>
      <c r="J93" s="1433"/>
      <c r="K93" s="1433"/>
      <c r="L93" s="1433"/>
      <c r="M93" s="1433"/>
      <c r="N93" s="1433"/>
      <c r="O93" s="206"/>
      <c r="P93" s="206"/>
      <c r="Q93" s="206"/>
      <c r="R93" s="206"/>
      <c r="S93" s="177">
        <f t="shared" si="74"/>
        <v>0</v>
      </c>
      <c r="T93" s="177">
        <f t="shared" si="75"/>
        <v>0</v>
      </c>
      <c r="U93" s="178">
        <f t="shared" si="76"/>
        <v>0</v>
      </c>
      <c r="V93" s="176">
        <f t="shared" si="77"/>
        <v>0</v>
      </c>
      <c r="W93" s="176">
        <f t="shared" si="78"/>
        <v>0</v>
      </c>
      <c r="X93" s="176">
        <f t="shared" si="79"/>
        <v>0</v>
      </c>
      <c r="Z93" s="204">
        <v>12</v>
      </c>
      <c r="AA93" s="202">
        <f>$B$21</f>
        <v>0</v>
      </c>
      <c r="AB93" s="207"/>
      <c r="AC93" s="207"/>
      <c r="AD93" s="206"/>
      <c r="AE93" s="206"/>
      <c r="AF93" s="206"/>
      <c r="AG93" s="206"/>
      <c r="AH93" s="1433"/>
      <c r="AI93" s="1433"/>
      <c r="AJ93" s="1433"/>
      <c r="AK93" s="1433"/>
      <c r="AL93" s="1433"/>
      <c r="AM93" s="1433"/>
      <c r="AN93" s="206"/>
      <c r="AO93" s="206"/>
      <c r="AP93" s="206"/>
      <c r="AQ93" s="206"/>
      <c r="AR93" s="177">
        <f t="shared" si="80"/>
        <v>0</v>
      </c>
      <c r="AS93" s="177">
        <f t="shared" si="81"/>
        <v>0</v>
      </c>
      <c r="AT93" s="178">
        <f t="shared" si="82"/>
        <v>0</v>
      </c>
      <c r="AU93" s="176">
        <f t="shared" si="83"/>
        <v>0</v>
      </c>
      <c r="AV93" s="176">
        <f t="shared" si="84"/>
        <v>0</v>
      </c>
      <c r="AW93" s="176">
        <f t="shared" si="85"/>
        <v>0</v>
      </c>
      <c r="AY93" s="204">
        <v>12</v>
      </c>
      <c r="AZ93" s="202">
        <f>$B$21</f>
        <v>0</v>
      </c>
      <c r="BA93" s="207"/>
      <c r="BB93" s="207"/>
      <c r="BC93" s="206"/>
      <c r="BD93" s="206"/>
      <c r="BE93" s="206"/>
      <c r="BF93" s="206"/>
      <c r="BG93" s="1433"/>
      <c r="BH93" s="1433"/>
      <c r="BI93" s="1433"/>
      <c r="BJ93" s="1433"/>
      <c r="BK93" s="1433"/>
      <c r="BL93" s="1433"/>
      <c r="BM93" s="206"/>
      <c r="BN93" s="206"/>
      <c r="BO93" s="206"/>
      <c r="BP93" s="206"/>
      <c r="BQ93" s="177">
        <f t="shared" si="86"/>
        <v>0</v>
      </c>
      <c r="BR93" s="177">
        <f t="shared" si="87"/>
        <v>0</v>
      </c>
      <c r="BS93" s="178">
        <f t="shared" si="88"/>
        <v>0</v>
      </c>
      <c r="BT93" s="176">
        <f t="shared" si="89"/>
        <v>0</v>
      </c>
      <c r="BU93" s="176">
        <f t="shared" si="90"/>
        <v>0</v>
      </c>
      <c r="BV93" s="176">
        <f t="shared" si="91"/>
        <v>0</v>
      </c>
      <c r="BX93" s="204">
        <v>12</v>
      </c>
      <c r="BY93" s="202">
        <f>$B$21</f>
        <v>0</v>
      </c>
      <c r="BZ93" s="207"/>
      <c r="CA93" s="207"/>
      <c r="CB93" s="206"/>
      <c r="CC93" s="206"/>
      <c r="CD93" s="206"/>
      <c r="CE93" s="206"/>
      <c r="CF93" s="1433"/>
      <c r="CG93" s="1433"/>
      <c r="CH93" s="1433"/>
      <c r="CI93" s="1433"/>
      <c r="CJ93" s="1433"/>
      <c r="CK93" s="1433"/>
      <c r="CL93" s="206"/>
      <c r="CM93" s="206"/>
      <c r="CN93" s="206"/>
      <c r="CO93" s="206"/>
      <c r="CP93" s="177">
        <f t="shared" si="92"/>
        <v>0</v>
      </c>
      <c r="CQ93" s="177">
        <f t="shared" si="93"/>
        <v>0</v>
      </c>
      <c r="CR93" s="178">
        <f t="shared" si="94"/>
        <v>0</v>
      </c>
      <c r="CS93" s="176">
        <f t="shared" si="95"/>
        <v>0</v>
      </c>
      <c r="CT93" s="176">
        <f t="shared" si="96"/>
        <v>0</v>
      </c>
      <c r="CU93" s="176">
        <f t="shared" si="97"/>
        <v>0</v>
      </c>
      <c r="CW93" s="204">
        <v>12</v>
      </c>
      <c r="CX93" s="202">
        <f>$B$21</f>
        <v>0</v>
      </c>
      <c r="CY93" s="207"/>
      <c r="CZ93" s="207"/>
      <c r="DA93" s="206"/>
      <c r="DB93" s="206"/>
      <c r="DC93" s="206"/>
      <c r="DD93" s="206"/>
      <c r="DE93" s="1433"/>
      <c r="DF93" s="1433"/>
      <c r="DG93" s="1433"/>
      <c r="DH93" s="1433"/>
      <c r="DI93" s="1433"/>
      <c r="DJ93" s="1433"/>
      <c r="DK93" s="206"/>
      <c r="DL93" s="206"/>
      <c r="DM93" s="206"/>
      <c r="DN93" s="206"/>
      <c r="DO93" s="177">
        <f t="shared" si="98"/>
        <v>0</v>
      </c>
      <c r="DP93" s="177">
        <f t="shared" si="99"/>
        <v>0</v>
      </c>
      <c r="DQ93" s="178">
        <f t="shared" si="100"/>
        <v>0</v>
      </c>
      <c r="DR93" s="176">
        <f t="shared" si="101"/>
        <v>0</v>
      </c>
      <c r="DS93" s="176">
        <f t="shared" si="102"/>
        <v>0</v>
      </c>
      <c r="DT93" s="176">
        <f t="shared" si="103"/>
        <v>0</v>
      </c>
      <c r="DV93" s="204">
        <v>12</v>
      </c>
      <c r="DW93" s="202">
        <f>$B$21</f>
        <v>0</v>
      </c>
      <c r="DX93" s="207"/>
      <c r="DY93" s="207"/>
      <c r="DZ93" s="206"/>
      <c r="EA93" s="206"/>
      <c r="EB93" s="206"/>
      <c r="EC93" s="206"/>
      <c r="ED93" s="1433"/>
      <c r="EE93" s="1433"/>
      <c r="EF93" s="1433"/>
      <c r="EG93" s="1433"/>
      <c r="EH93" s="1433"/>
      <c r="EI93" s="1433"/>
      <c r="EJ93" s="206"/>
      <c r="EK93" s="206"/>
      <c r="EL93" s="206"/>
      <c r="EM93" s="206"/>
      <c r="EN93" s="177">
        <f t="shared" si="104"/>
        <v>0</v>
      </c>
      <c r="EO93" s="177">
        <f t="shared" si="105"/>
        <v>0</v>
      </c>
      <c r="EP93" s="178">
        <f t="shared" si="106"/>
        <v>0</v>
      </c>
      <c r="EQ93" s="176">
        <f t="shared" si="107"/>
        <v>0</v>
      </c>
      <c r="ER93" s="176">
        <f t="shared" si="108"/>
        <v>0</v>
      </c>
      <c r="ES93" s="176">
        <f t="shared" si="109"/>
        <v>0</v>
      </c>
    </row>
    <row r="94" spans="1:149" s="168" customFormat="1" ht="42" customHeight="1">
      <c r="A94" s="204">
        <v>13</v>
      </c>
      <c r="B94" s="202">
        <f>$B$22</f>
        <v>0</v>
      </c>
      <c r="C94" s="207"/>
      <c r="D94" s="207"/>
      <c r="E94" s="206"/>
      <c r="F94" s="206"/>
      <c r="G94" s="206"/>
      <c r="H94" s="206"/>
      <c r="I94" s="1433"/>
      <c r="J94" s="1433"/>
      <c r="K94" s="1433"/>
      <c r="L94" s="1433"/>
      <c r="M94" s="1433"/>
      <c r="N94" s="1433"/>
      <c r="O94" s="206"/>
      <c r="P94" s="206"/>
      <c r="Q94" s="206"/>
      <c r="R94" s="206"/>
      <c r="S94" s="177">
        <f t="shared" si="74"/>
        <v>0</v>
      </c>
      <c r="T94" s="177">
        <f t="shared" si="75"/>
        <v>0</v>
      </c>
      <c r="U94" s="178">
        <f t="shared" si="76"/>
        <v>0</v>
      </c>
      <c r="V94" s="176">
        <f t="shared" si="77"/>
        <v>0</v>
      </c>
      <c r="W94" s="176">
        <f t="shared" si="78"/>
        <v>0</v>
      </c>
      <c r="X94" s="176">
        <f t="shared" si="79"/>
        <v>0</v>
      </c>
      <c r="Z94" s="204">
        <v>13</v>
      </c>
      <c r="AA94" s="202">
        <f>$B$22</f>
        <v>0</v>
      </c>
      <c r="AB94" s="207"/>
      <c r="AC94" s="207"/>
      <c r="AD94" s="206"/>
      <c r="AE94" s="206"/>
      <c r="AF94" s="206"/>
      <c r="AG94" s="206"/>
      <c r="AH94" s="1433"/>
      <c r="AI94" s="1433"/>
      <c r="AJ94" s="1433"/>
      <c r="AK94" s="1433"/>
      <c r="AL94" s="1433"/>
      <c r="AM94" s="1433"/>
      <c r="AN94" s="206"/>
      <c r="AO94" s="206"/>
      <c r="AP94" s="206"/>
      <c r="AQ94" s="206"/>
      <c r="AR94" s="177">
        <f t="shared" si="80"/>
        <v>0</v>
      </c>
      <c r="AS94" s="177">
        <f t="shared" si="81"/>
        <v>0</v>
      </c>
      <c r="AT94" s="178">
        <f t="shared" si="82"/>
        <v>0</v>
      </c>
      <c r="AU94" s="176">
        <f t="shared" si="83"/>
        <v>0</v>
      </c>
      <c r="AV94" s="176">
        <f t="shared" si="84"/>
        <v>0</v>
      </c>
      <c r="AW94" s="176">
        <f t="shared" si="85"/>
        <v>0</v>
      </c>
      <c r="AY94" s="204">
        <v>13</v>
      </c>
      <c r="AZ94" s="202">
        <f>$B$22</f>
        <v>0</v>
      </c>
      <c r="BA94" s="207"/>
      <c r="BB94" s="207"/>
      <c r="BC94" s="206"/>
      <c r="BD94" s="206"/>
      <c r="BE94" s="206"/>
      <c r="BF94" s="206"/>
      <c r="BG94" s="1433"/>
      <c r="BH94" s="1433"/>
      <c r="BI94" s="1433"/>
      <c r="BJ94" s="1433"/>
      <c r="BK94" s="1433"/>
      <c r="BL94" s="1433"/>
      <c r="BM94" s="206"/>
      <c r="BN94" s="206"/>
      <c r="BO94" s="206"/>
      <c r="BP94" s="206"/>
      <c r="BQ94" s="177">
        <f t="shared" si="86"/>
        <v>0</v>
      </c>
      <c r="BR94" s="177">
        <f t="shared" si="87"/>
        <v>0</v>
      </c>
      <c r="BS94" s="178">
        <f t="shared" si="88"/>
        <v>0</v>
      </c>
      <c r="BT94" s="176">
        <f t="shared" si="89"/>
        <v>0</v>
      </c>
      <c r="BU94" s="176">
        <f t="shared" si="90"/>
        <v>0</v>
      </c>
      <c r="BV94" s="176">
        <f t="shared" si="91"/>
        <v>0</v>
      </c>
      <c r="BX94" s="204">
        <v>13</v>
      </c>
      <c r="BY94" s="202">
        <f>$B$22</f>
        <v>0</v>
      </c>
      <c r="BZ94" s="207"/>
      <c r="CA94" s="207"/>
      <c r="CB94" s="206"/>
      <c r="CC94" s="206"/>
      <c r="CD94" s="206"/>
      <c r="CE94" s="206"/>
      <c r="CF94" s="1433"/>
      <c r="CG94" s="1433"/>
      <c r="CH94" s="1433"/>
      <c r="CI94" s="1433"/>
      <c r="CJ94" s="1433"/>
      <c r="CK94" s="1433"/>
      <c r="CL94" s="206"/>
      <c r="CM94" s="206"/>
      <c r="CN94" s="206"/>
      <c r="CO94" s="206"/>
      <c r="CP94" s="177">
        <f t="shared" si="92"/>
        <v>0</v>
      </c>
      <c r="CQ94" s="177">
        <f t="shared" si="93"/>
        <v>0</v>
      </c>
      <c r="CR94" s="178">
        <f t="shared" si="94"/>
        <v>0</v>
      </c>
      <c r="CS94" s="176">
        <f t="shared" si="95"/>
        <v>0</v>
      </c>
      <c r="CT94" s="176">
        <f t="shared" si="96"/>
        <v>0</v>
      </c>
      <c r="CU94" s="176">
        <f t="shared" si="97"/>
        <v>0</v>
      </c>
      <c r="CW94" s="204">
        <v>13</v>
      </c>
      <c r="CX94" s="202">
        <f>$B$22</f>
        <v>0</v>
      </c>
      <c r="CY94" s="207"/>
      <c r="CZ94" s="207"/>
      <c r="DA94" s="206"/>
      <c r="DB94" s="206"/>
      <c r="DC94" s="206"/>
      <c r="DD94" s="206"/>
      <c r="DE94" s="1433"/>
      <c r="DF94" s="1433"/>
      <c r="DG94" s="1433"/>
      <c r="DH94" s="1433"/>
      <c r="DI94" s="1433"/>
      <c r="DJ94" s="1433"/>
      <c r="DK94" s="206"/>
      <c r="DL94" s="206"/>
      <c r="DM94" s="206"/>
      <c r="DN94" s="206"/>
      <c r="DO94" s="177">
        <f t="shared" si="98"/>
        <v>0</v>
      </c>
      <c r="DP94" s="177">
        <f t="shared" si="99"/>
        <v>0</v>
      </c>
      <c r="DQ94" s="178">
        <f t="shared" si="100"/>
        <v>0</v>
      </c>
      <c r="DR94" s="176">
        <f t="shared" si="101"/>
        <v>0</v>
      </c>
      <c r="DS94" s="176">
        <f t="shared" si="102"/>
        <v>0</v>
      </c>
      <c r="DT94" s="176">
        <f t="shared" si="103"/>
        <v>0</v>
      </c>
      <c r="DV94" s="204">
        <v>13</v>
      </c>
      <c r="DW94" s="202">
        <f>$B$22</f>
        <v>0</v>
      </c>
      <c r="DX94" s="207"/>
      <c r="DY94" s="207"/>
      <c r="DZ94" s="206"/>
      <c r="EA94" s="206"/>
      <c r="EB94" s="206"/>
      <c r="EC94" s="206"/>
      <c r="ED94" s="1433"/>
      <c r="EE94" s="1433"/>
      <c r="EF94" s="1433"/>
      <c r="EG94" s="1433"/>
      <c r="EH94" s="1433"/>
      <c r="EI94" s="1433"/>
      <c r="EJ94" s="206"/>
      <c r="EK94" s="206"/>
      <c r="EL94" s="206"/>
      <c r="EM94" s="206"/>
      <c r="EN94" s="177">
        <f t="shared" si="104"/>
        <v>0</v>
      </c>
      <c r="EO94" s="177">
        <f t="shared" si="105"/>
        <v>0</v>
      </c>
      <c r="EP94" s="178">
        <f t="shared" si="106"/>
        <v>0</v>
      </c>
      <c r="EQ94" s="176">
        <f t="shared" si="107"/>
        <v>0</v>
      </c>
      <c r="ER94" s="176">
        <f t="shared" si="108"/>
        <v>0</v>
      </c>
      <c r="ES94" s="176">
        <f t="shared" si="109"/>
        <v>0</v>
      </c>
    </row>
    <row r="95" spans="1:149" s="168" customFormat="1" ht="42" customHeight="1">
      <c r="A95" s="204">
        <v>14</v>
      </c>
      <c r="B95" s="202">
        <f>$B$23</f>
        <v>0</v>
      </c>
      <c r="C95" s="207"/>
      <c r="D95" s="207"/>
      <c r="E95" s="206"/>
      <c r="F95" s="206"/>
      <c r="G95" s="206"/>
      <c r="H95" s="206"/>
      <c r="I95" s="1433"/>
      <c r="J95" s="1433"/>
      <c r="K95" s="1433"/>
      <c r="L95" s="1433"/>
      <c r="M95" s="1433"/>
      <c r="N95" s="1433"/>
      <c r="O95" s="206"/>
      <c r="P95" s="206"/>
      <c r="Q95" s="206"/>
      <c r="R95" s="206"/>
      <c r="S95" s="177">
        <f t="shared" si="74"/>
        <v>0</v>
      </c>
      <c r="T95" s="177">
        <f t="shared" si="75"/>
        <v>0</v>
      </c>
      <c r="U95" s="178">
        <f t="shared" si="76"/>
        <v>0</v>
      </c>
      <c r="V95" s="176">
        <f t="shared" si="77"/>
        <v>0</v>
      </c>
      <c r="W95" s="176">
        <f t="shared" si="78"/>
        <v>0</v>
      </c>
      <c r="X95" s="176">
        <f t="shared" si="79"/>
        <v>0</v>
      </c>
      <c r="Z95" s="204">
        <v>14</v>
      </c>
      <c r="AA95" s="202">
        <f>$B$23</f>
        <v>0</v>
      </c>
      <c r="AB95" s="207"/>
      <c r="AC95" s="207"/>
      <c r="AD95" s="206"/>
      <c r="AE95" s="206"/>
      <c r="AF95" s="206"/>
      <c r="AG95" s="206"/>
      <c r="AH95" s="1433"/>
      <c r="AI95" s="1433"/>
      <c r="AJ95" s="1433"/>
      <c r="AK95" s="1433"/>
      <c r="AL95" s="1433"/>
      <c r="AM95" s="1433"/>
      <c r="AN95" s="206"/>
      <c r="AO95" s="206"/>
      <c r="AP95" s="206"/>
      <c r="AQ95" s="206"/>
      <c r="AR95" s="177">
        <f t="shared" si="80"/>
        <v>0</v>
      </c>
      <c r="AS95" s="177">
        <f t="shared" si="81"/>
        <v>0</v>
      </c>
      <c r="AT95" s="178">
        <f t="shared" si="82"/>
        <v>0</v>
      </c>
      <c r="AU95" s="176">
        <f t="shared" si="83"/>
        <v>0</v>
      </c>
      <c r="AV95" s="176">
        <f t="shared" si="84"/>
        <v>0</v>
      </c>
      <c r="AW95" s="176">
        <f t="shared" si="85"/>
        <v>0</v>
      </c>
      <c r="AY95" s="204">
        <v>14</v>
      </c>
      <c r="AZ95" s="202">
        <f>$B$23</f>
        <v>0</v>
      </c>
      <c r="BA95" s="207"/>
      <c r="BB95" s="207"/>
      <c r="BC95" s="206"/>
      <c r="BD95" s="206"/>
      <c r="BE95" s="206"/>
      <c r="BF95" s="206"/>
      <c r="BG95" s="1433"/>
      <c r="BH95" s="1433"/>
      <c r="BI95" s="1433"/>
      <c r="BJ95" s="1433"/>
      <c r="BK95" s="1433"/>
      <c r="BL95" s="1433"/>
      <c r="BM95" s="206"/>
      <c r="BN95" s="206"/>
      <c r="BO95" s="206"/>
      <c r="BP95" s="206"/>
      <c r="BQ95" s="177">
        <f t="shared" si="86"/>
        <v>0</v>
      </c>
      <c r="BR95" s="177">
        <f t="shared" si="87"/>
        <v>0</v>
      </c>
      <c r="BS95" s="178">
        <f t="shared" si="88"/>
        <v>0</v>
      </c>
      <c r="BT95" s="176">
        <f t="shared" si="89"/>
        <v>0</v>
      </c>
      <c r="BU95" s="176">
        <f t="shared" si="90"/>
        <v>0</v>
      </c>
      <c r="BV95" s="176">
        <f t="shared" si="91"/>
        <v>0</v>
      </c>
      <c r="BX95" s="204">
        <v>14</v>
      </c>
      <c r="BY95" s="202">
        <f>$B$23</f>
        <v>0</v>
      </c>
      <c r="BZ95" s="207"/>
      <c r="CA95" s="207"/>
      <c r="CB95" s="206"/>
      <c r="CC95" s="206"/>
      <c r="CD95" s="206"/>
      <c r="CE95" s="206"/>
      <c r="CF95" s="1433"/>
      <c r="CG95" s="1433"/>
      <c r="CH95" s="1433"/>
      <c r="CI95" s="1433"/>
      <c r="CJ95" s="1433"/>
      <c r="CK95" s="1433"/>
      <c r="CL95" s="206"/>
      <c r="CM95" s="206"/>
      <c r="CN95" s="206"/>
      <c r="CO95" s="206"/>
      <c r="CP95" s="177">
        <f t="shared" si="92"/>
        <v>0</v>
      </c>
      <c r="CQ95" s="177">
        <f t="shared" si="93"/>
        <v>0</v>
      </c>
      <c r="CR95" s="178">
        <f t="shared" si="94"/>
        <v>0</v>
      </c>
      <c r="CS95" s="176">
        <f t="shared" si="95"/>
        <v>0</v>
      </c>
      <c r="CT95" s="176">
        <f t="shared" si="96"/>
        <v>0</v>
      </c>
      <c r="CU95" s="176">
        <f t="shared" si="97"/>
        <v>0</v>
      </c>
      <c r="CW95" s="204">
        <v>14</v>
      </c>
      <c r="CX95" s="202">
        <f>$B$23</f>
        <v>0</v>
      </c>
      <c r="CY95" s="207"/>
      <c r="CZ95" s="207"/>
      <c r="DA95" s="206"/>
      <c r="DB95" s="206"/>
      <c r="DC95" s="206"/>
      <c r="DD95" s="206"/>
      <c r="DE95" s="1433"/>
      <c r="DF95" s="1433"/>
      <c r="DG95" s="1433"/>
      <c r="DH95" s="1433"/>
      <c r="DI95" s="1433"/>
      <c r="DJ95" s="1433"/>
      <c r="DK95" s="206"/>
      <c r="DL95" s="206"/>
      <c r="DM95" s="206"/>
      <c r="DN95" s="206"/>
      <c r="DO95" s="177">
        <f t="shared" si="98"/>
        <v>0</v>
      </c>
      <c r="DP95" s="177">
        <f t="shared" si="99"/>
        <v>0</v>
      </c>
      <c r="DQ95" s="178">
        <f t="shared" si="100"/>
        <v>0</v>
      </c>
      <c r="DR95" s="176">
        <f t="shared" si="101"/>
        <v>0</v>
      </c>
      <c r="DS95" s="176">
        <f t="shared" si="102"/>
        <v>0</v>
      </c>
      <c r="DT95" s="176">
        <f t="shared" si="103"/>
        <v>0</v>
      </c>
      <c r="DV95" s="204">
        <v>14</v>
      </c>
      <c r="DW95" s="202">
        <f>$B$23</f>
        <v>0</v>
      </c>
      <c r="DX95" s="207"/>
      <c r="DY95" s="207"/>
      <c r="DZ95" s="206"/>
      <c r="EA95" s="206"/>
      <c r="EB95" s="206"/>
      <c r="EC95" s="206"/>
      <c r="ED95" s="1433"/>
      <c r="EE95" s="1433"/>
      <c r="EF95" s="1433"/>
      <c r="EG95" s="1433"/>
      <c r="EH95" s="1433"/>
      <c r="EI95" s="1433"/>
      <c r="EJ95" s="206"/>
      <c r="EK95" s="206"/>
      <c r="EL95" s="206"/>
      <c r="EM95" s="206"/>
      <c r="EN95" s="177">
        <f t="shared" si="104"/>
        <v>0</v>
      </c>
      <c r="EO95" s="177">
        <f t="shared" si="105"/>
        <v>0</v>
      </c>
      <c r="EP95" s="178">
        <f t="shared" si="106"/>
        <v>0</v>
      </c>
      <c r="EQ95" s="176">
        <f t="shared" si="107"/>
        <v>0</v>
      </c>
      <c r="ER95" s="176">
        <f t="shared" si="108"/>
        <v>0</v>
      </c>
      <c r="ES95" s="176">
        <f t="shared" si="109"/>
        <v>0</v>
      </c>
    </row>
    <row r="96" spans="1:149" s="168" customFormat="1" ht="42" customHeight="1">
      <c r="A96" s="204">
        <v>15</v>
      </c>
      <c r="B96" s="202">
        <f>$B$24</f>
        <v>0</v>
      </c>
      <c r="C96" s="207"/>
      <c r="D96" s="207"/>
      <c r="E96" s="206"/>
      <c r="F96" s="206"/>
      <c r="G96" s="206"/>
      <c r="H96" s="206"/>
      <c r="I96" s="1433"/>
      <c r="J96" s="1433"/>
      <c r="K96" s="1433"/>
      <c r="L96" s="1433"/>
      <c r="M96" s="1433"/>
      <c r="N96" s="1433"/>
      <c r="O96" s="206"/>
      <c r="P96" s="206"/>
      <c r="Q96" s="206"/>
      <c r="R96" s="206"/>
      <c r="S96" s="177">
        <f t="shared" si="74"/>
        <v>0</v>
      </c>
      <c r="T96" s="177">
        <f t="shared" si="75"/>
        <v>0</v>
      </c>
      <c r="U96" s="178">
        <f t="shared" si="76"/>
        <v>0</v>
      </c>
      <c r="V96" s="176">
        <f t="shared" si="77"/>
        <v>0</v>
      </c>
      <c r="W96" s="176">
        <f t="shared" si="78"/>
        <v>0</v>
      </c>
      <c r="X96" s="176">
        <f t="shared" si="79"/>
        <v>0</v>
      </c>
      <c r="Z96" s="204">
        <v>15</v>
      </c>
      <c r="AA96" s="202">
        <f>$B$24</f>
        <v>0</v>
      </c>
      <c r="AB96" s="207"/>
      <c r="AC96" s="207"/>
      <c r="AD96" s="206"/>
      <c r="AE96" s="206"/>
      <c r="AF96" s="206"/>
      <c r="AG96" s="206"/>
      <c r="AH96" s="1433"/>
      <c r="AI96" s="1433"/>
      <c r="AJ96" s="1433"/>
      <c r="AK96" s="1433"/>
      <c r="AL96" s="1433"/>
      <c r="AM96" s="1433"/>
      <c r="AN96" s="206"/>
      <c r="AO96" s="206"/>
      <c r="AP96" s="206"/>
      <c r="AQ96" s="206"/>
      <c r="AR96" s="177">
        <f t="shared" si="80"/>
        <v>0</v>
      </c>
      <c r="AS96" s="177">
        <f t="shared" si="81"/>
        <v>0</v>
      </c>
      <c r="AT96" s="178">
        <f t="shared" si="82"/>
        <v>0</v>
      </c>
      <c r="AU96" s="176">
        <f t="shared" si="83"/>
        <v>0</v>
      </c>
      <c r="AV96" s="176">
        <f t="shared" si="84"/>
        <v>0</v>
      </c>
      <c r="AW96" s="176">
        <f t="shared" si="85"/>
        <v>0</v>
      </c>
      <c r="AY96" s="204">
        <v>15</v>
      </c>
      <c r="AZ96" s="202">
        <f>$B$24</f>
        <v>0</v>
      </c>
      <c r="BA96" s="207"/>
      <c r="BB96" s="207"/>
      <c r="BC96" s="206"/>
      <c r="BD96" s="206"/>
      <c r="BE96" s="206"/>
      <c r="BF96" s="206"/>
      <c r="BG96" s="1433"/>
      <c r="BH96" s="1433"/>
      <c r="BI96" s="1433"/>
      <c r="BJ96" s="1433"/>
      <c r="BK96" s="1433"/>
      <c r="BL96" s="1433"/>
      <c r="BM96" s="206"/>
      <c r="BN96" s="206"/>
      <c r="BO96" s="206"/>
      <c r="BP96" s="206"/>
      <c r="BQ96" s="177">
        <f t="shared" si="86"/>
        <v>0</v>
      </c>
      <c r="BR96" s="177">
        <f t="shared" si="87"/>
        <v>0</v>
      </c>
      <c r="BS96" s="178">
        <f t="shared" si="88"/>
        <v>0</v>
      </c>
      <c r="BT96" s="176">
        <f t="shared" si="89"/>
        <v>0</v>
      </c>
      <c r="BU96" s="176">
        <f t="shared" si="90"/>
        <v>0</v>
      </c>
      <c r="BV96" s="176">
        <f t="shared" si="91"/>
        <v>0</v>
      </c>
      <c r="BX96" s="204">
        <v>15</v>
      </c>
      <c r="BY96" s="202">
        <f>$B$24</f>
        <v>0</v>
      </c>
      <c r="BZ96" s="207"/>
      <c r="CA96" s="207"/>
      <c r="CB96" s="206"/>
      <c r="CC96" s="206"/>
      <c r="CD96" s="206"/>
      <c r="CE96" s="206"/>
      <c r="CF96" s="1433"/>
      <c r="CG96" s="1433"/>
      <c r="CH96" s="1433"/>
      <c r="CI96" s="1433"/>
      <c r="CJ96" s="1433"/>
      <c r="CK96" s="1433"/>
      <c r="CL96" s="206"/>
      <c r="CM96" s="206"/>
      <c r="CN96" s="206"/>
      <c r="CO96" s="206"/>
      <c r="CP96" s="177">
        <f t="shared" si="92"/>
        <v>0</v>
      </c>
      <c r="CQ96" s="177">
        <f t="shared" si="93"/>
        <v>0</v>
      </c>
      <c r="CR96" s="178">
        <f t="shared" si="94"/>
        <v>0</v>
      </c>
      <c r="CS96" s="176">
        <f t="shared" si="95"/>
        <v>0</v>
      </c>
      <c r="CT96" s="176">
        <f t="shared" si="96"/>
        <v>0</v>
      </c>
      <c r="CU96" s="176">
        <f t="shared" si="97"/>
        <v>0</v>
      </c>
      <c r="CW96" s="204">
        <v>15</v>
      </c>
      <c r="CX96" s="202">
        <f>$B$24</f>
        <v>0</v>
      </c>
      <c r="CY96" s="207"/>
      <c r="CZ96" s="207"/>
      <c r="DA96" s="206"/>
      <c r="DB96" s="206"/>
      <c r="DC96" s="206"/>
      <c r="DD96" s="206"/>
      <c r="DE96" s="1433"/>
      <c r="DF96" s="1433"/>
      <c r="DG96" s="1433"/>
      <c r="DH96" s="1433"/>
      <c r="DI96" s="1433"/>
      <c r="DJ96" s="1433"/>
      <c r="DK96" s="206"/>
      <c r="DL96" s="206"/>
      <c r="DM96" s="206"/>
      <c r="DN96" s="206"/>
      <c r="DO96" s="177">
        <f t="shared" si="98"/>
        <v>0</v>
      </c>
      <c r="DP96" s="177">
        <f t="shared" si="99"/>
        <v>0</v>
      </c>
      <c r="DQ96" s="178">
        <f t="shared" si="100"/>
        <v>0</v>
      </c>
      <c r="DR96" s="176">
        <f t="shared" si="101"/>
        <v>0</v>
      </c>
      <c r="DS96" s="176">
        <f t="shared" si="102"/>
        <v>0</v>
      </c>
      <c r="DT96" s="176">
        <f t="shared" si="103"/>
        <v>0</v>
      </c>
      <c r="DV96" s="204">
        <v>15</v>
      </c>
      <c r="DW96" s="202">
        <f>$B$24</f>
        <v>0</v>
      </c>
      <c r="DX96" s="207"/>
      <c r="DY96" s="207"/>
      <c r="DZ96" s="206"/>
      <c r="EA96" s="206"/>
      <c r="EB96" s="206"/>
      <c r="EC96" s="206"/>
      <c r="ED96" s="1433"/>
      <c r="EE96" s="1433"/>
      <c r="EF96" s="1433"/>
      <c r="EG96" s="1433"/>
      <c r="EH96" s="1433"/>
      <c r="EI96" s="1433"/>
      <c r="EJ96" s="206"/>
      <c r="EK96" s="206"/>
      <c r="EL96" s="206"/>
      <c r="EM96" s="206"/>
      <c r="EN96" s="177">
        <f t="shared" si="104"/>
        <v>0</v>
      </c>
      <c r="EO96" s="177">
        <f t="shared" si="105"/>
        <v>0</v>
      </c>
      <c r="EP96" s="178">
        <f t="shared" si="106"/>
        <v>0</v>
      </c>
      <c r="EQ96" s="176">
        <f t="shared" si="107"/>
        <v>0</v>
      </c>
      <c r="ER96" s="176">
        <f t="shared" si="108"/>
        <v>0</v>
      </c>
      <c r="ES96" s="176">
        <f t="shared" si="109"/>
        <v>0</v>
      </c>
    </row>
    <row r="97" spans="1:149" s="168" customFormat="1" ht="42" customHeight="1">
      <c r="A97" s="204">
        <v>16</v>
      </c>
      <c r="B97" s="202">
        <f>$B$25</f>
        <v>0</v>
      </c>
      <c r="C97" s="207"/>
      <c r="D97" s="207"/>
      <c r="E97" s="206"/>
      <c r="F97" s="206"/>
      <c r="G97" s="206"/>
      <c r="H97" s="206"/>
      <c r="I97" s="1433"/>
      <c r="J97" s="1433"/>
      <c r="K97" s="1433"/>
      <c r="L97" s="1433"/>
      <c r="M97" s="1433"/>
      <c r="N97" s="1433"/>
      <c r="O97" s="206"/>
      <c r="P97" s="206"/>
      <c r="Q97" s="206"/>
      <c r="R97" s="206"/>
      <c r="S97" s="177">
        <f t="shared" si="74"/>
        <v>0</v>
      </c>
      <c r="T97" s="177">
        <f t="shared" si="75"/>
        <v>0</v>
      </c>
      <c r="U97" s="178">
        <f t="shared" si="76"/>
        <v>0</v>
      </c>
      <c r="V97" s="176">
        <f>SUM(S97-T97)</f>
        <v>0</v>
      </c>
      <c r="W97" s="176">
        <f>SUM(O97-P97)</f>
        <v>0</v>
      </c>
      <c r="X97" s="176">
        <f>SUM(Q97-R97)</f>
        <v>0</v>
      </c>
      <c r="Z97" s="204">
        <v>16</v>
      </c>
      <c r="AA97" s="202">
        <f>$B$25</f>
        <v>0</v>
      </c>
      <c r="AB97" s="207"/>
      <c r="AC97" s="207"/>
      <c r="AD97" s="206"/>
      <c r="AE97" s="206"/>
      <c r="AF97" s="206"/>
      <c r="AG97" s="206"/>
      <c r="AH97" s="1433"/>
      <c r="AI97" s="1433"/>
      <c r="AJ97" s="1433"/>
      <c r="AK97" s="1433"/>
      <c r="AL97" s="1433"/>
      <c r="AM97" s="1433"/>
      <c r="AN97" s="206"/>
      <c r="AO97" s="206"/>
      <c r="AP97" s="206"/>
      <c r="AQ97" s="206"/>
      <c r="AR97" s="177">
        <f t="shared" si="80"/>
        <v>0</v>
      </c>
      <c r="AS97" s="177">
        <f t="shared" si="81"/>
        <v>0</v>
      </c>
      <c r="AT97" s="178">
        <f t="shared" si="82"/>
        <v>0</v>
      </c>
      <c r="AU97" s="176">
        <f>SUM(AR97-AS97)</f>
        <v>0</v>
      </c>
      <c r="AV97" s="176">
        <f>SUM(AN97-AO97)</f>
        <v>0</v>
      </c>
      <c r="AW97" s="176">
        <f>SUM(AP97-AQ97)</f>
        <v>0</v>
      </c>
      <c r="AY97" s="204">
        <v>16</v>
      </c>
      <c r="AZ97" s="202">
        <f>$B$25</f>
        <v>0</v>
      </c>
      <c r="BA97" s="207"/>
      <c r="BB97" s="207"/>
      <c r="BC97" s="206"/>
      <c r="BD97" s="206"/>
      <c r="BE97" s="206"/>
      <c r="BF97" s="206"/>
      <c r="BG97" s="1433"/>
      <c r="BH97" s="1433"/>
      <c r="BI97" s="1433"/>
      <c r="BJ97" s="1433"/>
      <c r="BK97" s="1433"/>
      <c r="BL97" s="1433"/>
      <c r="BM97" s="206"/>
      <c r="BN97" s="206"/>
      <c r="BO97" s="206"/>
      <c r="BP97" s="206"/>
      <c r="BQ97" s="177">
        <f t="shared" si="86"/>
        <v>0</v>
      </c>
      <c r="BR97" s="177">
        <f t="shared" si="87"/>
        <v>0</v>
      </c>
      <c r="BS97" s="178">
        <f t="shared" si="88"/>
        <v>0</v>
      </c>
      <c r="BT97" s="176">
        <f>SUM(BQ97-BR97)</f>
        <v>0</v>
      </c>
      <c r="BU97" s="176">
        <f>SUM(BM97-BN97)</f>
        <v>0</v>
      </c>
      <c r="BV97" s="176">
        <f>SUM(BO97-BP97)</f>
        <v>0</v>
      </c>
      <c r="BX97" s="204">
        <v>16</v>
      </c>
      <c r="BY97" s="202">
        <f>$B$25</f>
        <v>0</v>
      </c>
      <c r="BZ97" s="207"/>
      <c r="CA97" s="207"/>
      <c r="CB97" s="206"/>
      <c r="CC97" s="206"/>
      <c r="CD97" s="206"/>
      <c r="CE97" s="206"/>
      <c r="CF97" s="1433"/>
      <c r="CG97" s="1433"/>
      <c r="CH97" s="1433"/>
      <c r="CI97" s="1433"/>
      <c r="CJ97" s="1433"/>
      <c r="CK97" s="1433"/>
      <c r="CL97" s="206"/>
      <c r="CM97" s="206"/>
      <c r="CN97" s="206"/>
      <c r="CO97" s="206"/>
      <c r="CP97" s="177">
        <f t="shared" si="92"/>
        <v>0</v>
      </c>
      <c r="CQ97" s="177">
        <f t="shared" si="93"/>
        <v>0</v>
      </c>
      <c r="CR97" s="178">
        <f t="shared" si="94"/>
        <v>0</v>
      </c>
      <c r="CS97" s="176">
        <f>SUM(CP97-CQ97)</f>
        <v>0</v>
      </c>
      <c r="CT97" s="176">
        <f>SUM(CL97-CM97)</f>
        <v>0</v>
      </c>
      <c r="CU97" s="176">
        <f>SUM(CN97-CO97)</f>
        <v>0</v>
      </c>
      <c r="CW97" s="204">
        <v>16</v>
      </c>
      <c r="CX97" s="202">
        <f>$B$25</f>
        <v>0</v>
      </c>
      <c r="CY97" s="207"/>
      <c r="CZ97" s="207"/>
      <c r="DA97" s="206"/>
      <c r="DB97" s="206"/>
      <c r="DC97" s="206"/>
      <c r="DD97" s="206"/>
      <c r="DE97" s="1433"/>
      <c r="DF97" s="1433"/>
      <c r="DG97" s="1433"/>
      <c r="DH97" s="1433"/>
      <c r="DI97" s="1433"/>
      <c r="DJ97" s="1433"/>
      <c r="DK97" s="206"/>
      <c r="DL97" s="206"/>
      <c r="DM97" s="206"/>
      <c r="DN97" s="206"/>
      <c r="DO97" s="177">
        <f t="shared" si="98"/>
        <v>0</v>
      </c>
      <c r="DP97" s="177">
        <f t="shared" si="99"/>
        <v>0</v>
      </c>
      <c r="DQ97" s="178">
        <f t="shared" si="100"/>
        <v>0</v>
      </c>
      <c r="DR97" s="176">
        <f>SUM(DO97-DP97)</f>
        <v>0</v>
      </c>
      <c r="DS97" s="176">
        <f>SUM(DK97-DL97)</f>
        <v>0</v>
      </c>
      <c r="DT97" s="176">
        <f>SUM(DM97-DN97)</f>
        <v>0</v>
      </c>
      <c r="DV97" s="204">
        <v>16</v>
      </c>
      <c r="DW97" s="202">
        <f>$B$25</f>
        <v>0</v>
      </c>
      <c r="DX97" s="207"/>
      <c r="DY97" s="207"/>
      <c r="DZ97" s="206"/>
      <c r="EA97" s="206"/>
      <c r="EB97" s="206"/>
      <c r="EC97" s="206"/>
      <c r="ED97" s="1433"/>
      <c r="EE97" s="1433"/>
      <c r="EF97" s="1433"/>
      <c r="EG97" s="1433"/>
      <c r="EH97" s="1433"/>
      <c r="EI97" s="1433"/>
      <c r="EJ97" s="206"/>
      <c r="EK97" s="206"/>
      <c r="EL97" s="206"/>
      <c r="EM97" s="206"/>
      <c r="EN97" s="177">
        <f t="shared" si="104"/>
        <v>0</v>
      </c>
      <c r="EO97" s="177">
        <f t="shared" si="105"/>
        <v>0</v>
      </c>
      <c r="EP97" s="178">
        <f t="shared" si="106"/>
        <v>0</v>
      </c>
      <c r="EQ97" s="176">
        <f>SUM(EN97-EO97)</f>
        <v>0</v>
      </c>
      <c r="ER97" s="176">
        <f>SUM(EJ97-EK97)</f>
        <v>0</v>
      </c>
      <c r="ES97" s="176">
        <f>SUM(EL97-EM97)</f>
        <v>0</v>
      </c>
    </row>
    <row r="98" spans="1:149" s="168" customFormat="1" ht="16.5" thickBot="1">
      <c r="A98" s="179"/>
      <c r="B98" s="1376"/>
      <c r="C98" s="181"/>
      <c r="D98" s="182"/>
      <c r="E98" s="182"/>
      <c r="F98" s="182"/>
      <c r="G98" s="182"/>
      <c r="H98" s="182"/>
      <c r="I98" s="1434"/>
      <c r="J98" s="1434"/>
      <c r="K98" s="1434"/>
      <c r="L98" s="1434"/>
      <c r="M98" s="1434"/>
      <c r="N98" s="1434"/>
      <c r="O98" s="182"/>
      <c r="P98" s="182"/>
      <c r="Q98" s="182"/>
      <c r="R98" s="183"/>
      <c r="S98" s="1374"/>
      <c r="T98" s="1374"/>
      <c r="U98" s="1375"/>
      <c r="V98" s="1373"/>
      <c r="W98" s="1373"/>
      <c r="X98" s="1373"/>
      <c r="Z98" s="179"/>
      <c r="AA98" s="1376"/>
      <c r="AB98" s="181"/>
      <c r="AC98" s="182"/>
      <c r="AD98" s="182"/>
      <c r="AE98" s="182"/>
      <c r="AF98" s="182"/>
      <c r="AG98" s="182"/>
      <c r="AH98" s="1434"/>
      <c r="AI98" s="1434"/>
      <c r="AJ98" s="1434"/>
      <c r="AK98" s="1434"/>
      <c r="AL98" s="1434"/>
      <c r="AM98" s="1434"/>
      <c r="AN98" s="182"/>
      <c r="AO98" s="182"/>
      <c r="AP98" s="182"/>
      <c r="AQ98" s="183"/>
      <c r="AR98" s="1374"/>
      <c r="AS98" s="1374"/>
      <c r="AT98" s="1375"/>
      <c r="AU98" s="1373"/>
      <c r="AV98" s="1373"/>
      <c r="AW98" s="1373"/>
      <c r="AY98" s="179"/>
      <c r="AZ98" s="1376"/>
      <c r="BA98" s="181"/>
      <c r="BB98" s="182"/>
      <c r="BC98" s="182"/>
      <c r="BD98" s="182"/>
      <c r="BE98" s="182"/>
      <c r="BF98" s="182"/>
      <c r="BG98" s="1434"/>
      <c r="BH98" s="1434"/>
      <c r="BI98" s="1434"/>
      <c r="BJ98" s="1434"/>
      <c r="BK98" s="1434"/>
      <c r="BL98" s="1434"/>
      <c r="BM98" s="182"/>
      <c r="BN98" s="182"/>
      <c r="BO98" s="182"/>
      <c r="BP98" s="183"/>
      <c r="BQ98" s="1374"/>
      <c r="BR98" s="1374"/>
      <c r="BS98" s="1375"/>
      <c r="BT98" s="1373"/>
      <c r="BU98" s="1373"/>
      <c r="BV98" s="1373"/>
      <c r="BX98" s="179"/>
      <c r="BY98" s="1376"/>
      <c r="BZ98" s="181"/>
      <c r="CA98" s="182"/>
      <c r="CB98" s="182"/>
      <c r="CC98" s="182"/>
      <c r="CD98" s="182"/>
      <c r="CE98" s="182"/>
      <c r="CF98" s="1434"/>
      <c r="CG98" s="1434"/>
      <c r="CH98" s="1434"/>
      <c r="CI98" s="1434"/>
      <c r="CJ98" s="1434"/>
      <c r="CK98" s="1434"/>
      <c r="CL98" s="182"/>
      <c r="CM98" s="182"/>
      <c r="CN98" s="182"/>
      <c r="CO98" s="183"/>
      <c r="CP98" s="1374"/>
      <c r="CQ98" s="1374"/>
      <c r="CR98" s="1375"/>
      <c r="CS98" s="1373"/>
      <c r="CT98" s="1373"/>
      <c r="CU98" s="1373"/>
      <c r="CW98" s="179"/>
      <c r="CX98" s="1376"/>
      <c r="CY98" s="181"/>
      <c r="CZ98" s="182"/>
      <c r="DA98" s="182"/>
      <c r="DB98" s="182"/>
      <c r="DC98" s="182"/>
      <c r="DD98" s="182"/>
      <c r="DE98" s="1434"/>
      <c r="DF98" s="1434"/>
      <c r="DG98" s="1434"/>
      <c r="DH98" s="1434"/>
      <c r="DI98" s="1434"/>
      <c r="DJ98" s="1434"/>
      <c r="DK98" s="182"/>
      <c r="DL98" s="182"/>
      <c r="DM98" s="182"/>
      <c r="DN98" s="183"/>
      <c r="DO98" s="1374"/>
      <c r="DP98" s="1374"/>
      <c r="DQ98" s="1375"/>
      <c r="DR98" s="1373"/>
      <c r="DS98" s="1373"/>
      <c r="DT98" s="1373"/>
      <c r="DV98" s="179"/>
      <c r="DW98" s="1376"/>
      <c r="DX98" s="181"/>
      <c r="DY98" s="182"/>
      <c r="DZ98" s="182"/>
      <c r="EA98" s="182"/>
      <c r="EB98" s="182"/>
      <c r="EC98" s="182"/>
      <c r="ED98" s="1434"/>
      <c r="EE98" s="1434"/>
      <c r="EF98" s="1434"/>
      <c r="EG98" s="1434"/>
      <c r="EH98" s="1434"/>
      <c r="EI98" s="1434"/>
      <c r="EJ98" s="182"/>
      <c r="EK98" s="182"/>
      <c r="EL98" s="182"/>
      <c r="EM98" s="183"/>
      <c r="EN98" s="1374"/>
      <c r="EO98" s="1374"/>
      <c r="EP98" s="1375"/>
      <c r="EQ98" s="1373"/>
      <c r="ER98" s="1373"/>
      <c r="ES98" s="1373"/>
    </row>
    <row r="99" spans="1:149" s="168" customFormat="1" ht="45" customHeight="1" thickTop="1" thickBot="1">
      <c r="A99" s="3410" t="s">
        <v>77</v>
      </c>
      <c r="B99" s="3410"/>
      <c r="C99" s="185">
        <f>SUM(C82:C97)</f>
        <v>0</v>
      </c>
      <c r="D99" s="185">
        <f t="shared" ref="D99:S99" si="110">SUM(D82:D97)</f>
        <v>0</v>
      </c>
      <c r="E99" s="185">
        <f t="shared" si="110"/>
        <v>0</v>
      </c>
      <c r="F99" s="185">
        <f t="shared" si="110"/>
        <v>0</v>
      </c>
      <c r="G99" s="185">
        <f t="shared" si="110"/>
        <v>0</v>
      </c>
      <c r="H99" s="185">
        <f t="shared" si="110"/>
        <v>0</v>
      </c>
      <c r="I99" s="1435">
        <f t="shared" si="110"/>
        <v>0</v>
      </c>
      <c r="J99" s="1435">
        <f t="shared" si="110"/>
        <v>0</v>
      </c>
      <c r="K99" s="1435">
        <f t="shared" si="110"/>
        <v>0</v>
      </c>
      <c r="L99" s="1435">
        <f t="shared" si="110"/>
        <v>0</v>
      </c>
      <c r="M99" s="1435">
        <f t="shared" si="110"/>
        <v>0</v>
      </c>
      <c r="N99" s="1435">
        <f t="shared" si="110"/>
        <v>0</v>
      </c>
      <c r="O99" s="185">
        <f t="shared" si="110"/>
        <v>0</v>
      </c>
      <c r="P99" s="185">
        <f t="shared" si="110"/>
        <v>0</v>
      </c>
      <c r="Q99" s="185">
        <f t="shared" si="110"/>
        <v>0</v>
      </c>
      <c r="R99" s="185">
        <f t="shared" si="110"/>
        <v>0</v>
      </c>
      <c r="S99" s="185">
        <f t="shared" si="110"/>
        <v>0</v>
      </c>
      <c r="T99" s="185">
        <f>SUM(T82:T97)</f>
        <v>0</v>
      </c>
      <c r="U99" s="186">
        <f>IF(S99=0,0,T99/S99)</f>
        <v>0</v>
      </c>
      <c r="V99" s="3410">
        <f>SUM(S99-T99)</f>
        <v>0</v>
      </c>
      <c r="W99" s="3410"/>
      <c r="Z99" s="3410" t="s">
        <v>77</v>
      </c>
      <c r="AA99" s="3410"/>
      <c r="AB99" s="185">
        <f>SUM(AB82:AB97)</f>
        <v>0</v>
      </c>
      <c r="AC99" s="185">
        <f t="shared" ref="AC99:AR99" si="111">SUM(AC82:AC97)</f>
        <v>0</v>
      </c>
      <c r="AD99" s="185">
        <f t="shared" si="111"/>
        <v>0</v>
      </c>
      <c r="AE99" s="185">
        <f t="shared" si="111"/>
        <v>0</v>
      </c>
      <c r="AF99" s="185">
        <f t="shared" si="111"/>
        <v>0</v>
      </c>
      <c r="AG99" s="185">
        <f t="shared" si="111"/>
        <v>0</v>
      </c>
      <c r="AH99" s="1435">
        <f t="shared" si="111"/>
        <v>0</v>
      </c>
      <c r="AI99" s="1435">
        <f t="shared" si="111"/>
        <v>0</v>
      </c>
      <c r="AJ99" s="1435">
        <f t="shared" si="111"/>
        <v>0</v>
      </c>
      <c r="AK99" s="1435">
        <f t="shared" si="111"/>
        <v>0</v>
      </c>
      <c r="AL99" s="1435">
        <f t="shared" si="111"/>
        <v>0</v>
      </c>
      <c r="AM99" s="1435">
        <f t="shared" si="111"/>
        <v>0</v>
      </c>
      <c r="AN99" s="185">
        <f t="shared" si="111"/>
        <v>0</v>
      </c>
      <c r="AO99" s="185">
        <f t="shared" si="111"/>
        <v>0</v>
      </c>
      <c r="AP99" s="185">
        <f t="shared" si="111"/>
        <v>0</v>
      </c>
      <c r="AQ99" s="185">
        <f t="shared" si="111"/>
        <v>0</v>
      </c>
      <c r="AR99" s="185">
        <f t="shared" si="111"/>
        <v>0</v>
      </c>
      <c r="AS99" s="185">
        <f>SUM(AS82:AS97)</f>
        <v>0</v>
      </c>
      <c r="AT99" s="186">
        <f>IF(AR99=0,0,AS99/AR99)</f>
        <v>0</v>
      </c>
      <c r="AU99" s="3410">
        <f>SUM(AR99-AS99)</f>
        <v>0</v>
      </c>
      <c r="AV99" s="3410"/>
      <c r="AY99" s="3410" t="s">
        <v>77</v>
      </c>
      <c r="AZ99" s="3410"/>
      <c r="BA99" s="185">
        <f>SUM(BA82:BA97)</f>
        <v>0</v>
      </c>
      <c r="BB99" s="185">
        <f t="shared" ref="BB99:BQ99" si="112">SUM(BB82:BB97)</f>
        <v>0</v>
      </c>
      <c r="BC99" s="185">
        <f t="shared" si="112"/>
        <v>0</v>
      </c>
      <c r="BD99" s="185">
        <f t="shared" si="112"/>
        <v>0</v>
      </c>
      <c r="BE99" s="185">
        <f t="shared" si="112"/>
        <v>0</v>
      </c>
      <c r="BF99" s="185">
        <f t="shared" si="112"/>
        <v>0</v>
      </c>
      <c r="BG99" s="1435">
        <f t="shared" si="112"/>
        <v>0</v>
      </c>
      <c r="BH99" s="1435">
        <f t="shared" si="112"/>
        <v>0</v>
      </c>
      <c r="BI99" s="1435">
        <f t="shared" si="112"/>
        <v>0</v>
      </c>
      <c r="BJ99" s="1435">
        <f t="shared" si="112"/>
        <v>0</v>
      </c>
      <c r="BK99" s="1435">
        <f t="shared" si="112"/>
        <v>0</v>
      </c>
      <c r="BL99" s="1435">
        <f t="shared" si="112"/>
        <v>0</v>
      </c>
      <c r="BM99" s="185">
        <f t="shared" si="112"/>
        <v>0</v>
      </c>
      <c r="BN99" s="185">
        <f t="shared" si="112"/>
        <v>0</v>
      </c>
      <c r="BO99" s="185">
        <f t="shared" si="112"/>
        <v>0</v>
      </c>
      <c r="BP99" s="185">
        <f t="shared" si="112"/>
        <v>0</v>
      </c>
      <c r="BQ99" s="185">
        <f t="shared" si="112"/>
        <v>0</v>
      </c>
      <c r="BR99" s="185">
        <f>SUM(BR82:BR97)</f>
        <v>0</v>
      </c>
      <c r="BS99" s="186">
        <f>IF(BQ99=0,0,BR99/BQ99)</f>
        <v>0</v>
      </c>
      <c r="BT99" s="3410">
        <f>SUM(BQ99-BR99)</f>
        <v>0</v>
      </c>
      <c r="BU99" s="3410"/>
      <c r="BX99" s="3410" t="s">
        <v>77</v>
      </c>
      <c r="BY99" s="3410"/>
      <c r="BZ99" s="185">
        <f>SUM(BZ82:BZ97)</f>
        <v>0</v>
      </c>
      <c r="CA99" s="185">
        <f t="shared" ref="CA99:CP99" si="113">SUM(CA82:CA97)</f>
        <v>0</v>
      </c>
      <c r="CB99" s="185">
        <f t="shared" si="113"/>
        <v>0</v>
      </c>
      <c r="CC99" s="185">
        <f t="shared" si="113"/>
        <v>0</v>
      </c>
      <c r="CD99" s="185">
        <f t="shared" si="113"/>
        <v>0</v>
      </c>
      <c r="CE99" s="185">
        <f t="shared" si="113"/>
        <v>0</v>
      </c>
      <c r="CF99" s="1435">
        <f t="shared" si="113"/>
        <v>0</v>
      </c>
      <c r="CG99" s="1435">
        <f t="shared" si="113"/>
        <v>0</v>
      </c>
      <c r="CH99" s="1435">
        <f t="shared" si="113"/>
        <v>0</v>
      </c>
      <c r="CI99" s="1435">
        <f t="shared" si="113"/>
        <v>0</v>
      </c>
      <c r="CJ99" s="1435">
        <f t="shared" si="113"/>
        <v>0</v>
      </c>
      <c r="CK99" s="1435">
        <f t="shared" si="113"/>
        <v>0</v>
      </c>
      <c r="CL99" s="185">
        <f t="shared" si="113"/>
        <v>0</v>
      </c>
      <c r="CM99" s="185">
        <f t="shared" si="113"/>
        <v>0</v>
      </c>
      <c r="CN99" s="185">
        <f t="shared" si="113"/>
        <v>0</v>
      </c>
      <c r="CO99" s="185">
        <f t="shared" si="113"/>
        <v>0</v>
      </c>
      <c r="CP99" s="185">
        <f t="shared" si="113"/>
        <v>0</v>
      </c>
      <c r="CQ99" s="185">
        <f>SUM(CQ82:CQ97)</f>
        <v>0</v>
      </c>
      <c r="CR99" s="186">
        <f>IF(CP99=0,0,CQ99/CP99)</f>
        <v>0</v>
      </c>
      <c r="CS99" s="3410">
        <f>SUM(CP99-CQ99)</f>
        <v>0</v>
      </c>
      <c r="CT99" s="3410"/>
      <c r="CW99" s="3410" t="s">
        <v>77</v>
      </c>
      <c r="CX99" s="3410"/>
      <c r="CY99" s="185">
        <f>SUM(CY82:CY97)</f>
        <v>0</v>
      </c>
      <c r="CZ99" s="185">
        <f t="shared" ref="CZ99:DO99" si="114">SUM(CZ82:CZ97)</f>
        <v>0</v>
      </c>
      <c r="DA99" s="185">
        <f t="shared" si="114"/>
        <v>0</v>
      </c>
      <c r="DB99" s="185">
        <f t="shared" si="114"/>
        <v>0</v>
      </c>
      <c r="DC99" s="185">
        <f t="shared" si="114"/>
        <v>0</v>
      </c>
      <c r="DD99" s="185">
        <f t="shared" si="114"/>
        <v>0</v>
      </c>
      <c r="DE99" s="1435">
        <f t="shared" si="114"/>
        <v>0</v>
      </c>
      <c r="DF99" s="1435">
        <f t="shared" si="114"/>
        <v>0</v>
      </c>
      <c r="DG99" s="1435">
        <f t="shared" si="114"/>
        <v>0</v>
      </c>
      <c r="DH99" s="1435">
        <f t="shared" si="114"/>
        <v>0</v>
      </c>
      <c r="DI99" s="1435">
        <f t="shared" si="114"/>
        <v>0</v>
      </c>
      <c r="DJ99" s="1435">
        <f t="shared" si="114"/>
        <v>0</v>
      </c>
      <c r="DK99" s="185">
        <f t="shared" si="114"/>
        <v>0</v>
      </c>
      <c r="DL99" s="185">
        <f t="shared" si="114"/>
        <v>0</v>
      </c>
      <c r="DM99" s="185">
        <f t="shared" si="114"/>
        <v>0</v>
      </c>
      <c r="DN99" s="185">
        <f t="shared" si="114"/>
        <v>0</v>
      </c>
      <c r="DO99" s="185">
        <f t="shared" si="114"/>
        <v>0</v>
      </c>
      <c r="DP99" s="185">
        <f>SUM(DP82:DP97)</f>
        <v>0</v>
      </c>
      <c r="DQ99" s="186">
        <f>IF(DO99=0,0,DP99/DO99)</f>
        <v>0</v>
      </c>
      <c r="DR99" s="3410">
        <f>SUM(DO99-DP99)</f>
        <v>0</v>
      </c>
      <c r="DS99" s="3410"/>
      <c r="DV99" s="3410" t="s">
        <v>77</v>
      </c>
      <c r="DW99" s="3410"/>
      <c r="DX99" s="185">
        <f>SUM(DX82:DX97)</f>
        <v>0</v>
      </c>
      <c r="DY99" s="185">
        <f t="shared" ref="DY99:EN99" si="115">SUM(DY82:DY97)</f>
        <v>0</v>
      </c>
      <c r="DZ99" s="185">
        <f t="shared" si="115"/>
        <v>0</v>
      </c>
      <c r="EA99" s="185">
        <f t="shared" si="115"/>
        <v>0</v>
      </c>
      <c r="EB99" s="185">
        <f t="shared" si="115"/>
        <v>0</v>
      </c>
      <c r="EC99" s="185">
        <f t="shared" si="115"/>
        <v>0</v>
      </c>
      <c r="ED99" s="1435">
        <f t="shared" si="115"/>
        <v>0</v>
      </c>
      <c r="EE99" s="1435">
        <f t="shared" si="115"/>
        <v>0</v>
      </c>
      <c r="EF99" s="1435">
        <f t="shared" si="115"/>
        <v>0</v>
      </c>
      <c r="EG99" s="1435">
        <f t="shared" si="115"/>
        <v>0</v>
      </c>
      <c r="EH99" s="1435">
        <f t="shared" si="115"/>
        <v>0</v>
      </c>
      <c r="EI99" s="1435">
        <f t="shared" si="115"/>
        <v>0</v>
      </c>
      <c r="EJ99" s="185">
        <f t="shared" si="115"/>
        <v>0</v>
      </c>
      <c r="EK99" s="185">
        <f t="shared" si="115"/>
        <v>0</v>
      </c>
      <c r="EL99" s="185">
        <f t="shared" si="115"/>
        <v>0</v>
      </c>
      <c r="EM99" s="185">
        <f t="shared" si="115"/>
        <v>0</v>
      </c>
      <c r="EN99" s="185">
        <f t="shared" si="115"/>
        <v>0</v>
      </c>
      <c r="EO99" s="185">
        <f>SUM(EO82:EO97)</f>
        <v>0</v>
      </c>
      <c r="EP99" s="186">
        <f>IF(EN99=0,0,EO99/EN99)</f>
        <v>0</v>
      </c>
      <c r="EQ99" s="3410">
        <f>SUM(EN99-EO99)</f>
        <v>0</v>
      </c>
      <c r="ER99" s="3410"/>
    </row>
    <row r="100" spans="1:149" s="168" customFormat="1" ht="16.5" thickTop="1">
      <c r="A100" s="188"/>
      <c r="B100" s="189"/>
      <c r="C100" s="184"/>
      <c r="P100" s="190"/>
      <c r="R100" s="190"/>
      <c r="T100" s="190"/>
      <c r="Z100" s="188"/>
      <c r="AA100" s="189"/>
      <c r="AB100" s="184"/>
      <c r="AO100" s="190"/>
      <c r="AQ100" s="190"/>
      <c r="AS100" s="190"/>
      <c r="AY100" s="188"/>
      <c r="AZ100" s="189"/>
      <c r="BA100" s="184"/>
      <c r="BN100" s="190"/>
      <c r="BP100" s="190"/>
      <c r="BR100" s="190"/>
      <c r="BX100" s="188"/>
      <c r="BY100" s="189"/>
      <c r="BZ100" s="184"/>
      <c r="CM100" s="190"/>
      <c r="CO100" s="190"/>
      <c r="CQ100" s="190"/>
      <c r="CW100" s="188"/>
      <c r="CX100" s="189"/>
      <c r="CY100" s="184"/>
      <c r="DL100" s="190"/>
      <c r="DN100" s="190"/>
      <c r="DP100" s="190"/>
      <c r="DV100" s="188"/>
      <c r="DW100" s="189"/>
      <c r="DX100" s="184"/>
      <c r="EK100" s="190"/>
      <c r="EM100" s="190"/>
      <c r="EO100" s="190"/>
    </row>
    <row r="101" spans="1:149" s="168" customFormat="1" ht="15">
      <c r="B101" s="3410" t="s">
        <v>82</v>
      </c>
      <c r="C101" s="3410"/>
      <c r="D101" s="3410"/>
      <c r="E101" s="3410"/>
      <c r="F101" s="3410"/>
      <c r="G101" s="3410"/>
      <c r="H101" s="3410"/>
      <c r="I101" s="3410"/>
      <c r="J101" s="3410"/>
      <c r="K101" s="3410"/>
      <c r="L101" s="3410"/>
      <c r="M101" s="3410"/>
      <c r="N101" s="3410"/>
      <c r="O101" s="3410"/>
      <c r="P101" s="3410"/>
      <c r="Q101" s="191"/>
      <c r="R101" s="3410" t="s">
        <v>83</v>
      </c>
      <c r="S101" s="3410"/>
      <c r="T101" s="3410"/>
      <c r="U101" s="191"/>
      <c r="AA101" s="3410" t="s">
        <v>82</v>
      </c>
      <c r="AB101" s="3410"/>
      <c r="AC101" s="3410"/>
      <c r="AD101" s="3410"/>
      <c r="AE101" s="3410"/>
      <c r="AF101" s="3410"/>
      <c r="AG101" s="3410"/>
      <c r="AH101" s="3410"/>
      <c r="AI101" s="3410"/>
      <c r="AJ101" s="3410"/>
      <c r="AK101" s="3410"/>
      <c r="AL101" s="3410"/>
      <c r="AM101" s="3410"/>
      <c r="AN101" s="3410"/>
      <c r="AO101" s="3410"/>
      <c r="AP101" s="191"/>
      <c r="AQ101" s="3410" t="s">
        <v>83</v>
      </c>
      <c r="AR101" s="3410"/>
      <c r="AS101" s="3410"/>
      <c r="AT101" s="191"/>
      <c r="AZ101" s="3410" t="s">
        <v>82</v>
      </c>
      <c r="BA101" s="3410"/>
      <c r="BB101" s="3410"/>
      <c r="BC101" s="3410"/>
      <c r="BD101" s="3410"/>
      <c r="BE101" s="3410"/>
      <c r="BF101" s="3410"/>
      <c r="BG101" s="3410"/>
      <c r="BH101" s="3410"/>
      <c r="BI101" s="3410"/>
      <c r="BJ101" s="3410"/>
      <c r="BK101" s="3410"/>
      <c r="BL101" s="3410"/>
      <c r="BM101" s="3410"/>
      <c r="BN101" s="3410"/>
      <c r="BO101" s="191"/>
      <c r="BP101" s="3410" t="s">
        <v>83</v>
      </c>
      <c r="BQ101" s="3410"/>
      <c r="BR101" s="3410"/>
      <c r="BS101" s="191"/>
      <c r="BY101" s="3410" t="s">
        <v>82</v>
      </c>
      <c r="BZ101" s="3410"/>
      <c r="CA101" s="3410"/>
      <c r="CB101" s="3410"/>
      <c r="CC101" s="3410"/>
      <c r="CD101" s="3410"/>
      <c r="CE101" s="3410"/>
      <c r="CF101" s="3410"/>
      <c r="CG101" s="3410"/>
      <c r="CH101" s="3410"/>
      <c r="CI101" s="3410"/>
      <c r="CJ101" s="3410"/>
      <c r="CK101" s="3410"/>
      <c r="CL101" s="3410"/>
      <c r="CM101" s="3410"/>
      <c r="CN101" s="191"/>
      <c r="CO101" s="3410" t="s">
        <v>83</v>
      </c>
      <c r="CP101" s="3410"/>
      <c r="CQ101" s="3410"/>
      <c r="CR101" s="191"/>
      <c r="CX101" s="3410" t="s">
        <v>82</v>
      </c>
      <c r="CY101" s="3410"/>
      <c r="CZ101" s="3410"/>
      <c r="DA101" s="3410"/>
      <c r="DB101" s="3410"/>
      <c r="DC101" s="3410"/>
      <c r="DD101" s="3410"/>
      <c r="DE101" s="3410"/>
      <c r="DF101" s="3410"/>
      <c r="DG101" s="3410"/>
      <c r="DH101" s="3410"/>
      <c r="DI101" s="3410"/>
      <c r="DJ101" s="3410"/>
      <c r="DK101" s="3410"/>
      <c r="DL101" s="3410"/>
      <c r="DM101" s="191"/>
      <c r="DN101" s="3410" t="s">
        <v>83</v>
      </c>
      <c r="DO101" s="3410"/>
      <c r="DP101" s="3410"/>
      <c r="DQ101" s="191"/>
      <c r="DW101" s="3410" t="s">
        <v>82</v>
      </c>
      <c r="DX101" s="3410"/>
      <c r="DY101" s="3410"/>
      <c r="DZ101" s="3410"/>
      <c r="EA101" s="3410"/>
      <c r="EB101" s="3410"/>
      <c r="EC101" s="3410"/>
      <c r="ED101" s="3410"/>
      <c r="EE101" s="3410"/>
      <c r="EF101" s="3410"/>
      <c r="EG101" s="3410"/>
      <c r="EH101" s="3410"/>
      <c r="EI101" s="3410"/>
      <c r="EJ101" s="3410"/>
      <c r="EK101" s="3410"/>
      <c r="EL101" s="191"/>
      <c r="EM101" s="3410" t="s">
        <v>83</v>
      </c>
      <c r="EN101" s="3410"/>
      <c r="EO101" s="3410"/>
      <c r="EP101" s="191"/>
    </row>
    <row r="102" spans="1:149" s="168" customFormat="1" ht="15">
      <c r="B102" s="191"/>
      <c r="C102" s="191"/>
      <c r="D102" s="191"/>
      <c r="E102" s="191"/>
      <c r="F102" s="191"/>
      <c r="G102" s="191"/>
      <c r="H102" s="191"/>
      <c r="I102" s="191"/>
      <c r="J102" s="191"/>
      <c r="K102" s="191"/>
      <c r="L102" s="191"/>
      <c r="M102" s="191"/>
      <c r="N102" s="191"/>
      <c r="O102" s="191"/>
      <c r="P102" s="187"/>
      <c r="Q102" s="191"/>
      <c r="R102" s="187"/>
      <c r="S102" s="191"/>
      <c r="T102" s="191"/>
      <c r="U102" s="191"/>
      <c r="AA102" s="191"/>
      <c r="AB102" s="191"/>
      <c r="AC102" s="191"/>
      <c r="AD102" s="191"/>
      <c r="AE102" s="191"/>
      <c r="AF102" s="191"/>
      <c r="AG102" s="191"/>
      <c r="AH102" s="191"/>
      <c r="AI102" s="191"/>
      <c r="AJ102" s="191"/>
      <c r="AK102" s="191"/>
      <c r="AL102" s="191"/>
      <c r="AM102" s="191"/>
      <c r="AN102" s="191"/>
      <c r="AO102" s="187"/>
      <c r="AP102" s="191"/>
      <c r="AQ102" s="187"/>
      <c r="AR102" s="191"/>
      <c r="AS102" s="191"/>
      <c r="AT102" s="191"/>
      <c r="AZ102" s="191"/>
      <c r="BA102" s="191"/>
      <c r="BB102" s="191"/>
      <c r="BC102" s="191"/>
      <c r="BD102" s="191"/>
      <c r="BE102" s="191"/>
      <c r="BF102" s="191"/>
      <c r="BG102" s="191"/>
      <c r="BH102" s="191"/>
      <c r="BI102" s="191"/>
      <c r="BJ102" s="191"/>
      <c r="BK102" s="191"/>
      <c r="BL102" s="191"/>
      <c r="BM102" s="191"/>
      <c r="BN102" s="187"/>
      <c r="BO102" s="191"/>
      <c r="BP102" s="187"/>
      <c r="BQ102" s="191"/>
      <c r="BR102" s="191"/>
      <c r="BS102" s="191"/>
      <c r="BY102" s="191"/>
      <c r="BZ102" s="191"/>
      <c r="CA102" s="191"/>
      <c r="CB102" s="191"/>
      <c r="CC102" s="191"/>
      <c r="CD102" s="191"/>
      <c r="CE102" s="191"/>
      <c r="CF102" s="191"/>
      <c r="CG102" s="191"/>
      <c r="CH102" s="191"/>
      <c r="CI102" s="191"/>
      <c r="CJ102" s="191"/>
      <c r="CK102" s="191"/>
      <c r="CL102" s="191"/>
      <c r="CM102" s="187"/>
      <c r="CN102" s="191"/>
      <c r="CO102" s="187"/>
      <c r="CP102" s="191"/>
      <c r="CQ102" s="191"/>
      <c r="CR102" s="191"/>
      <c r="CX102" s="191"/>
      <c r="CY102" s="191"/>
      <c r="CZ102" s="191"/>
      <c r="DA102" s="191"/>
      <c r="DB102" s="191"/>
      <c r="DC102" s="191"/>
      <c r="DD102" s="191"/>
      <c r="DE102" s="191"/>
      <c r="DF102" s="191"/>
      <c r="DG102" s="191"/>
      <c r="DH102" s="191"/>
      <c r="DI102" s="191"/>
      <c r="DJ102" s="191"/>
      <c r="DK102" s="191"/>
      <c r="DL102" s="187"/>
      <c r="DM102" s="191"/>
      <c r="DN102" s="187"/>
      <c r="DO102" s="191"/>
      <c r="DP102" s="191"/>
      <c r="DQ102" s="191"/>
      <c r="DW102" s="191"/>
      <c r="DX102" s="191"/>
      <c r="DY102" s="191"/>
      <c r="DZ102" s="191"/>
      <c r="EA102" s="191"/>
      <c r="EB102" s="191"/>
      <c r="EC102" s="191"/>
      <c r="ED102" s="191"/>
      <c r="EE102" s="191"/>
      <c r="EF102" s="191"/>
      <c r="EG102" s="191"/>
      <c r="EH102" s="191"/>
      <c r="EI102" s="191"/>
      <c r="EJ102" s="191"/>
      <c r="EK102" s="187"/>
      <c r="EL102" s="191"/>
      <c r="EM102" s="187"/>
      <c r="EN102" s="191"/>
      <c r="EO102" s="191"/>
      <c r="EP102" s="191"/>
    </row>
    <row r="103" spans="1:149" s="168" customFormat="1" ht="15">
      <c r="B103" s="191"/>
      <c r="C103" s="191"/>
      <c r="D103" s="191"/>
      <c r="E103" s="191"/>
      <c r="F103" s="191"/>
      <c r="G103" s="191"/>
      <c r="H103" s="191"/>
      <c r="I103" s="191"/>
      <c r="J103" s="191"/>
      <c r="K103" s="191"/>
      <c r="L103" s="191"/>
      <c r="M103" s="191"/>
      <c r="N103" s="191"/>
      <c r="O103" s="191"/>
      <c r="P103" s="187"/>
      <c r="Q103" s="191"/>
      <c r="R103" s="187"/>
      <c r="S103" s="191"/>
      <c r="T103" s="191"/>
      <c r="U103" s="191"/>
      <c r="AA103" s="191"/>
      <c r="AB103" s="191"/>
      <c r="AC103" s="191"/>
      <c r="AD103" s="191"/>
      <c r="AE103" s="191"/>
      <c r="AF103" s="191"/>
      <c r="AG103" s="191"/>
      <c r="AH103" s="191"/>
      <c r="AI103" s="191"/>
      <c r="AJ103" s="191"/>
      <c r="AK103" s="191"/>
      <c r="AL103" s="191"/>
      <c r="AM103" s="191"/>
      <c r="AN103" s="191"/>
      <c r="AO103" s="187"/>
      <c r="AP103" s="191"/>
      <c r="AQ103" s="187"/>
      <c r="AR103" s="191"/>
      <c r="AS103" s="191"/>
      <c r="AT103" s="191"/>
      <c r="AZ103" s="191"/>
      <c r="BA103" s="191"/>
      <c r="BB103" s="191"/>
      <c r="BC103" s="191"/>
      <c r="BD103" s="191"/>
      <c r="BE103" s="191"/>
      <c r="BF103" s="191"/>
      <c r="BG103" s="191"/>
      <c r="BH103" s="191"/>
      <c r="BI103" s="191"/>
      <c r="BJ103" s="191"/>
      <c r="BK103" s="191"/>
      <c r="BL103" s="191"/>
      <c r="BM103" s="191"/>
      <c r="BN103" s="187"/>
      <c r="BO103" s="191"/>
      <c r="BP103" s="187"/>
      <c r="BQ103" s="191"/>
      <c r="BR103" s="191"/>
      <c r="BS103" s="191"/>
      <c r="BY103" s="191"/>
      <c r="BZ103" s="191"/>
      <c r="CA103" s="191"/>
      <c r="CB103" s="191"/>
      <c r="CC103" s="191"/>
      <c r="CD103" s="191"/>
      <c r="CE103" s="191"/>
      <c r="CF103" s="191"/>
      <c r="CG103" s="191"/>
      <c r="CH103" s="191"/>
      <c r="CI103" s="191"/>
      <c r="CJ103" s="191"/>
      <c r="CK103" s="191"/>
      <c r="CL103" s="191"/>
      <c r="CM103" s="187"/>
      <c r="CN103" s="191"/>
      <c r="CO103" s="187"/>
      <c r="CP103" s="191"/>
      <c r="CQ103" s="191"/>
      <c r="CR103" s="191"/>
      <c r="CX103" s="191"/>
      <c r="CY103" s="191"/>
      <c r="CZ103" s="191"/>
      <c r="DA103" s="191"/>
      <c r="DB103" s="191"/>
      <c r="DC103" s="191"/>
      <c r="DD103" s="191"/>
      <c r="DE103" s="191"/>
      <c r="DF103" s="191"/>
      <c r="DG103" s="191"/>
      <c r="DH103" s="191"/>
      <c r="DI103" s="191"/>
      <c r="DJ103" s="191"/>
      <c r="DK103" s="191"/>
      <c r="DL103" s="187"/>
      <c r="DM103" s="191"/>
      <c r="DN103" s="187"/>
      <c r="DO103" s="191"/>
      <c r="DP103" s="191"/>
      <c r="DQ103" s="191"/>
      <c r="DW103" s="191"/>
      <c r="DX103" s="191"/>
      <c r="DY103" s="191"/>
      <c r="DZ103" s="191"/>
      <c r="EA103" s="191"/>
      <c r="EB103" s="191"/>
      <c r="EC103" s="191"/>
      <c r="ED103" s="191"/>
      <c r="EE103" s="191"/>
      <c r="EF103" s="191"/>
      <c r="EG103" s="191"/>
      <c r="EH103" s="191"/>
      <c r="EI103" s="191"/>
      <c r="EJ103" s="191"/>
      <c r="EK103" s="187"/>
      <c r="EL103" s="191"/>
      <c r="EM103" s="187"/>
      <c r="EN103" s="191"/>
      <c r="EO103" s="191"/>
      <c r="EP103" s="191"/>
    </row>
    <row r="104" spans="1:149" s="168" customFormat="1" ht="15">
      <c r="B104" s="191"/>
      <c r="C104" s="191"/>
      <c r="D104" s="191"/>
      <c r="E104" s="191"/>
      <c r="F104" s="191"/>
      <c r="G104" s="191"/>
      <c r="H104" s="191"/>
      <c r="I104" s="191"/>
      <c r="J104" s="191"/>
      <c r="K104" s="191"/>
      <c r="L104" s="191"/>
      <c r="M104" s="191"/>
      <c r="N104" s="191"/>
      <c r="O104" s="191"/>
      <c r="P104" s="187"/>
      <c r="Q104" s="191"/>
      <c r="R104" s="187"/>
      <c r="S104" s="191"/>
      <c r="T104" s="191"/>
      <c r="U104" s="191"/>
      <c r="AA104" s="191"/>
      <c r="AB104" s="191"/>
      <c r="AC104" s="191"/>
      <c r="AD104" s="191"/>
      <c r="AE104" s="191"/>
      <c r="AF104" s="191"/>
      <c r="AG104" s="191"/>
      <c r="AH104" s="191"/>
      <c r="AI104" s="191"/>
      <c r="AJ104" s="191"/>
      <c r="AK104" s="191"/>
      <c r="AL104" s="191"/>
      <c r="AM104" s="191"/>
      <c r="AN104" s="191"/>
      <c r="AO104" s="187"/>
      <c r="AP104" s="191"/>
      <c r="AQ104" s="187"/>
      <c r="AR104" s="191"/>
      <c r="AS104" s="191"/>
      <c r="AT104" s="191"/>
      <c r="AZ104" s="191"/>
      <c r="BA104" s="191"/>
      <c r="BB104" s="191"/>
      <c r="BC104" s="191"/>
      <c r="BD104" s="191"/>
      <c r="BE104" s="191"/>
      <c r="BF104" s="191"/>
      <c r="BG104" s="191"/>
      <c r="BH104" s="191"/>
      <c r="BI104" s="191"/>
      <c r="BJ104" s="191"/>
      <c r="BK104" s="191"/>
      <c r="BL104" s="191"/>
      <c r="BM104" s="191"/>
      <c r="BN104" s="187"/>
      <c r="BO104" s="191"/>
      <c r="BP104" s="187"/>
      <c r="BQ104" s="191"/>
      <c r="BR104" s="191"/>
      <c r="BS104" s="191"/>
      <c r="BY104" s="191"/>
      <c r="BZ104" s="191"/>
      <c r="CA104" s="191"/>
      <c r="CB104" s="191"/>
      <c r="CC104" s="191"/>
      <c r="CD104" s="191"/>
      <c r="CE104" s="191"/>
      <c r="CF104" s="191"/>
      <c r="CG104" s="191"/>
      <c r="CH104" s="191"/>
      <c r="CI104" s="191"/>
      <c r="CJ104" s="191"/>
      <c r="CK104" s="191"/>
      <c r="CL104" s="191"/>
      <c r="CM104" s="187"/>
      <c r="CN104" s="191"/>
      <c r="CO104" s="187"/>
      <c r="CP104" s="191"/>
      <c r="CQ104" s="191"/>
      <c r="CR104" s="191"/>
      <c r="CX104" s="191"/>
      <c r="CY104" s="191"/>
      <c r="CZ104" s="191"/>
      <c r="DA104" s="191"/>
      <c r="DB104" s="191"/>
      <c r="DC104" s="191"/>
      <c r="DD104" s="191"/>
      <c r="DE104" s="191"/>
      <c r="DF104" s="191"/>
      <c r="DG104" s="191"/>
      <c r="DH104" s="191"/>
      <c r="DI104" s="191"/>
      <c r="DJ104" s="191"/>
      <c r="DK104" s="191"/>
      <c r="DL104" s="187"/>
      <c r="DM104" s="191"/>
      <c r="DN104" s="187"/>
      <c r="DO104" s="191"/>
      <c r="DP104" s="191"/>
      <c r="DQ104" s="191"/>
      <c r="DW104" s="191"/>
      <c r="DX104" s="191"/>
      <c r="DY104" s="191"/>
      <c r="DZ104" s="191"/>
      <c r="EA104" s="191"/>
      <c r="EB104" s="191"/>
      <c r="EC104" s="191"/>
      <c r="ED104" s="191"/>
      <c r="EE104" s="191"/>
      <c r="EF104" s="191"/>
      <c r="EG104" s="191"/>
      <c r="EH104" s="191"/>
      <c r="EI104" s="191"/>
      <c r="EJ104" s="191"/>
      <c r="EK104" s="187"/>
      <c r="EL104" s="191"/>
      <c r="EM104" s="187"/>
      <c r="EN104" s="191"/>
      <c r="EO104" s="191"/>
      <c r="EP104" s="191"/>
    </row>
    <row r="105" spans="1:149" s="168" customFormat="1" ht="15">
      <c r="B105" s="191"/>
      <c r="C105" s="191"/>
      <c r="D105" s="191"/>
      <c r="E105" s="191"/>
      <c r="F105" s="191"/>
      <c r="G105" s="191"/>
      <c r="H105" s="191"/>
      <c r="I105" s="191"/>
      <c r="J105" s="191"/>
      <c r="K105" s="191"/>
      <c r="L105" s="191"/>
      <c r="M105" s="191"/>
      <c r="N105" s="191"/>
      <c r="O105" s="191"/>
      <c r="P105" s="187"/>
      <c r="Q105" s="191"/>
      <c r="R105" s="187"/>
      <c r="S105" s="191"/>
      <c r="T105" s="191"/>
      <c r="U105" s="191"/>
      <c r="AA105" s="191"/>
      <c r="AB105" s="191"/>
      <c r="AC105" s="191"/>
      <c r="AD105" s="191"/>
      <c r="AE105" s="191"/>
      <c r="AF105" s="191"/>
      <c r="AG105" s="191"/>
      <c r="AH105" s="191"/>
      <c r="AI105" s="191"/>
      <c r="AJ105" s="191"/>
      <c r="AK105" s="191"/>
      <c r="AL105" s="191"/>
      <c r="AM105" s="191"/>
      <c r="AN105" s="191"/>
      <c r="AO105" s="187"/>
      <c r="AP105" s="191"/>
      <c r="AQ105" s="187"/>
      <c r="AR105" s="191"/>
      <c r="AS105" s="191"/>
      <c r="AT105" s="191"/>
      <c r="AZ105" s="191"/>
      <c r="BA105" s="191"/>
      <c r="BB105" s="191"/>
      <c r="BC105" s="191"/>
      <c r="BD105" s="191"/>
      <c r="BE105" s="191"/>
      <c r="BF105" s="191"/>
      <c r="BG105" s="191"/>
      <c r="BH105" s="191"/>
      <c r="BI105" s="191"/>
      <c r="BJ105" s="191"/>
      <c r="BK105" s="191"/>
      <c r="BL105" s="191"/>
      <c r="BM105" s="191"/>
      <c r="BN105" s="187"/>
      <c r="BO105" s="191"/>
      <c r="BP105" s="187"/>
      <c r="BQ105" s="191"/>
      <c r="BR105" s="191"/>
      <c r="BS105" s="191"/>
      <c r="BY105" s="191"/>
      <c r="BZ105" s="191"/>
      <c r="CA105" s="191"/>
      <c r="CB105" s="191"/>
      <c r="CC105" s="191"/>
      <c r="CD105" s="191"/>
      <c r="CE105" s="191"/>
      <c r="CF105" s="191"/>
      <c r="CG105" s="191"/>
      <c r="CH105" s="191"/>
      <c r="CI105" s="191"/>
      <c r="CJ105" s="191"/>
      <c r="CK105" s="191"/>
      <c r="CL105" s="191"/>
      <c r="CM105" s="187"/>
      <c r="CN105" s="191"/>
      <c r="CO105" s="187"/>
      <c r="CP105" s="191"/>
      <c r="CQ105" s="191"/>
      <c r="CR105" s="191"/>
      <c r="CX105" s="191"/>
      <c r="CY105" s="191"/>
      <c r="CZ105" s="191"/>
      <c r="DA105" s="191"/>
      <c r="DB105" s="191"/>
      <c r="DC105" s="191"/>
      <c r="DD105" s="191"/>
      <c r="DE105" s="191"/>
      <c r="DF105" s="191"/>
      <c r="DG105" s="191"/>
      <c r="DH105" s="191"/>
      <c r="DI105" s="191"/>
      <c r="DJ105" s="191"/>
      <c r="DK105" s="191"/>
      <c r="DL105" s="187"/>
      <c r="DM105" s="191"/>
      <c r="DN105" s="187"/>
      <c r="DO105" s="191"/>
      <c r="DP105" s="191"/>
      <c r="DQ105" s="191"/>
      <c r="DW105" s="191"/>
      <c r="DX105" s="191"/>
      <c r="DY105" s="191"/>
      <c r="DZ105" s="191"/>
      <c r="EA105" s="191"/>
      <c r="EB105" s="191"/>
      <c r="EC105" s="191"/>
      <c r="ED105" s="191"/>
      <c r="EE105" s="191"/>
      <c r="EF105" s="191"/>
      <c r="EG105" s="191"/>
      <c r="EH105" s="191"/>
      <c r="EI105" s="191"/>
      <c r="EJ105" s="191"/>
      <c r="EK105" s="187"/>
      <c r="EL105" s="191"/>
      <c r="EM105" s="187"/>
      <c r="EN105" s="191"/>
      <c r="EO105" s="191"/>
      <c r="EP105" s="191"/>
    </row>
    <row r="106" spans="1:149" s="168" customFormat="1" ht="15">
      <c r="B106" s="192" t="s">
        <v>2643</v>
      </c>
      <c r="C106" s="193"/>
      <c r="D106" s="3410" t="str">
        <f>$D$34</f>
        <v>-</v>
      </c>
      <c r="E106" s="3410"/>
      <c r="G106" s="192" t="str">
        <f>$G$34</f>
        <v>-</v>
      </c>
      <c r="H106" s="192"/>
      <c r="I106" s="192" t="str">
        <f>$I$34</f>
        <v>Yudi B</v>
      </c>
      <c r="J106" s="192"/>
      <c r="K106" s="187" t="str">
        <f>$K$34</f>
        <v>Endang Taryana</v>
      </c>
      <c r="L106" s="192"/>
      <c r="M106" s="192"/>
      <c r="N106" s="192"/>
      <c r="O106" s="192"/>
      <c r="P106" s="194"/>
      <c r="Q106" s="192"/>
      <c r="R106" s="3410" t="str">
        <f>$R$34</f>
        <v>Arin Yustini, SE</v>
      </c>
      <c r="S106" s="3410"/>
      <c r="T106" s="3410"/>
      <c r="U106" s="191"/>
      <c r="AA106" s="192" t="str">
        <f>$B$34</f>
        <v>Dadin</v>
      </c>
      <c r="AB106" s="193"/>
      <c r="AC106" s="3410" t="str">
        <f>$D$34</f>
        <v>-</v>
      </c>
      <c r="AD106" s="3410"/>
      <c r="AF106" s="192" t="str">
        <f>$G$34</f>
        <v>-</v>
      </c>
      <c r="AG106" s="192"/>
      <c r="AH106" s="192" t="str">
        <f>$I$34</f>
        <v>Yudi B</v>
      </c>
      <c r="AI106" s="192"/>
      <c r="AJ106" s="187" t="str">
        <f>$K$34</f>
        <v>Endang Taryana</v>
      </c>
      <c r="AK106" s="192"/>
      <c r="AL106" s="192"/>
      <c r="AM106" s="192"/>
      <c r="AN106" s="192"/>
      <c r="AO106" s="194"/>
      <c r="AP106" s="192"/>
      <c r="AQ106" s="3410" t="str">
        <f>$R$34</f>
        <v>Arin Yustini, SE</v>
      </c>
      <c r="AR106" s="3410"/>
      <c r="AS106" s="3410"/>
      <c r="AT106" s="191"/>
      <c r="AZ106" s="192" t="str">
        <f>$B$34</f>
        <v>Dadin</v>
      </c>
      <c r="BA106" s="193"/>
      <c r="BB106" s="3410" t="str">
        <f>$D$34</f>
        <v>-</v>
      </c>
      <c r="BC106" s="3410"/>
      <c r="BE106" s="192" t="str">
        <f>$G$34</f>
        <v>-</v>
      </c>
      <c r="BF106" s="192"/>
      <c r="BG106" s="192" t="str">
        <f>$I$34</f>
        <v>Yudi B</v>
      </c>
      <c r="BH106" s="192"/>
      <c r="BI106" s="187" t="str">
        <f>$K$34</f>
        <v>Endang Taryana</v>
      </c>
      <c r="BJ106" s="192"/>
      <c r="BK106" s="192"/>
      <c r="BL106" s="192"/>
      <c r="BM106" s="192"/>
      <c r="BN106" s="194"/>
      <c r="BO106" s="192"/>
      <c r="BP106" s="3410" t="str">
        <f>$R$34</f>
        <v>Arin Yustini, SE</v>
      </c>
      <c r="BQ106" s="3410"/>
      <c r="BR106" s="3410"/>
      <c r="BS106" s="191"/>
      <c r="BY106" s="192" t="str">
        <f>$B$34</f>
        <v>Dadin</v>
      </c>
      <c r="BZ106" s="193"/>
      <c r="CA106" s="3410" t="str">
        <f>$D$34</f>
        <v>-</v>
      </c>
      <c r="CB106" s="3410"/>
      <c r="CD106" s="192" t="str">
        <f>$G$34</f>
        <v>-</v>
      </c>
      <c r="CE106" s="192"/>
      <c r="CF106" s="192" t="str">
        <f>$I$34</f>
        <v>Yudi B</v>
      </c>
      <c r="CG106" s="192"/>
      <c r="CH106" s="187" t="str">
        <f>$K$34</f>
        <v>Endang Taryana</v>
      </c>
      <c r="CI106" s="192"/>
      <c r="CJ106" s="192"/>
      <c r="CK106" s="192"/>
      <c r="CL106" s="192"/>
      <c r="CM106" s="194"/>
      <c r="CN106" s="192"/>
      <c r="CO106" s="3410" t="str">
        <f>$R$34</f>
        <v>Arin Yustini, SE</v>
      </c>
      <c r="CP106" s="3410"/>
      <c r="CQ106" s="3410"/>
      <c r="CR106" s="191"/>
      <c r="CX106" s="192" t="str">
        <f>$B$34</f>
        <v>Dadin</v>
      </c>
      <c r="CY106" s="193"/>
      <c r="CZ106" s="3410" t="str">
        <f>$D$34</f>
        <v>-</v>
      </c>
      <c r="DA106" s="3410"/>
      <c r="DC106" s="192" t="str">
        <f>$G$34</f>
        <v>-</v>
      </c>
      <c r="DD106" s="192"/>
      <c r="DE106" s="192" t="str">
        <f>$I$34</f>
        <v>Yudi B</v>
      </c>
      <c r="DF106" s="192"/>
      <c r="DG106" s="187" t="str">
        <f>$K$34</f>
        <v>Endang Taryana</v>
      </c>
      <c r="DH106" s="192"/>
      <c r="DI106" s="192"/>
      <c r="DJ106" s="192"/>
      <c r="DK106" s="192"/>
      <c r="DL106" s="194"/>
      <c r="DM106" s="192"/>
      <c r="DN106" s="3410" t="str">
        <f>$R$34</f>
        <v>Arin Yustini, SE</v>
      </c>
      <c r="DO106" s="3410"/>
      <c r="DP106" s="3410"/>
      <c r="DQ106" s="191"/>
      <c r="DW106" s="192" t="str">
        <f>$B$34</f>
        <v>Dadin</v>
      </c>
      <c r="DX106" s="193"/>
      <c r="DY106" s="3410" t="str">
        <f>$D$34</f>
        <v>-</v>
      </c>
      <c r="DZ106" s="3410"/>
      <c r="EB106" s="192" t="str">
        <f>$G$34</f>
        <v>-</v>
      </c>
      <c r="EC106" s="192"/>
      <c r="ED106" s="192" t="str">
        <f>$I$34</f>
        <v>Yudi B</v>
      </c>
      <c r="EE106" s="192"/>
      <c r="EF106" s="187" t="str">
        <f>$K$34</f>
        <v>Endang Taryana</v>
      </c>
      <c r="EG106" s="192"/>
      <c r="EH106" s="192"/>
      <c r="EI106" s="192"/>
      <c r="EJ106" s="192"/>
      <c r="EK106" s="194"/>
      <c r="EL106" s="192"/>
      <c r="EM106" s="3410" t="str">
        <f>$R$34</f>
        <v>Arin Yustini, SE</v>
      </c>
      <c r="EN106" s="3410"/>
      <c r="EO106" s="3410"/>
      <c r="EP106" s="191"/>
    </row>
    <row r="107" spans="1:149" s="168" customFormat="1" ht="15">
      <c r="B107" s="191" t="str">
        <f>$B$35</f>
        <v>BKAD</v>
      </c>
      <c r="D107" s="3410" t="str">
        <f>$D$35</f>
        <v xml:space="preserve">Fasilitator Kecamatan </v>
      </c>
      <c r="E107" s="3410"/>
      <c r="G107" s="191" t="str">
        <f>$G$35</f>
        <v>Fasilitator Teknik</v>
      </c>
      <c r="H107" s="191"/>
      <c r="I107" s="191" t="s">
        <v>2640</v>
      </c>
      <c r="J107" s="191"/>
      <c r="K107" s="187" t="str">
        <f>$K$35</f>
        <v>Ketua UPK</v>
      </c>
      <c r="L107" s="191"/>
      <c r="M107" s="192"/>
      <c r="N107" s="191"/>
      <c r="O107" s="191"/>
      <c r="P107" s="187"/>
      <c r="Q107" s="191"/>
      <c r="R107" s="3410" t="str">
        <f>$R$35</f>
        <v>Bendahara UPK</v>
      </c>
      <c r="S107" s="3410"/>
      <c r="T107" s="3410"/>
      <c r="U107" s="191"/>
      <c r="AA107" s="191" t="str">
        <f>$B$35</f>
        <v>BKAD</v>
      </c>
      <c r="AC107" s="3410" t="str">
        <f>$D$35</f>
        <v xml:space="preserve">Fasilitator Kecamatan </v>
      </c>
      <c r="AD107" s="3410"/>
      <c r="AF107" s="191" t="str">
        <f>$G$35</f>
        <v>Fasilitator Teknik</v>
      </c>
      <c r="AG107" s="191"/>
      <c r="AH107" s="191" t="str">
        <f>$I$35</f>
        <v>PJOK</v>
      </c>
      <c r="AI107" s="191"/>
      <c r="AJ107" s="187" t="str">
        <f>$K$35</f>
        <v>Ketua UPK</v>
      </c>
      <c r="AK107" s="191"/>
      <c r="AL107" s="192"/>
      <c r="AM107" s="191"/>
      <c r="AN107" s="191"/>
      <c r="AO107" s="187"/>
      <c r="AP107" s="191"/>
      <c r="AQ107" s="3410" t="str">
        <f>$R$35</f>
        <v>Bendahara UPK</v>
      </c>
      <c r="AR107" s="3410"/>
      <c r="AS107" s="3410"/>
      <c r="AT107" s="191"/>
      <c r="AZ107" s="191" t="str">
        <f>$B$35</f>
        <v>BKAD</v>
      </c>
      <c r="BB107" s="3410" t="str">
        <f>$D$35</f>
        <v xml:space="preserve">Fasilitator Kecamatan </v>
      </c>
      <c r="BC107" s="3410"/>
      <c r="BE107" s="191" t="str">
        <f>$G$35</f>
        <v>Fasilitator Teknik</v>
      </c>
      <c r="BF107" s="191"/>
      <c r="BG107" s="191" t="str">
        <f>$I$35</f>
        <v>PJOK</v>
      </c>
      <c r="BH107" s="191"/>
      <c r="BI107" s="187" t="str">
        <f>$K$35</f>
        <v>Ketua UPK</v>
      </c>
      <c r="BJ107" s="191"/>
      <c r="BK107" s="192"/>
      <c r="BL107" s="191"/>
      <c r="BM107" s="191"/>
      <c r="BN107" s="187"/>
      <c r="BO107" s="191"/>
      <c r="BP107" s="3410" t="str">
        <f>$R$35</f>
        <v>Bendahara UPK</v>
      </c>
      <c r="BQ107" s="3410"/>
      <c r="BR107" s="3410"/>
      <c r="BS107" s="191"/>
      <c r="BY107" s="191" t="str">
        <f>$B$35</f>
        <v>BKAD</v>
      </c>
      <c r="CA107" s="3410" t="str">
        <f>$D$35</f>
        <v xml:space="preserve">Fasilitator Kecamatan </v>
      </c>
      <c r="CB107" s="3410"/>
      <c r="CD107" s="191" t="str">
        <f>$G$35</f>
        <v>Fasilitator Teknik</v>
      </c>
      <c r="CE107" s="191"/>
      <c r="CF107" s="191" t="str">
        <f>$I$35</f>
        <v>PJOK</v>
      </c>
      <c r="CG107" s="191"/>
      <c r="CH107" s="187" t="str">
        <f>$K$35</f>
        <v>Ketua UPK</v>
      </c>
      <c r="CI107" s="191"/>
      <c r="CJ107" s="192"/>
      <c r="CK107" s="191"/>
      <c r="CL107" s="191"/>
      <c r="CM107" s="187"/>
      <c r="CN107" s="191"/>
      <c r="CO107" s="3410" t="str">
        <f>$R$35</f>
        <v>Bendahara UPK</v>
      </c>
      <c r="CP107" s="3410"/>
      <c r="CQ107" s="3410"/>
      <c r="CR107" s="191"/>
      <c r="CX107" s="191" t="str">
        <f>$B$35</f>
        <v>BKAD</v>
      </c>
      <c r="CZ107" s="3410" t="str">
        <f>$D$35</f>
        <v xml:space="preserve">Fasilitator Kecamatan </v>
      </c>
      <c r="DA107" s="3410"/>
      <c r="DC107" s="191" t="str">
        <f>$G$35</f>
        <v>Fasilitator Teknik</v>
      </c>
      <c r="DD107" s="191"/>
      <c r="DE107" s="191" t="str">
        <f>$I$35</f>
        <v>PJOK</v>
      </c>
      <c r="DF107" s="191"/>
      <c r="DG107" s="187" t="str">
        <f>$K$35</f>
        <v>Ketua UPK</v>
      </c>
      <c r="DH107" s="191"/>
      <c r="DI107" s="192"/>
      <c r="DJ107" s="191"/>
      <c r="DK107" s="191"/>
      <c r="DL107" s="187"/>
      <c r="DM107" s="191"/>
      <c r="DN107" s="3410" t="str">
        <f>$R$35</f>
        <v>Bendahara UPK</v>
      </c>
      <c r="DO107" s="3410"/>
      <c r="DP107" s="3410"/>
      <c r="DQ107" s="191"/>
      <c r="DW107" s="191" t="str">
        <f>$B$35</f>
        <v>BKAD</v>
      </c>
      <c r="DY107" s="3410" t="str">
        <f>$D$35</f>
        <v xml:space="preserve">Fasilitator Kecamatan </v>
      </c>
      <c r="DZ107" s="3410"/>
      <c r="EB107" s="191" t="str">
        <f>$G$35</f>
        <v>Fasilitator Teknik</v>
      </c>
      <c r="EC107" s="191"/>
      <c r="ED107" s="191" t="str">
        <f>$I$35</f>
        <v>PJOK</v>
      </c>
      <c r="EE107" s="191"/>
      <c r="EF107" s="187" t="str">
        <f>$K$35</f>
        <v>Ketua UPK</v>
      </c>
      <c r="EG107" s="191"/>
      <c r="EH107" s="192"/>
      <c r="EI107" s="191"/>
      <c r="EJ107" s="191"/>
      <c r="EK107" s="187"/>
      <c r="EL107" s="191"/>
      <c r="EM107" s="3410" t="str">
        <f>$R$35</f>
        <v>Bendahara UPK</v>
      </c>
      <c r="EN107" s="3410"/>
      <c r="EO107" s="3410"/>
      <c r="EP107" s="191"/>
    </row>
    <row r="109" spans="1:149">
      <c r="A109" s="3410" t="s">
        <v>0</v>
      </c>
      <c r="B109" s="3410"/>
      <c r="C109" s="3410"/>
      <c r="D109" s="3410"/>
      <c r="E109" s="3410"/>
      <c r="F109" s="3410"/>
      <c r="G109" s="3410"/>
      <c r="H109" s="3410"/>
      <c r="I109" s="3410"/>
      <c r="J109" s="3410"/>
      <c r="K109" s="3410"/>
      <c r="L109" s="3410"/>
      <c r="M109" s="3410"/>
      <c r="N109" s="3410"/>
      <c r="O109" s="3410"/>
      <c r="P109" s="3410"/>
      <c r="Q109" s="3410"/>
      <c r="R109" s="3410"/>
      <c r="S109" s="3410"/>
      <c r="T109" s="3410"/>
      <c r="U109" s="3410"/>
      <c r="Z109" s="3410" t="s">
        <v>0</v>
      </c>
      <c r="AA109" s="3410"/>
      <c r="AB109" s="3410"/>
      <c r="AC109" s="3410"/>
      <c r="AD109" s="3410"/>
      <c r="AE109" s="3410"/>
      <c r="AF109" s="3410"/>
      <c r="AG109" s="3410"/>
      <c r="AH109" s="3410"/>
      <c r="AI109" s="3410"/>
      <c r="AJ109" s="3410"/>
      <c r="AK109" s="3410"/>
      <c r="AL109" s="3410"/>
      <c r="AM109" s="3410"/>
      <c r="AN109" s="3410"/>
      <c r="AO109" s="3410"/>
      <c r="AP109" s="3410"/>
      <c r="AQ109" s="3410"/>
      <c r="AR109" s="3410"/>
      <c r="AS109" s="3410"/>
      <c r="AT109" s="3410"/>
      <c r="DV109" s="3410"/>
      <c r="DW109" s="3410"/>
      <c r="DX109" s="3410"/>
      <c r="DY109" s="3410"/>
      <c r="DZ109" s="3410"/>
      <c r="EA109" s="3410"/>
      <c r="EB109" s="3410"/>
      <c r="EC109" s="3410"/>
      <c r="ED109" s="3410"/>
      <c r="EE109" s="3410"/>
      <c r="EF109" s="3410"/>
      <c r="EG109" s="3410"/>
      <c r="EH109" s="3410"/>
      <c r="EI109" s="3410"/>
      <c r="EJ109" s="3410"/>
      <c r="EK109" s="3410"/>
      <c r="EL109" s="3410"/>
      <c r="EM109" s="3410"/>
      <c r="EN109" s="3410"/>
      <c r="EO109" s="3410"/>
      <c r="EP109" s="3410"/>
    </row>
    <row r="110" spans="1:149">
      <c r="A110" s="3410" t="s">
        <v>1175</v>
      </c>
      <c r="B110" s="3410"/>
      <c r="C110" s="3410"/>
      <c r="D110" s="3410"/>
      <c r="E110" s="3410"/>
      <c r="F110" s="3410"/>
      <c r="G110" s="3410"/>
      <c r="H110" s="3410"/>
      <c r="I110" s="3410"/>
      <c r="J110" s="3410"/>
      <c r="K110" s="3410"/>
      <c r="L110" s="3410"/>
      <c r="M110" s="3410"/>
      <c r="N110" s="3410"/>
      <c r="O110" s="3410"/>
      <c r="P110" s="3410"/>
      <c r="Q110" s="3410"/>
      <c r="R110" s="3410"/>
      <c r="S110" s="3410"/>
      <c r="T110" s="3410"/>
      <c r="U110" s="3410"/>
      <c r="Z110" s="3410" t="s">
        <v>1176</v>
      </c>
      <c r="AA110" s="3410"/>
      <c r="AB110" s="3410"/>
      <c r="AC110" s="3410"/>
      <c r="AD110" s="3410"/>
      <c r="AE110" s="3410"/>
      <c r="AF110" s="3410"/>
      <c r="AG110" s="3410"/>
      <c r="AH110" s="3410"/>
      <c r="AI110" s="3410"/>
      <c r="AJ110" s="3410"/>
      <c r="AK110" s="3410"/>
      <c r="AL110" s="3410"/>
      <c r="AM110" s="3410"/>
      <c r="AN110" s="3410"/>
      <c r="AO110" s="3410"/>
      <c r="AP110" s="3410"/>
      <c r="AQ110" s="3410"/>
      <c r="AR110" s="3410"/>
      <c r="AS110" s="3410"/>
      <c r="AT110" s="3410"/>
      <c r="DV110" s="3410"/>
      <c r="DW110" s="3410"/>
      <c r="DX110" s="3410"/>
      <c r="DY110" s="3410"/>
      <c r="DZ110" s="3410"/>
      <c r="EA110" s="3410"/>
      <c r="EB110" s="3410"/>
      <c r="EC110" s="3410"/>
      <c r="ED110" s="3410"/>
      <c r="EE110" s="3410"/>
      <c r="EF110" s="3410"/>
      <c r="EG110" s="3410"/>
      <c r="EH110" s="3410"/>
      <c r="EI110" s="3410"/>
      <c r="EJ110" s="3410"/>
      <c r="EK110" s="3410"/>
      <c r="EL110" s="3410"/>
      <c r="EM110" s="3410"/>
      <c r="EN110" s="3410"/>
      <c r="EO110" s="3410"/>
      <c r="EP110" s="3410"/>
    </row>
    <row r="111" spans="1:149">
      <c r="A111" s="28"/>
      <c r="B111" s="28"/>
      <c r="C111" s="28"/>
      <c r="D111" s="28"/>
      <c r="E111" s="28"/>
      <c r="F111" s="28"/>
      <c r="G111" s="28"/>
      <c r="H111" s="28"/>
      <c r="I111" s="28"/>
      <c r="J111" s="28"/>
      <c r="K111" s="28"/>
      <c r="L111" s="28"/>
      <c r="M111" s="28"/>
      <c r="N111" s="28"/>
      <c r="O111" s="28"/>
      <c r="P111" s="29"/>
      <c r="Q111" s="28"/>
      <c r="R111" s="29"/>
      <c r="S111" s="28"/>
      <c r="T111" s="28"/>
      <c r="U111" s="28"/>
      <c r="Z111" s="28"/>
      <c r="AA111" s="28"/>
      <c r="AB111" s="28"/>
      <c r="AC111" s="28"/>
      <c r="AD111" s="28"/>
      <c r="AE111" s="28"/>
      <c r="AF111" s="28"/>
      <c r="AG111" s="28"/>
      <c r="AH111" s="28"/>
      <c r="AI111" s="28"/>
      <c r="AJ111" s="28"/>
      <c r="AK111" s="28"/>
      <c r="AL111" s="28"/>
      <c r="AM111" s="28"/>
      <c r="AN111" s="28"/>
      <c r="AO111" s="29"/>
      <c r="AP111" s="28"/>
      <c r="AQ111" s="29"/>
      <c r="AR111" s="28"/>
      <c r="AS111" s="28"/>
      <c r="AT111" s="28"/>
      <c r="DV111" s="1384"/>
      <c r="DW111" s="1384"/>
      <c r="DX111" s="1384"/>
      <c r="DY111" s="1384"/>
      <c r="DZ111" s="1384"/>
      <c r="EA111" s="1384"/>
      <c r="EB111" s="1384"/>
      <c r="EC111" s="1384"/>
      <c r="ED111" s="1384"/>
      <c r="EE111" s="1384"/>
      <c r="EF111" s="1384"/>
      <c r="EG111" s="1384"/>
      <c r="EH111" s="1384"/>
      <c r="EI111" s="1384"/>
      <c r="EJ111" s="1384"/>
      <c r="EK111" s="1385"/>
      <c r="EL111" s="1384"/>
      <c r="EM111" s="1385"/>
      <c r="EN111" s="1384"/>
      <c r="EO111" s="1384"/>
      <c r="EP111" s="1384"/>
    </row>
    <row r="112" spans="1:149" s="168" customFormat="1" ht="15.75">
      <c r="A112" s="167"/>
      <c r="B112" s="413" t="s">
        <v>2</v>
      </c>
      <c r="C112" s="30" t="str">
        <f>$C$4</f>
        <v>:  Nagrak</v>
      </c>
      <c r="E112" s="167"/>
      <c r="F112" s="167"/>
      <c r="G112" s="167"/>
      <c r="H112" s="167"/>
      <c r="I112" s="167"/>
      <c r="J112" s="167"/>
      <c r="K112" s="167"/>
      <c r="L112" s="167"/>
      <c r="M112" s="167"/>
      <c r="N112" s="167"/>
      <c r="O112" s="167"/>
      <c r="Q112" s="412" t="s">
        <v>71</v>
      </c>
      <c r="R112" s="3410" t="str">
        <f>$R$4</f>
        <v>29 Februari 2016 2016</v>
      </c>
      <c r="S112" s="3410"/>
      <c r="T112" s="167"/>
      <c r="U112" s="167"/>
      <c r="Z112" s="167"/>
      <c r="AA112" s="413" t="s">
        <v>2</v>
      </c>
      <c r="AB112" s="30" t="str">
        <f>$C$4</f>
        <v>:  Nagrak</v>
      </c>
      <c r="AD112" s="167"/>
      <c r="AE112" s="167"/>
      <c r="AF112" s="167"/>
      <c r="AG112" s="167"/>
      <c r="AH112" s="167"/>
      <c r="AI112" s="167"/>
      <c r="AJ112" s="167"/>
      <c r="AK112" s="167"/>
      <c r="AL112" s="167"/>
      <c r="AM112" s="167"/>
      <c r="AN112" s="167"/>
      <c r="AP112" s="412" t="s">
        <v>71</v>
      </c>
      <c r="AQ112" s="3410" t="str">
        <f>$R$4</f>
        <v>29 Februari 2016 2016</v>
      </c>
      <c r="AR112" s="3410"/>
      <c r="AS112" s="167"/>
      <c r="AT112" s="167"/>
      <c r="AY112" s="27"/>
      <c r="AZ112" s="27"/>
      <c r="BA112" s="27"/>
      <c r="BB112" s="27"/>
      <c r="BC112" s="27"/>
      <c r="BD112" s="27"/>
      <c r="BE112" s="27"/>
      <c r="BF112" s="27"/>
      <c r="BG112" s="27"/>
      <c r="BH112" s="27"/>
      <c r="BI112" s="27"/>
      <c r="BJ112" s="27"/>
      <c r="BK112" s="27"/>
      <c r="BL112" s="27"/>
      <c r="BM112" s="27"/>
      <c r="BN112" s="34"/>
      <c r="BO112" s="27"/>
      <c r="BP112" s="34"/>
      <c r="BQ112" s="27"/>
      <c r="BR112" s="27"/>
      <c r="BS112" s="27"/>
      <c r="BT112" s="26"/>
      <c r="BU112" s="27"/>
      <c r="BV112" s="27"/>
      <c r="BW112" s="27"/>
      <c r="BX112" s="27"/>
      <c r="BY112" s="27"/>
      <c r="BZ112" s="27"/>
      <c r="CA112" s="27"/>
      <c r="CB112" s="27"/>
      <c r="CC112" s="27"/>
      <c r="CD112" s="27"/>
      <c r="CE112" s="27"/>
      <c r="CF112" s="27"/>
      <c r="CG112" s="27"/>
      <c r="CH112" s="27"/>
      <c r="CI112" s="27"/>
      <c r="CJ112" s="27"/>
      <c r="CK112" s="27"/>
      <c r="CL112" s="27"/>
      <c r="CM112" s="34"/>
      <c r="CN112" s="27"/>
      <c r="CO112" s="34"/>
      <c r="CP112" s="27"/>
      <c r="CQ112" s="27"/>
      <c r="CR112" s="27"/>
      <c r="CS112" s="26"/>
      <c r="CT112" s="27"/>
      <c r="CU112" s="27"/>
      <c r="CV112" s="27"/>
      <c r="CW112" s="27"/>
      <c r="CX112" s="27"/>
      <c r="CY112" s="27"/>
      <c r="CZ112" s="27"/>
      <c r="DA112" s="27"/>
      <c r="DB112" s="27"/>
      <c r="DC112" s="27"/>
      <c r="DD112" s="27"/>
      <c r="DE112" s="27"/>
      <c r="DF112" s="27"/>
      <c r="DG112" s="27"/>
      <c r="DH112" s="27"/>
      <c r="DI112" s="27"/>
      <c r="DJ112" s="27"/>
      <c r="DK112" s="27"/>
      <c r="DL112" s="34"/>
      <c r="DM112" s="27"/>
      <c r="DN112" s="34"/>
      <c r="DO112" s="27"/>
      <c r="DP112" s="27"/>
      <c r="DQ112" s="27"/>
      <c r="DR112" s="26"/>
      <c r="DS112" s="27"/>
      <c r="DT112" s="27"/>
      <c r="DV112" s="1386"/>
      <c r="DW112" s="1377"/>
      <c r="DX112" s="1378"/>
      <c r="DY112" s="1387"/>
      <c r="DZ112" s="1386"/>
      <c r="EA112" s="1386"/>
      <c r="EB112" s="1386"/>
      <c r="EC112" s="1386"/>
      <c r="ED112" s="1386"/>
      <c r="EE112" s="1386"/>
      <c r="EF112" s="1386"/>
      <c r="EG112" s="1386"/>
      <c r="EH112" s="1386"/>
      <c r="EI112" s="1386"/>
      <c r="EJ112" s="1386"/>
      <c r="EK112" s="1387"/>
      <c r="EL112" s="1388"/>
      <c r="EM112" s="3410"/>
      <c r="EN112" s="3410"/>
      <c r="EO112" s="1386"/>
      <c r="EP112" s="1386"/>
      <c r="EQ112" s="1387"/>
      <c r="ER112" s="1387"/>
      <c r="ES112" s="1387"/>
    </row>
    <row r="113" spans="1:149" s="168" customFormat="1" ht="15.75">
      <c r="A113" s="167"/>
      <c r="B113" s="413" t="s">
        <v>4</v>
      </c>
      <c r="C113" s="30" t="str">
        <f>$C$5</f>
        <v>:  Sukabumi</v>
      </c>
      <c r="E113" s="167"/>
      <c r="F113" s="167"/>
      <c r="G113" s="167"/>
      <c r="H113" s="167"/>
      <c r="I113" s="167"/>
      <c r="J113" s="167"/>
      <c r="K113" s="167"/>
      <c r="L113" s="167"/>
      <c r="M113" s="167"/>
      <c r="N113" s="169"/>
      <c r="O113" s="170"/>
      <c r="P113" s="170"/>
      <c r="Q113" s="170"/>
      <c r="R113" s="170"/>
      <c r="S113" s="170"/>
      <c r="T113" s="170"/>
      <c r="Z113" s="167"/>
      <c r="AA113" s="413" t="s">
        <v>4</v>
      </c>
      <c r="AB113" s="30" t="str">
        <f>$C$5</f>
        <v>:  Sukabumi</v>
      </c>
      <c r="AD113" s="167"/>
      <c r="AE113" s="167"/>
      <c r="AF113" s="167"/>
      <c r="AG113" s="167"/>
      <c r="AH113" s="167"/>
      <c r="AI113" s="167"/>
      <c r="AJ113" s="167"/>
      <c r="AK113" s="167"/>
      <c r="AL113" s="167"/>
      <c r="AM113" s="169"/>
      <c r="AN113" s="170"/>
      <c r="AO113" s="170"/>
      <c r="AP113" s="170"/>
      <c r="AQ113" s="170"/>
      <c r="AR113" s="170"/>
      <c r="AS113" s="170"/>
      <c r="AY113" s="27"/>
      <c r="AZ113" s="27"/>
      <c r="BA113" s="27"/>
      <c r="BB113" s="27"/>
      <c r="BC113" s="27"/>
      <c r="BD113" s="27"/>
      <c r="BE113" s="27"/>
      <c r="BF113" s="27"/>
      <c r="BG113" s="27"/>
      <c r="BH113" s="27"/>
      <c r="BI113" s="27"/>
      <c r="BJ113" s="27"/>
      <c r="BK113" s="27"/>
      <c r="BL113" s="27"/>
      <c r="BM113" s="27"/>
      <c r="BN113" s="34"/>
      <c r="BO113" s="27"/>
      <c r="BP113" s="34"/>
      <c r="BQ113" s="27"/>
      <c r="BR113" s="27"/>
      <c r="BS113" s="27"/>
      <c r="BT113" s="26"/>
      <c r="BU113" s="27"/>
      <c r="BV113" s="27"/>
      <c r="BW113" s="27"/>
      <c r="BX113" s="27"/>
      <c r="BY113" s="27"/>
      <c r="BZ113" s="27"/>
      <c r="CA113" s="27"/>
      <c r="CB113" s="27"/>
      <c r="CC113" s="27"/>
      <c r="CD113" s="27"/>
      <c r="CE113" s="27"/>
      <c r="CF113" s="27"/>
      <c r="CG113" s="27"/>
      <c r="CH113" s="27"/>
      <c r="CI113" s="27"/>
      <c r="CJ113" s="27"/>
      <c r="CK113" s="27"/>
      <c r="CL113" s="27"/>
      <c r="CM113" s="34"/>
      <c r="CN113" s="27"/>
      <c r="CO113" s="34"/>
      <c r="CP113" s="27"/>
      <c r="CQ113" s="27"/>
      <c r="CR113" s="27"/>
      <c r="CS113" s="26"/>
      <c r="CT113" s="27"/>
      <c r="CU113" s="27"/>
      <c r="CV113" s="27"/>
      <c r="CW113" s="27"/>
      <c r="CX113" s="27"/>
      <c r="CY113" s="27"/>
      <c r="CZ113" s="27"/>
      <c r="DA113" s="27"/>
      <c r="DB113" s="27"/>
      <c r="DC113" s="27"/>
      <c r="DD113" s="27"/>
      <c r="DE113" s="27"/>
      <c r="DF113" s="27"/>
      <c r="DG113" s="27"/>
      <c r="DH113" s="27"/>
      <c r="DI113" s="27"/>
      <c r="DJ113" s="27"/>
      <c r="DK113" s="27"/>
      <c r="DL113" s="34"/>
      <c r="DM113" s="27"/>
      <c r="DN113" s="34"/>
      <c r="DO113" s="27"/>
      <c r="DP113" s="27"/>
      <c r="DQ113" s="27"/>
      <c r="DR113" s="26"/>
      <c r="DS113" s="27"/>
      <c r="DT113" s="27"/>
      <c r="DV113" s="1386"/>
      <c r="DW113" s="1377"/>
      <c r="DX113" s="1378"/>
      <c r="DY113" s="1387"/>
      <c r="DZ113" s="1386"/>
      <c r="EA113" s="1386"/>
      <c r="EB113" s="1386"/>
      <c r="EC113" s="1386"/>
      <c r="ED113" s="1386"/>
      <c r="EE113" s="1386"/>
      <c r="EF113" s="1386"/>
      <c r="EG113" s="1386"/>
      <c r="EH113" s="1386"/>
      <c r="EI113" s="169"/>
      <c r="EJ113" s="170"/>
      <c r="EK113" s="170"/>
      <c r="EL113" s="170"/>
      <c r="EM113" s="170"/>
      <c r="EN113" s="170"/>
      <c r="EO113" s="170"/>
      <c r="EP113" s="1387"/>
      <c r="EQ113" s="1387"/>
      <c r="ER113" s="1387"/>
      <c r="ES113" s="1387"/>
    </row>
    <row r="114" spans="1:149" s="168" customFormat="1" ht="15.75">
      <c r="A114" s="167"/>
      <c r="B114" s="413" t="s">
        <v>6</v>
      </c>
      <c r="C114" s="30" t="str">
        <f>$C$6</f>
        <v>:  Jawa Barat</v>
      </c>
      <c r="E114" s="167"/>
      <c r="F114" s="167"/>
      <c r="G114" s="167"/>
      <c r="H114" s="167"/>
      <c r="I114" s="167"/>
      <c r="J114" s="167"/>
      <c r="K114" s="167"/>
      <c r="L114" s="167"/>
      <c r="M114" s="167"/>
      <c r="N114" s="169"/>
      <c r="O114" s="170"/>
      <c r="P114" s="170"/>
      <c r="Q114" s="170"/>
      <c r="R114" s="170"/>
      <c r="S114" s="170"/>
      <c r="T114" s="170"/>
      <c r="Z114" s="167"/>
      <c r="AA114" s="413" t="s">
        <v>6</v>
      </c>
      <c r="AB114" s="30" t="str">
        <f>$C$6</f>
        <v>:  Jawa Barat</v>
      </c>
      <c r="AD114" s="167"/>
      <c r="AE114" s="167"/>
      <c r="AF114" s="167"/>
      <c r="AG114" s="167"/>
      <c r="AH114" s="167"/>
      <c r="AI114" s="167"/>
      <c r="AJ114" s="167"/>
      <c r="AK114" s="167"/>
      <c r="AL114" s="167"/>
      <c r="AM114" s="169"/>
      <c r="AN114" s="170"/>
      <c r="AO114" s="170"/>
      <c r="AP114" s="170"/>
      <c r="AQ114" s="170"/>
      <c r="AR114" s="170"/>
      <c r="AS114" s="170"/>
      <c r="AY114" s="27"/>
      <c r="AZ114" s="27"/>
      <c r="BA114" s="27"/>
      <c r="BB114" s="27"/>
      <c r="BC114" s="27"/>
      <c r="BD114" s="27"/>
      <c r="BE114" s="27"/>
      <c r="BF114" s="27"/>
      <c r="BG114" s="27"/>
      <c r="BH114" s="27"/>
      <c r="BI114" s="27"/>
      <c r="BJ114" s="27"/>
      <c r="BK114" s="27"/>
      <c r="BL114" s="27"/>
      <c r="BM114" s="27"/>
      <c r="BN114" s="34"/>
      <c r="BO114" s="27"/>
      <c r="BP114" s="34"/>
      <c r="BQ114" s="27"/>
      <c r="BR114" s="27"/>
      <c r="BS114" s="27"/>
      <c r="BT114" s="26"/>
      <c r="BU114" s="27"/>
      <c r="BV114" s="27"/>
      <c r="BW114" s="27"/>
      <c r="BX114" s="27"/>
      <c r="BY114" s="27"/>
      <c r="BZ114" s="27"/>
      <c r="CA114" s="27"/>
      <c r="CB114" s="27"/>
      <c r="CC114" s="27"/>
      <c r="CD114" s="27"/>
      <c r="CE114" s="27"/>
      <c r="CF114" s="27"/>
      <c r="CG114" s="27"/>
      <c r="CH114" s="27"/>
      <c r="CI114" s="27"/>
      <c r="CJ114" s="27"/>
      <c r="CK114" s="27"/>
      <c r="CL114" s="27"/>
      <c r="CM114" s="34"/>
      <c r="CN114" s="27"/>
      <c r="CO114" s="34"/>
      <c r="CP114" s="27"/>
      <c r="CQ114" s="27"/>
      <c r="CR114" s="27"/>
      <c r="CS114" s="26"/>
      <c r="CT114" s="27"/>
      <c r="CU114" s="27"/>
      <c r="CV114" s="27"/>
      <c r="CW114" s="27"/>
      <c r="CX114" s="27"/>
      <c r="CY114" s="27"/>
      <c r="CZ114" s="27"/>
      <c r="DA114" s="27"/>
      <c r="DB114" s="27"/>
      <c r="DC114" s="27"/>
      <c r="DD114" s="27"/>
      <c r="DE114" s="27"/>
      <c r="DF114" s="27"/>
      <c r="DG114" s="27"/>
      <c r="DH114" s="27"/>
      <c r="DI114" s="27"/>
      <c r="DJ114" s="27"/>
      <c r="DK114" s="27"/>
      <c r="DL114" s="34"/>
      <c r="DM114" s="27"/>
      <c r="DN114" s="34"/>
      <c r="DO114" s="27"/>
      <c r="DP114" s="27"/>
      <c r="DQ114" s="27"/>
      <c r="DR114" s="26"/>
      <c r="DS114" s="27"/>
      <c r="DT114" s="27"/>
      <c r="DV114" s="1386"/>
      <c r="DW114" s="1377"/>
      <c r="DX114" s="1378"/>
      <c r="DY114" s="1387"/>
      <c r="DZ114" s="1386"/>
      <c r="EA114" s="1386"/>
      <c r="EB114" s="1386"/>
      <c r="EC114" s="1386"/>
      <c r="ED114" s="1386"/>
      <c r="EE114" s="1386"/>
      <c r="EF114" s="1386"/>
      <c r="EG114" s="1386"/>
      <c r="EH114" s="1386"/>
      <c r="EI114" s="169"/>
      <c r="EJ114" s="170"/>
      <c r="EK114" s="170"/>
      <c r="EL114" s="170"/>
      <c r="EM114" s="170"/>
      <c r="EN114" s="170"/>
      <c r="EO114" s="170"/>
      <c r="EP114" s="1387"/>
      <c r="EQ114" s="1387"/>
      <c r="ER114" s="1387"/>
      <c r="ES114" s="1387"/>
    </row>
    <row r="115" spans="1:149" ht="13.5" thickBot="1">
      <c r="A115" s="31"/>
      <c r="B115" s="31"/>
      <c r="C115" s="31"/>
      <c r="D115" s="31"/>
      <c r="E115" s="31"/>
      <c r="F115" s="31"/>
      <c r="G115" s="31"/>
      <c r="H115" s="31"/>
      <c r="I115" s="31"/>
      <c r="J115" s="31"/>
      <c r="K115" s="31"/>
      <c r="L115" s="31"/>
      <c r="M115" s="31"/>
      <c r="N115" s="31"/>
      <c r="O115" s="31"/>
      <c r="P115" s="32"/>
      <c r="Q115" s="31"/>
      <c r="R115" s="32"/>
      <c r="S115" s="31"/>
      <c r="T115" s="31"/>
      <c r="U115" s="33"/>
      <c r="Z115" s="31"/>
      <c r="AA115" s="31"/>
      <c r="AB115" s="31"/>
      <c r="AC115" s="31"/>
      <c r="AD115" s="31"/>
      <c r="AE115" s="31"/>
      <c r="AF115" s="31"/>
      <c r="AG115" s="31"/>
      <c r="AH115" s="31"/>
      <c r="AI115" s="31"/>
      <c r="AJ115" s="31"/>
      <c r="AK115" s="31"/>
      <c r="AL115" s="31"/>
      <c r="AM115" s="31"/>
      <c r="AN115" s="31"/>
      <c r="AO115" s="32"/>
      <c r="AP115" s="31"/>
      <c r="AQ115" s="32"/>
      <c r="AR115" s="31"/>
      <c r="AS115" s="31"/>
      <c r="AT115" s="33"/>
      <c r="DV115" s="1389"/>
      <c r="DW115" s="1389"/>
      <c r="DX115" s="1389"/>
      <c r="DY115" s="1389"/>
      <c r="DZ115" s="1389"/>
      <c r="EA115" s="1389"/>
      <c r="EB115" s="1389"/>
      <c r="EC115" s="1389"/>
      <c r="ED115" s="1389"/>
      <c r="EE115" s="1389"/>
      <c r="EF115" s="1389"/>
      <c r="EG115" s="1389"/>
      <c r="EH115" s="1389"/>
      <c r="EI115" s="1389"/>
      <c r="EJ115" s="1389"/>
      <c r="EK115" s="1390"/>
      <c r="EL115" s="1389"/>
      <c r="EM115" s="1390"/>
      <c r="EN115" s="1389"/>
      <c r="EO115" s="1389"/>
      <c r="EP115" s="1389"/>
    </row>
    <row r="116" spans="1:149" s="168" customFormat="1" ht="33" customHeight="1" thickTop="1">
      <c r="A116" s="3410" t="s">
        <v>72</v>
      </c>
      <c r="B116" s="3410" t="s">
        <v>73</v>
      </c>
      <c r="C116" s="3410" t="s">
        <v>74</v>
      </c>
      <c r="D116" s="3410"/>
      <c r="E116" s="3410" t="s">
        <v>47</v>
      </c>
      <c r="F116" s="3410"/>
      <c r="G116" s="3410" t="s">
        <v>48</v>
      </c>
      <c r="H116" s="3410"/>
      <c r="I116" s="3410" t="s">
        <v>1162</v>
      </c>
      <c r="J116" s="3410"/>
      <c r="K116" s="3410" t="s">
        <v>52</v>
      </c>
      <c r="L116" s="3410"/>
      <c r="M116" s="3410" t="s">
        <v>53</v>
      </c>
      <c r="N116" s="3410"/>
      <c r="O116" s="3410" t="s">
        <v>75</v>
      </c>
      <c r="P116" s="3410"/>
      <c r="Q116" s="3410" t="s">
        <v>76</v>
      </c>
      <c r="R116" s="3410"/>
      <c r="S116" s="3410" t="s">
        <v>77</v>
      </c>
      <c r="T116" s="3410"/>
      <c r="U116" s="3410" t="s">
        <v>78</v>
      </c>
      <c r="V116" s="171" t="s">
        <v>79</v>
      </c>
      <c r="W116" s="171" t="s">
        <v>79</v>
      </c>
      <c r="X116" s="171" t="s">
        <v>79</v>
      </c>
      <c r="Z116" s="3410" t="s">
        <v>72</v>
      </c>
      <c r="AA116" s="3410" t="s">
        <v>73</v>
      </c>
      <c r="AB116" s="3410" t="s">
        <v>74</v>
      </c>
      <c r="AC116" s="3410"/>
      <c r="AD116" s="3410" t="s">
        <v>47</v>
      </c>
      <c r="AE116" s="3410"/>
      <c r="AF116" s="3410" t="s">
        <v>48</v>
      </c>
      <c r="AG116" s="3410"/>
      <c r="AH116" s="3410" t="s">
        <v>1162</v>
      </c>
      <c r="AI116" s="3410"/>
      <c r="AJ116" s="3410" t="s">
        <v>52</v>
      </c>
      <c r="AK116" s="3410"/>
      <c r="AL116" s="3410" t="s">
        <v>53</v>
      </c>
      <c r="AM116" s="3410"/>
      <c r="AN116" s="3410" t="s">
        <v>75</v>
      </c>
      <c r="AO116" s="3410"/>
      <c r="AP116" s="3410" t="s">
        <v>76</v>
      </c>
      <c r="AQ116" s="3410"/>
      <c r="AR116" s="3410" t="s">
        <v>77</v>
      </c>
      <c r="AS116" s="3410"/>
      <c r="AT116" s="3410" t="s">
        <v>78</v>
      </c>
      <c r="AU116" s="171" t="s">
        <v>79</v>
      </c>
      <c r="AV116" s="171" t="s">
        <v>79</v>
      </c>
      <c r="AW116" s="171" t="s">
        <v>79</v>
      </c>
      <c r="AY116" s="27"/>
      <c r="AZ116" s="27"/>
      <c r="BA116" s="27"/>
      <c r="BB116" s="27"/>
      <c r="BC116" s="27"/>
      <c r="BD116" s="27"/>
      <c r="BE116" s="27"/>
      <c r="BF116" s="27"/>
      <c r="BG116" s="27"/>
      <c r="BH116" s="27"/>
      <c r="BI116" s="27"/>
      <c r="BJ116" s="27"/>
      <c r="BK116" s="27"/>
      <c r="BL116" s="27"/>
      <c r="BM116" s="27"/>
      <c r="BN116" s="34"/>
      <c r="BO116" s="27"/>
      <c r="BP116" s="34"/>
      <c r="BQ116" s="27"/>
      <c r="BR116" s="27"/>
      <c r="BS116" s="27"/>
      <c r="BT116" s="26"/>
      <c r="BU116" s="27"/>
      <c r="BV116" s="27"/>
      <c r="BW116" s="27"/>
      <c r="BX116" s="27"/>
      <c r="BY116" s="27"/>
      <c r="BZ116" s="27"/>
      <c r="CA116" s="27"/>
      <c r="CB116" s="27"/>
      <c r="CC116" s="27"/>
      <c r="CD116" s="27"/>
      <c r="CE116" s="27"/>
      <c r="CF116" s="27"/>
      <c r="CG116" s="27"/>
      <c r="CH116" s="27"/>
      <c r="CI116" s="27"/>
      <c r="CJ116" s="27"/>
      <c r="CK116" s="27"/>
      <c r="CL116" s="27"/>
      <c r="CM116" s="34"/>
      <c r="CN116" s="27"/>
      <c r="CO116" s="34"/>
      <c r="CP116" s="27"/>
      <c r="CQ116" s="27"/>
      <c r="CR116" s="27"/>
      <c r="CS116" s="26"/>
      <c r="CT116" s="27"/>
      <c r="CU116" s="27"/>
      <c r="CV116" s="27"/>
      <c r="CW116" s="27"/>
      <c r="CX116" s="27"/>
      <c r="CY116" s="27"/>
      <c r="CZ116" s="27"/>
      <c r="DA116" s="27"/>
      <c r="DB116" s="27"/>
      <c r="DC116" s="27"/>
      <c r="DD116" s="27"/>
      <c r="DE116" s="27"/>
      <c r="DF116" s="27"/>
      <c r="DG116" s="27"/>
      <c r="DH116" s="27"/>
      <c r="DI116" s="27"/>
      <c r="DJ116" s="27"/>
      <c r="DK116" s="27"/>
      <c r="DL116" s="34"/>
      <c r="DM116" s="27"/>
      <c r="DN116" s="34"/>
      <c r="DO116" s="27"/>
      <c r="DP116" s="27"/>
      <c r="DQ116" s="27"/>
      <c r="DR116" s="26"/>
      <c r="DS116" s="27"/>
      <c r="DT116" s="27"/>
      <c r="DV116" s="3410"/>
      <c r="DW116" s="3410"/>
      <c r="DX116" s="3410"/>
      <c r="DY116" s="3410"/>
      <c r="DZ116" s="3410"/>
      <c r="EA116" s="3410"/>
      <c r="EB116" s="3410"/>
      <c r="EC116" s="3410"/>
      <c r="ED116" s="3410"/>
      <c r="EE116" s="3410"/>
      <c r="EF116" s="3410"/>
      <c r="EG116" s="3410"/>
      <c r="EH116" s="3410"/>
      <c r="EI116" s="3410"/>
      <c r="EJ116" s="3410"/>
      <c r="EK116" s="3410"/>
      <c r="EL116" s="3410"/>
      <c r="EM116" s="3410"/>
      <c r="EN116" s="3410"/>
      <c r="EO116" s="3410"/>
      <c r="EP116" s="3410"/>
      <c r="EQ116" s="1391"/>
      <c r="ER116" s="1391"/>
      <c r="ES116" s="1391"/>
    </row>
    <row r="117" spans="1:149" s="168" customFormat="1" ht="28.5" customHeight="1" thickBot="1">
      <c r="A117" s="3410"/>
      <c r="B117" s="3410"/>
      <c r="C117" s="172" t="s">
        <v>80</v>
      </c>
      <c r="D117" s="172" t="s">
        <v>81</v>
      </c>
      <c r="E117" s="172" t="s">
        <v>80</v>
      </c>
      <c r="F117" s="172" t="s">
        <v>81</v>
      </c>
      <c r="G117" s="172" t="s">
        <v>80</v>
      </c>
      <c r="H117" s="172" t="s">
        <v>81</v>
      </c>
      <c r="I117" s="172" t="s">
        <v>80</v>
      </c>
      <c r="J117" s="172" t="s">
        <v>81</v>
      </c>
      <c r="K117" s="1430" t="s">
        <v>80</v>
      </c>
      <c r="L117" s="1430" t="s">
        <v>81</v>
      </c>
      <c r="M117" s="172" t="s">
        <v>80</v>
      </c>
      <c r="N117" s="172" t="s">
        <v>81</v>
      </c>
      <c r="O117" s="172" t="s">
        <v>80</v>
      </c>
      <c r="P117" s="173" t="s">
        <v>81</v>
      </c>
      <c r="Q117" s="172" t="s">
        <v>80</v>
      </c>
      <c r="R117" s="173" t="s">
        <v>81</v>
      </c>
      <c r="S117" s="172" t="s">
        <v>80</v>
      </c>
      <c r="T117" s="172" t="s">
        <v>81</v>
      </c>
      <c r="U117" s="3410"/>
      <c r="V117" s="171" t="s">
        <v>77</v>
      </c>
      <c r="W117" s="171" t="s">
        <v>50</v>
      </c>
      <c r="X117" s="171" t="s">
        <v>51</v>
      </c>
      <c r="Z117" s="3410"/>
      <c r="AA117" s="3410"/>
      <c r="AB117" s="172" t="s">
        <v>80</v>
      </c>
      <c r="AC117" s="172" t="s">
        <v>81</v>
      </c>
      <c r="AD117" s="172" t="s">
        <v>80</v>
      </c>
      <c r="AE117" s="172" t="s">
        <v>81</v>
      </c>
      <c r="AF117" s="172" t="s">
        <v>80</v>
      </c>
      <c r="AG117" s="172" t="s">
        <v>81</v>
      </c>
      <c r="AH117" s="172" t="s">
        <v>80</v>
      </c>
      <c r="AI117" s="172" t="s">
        <v>81</v>
      </c>
      <c r="AJ117" s="1430" t="s">
        <v>80</v>
      </c>
      <c r="AK117" s="1430" t="s">
        <v>81</v>
      </c>
      <c r="AL117" s="172" t="s">
        <v>80</v>
      </c>
      <c r="AM117" s="172" t="s">
        <v>81</v>
      </c>
      <c r="AN117" s="172" t="s">
        <v>80</v>
      </c>
      <c r="AO117" s="173" t="s">
        <v>81</v>
      </c>
      <c r="AP117" s="172" t="s">
        <v>80</v>
      </c>
      <c r="AQ117" s="173" t="s">
        <v>81</v>
      </c>
      <c r="AR117" s="172" t="s">
        <v>80</v>
      </c>
      <c r="AS117" s="172" t="s">
        <v>81</v>
      </c>
      <c r="AT117" s="3410"/>
      <c r="AU117" s="171" t="s">
        <v>77</v>
      </c>
      <c r="AV117" s="171" t="s">
        <v>50</v>
      </c>
      <c r="AW117" s="171" t="s">
        <v>51</v>
      </c>
      <c r="AY117" s="27"/>
      <c r="AZ117" s="27"/>
      <c r="BA117" s="27"/>
      <c r="BB117" s="27"/>
      <c r="BC117" s="27"/>
      <c r="BD117" s="27"/>
      <c r="BE117" s="27"/>
      <c r="BF117" s="27"/>
      <c r="BG117" s="27"/>
      <c r="BH117" s="27"/>
      <c r="BI117" s="27"/>
      <c r="BJ117" s="27"/>
      <c r="BK117" s="27"/>
      <c r="BL117" s="27"/>
      <c r="BM117" s="27"/>
      <c r="BN117" s="34"/>
      <c r="BO117" s="27"/>
      <c r="BP117" s="34"/>
      <c r="BQ117" s="27"/>
      <c r="BR117" s="27"/>
      <c r="BS117" s="27"/>
      <c r="BT117" s="26"/>
      <c r="BU117" s="27"/>
      <c r="BV117" s="27"/>
      <c r="BW117" s="27"/>
      <c r="BX117" s="27"/>
      <c r="BY117" s="27"/>
      <c r="BZ117" s="27"/>
      <c r="CA117" s="27"/>
      <c r="CB117" s="27"/>
      <c r="CC117" s="27"/>
      <c r="CD117" s="27"/>
      <c r="CE117" s="27"/>
      <c r="CF117" s="27"/>
      <c r="CG117" s="27"/>
      <c r="CH117" s="27"/>
      <c r="CI117" s="27"/>
      <c r="CJ117" s="27"/>
      <c r="CK117" s="27"/>
      <c r="CL117" s="27"/>
      <c r="CM117" s="34"/>
      <c r="CN117" s="27"/>
      <c r="CO117" s="34"/>
      <c r="CP117" s="27"/>
      <c r="CQ117" s="27"/>
      <c r="CR117" s="27"/>
      <c r="CS117" s="26"/>
      <c r="CT117" s="27"/>
      <c r="CU117" s="27"/>
      <c r="CV117" s="27"/>
      <c r="CW117" s="27"/>
      <c r="CX117" s="27"/>
      <c r="CY117" s="27"/>
      <c r="CZ117" s="27"/>
      <c r="DA117" s="27"/>
      <c r="DB117" s="27"/>
      <c r="DC117" s="27"/>
      <c r="DD117" s="27"/>
      <c r="DE117" s="27"/>
      <c r="DF117" s="27"/>
      <c r="DG117" s="27"/>
      <c r="DH117" s="27"/>
      <c r="DI117" s="27"/>
      <c r="DJ117" s="27"/>
      <c r="DK117" s="27"/>
      <c r="DL117" s="34"/>
      <c r="DM117" s="27"/>
      <c r="DN117" s="34"/>
      <c r="DO117" s="27"/>
      <c r="DP117" s="27"/>
      <c r="DQ117" s="27"/>
      <c r="DR117" s="26"/>
      <c r="DS117" s="27"/>
      <c r="DT117" s="27"/>
      <c r="DV117" s="3410"/>
      <c r="DW117" s="3410"/>
      <c r="DX117" s="1391"/>
      <c r="DY117" s="1391"/>
      <c r="DZ117" s="1391"/>
      <c r="EA117" s="1391"/>
      <c r="EB117" s="1391"/>
      <c r="EC117" s="1391"/>
      <c r="ED117" s="1391"/>
      <c r="EE117" s="1391"/>
      <c r="EF117" s="1391"/>
      <c r="EG117" s="1391"/>
      <c r="EH117" s="1391"/>
      <c r="EI117" s="1391"/>
      <c r="EJ117" s="1391"/>
      <c r="EK117" s="1392"/>
      <c r="EL117" s="1391"/>
      <c r="EM117" s="1392"/>
      <c r="EN117" s="1391"/>
      <c r="EO117" s="1391"/>
      <c r="EP117" s="3410"/>
      <c r="EQ117" s="1391"/>
      <c r="ER117" s="1391"/>
      <c r="ES117" s="1391"/>
    </row>
    <row r="118" spans="1:149" s="168" customFormat="1" ht="42" customHeight="1" thickTop="1">
      <c r="A118" s="201">
        <v>1</v>
      </c>
      <c r="B118" s="202" t="str">
        <f>$B$10</f>
        <v>CIHANYAWAR</v>
      </c>
      <c r="C118" s="203"/>
      <c r="D118" s="203"/>
      <c r="E118" s="203"/>
      <c r="F118" s="203"/>
      <c r="G118" s="203"/>
      <c r="H118" s="203"/>
      <c r="I118" s="203"/>
      <c r="J118" s="203"/>
      <c r="K118" s="1431"/>
      <c r="L118" s="1431"/>
      <c r="M118" s="203"/>
      <c r="N118" s="203"/>
      <c r="O118" s="203"/>
      <c r="P118" s="203"/>
      <c r="Q118" s="203"/>
      <c r="R118" s="203"/>
      <c r="S118" s="174">
        <f>C118+E118+G118+I118+K118+M118+O118+Q118</f>
        <v>0</v>
      </c>
      <c r="T118" s="174">
        <f>D118+F118+H118+J118+L118+N118+P118+R118</f>
        <v>0</v>
      </c>
      <c r="U118" s="175">
        <f>IF(S118=0,0,T118/S118)</f>
        <v>0</v>
      </c>
      <c r="V118" s="176">
        <f>SUM(S118-T118)</f>
        <v>0</v>
      </c>
      <c r="W118" s="176">
        <f>SUM(O118-P118)</f>
        <v>0</v>
      </c>
      <c r="X118" s="176">
        <f>SUM(Q118-R118)</f>
        <v>0</v>
      </c>
      <c r="Z118" s="201">
        <v>1</v>
      </c>
      <c r="AA118" s="202" t="str">
        <f>$B$10</f>
        <v>CIHANYAWAR</v>
      </c>
      <c r="AB118" s="203"/>
      <c r="AC118" s="203"/>
      <c r="AD118" s="203"/>
      <c r="AE118" s="203"/>
      <c r="AF118" s="203"/>
      <c r="AG118" s="203"/>
      <c r="AH118" s="203"/>
      <c r="AI118" s="203"/>
      <c r="AJ118" s="1431"/>
      <c r="AK118" s="1431"/>
      <c r="AL118" s="203"/>
      <c r="AM118" s="203"/>
      <c r="AN118" s="203"/>
      <c r="AO118" s="203"/>
      <c r="AP118" s="203"/>
      <c r="AQ118" s="203"/>
      <c r="AR118" s="174">
        <f>AB118+AD118+AF118+AH118+AJ118+AL118+AN118+AP118</f>
        <v>0</v>
      </c>
      <c r="AS118" s="174">
        <f>AC118+AE118+AG118+AI118+AK118+AM118+AO118+AQ118</f>
        <v>0</v>
      </c>
      <c r="AT118" s="175">
        <f>IF(AR118=0,0,AS118/AR118)</f>
        <v>0</v>
      </c>
      <c r="AU118" s="176">
        <f>SUM(AR118-AS118)</f>
        <v>0</v>
      </c>
      <c r="AV118" s="176">
        <f>SUM(AN118-AO118)</f>
        <v>0</v>
      </c>
      <c r="AW118" s="176">
        <f>SUM(AP118-AQ118)</f>
        <v>0</v>
      </c>
      <c r="AY118" s="27"/>
      <c r="AZ118" s="27"/>
      <c r="BA118" s="27"/>
      <c r="BB118" s="27"/>
      <c r="BC118" s="27"/>
      <c r="BD118" s="27"/>
      <c r="BE118" s="27"/>
      <c r="BF118" s="27"/>
      <c r="BG118" s="27"/>
      <c r="BH118" s="27"/>
      <c r="BI118" s="27"/>
      <c r="BJ118" s="27"/>
      <c r="BK118" s="27"/>
      <c r="BL118" s="27"/>
      <c r="BM118" s="27"/>
      <c r="BN118" s="34"/>
      <c r="BO118" s="27"/>
      <c r="BP118" s="34"/>
      <c r="BQ118" s="27"/>
      <c r="BR118" s="27"/>
      <c r="BS118" s="27"/>
      <c r="BT118" s="26"/>
      <c r="BU118" s="27"/>
      <c r="BV118" s="27"/>
      <c r="BW118" s="27"/>
      <c r="BX118" s="27"/>
      <c r="BY118" s="27"/>
      <c r="BZ118" s="27"/>
      <c r="CA118" s="27"/>
      <c r="CB118" s="27"/>
      <c r="CC118" s="27"/>
      <c r="CD118" s="27"/>
      <c r="CE118" s="27"/>
      <c r="CF118" s="27"/>
      <c r="CG118" s="27"/>
      <c r="CH118" s="27"/>
      <c r="CI118" s="27"/>
      <c r="CJ118" s="27"/>
      <c r="CK118" s="27"/>
      <c r="CL118" s="27"/>
      <c r="CM118" s="34"/>
      <c r="CN118" s="27"/>
      <c r="CO118" s="34"/>
      <c r="CP118" s="27"/>
      <c r="CQ118" s="27"/>
      <c r="CR118" s="27"/>
      <c r="CS118" s="26"/>
      <c r="CT118" s="27"/>
      <c r="CU118" s="27"/>
      <c r="CV118" s="27"/>
      <c r="CW118" s="27"/>
      <c r="CX118" s="27"/>
      <c r="CY118" s="27"/>
      <c r="CZ118" s="27"/>
      <c r="DA118" s="27"/>
      <c r="DB118" s="27"/>
      <c r="DC118" s="27"/>
      <c r="DD118" s="27"/>
      <c r="DE118" s="27"/>
      <c r="DF118" s="27"/>
      <c r="DG118" s="27"/>
      <c r="DH118" s="27"/>
      <c r="DI118" s="27"/>
      <c r="DJ118" s="27"/>
      <c r="DK118" s="27"/>
      <c r="DL118" s="34"/>
      <c r="DM118" s="27"/>
      <c r="DN118" s="34"/>
      <c r="DO118" s="27"/>
      <c r="DP118" s="27"/>
      <c r="DQ118" s="27"/>
      <c r="DR118" s="26"/>
      <c r="DS118" s="27"/>
      <c r="DT118" s="27"/>
      <c r="DV118" s="1387"/>
      <c r="DW118" s="1387"/>
      <c r="DX118" s="1393"/>
      <c r="DY118" s="1393"/>
      <c r="DZ118" s="1393"/>
      <c r="EA118" s="1393"/>
      <c r="EB118" s="1393"/>
      <c r="EC118" s="1393"/>
      <c r="ED118" s="1393"/>
      <c r="EE118" s="1393"/>
      <c r="EF118" s="1393"/>
      <c r="EG118" s="1393"/>
      <c r="EH118" s="1393"/>
      <c r="EI118" s="1393"/>
      <c r="EJ118" s="1393"/>
      <c r="EK118" s="1393"/>
      <c r="EL118" s="1393"/>
      <c r="EM118" s="1393"/>
      <c r="EN118" s="1379"/>
      <c r="EO118" s="1379"/>
      <c r="EP118" s="1380"/>
      <c r="EQ118" s="1381"/>
      <c r="ER118" s="1381"/>
      <c r="ES118" s="1381"/>
    </row>
    <row r="119" spans="1:149" s="168" customFormat="1" ht="42" customHeight="1">
      <c r="A119" s="204">
        <v>2</v>
      </c>
      <c r="B119" s="202" t="str">
        <f>$B$11</f>
        <v>NAGRAK UTARA</v>
      </c>
      <c r="C119" s="203"/>
      <c r="D119" s="203"/>
      <c r="E119" s="205"/>
      <c r="F119" s="205"/>
      <c r="G119" s="205"/>
      <c r="H119" s="205"/>
      <c r="I119" s="205"/>
      <c r="J119" s="205"/>
      <c r="K119" s="1432"/>
      <c r="L119" s="1432"/>
      <c r="M119" s="205"/>
      <c r="N119" s="205"/>
      <c r="O119" s="205"/>
      <c r="P119" s="205"/>
      <c r="Q119" s="205"/>
      <c r="R119" s="205"/>
      <c r="S119" s="177">
        <f t="shared" ref="S119:S133" si="116">C119+E119+G119+M119+O119+Q119</f>
        <v>0</v>
      </c>
      <c r="T119" s="177">
        <f t="shared" ref="T119:T133" si="117">D119+F119+H119+N119+P119+R119</f>
        <v>0</v>
      </c>
      <c r="U119" s="178">
        <f t="shared" ref="U119:U133" si="118">IF(S119=0,0,T119/S119)</f>
        <v>0</v>
      </c>
      <c r="V119" s="176">
        <f t="shared" ref="V119:V132" si="119">SUM(S119-T119)</f>
        <v>0</v>
      </c>
      <c r="W119" s="176">
        <f t="shared" ref="W119:W132" si="120">SUM(O119-P119)</f>
        <v>0</v>
      </c>
      <c r="X119" s="176">
        <f t="shared" ref="X119:X132" si="121">SUM(Q119-R119)</f>
        <v>0</v>
      </c>
      <c r="Z119" s="204">
        <v>2</v>
      </c>
      <c r="AA119" s="202" t="str">
        <f>$B$11</f>
        <v>NAGRAK UTARA</v>
      </c>
      <c r="AB119" s="203"/>
      <c r="AC119" s="203"/>
      <c r="AD119" s="205"/>
      <c r="AE119" s="205"/>
      <c r="AF119" s="205"/>
      <c r="AG119" s="205"/>
      <c r="AH119" s="205"/>
      <c r="AI119" s="205"/>
      <c r="AJ119" s="1432"/>
      <c r="AK119" s="1432"/>
      <c r="AL119" s="205"/>
      <c r="AM119" s="205"/>
      <c r="AN119" s="205"/>
      <c r="AO119" s="205"/>
      <c r="AP119" s="205"/>
      <c r="AQ119" s="205"/>
      <c r="AR119" s="177">
        <f t="shared" ref="AR119:AR133" si="122">AB119+AD119+AF119+AL119+AN119+AP119</f>
        <v>0</v>
      </c>
      <c r="AS119" s="177">
        <f t="shared" ref="AS119:AS133" si="123">AC119+AE119+AG119+AM119+AO119+AQ119</f>
        <v>0</v>
      </c>
      <c r="AT119" s="178">
        <f t="shared" ref="AT119:AT133" si="124">IF(AR119=0,0,AS119/AR119)</f>
        <v>0</v>
      </c>
      <c r="AU119" s="176">
        <f t="shared" ref="AU119:AU132" si="125">SUM(AR119-AS119)</f>
        <v>0</v>
      </c>
      <c r="AV119" s="176">
        <f t="shared" ref="AV119:AV132" si="126">SUM(AN119-AO119)</f>
        <v>0</v>
      </c>
      <c r="AW119" s="176">
        <f t="shared" ref="AW119:AW132" si="127">SUM(AP119-AQ119)</f>
        <v>0</v>
      </c>
      <c r="AY119" s="27"/>
      <c r="AZ119" s="27"/>
      <c r="BA119" s="27"/>
      <c r="BB119" s="27"/>
      <c r="BC119" s="27"/>
      <c r="BD119" s="27"/>
      <c r="BE119" s="27"/>
      <c r="BF119" s="27"/>
      <c r="BG119" s="27"/>
      <c r="BH119" s="27"/>
      <c r="BI119" s="27"/>
      <c r="BJ119" s="27"/>
      <c r="BK119" s="27"/>
      <c r="BL119" s="27"/>
      <c r="BM119" s="27"/>
      <c r="BN119" s="34"/>
      <c r="BO119" s="27"/>
      <c r="BP119" s="34"/>
      <c r="BQ119" s="27"/>
      <c r="BR119" s="27"/>
      <c r="BS119" s="27"/>
      <c r="BT119" s="26"/>
      <c r="BU119" s="27"/>
      <c r="BV119" s="27"/>
      <c r="BW119" s="27"/>
      <c r="BX119" s="27"/>
      <c r="BY119" s="27"/>
      <c r="BZ119" s="27"/>
      <c r="CA119" s="27"/>
      <c r="CB119" s="27"/>
      <c r="CC119" s="27"/>
      <c r="CD119" s="27"/>
      <c r="CE119" s="27"/>
      <c r="CF119" s="27"/>
      <c r="CG119" s="27"/>
      <c r="CH119" s="27"/>
      <c r="CI119" s="27"/>
      <c r="CJ119" s="27"/>
      <c r="CK119" s="27"/>
      <c r="CL119" s="27"/>
      <c r="CM119" s="34"/>
      <c r="CN119" s="27"/>
      <c r="CO119" s="34"/>
      <c r="CP119" s="27"/>
      <c r="CQ119" s="27"/>
      <c r="CR119" s="27"/>
      <c r="CS119" s="26"/>
      <c r="CT119" s="27"/>
      <c r="CU119" s="27"/>
      <c r="CV119" s="27"/>
      <c r="CW119" s="27"/>
      <c r="CX119" s="27"/>
      <c r="CY119" s="27"/>
      <c r="CZ119" s="27"/>
      <c r="DA119" s="27"/>
      <c r="DB119" s="27"/>
      <c r="DC119" s="27"/>
      <c r="DD119" s="27"/>
      <c r="DE119" s="27"/>
      <c r="DF119" s="27"/>
      <c r="DG119" s="27"/>
      <c r="DH119" s="27"/>
      <c r="DI119" s="27"/>
      <c r="DJ119" s="27"/>
      <c r="DK119" s="27"/>
      <c r="DL119" s="34"/>
      <c r="DM119" s="27"/>
      <c r="DN119" s="34"/>
      <c r="DO119" s="27"/>
      <c r="DP119" s="27"/>
      <c r="DQ119" s="27"/>
      <c r="DR119" s="26"/>
      <c r="DS119" s="27"/>
      <c r="DT119" s="27"/>
      <c r="DV119" s="1387"/>
      <c r="DW119" s="1387"/>
      <c r="DX119" s="1393"/>
      <c r="DY119" s="1393"/>
      <c r="DZ119" s="1393"/>
      <c r="EA119" s="1393"/>
      <c r="EB119" s="1393"/>
      <c r="EC119" s="1393"/>
      <c r="ED119" s="1393"/>
      <c r="EE119" s="1393"/>
      <c r="EF119" s="1393"/>
      <c r="EG119" s="1393"/>
      <c r="EH119" s="1393"/>
      <c r="EI119" s="1393"/>
      <c r="EJ119" s="1393"/>
      <c r="EK119" s="1393"/>
      <c r="EL119" s="1393"/>
      <c r="EM119" s="1393"/>
      <c r="EN119" s="1379"/>
      <c r="EO119" s="1379"/>
      <c r="EP119" s="1380"/>
      <c r="EQ119" s="1381"/>
      <c r="ER119" s="1381"/>
      <c r="ES119" s="1381"/>
    </row>
    <row r="120" spans="1:149" s="168" customFormat="1" ht="42" customHeight="1">
      <c r="A120" s="204">
        <v>3</v>
      </c>
      <c r="B120" s="202" t="str">
        <f>$B$12</f>
        <v>DARMAREJA</v>
      </c>
      <c r="C120" s="205"/>
      <c r="D120" s="205"/>
      <c r="E120" s="205"/>
      <c r="F120" s="205"/>
      <c r="G120" s="205"/>
      <c r="H120" s="205"/>
      <c r="I120" s="205"/>
      <c r="J120" s="205"/>
      <c r="K120" s="1432"/>
      <c r="L120" s="1432"/>
      <c r="M120" s="205"/>
      <c r="N120" s="205"/>
      <c r="O120" s="205"/>
      <c r="P120" s="205"/>
      <c r="Q120" s="205"/>
      <c r="R120" s="205"/>
      <c r="S120" s="177">
        <f t="shared" si="116"/>
        <v>0</v>
      </c>
      <c r="T120" s="177">
        <f t="shared" si="117"/>
        <v>0</v>
      </c>
      <c r="U120" s="178">
        <f t="shared" si="118"/>
        <v>0</v>
      </c>
      <c r="V120" s="176">
        <f t="shared" si="119"/>
        <v>0</v>
      </c>
      <c r="W120" s="176">
        <f t="shared" si="120"/>
        <v>0</v>
      </c>
      <c r="X120" s="176">
        <f t="shared" si="121"/>
        <v>0</v>
      </c>
      <c r="Z120" s="204">
        <v>3</v>
      </c>
      <c r="AA120" s="202" t="str">
        <f>$B$12</f>
        <v>DARMAREJA</v>
      </c>
      <c r="AB120" s="205"/>
      <c r="AC120" s="205"/>
      <c r="AD120" s="205"/>
      <c r="AE120" s="205"/>
      <c r="AF120" s="205"/>
      <c r="AG120" s="205"/>
      <c r="AH120" s="205"/>
      <c r="AI120" s="205"/>
      <c r="AJ120" s="1432"/>
      <c r="AK120" s="1432"/>
      <c r="AL120" s="205"/>
      <c r="AM120" s="205"/>
      <c r="AN120" s="205"/>
      <c r="AO120" s="205"/>
      <c r="AP120" s="205"/>
      <c r="AQ120" s="205"/>
      <c r="AR120" s="177">
        <f t="shared" si="122"/>
        <v>0</v>
      </c>
      <c r="AS120" s="177">
        <f t="shared" si="123"/>
        <v>0</v>
      </c>
      <c r="AT120" s="178">
        <f t="shared" si="124"/>
        <v>0</v>
      </c>
      <c r="AU120" s="176">
        <f t="shared" si="125"/>
        <v>0</v>
      </c>
      <c r="AV120" s="176">
        <f t="shared" si="126"/>
        <v>0</v>
      </c>
      <c r="AW120" s="176">
        <f t="shared" si="127"/>
        <v>0</v>
      </c>
      <c r="AY120" s="27"/>
      <c r="AZ120" s="27"/>
      <c r="BA120" s="27"/>
      <c r="BB120" s="27"/>
      <c r="BC120" s="27"/>
      <c r="BD120" s="27"/>
      <c r="BE120" s="27"/>
      <c r="BF120" s="27"/>
      <c r="BG120" s="27"/>
      <c r="BH120" s="27"/>
      <c r="BI120" s="27"/>
      <c r="BJ120" s="27"/>
      <c r="BK120" s="27"/>
      <c r="BL120" s="27"/>
      <c r="BM120" s="27"/>
      <c r="BN120" s="34"/>
      <c r="BO120" s="27"/>
      <c r="BP120" s="34"/>
      <c r="BQ120" s="27"/>
      <c r="BR120" s="27"/>
      <c r="BS120" s="27"/>
      <c r="BT120" s="26"/>
      <c r="BU120" s="27"/>
      <c r="BV120" s="27"/>
      <c r="BW120" s="27"/>
      <c r="BX120" s="27"/>
      <c r="BY120" s="27"/>
      <c r="BZ120" s="27"/>
      <c r="CA120" s="27"/>
      <c r="CB120" s="27"/>
      <c r="CC120" s="27"/>
      <c r="CD120" s="27"/>
      <c r="CE120" s="27"/>
      <c r="CF120" s="27"/>
      <c r="CG120" s="27"/>
      <c r="CH120" s="27"/>
      <c r="CI120" s="27"/>
      <c r="CJ120" s="27"/>
      <c r="CK120" s="27"/>
      <c r="CL120" s="27"/>
      <c r="CM120" s="34"/>
      <c r="CN120" s="27"/>
      <c r="CO120" s="34"/>
      <c r="CP120" s="27"/>
      <c r="CQ120" s="27"/>
      <c r="CR120" s="27"/>
      <c r="CS120" s="26"/>
      <c r="CT120" s="27"/>
      <c r="CU120" s="27"/>
      <c r="CV120" s="27"/>
      <c r="CW120" s="27"/>
      <c r="CX120" s="27"/>
      <c r="CY120" s="27"/>
      <c r="CZ120" s="27"/>
      <c r="DA120" s="27"/>
      <c r="DB120" s="27"/>
      <c r="DC120" s="27"/>
      <c r="DD120" s="27"/>
      <c r="DE120" s="27"/>
      <c r="DF120" s="27"/>
      <c r="DG120" s="27"/>
      <c r="DH120" s="27"/>
      <c r="DI120" s="27"/>
      <c r="DJ120" s="27"/>
      <c r="DK120" s="27"/>
      <c r="DL120" s="34"/>
      <c r="DM120" s="27"/>
      <c r="DN120" s="34"/>
      <c r="DO120" s="27"/>
      <c r="DP120" s="27"/>
      <c r="DQ120" s="27"/>
      <c r="DR120" s="26"/>
      <c r="DS120" s="27"/>
      <c r="DT120" s="27"/>
      <c r="DV120" s="1387"/>
      <c r="DW120" s="1387"/>
      <c r="DX120" s="1393"/>
      <c r="DY120" s="1393"/>
      <c r="DZ120" s="1393"/>
      <c r="EA120" s="1393"/>
      <c r="EB120" s="1393"/>
      <c r="EC120" s="1393"/>
      <c r="ED120" s="1393"/>
      <c r="EE120" s="1393"/>
      <c r="EF120" s="1393"/>
      <c r="EG120" s="1393"/>
      <c r="EH120" s="1393"/>
      <c r="EI120" s="1393"/>
      <c r="EJ120" s="1393"/>
      <c r="EK120" s="1393"/>
      <c r="EL120" s="1393"/>
      <c r="EM120" s="1393"/>
      <c r="EN120" s="1379"/>
      <c r="EO120" s="1379"/>
      <c r="EP120" s="1380"/>
      <c r="EQ120" s="1381"/>
      <c r="ER120" s="1381"/>
      <c r="ES120" s="1381"/>
    </row>
    <row r="121" spans="1:149" s="168" customFormat="1" ht="42" customHeight="1">
      <c r="A121" s="204">
        <v>4</v>
      </c>
      <c r="B121" s="202" t="str">
        <f>$B$13</f>
        <v>BALEKAMBANG</v>
      </c>
      <c r="C121" s="205"/>
      <c r="D121" s="205"/>
      <c r="E121" s="205"/>
      <c r="F121" s="205"/>
      <c r="G121" s="205"/>
      <c r="H121" s="205"/>
      <c r="I121" s="205"/>
      <c r="J121" s="205"/>
      <c r="K121" s="1432"/>
      <c r="L121" s="1432"/>
      <c r="M121" s="205"/>
      <c r="N121" s="205"/>
      <c r="O121" s="205"/>
      <c r="P121" s="205"/>
      <c r="Q121" s="205"/>
      <c r="R121" s="205"/>
      <c r="S121" s="177">
        <f t="shared" si="116"/>
        <v>0</v>
      </c>
      <c r="T121" s="177">
        <f t="shared" si="117"/>
        <v>0</v>
      </c>
      <c r="U121" s="178">
        <f t="shared" si="118"/>
        <v>0</v>
      </c>
      <c r="V121" s="176">
        <f t="shared" si="119"/>
        <v>0</v>
      </c>
      <c r="W121" s="176">
        <f t="shared" si="120"/>
        <v>0</v>
      </c>
      <c r="X121" s="176">
        <f t="shared" si="121"/>
        <v>0</v>
      </c>
      <c r="Z121" s="204">
        <v>4</v>
      </c>
      <c r="AA121" s="202" t="str">
        <f>$B$13</f>
        <v>BALEKAMBANG</v>
      </c>
      <c r="AB121" s="205"/>
      <c r="AC121" s="205"/>
      <c r="AD121" s="205"/>
      <c r="AE121" s="205"/>
      <c r="AF121" s="205"/>
      <c r="AG121" s="205"/>
      <c r="AH121" s="205"/>
      <c r="AI121" s="205"/>
      <c r="AJ121" s="1432"/>
      <c r="AK121" s="1432"/>
      <c r="AL121" s="205"/>
      <c r="AM121" s="205"/>
      <c r="AN121" s="205"/>
      <c r="AO121" s="205"/>
      <c r="AP121" s="205"/>
      <c r="AQ121" s="205"/>
      <c r="AR121" s="177">
        <f t="shared" si="122"/>
        <v>0</v>
      </c>
      <c r="AS121" s="177">
        <f t="shared" si="123"/>
        <v>0</v>
      </c>
      <c r="AT121" s="178">
        <f t="shared" si="124"/>
        <v>0</v>
      </c>
      <c r="AU121" s="176">
        <f t="shared" si="125"/>
        <v>0</v>
      </c>
      <c r="AV121" s="176">
        <f t="shared" si="126"/>
        <v>0</v>
      </c>
      <c r="AW121" s="176">
        <f t="shared" si="127"/>
        <v>0</v>
      </c>
      <c r="AY121" s="27"/>
      <c r="AZ121" s="27"/>
      <c r="BA121" s="27"/>
      <c r="BB121" s="27"/>
      <c r="BC121" s="27"/>
      <c r="BD121" s="27"/>
      <c r="BE121" s="27"/>
      <c r="BF121" s="27"/>
      <c r="BG121" s="27"/>
      <c r="BH121" s="27"/>
      <c r="BI121" s="27"/>
      <c r="BJ121" s="27"/>
      <c r="BK121" s="27"/>
      <c r="BL121" s="27"/>
      <c r="BM121" s="27"/>
      <c r="BN121" s="34"/>
      <c r="BO121" s="27"/>
      <c r="BP121" s="34"/>
      <c r="BQ121" s="27"/>
      <c r="BR121" s="27"/>
      <c r="BS121" s="27"/>
      <c r="BT121" s="26"/>
      <c r="BU121" s="27"/>
      <c r="BV121" s="27"/>
      <c r="BW121" s="27"/>
      <c r="BX121" s="27"/>
      <c r="BY121" s="27"/>
      <c r="BZ121" s="27"/>
      <c r="CA121" s="27"/>
      <c r="CB121" s="27"/>
      <c r="CC121" s="27"/>
      <c r="CD121" s="27"/>
      <c r="CE121" s="27"/>
      <c r="CF121" s="27"/>
      <c r="CG121" s="27"/>
      <c r="CH121" s="27"/>
      <c r="CI121" s="27"/>
      <c r="CJ121" s="27"/>
      <c r="CK121" s="27"/>
      <c r="CL121" s="27"/>
      <c r="CM121" s="34"/>
      <c r="CN121" s="27"/>
      <c r="CO121" s="34"/>
      <c r="CP121" s="27"/>
      <c r="CQ121" s="27"/>
      <c r="CR121" s="27"/>
      <c r="CS121" s="26"/>
      <c r="CT121" s="27"/>
      <c r="CU121" s="27"/>
      <c r="CV121" s="27"/>
      <c r="CW121" s="27"/>
      <c r="CX121" s="27"/>
      <c r="CY121" s="27"/>
      <c r="CZ121" s="27"/>
      <c r="DA121" s="27"/>
      <c r="DB121" s="27"/>
      <c r="DC121" s="27"/>
      <c r="DD121" s="27"/>
      <c r="DE121" s="27"/>
      <c r="DF121" s="27"/>
      <c r="DG121" s="27"/>
      <c r="DH121" s="27"/>
      <c r="DI121" s="27"/>
      <c r="DJ121" s="27"/>
      <c r="DK121" s="27"/>
      <c r="DL121" s="34"/>
      <c r="DM121" s="27"/>
      <c r="DN121" s="34"/>
      <c r="DO121" s="27"/>
      <c r="DP121" s="27"/>
      <c r="DQ121" s="27"/>
      <c r="DR121" s="26"/>
      <c r="DS121" s="27"/>
      <c r="DT121" s="27"/>
      <c r="DV121" s="1387"/>
      <c r="DW121" s="1387"/>
      <c r="DX121" s="1393"/>
      <c r="DY121" s="1393"/>
      <c r="DZ121" s="1393"/>
      <c r="EA121" s="1393"/>
      <c r="EB121" s="1393"/>
      <c r="EC121" s="1393"/>
      <c r="ED121" s="1393"/>
      <c r="EE121" s="1393"/>
      <c r="EF121" s="1393"/>
      <c r="EG121" s="1393"/>
      <c r="EH121" s="1393"/>
      <c r="EI121" s="1393"/>
      <c r="EJ121" s="1393"/>
      <c r="EK121" s="1393"/>
      <c r="EL121" s="1393"/>
      <c r="EM121" s="1393"/>
      <c r="EN121" s="1379"/>
      <c r="EO121" s="1379"/>
      <c r="EP121" s="1380"/>
      <c r="EQ121" s="1381"/>
      <c r="ER121" s="1381"/>
      <c r="ES121" s="1381"/>
    </row>
    <row r="122" spans="1:149" s="168" customFormat="1" ht="42" customHeight="1">
      <c r="A122" s="204">
        <v>5</v>
      </c>
      <c r="B122" s="202" t="str">
        <f>$B$14</f>
        <v>NAGRAK SELATAN</v>
      </c>
      <c r="C122" s="205"/>
      <c r="D122" s="205"/>
      <c r="E122" s="205"/>
      <c r="F122" s="205"/>
      <c r="G122" s="205"/>
      <c r="H122" s="205"/>
      <c r="I122" s="205"/>
      <c r="J122" s="205"/>
      <c r="K122" s="1432"/>
      <c r="L122" s="1432"/>
      <c r="M122" s="205"/>
      <c r="N122" s="205"/>
      <c r="O122" s="205"/>
      <c r="P122" s="205"/>
      <c r="Q122" s="205"/>
      <c r="R122" s="205"/>
      <c r="S122" s="177">
        <f t="shared" si="116"/>
        <v>0</v>
      </c>
      <c r="T122" s="177">
        <f t="shared" si="117"/>
        <v>0</v>
      </c>
      <c r="U122" s="178">
        <f t="shared" si="118"/>
        <v>0</v>
      </c>
      <c r="V122" s="176">
        <f t="shared" si="119"/>
        <v>0</v>
      </c>
      <c r="W122" s="176">
        <f t="shared" si="120"/>
        <v>0</v>
      </c>
      <c r="X122" s="176">
        <f t="shared" si="121"/>
        <v>0</v>
      </c>
      <c r="Z122" s="204">
        <v>5</v>
      </c>
      <c r="AA122" s="202" t="str">
        <f>$B$14</f>
        <v>NAGRAK SELATAN</v>
      </c>
      <c r="AB122" s="205"/>
      <c r="AC122" s="205"/>
      <c r="AD122" s="205"/>
      <c r="AE122" s="205"/>
      <c r="AF122" s="205"/>
      <c r="AG122" s="205"/>
      <c r="AH122" s="205"/>
      <c r="AI122" s="205"/>
      <c r="AJ122" s="1432"/>
      <c r="AK122" s="1432"/>
      <c r="AL122" s="205"/>
      <c r="AM122" s="205"/>
      <c r="AN122" s="205"/>
      <c r="AO122" s="205"/>
      <c r="AP122" s="205"/>
      <c r="AQ122" s="205"/>
      <c r="AR122" s="177">
        <f t="shared" si="122"/>
        <v>0</v>
      </c>
      <c r="AS122" s="177">
        <f t="shared" si="123"/>
        <v>0</v>
      </c>
      <c r="AT122" s="178">
        <f t="shared" si="124"/>
        <v>0</v>
      </c>
      <c r="AU122" s="176">
        <f t="shared" si="125"/>
        <v>0</v>
      </c>
      <c r="AV122" s="176">
        <f t="shared" si="126"/>
        <v>0</v>
      </c>
      <c r="AW122" s="176">
        <f t="shared" si="127"/>
        <v>0</v>
      </c>
      <c r="AY122" s="27"/>
      <c r="AZ122" s="27"/>
      <c r="BA122" s="27"/>
      <c r="BB122" s="27"/>
      <c r="BC122" s="27"/>
      <c r="BD122" s="27"/>
      <c r="BE122" s="27"/>
      <c r="BF122" s="27"/>
      <c r="BG122" s="27"/>
      <c r="BH122" s="27"/>
      <c r="BI122" s="27"/>
      <c r="BJ122" s="27"/>
      <c r="BK122" s="27"/>
      <c r="BL122" s="27"/>
      <c r="BM122" s="27"/>
      <c r="BN122" s="34"/>
      <c r="BO122" s="27"/>
      <c r="BP122" s="34"/>
      <c r="BQ122" s="27"/>
      <c r="BR122" s="27"/>
      <c r="BS122" s="27"/>
      <c r="BT122" s="26"/>
      <c r="BU122" s="27"/>
      <c r="BV122" s="27"/>
      <c r="BW122" s="27"/>
      <c r="BX122" s="27"/>
      <c r="BY122" s="27"/>
      <c r="BZ122" s="27"/>
      <c r="CA122" s="27"/>
      <c r="CB122" s="27"/>
      <c r="CC122" s="27"/>
      <c r="CD122" s="27"/>
      <c r="CE122" s="27"/>
      <c r="CF122" s="27"/>
      <c r="CG122" s="27"/>
      <c r="CH122" s="27"/>
      <c r="CI122" s="27"/>
      <c r="CJ122" s="27"/>
      <c r="CK122" s="27"/>
      <c r="CL122" s="27"/>
      <c r="CM122" s="34"/>
      <c r="CN122" s="27"/>
      <c r="CO122" s="34"/>
      <c r="CP122" s="27"/>
      <c r="CQ122" s="27"/>
      <c r="CR122" s="27"/>
      <c r="CS122" s="26"/>
      <c r="CT122" s="27"/>
      <c r="CU122" s="27"/>
      <c r="CV122" s="27"/>
      <c r="CW122" s="27"/>
      <c r="CX122" s="27"/>
      <c r="CY122" s="27"/>
      <c r="CZ122" s="27"/>
      <c r="DA122" s="27"/>
      <c r="DB122" s="27"/>
      <c r="DC122" s="27"/>
      <c r="DD122" s="27"/>
      <c r="DE122" s="27"/>
      <c r="DF122" s="27"/>
      <c r="DG122" s="27"/>
      <c r="DH122" s="27"/>
      <c r="DI122" s="27"/>
      <c r="DJ122" s="27"/>
      <c r="DK122" s="27"/>
      <c r="DL122" s="34"/>
      <c r="DM122" s="27"/>
      <c r="DN122" s="34"/>
      <c r="DO122" s="27"/>
      <c r="DP122" s="27"/>
      <c r="DQ122" s="27"/>
      <c r="DR122" s="26"/>
      <c r="DS122" s="27"/>
      <c r="DT122" s="27"/>
      <c r="DV122" s="1387"/>
      <c r="DW122" s="1387"/>
      <c r="DX122" s="1393"/>
      <c r="DY122" s="1393"/>
      <c r="DZ122" s="1393"/>
      <c r="EA122" s="1393"/>
      <c r="EB122" s="1393"/>
      <c r="EC122" s="1393"/>
      <c r="ED122" s="1393"/>
      <c r="EE122" s="1393"/>
      <c r="EF122" s="1393"/>
      <c r="EG122" s="1393"/>
      <c r="EH122" s="1393"/>
      <c r="EI122" s="1393"/>
      <c r="EJ122" s="1393"/>
      <c r="EK122" s="1393"/>
      <c r="EL122" s="1393"/>
      <c r="EM122" s="1393"/>
      <c r="EN122" s="1379"/>
      <c r="EO122" s="1379"/>
      <c r="EP122" s="1380"/>
      <c r="EQ122" s="1381"/>
      <c r="ER122" s="1381"/>
      <c r="ES122" s="1381"/>
    </row>
    <row r="123" spans="1:149" s="168" customFormat="1" ht="42" customHeight="1">
      <c r="A123" s="204">
        <v>6</v>
      </c>
      <c r="B123" s="202" t="str">
        <f>$B$15</f>
        <v>KALAPAREA</v>
      </c>
      <c r="C123" s="205"/>
      <c r="D123" s="205"/>
      <c r="E123" s="205"/>
      <c r="F123" s="205"/>
      <c r="G123" s="205"/>
      <c r="H123" s="205"/>
      <c r="I123" s="205"/>
      <c r="J123" s="205"/>
      <c r="K123" s="1432"/>
      <c r="L123" s="1432"/>
      <c r="M123" s="205"/>
      <c r="N123" s="205"/>
      <c r="O123" s="205"/>
      <c r="P123" s="205"/>
      <c r="Q123" s="205"/>
      <c r="R123" s="205"/>
      <c r="S123" s="177">
        <f t="shared" si="116"/>
        <v>0</v>
      </c>
      <c r="T123" s="177">
        <f t="shared" si="117"/>
        <v>0</v>
      </c>
      <c r="U123" s="178">
        <f t="shared" si="118"/>
        <v>0</v>
      </c>
      <c r="V123" s="176">
        <f t="shared" si="119"/>
        <v>0</v>
      </c>
      <c r="W123" s="176">
        <f t="shared" si="120"/>
        <v>0</v>
      </c>
      <c r="X123" s="176">
        <f t="shared" si="121"/>
        <v>0</v>
      </c>
      <c r="Z123" s="204">
        <v>6</v>
      </c>
      <c r="AA123" s="202" t="str">
        <f>$B$15</f>
        <v>KALAPAREA</v>
      </c>
      <c r="AB123" s="205"/>
      <c r="AC123" s="205"/>
      <c r="AD123" s="205"/>
      <c r="AE123" s="205"/>
      <c r="AF123" s="205"/>
      <c r="AG123" s="205"/>
      <c r="AH123" s="205"/>
      <c r="AI123" s="205"/>
      <c r="AJ123" s="1432"/>
      <c r="AK123" s="1432"/>
      <c r="AL123" s="205"/>
      <c r="AM123" s="205"/>
      <c r="AN123" s="205"/>
      <c r="AO123" s="205"/>
      <c r="AP123" s="205"/>
      <c r="AQ123" s="205"/>
      <c r="AR123" s="177">
        <f t="shared" si="122"/>
        <v>0</v>
      </c>
      <c r="AS123" s="177">
        <f t="shared" si="123"/>
        <v>0</v>
      </c>
      <c r="AT123" s="178">
        <f t="shared" si="124"/>
        <v>0</v>
      </c>
      <c r="AU123" s="176">
        <f t="shared" si="125"/>
        <v>0</v>
      </c>
      <c r="AV123" s="176">
        <f t="shared" si="126"/>
        <v>0</v>
      </c>
      <c r="AW123" s="176">
        <f t="shared" si="127"/>
        <v>0</v>
      </c>
      <c r="AY123" s="27"/>
      <c r="AZ123" s="27"/>
      <c r="BA123" s="27"/>
      <c r="BB123" s="27"/>
      <c r="BC123" s="27"/>
      <c r="BD123" s="27"/>
      <c r="BE123" s="27"/>
      <c r="BF123" s="27"/>
      <c r="BG123" s="27"/>
      <c r="BH123" s="27"/>
      <c r="BI123" s="27"/>
      <c r="BJ123" s="27"/>
      <c r="BK123" s="27"/>
      <c r="BL123" s="27"/>
      <c r="BM123" s="27"/>
      <c r="BN123" s="34"/>
      <c r="BO123" s="27"/>
      <c r="BP123" s="34"/>
      <c r="BQ123" s="27"/>
      <c r="BR123" s="27"/>
      <c r="BS123" s="27"/>
      <c r="BT123" s="26"/>
      <c r="BU123" s="27"/>
      <c r="BV123" s="27"/>
      <c r="BW123" s="27"/>
      <c r="BX123" s="27"/>
      <c r="BY123" s="27"/>
      <c r="BZ123" s="27"/>
      <c r="CA123" s="27"/>
      <c r="CB123" s="27"/>
      <c r="CC123" s="27"/>
      <c r="CD123" s="27"/>
      <c r="CE123" s="27"/>
      <c r="CF123" s="27"/>
      <c r="CG123" s="27"/>
      <c r="CH123" s="27"/>
      <c r="CI123" s="27"/>
      <c r="CJ123" s="27"/>
      <c r="CK123" s="27"/>
      <c r="CL123" s="27"/>
      <c r="CM123" s="34"/>
      <c r="CN123" s="27"/>
      <c r="CO123" s="34"/>
      <c r="CP123" s="27"/>
      <c r="CQ123" s="27"/>
      <c r="CR123" s="27"/>
      <c r="CS123" s="26"/>
      <c r="CT123" s="27"/>
      <c r="CU123" s="27"/>
      <c r="CV123" s="27"/>
      <c r="CW123" s="27"/>
      <c r="CX123" s="27"/>
      <c r="CY123" s="27"/>
      <c r="CZ123" s="27"/>
      <c r="DA123" s="27"/>
      <c r="DB123" s="27"/>
      <c r="DC123" s="27"/>
      <c r="DD123" s="27"/>
      <c r="DE123" s="27"/>
      <c r="DF123" s="27"/>
      <c r="DG123" s="27"/>
      <c r="DH123" s="27"/>
      <c r="DI123" s="27"/>
      <c r="DJ123" s="27"/>
      <c r="DK123" s="27"/>
      <c r="DL123" s="34"/>
      <c r="DM123" s="27"/>
      <c r="DN123" s="34"/>
      <c r="DO123" s="27"/>
      <c r="DP123" s="27"/>
      <c r="DQ123" s="27"/>
      <c r="DR123" s="26"/>
      <c r="DS123" s="27"/>
      <c r="DT123" s="27"/>
      <c r="DV123" s="1387"/>
      <c r="DW123" s="1387"/>
      <c r="DX123" s="1393"/>
      <c r="DY123" s="1393"/>
      <c r="DZ123" s="1393"/>
      <c r="EA123" s="1393"/>
      <c r="EB123" s="1393"/>
      <c r="EC123" s="1393"/>
      <c r="ED123" s="1393"/>
      <c r="EE123" s="1393"/>
      <c r="EF123" s="1393"/>
      <c r="EG123" s="1393"/>
      <c r="EH123" s="1393"/>
      <c r="EI123" s="1393"/>
      <c r="EJ123" s="1393"/>
      <c r="EK123" s="1393"/>
      <c r="EL123" s="1393"/>
      <c r="EM123" s="1393"/>
      <c r="EN123" s="1379"/>
      <c r="EO123" s="1379"/>
      <c r="EP123" s="1380"/>
      <c r="EQ123" s="1381"/>
      <c r="ER123" s="1381"/>
      <c r="ES123" s="1381"/>
    </row>
    <row r="124" spans="1:149" s="168" customFormat="1" ht="42" customHeight="1">
      <c r="A124" s="204">
        <v>7</v>
      </c>
      <c r="B124" s="202" t="str">
        <f>$B$16</f>
        <v>BABAKAN PANJANG</v>
      </c>
      <c r="C124" s="205"/>
      <c r="D124" s="205"/>
      <c r="E124" s="205"/>
      <c r="F124" s="205"/>
      <c r="G124" s="205"/>
      <c r="H124" s="205"/>
      <c r="I124" s="205"/>
      <c r="J124" s="205"/>
      <c r="K124" s="1432"/>
      <c r="L124" s="1432"/>
      <c r="M124" s="205"/>
      <c r="N124" s="205"/>
      <c r="O124" s="205"/>
      <c r="P124" s="205"/>
      <c r="Q124" s="205"/>
      <c r="R124" s="205"/>
      <c r="S124" s="177">
        <f t="shared" si="116"/>
        <v>0</v>
      </c>
      <c r="T124" s="177">
        <f t="shared" si="117"/>
        <v>0</v>
      </c>
      <c r="U124" s="178">
        <f t="shared" si="118"/>
        <v>0</v>
      </c>
      <c r="V124" s="176">
        <f t="shared" si="119"/>
        <v>0</v>
      </c>
      <c r="W124" s="176">
        <f t="shared" si="120"/>
        <v>0</v>
      </c>
      <c r="X124" s="176">
        <f t="shared" si="121"/>
        <v>0</v>
      </c>
      <c r="Z124" s="204">
        <v>7</v>
      </c>
      <c r="AA124" s="202" t="str">
        <f>$B$16</f>
        <v>BABAKAN PANJANG</v>
      </c>
      <c r="AB124" s="205"/>
      <c r="AC124" s="205"/>
      <c r="AD124" s="205"/>
      <c r="AE124" s="205"/>
      <c r="AF124" s="205"/>
      <c r="AG124" s="205"/>
      <c r="AH124" s="205"/>
      <c r="AI124" s="205"/>
      <c r="AJ124" s="1432"/>
      <c r="AK124" s="1432"/>
      <c r="AL124" s="205"/>
      <c r="AM124" s="205"/>
      <c r="AN124" s="205"/>
      <c r="AO124" s="205"/>
      <c r="AP124" s="205"/>
      <c r="AQ124" s="205"/>
      <c r="AR124" s="177">
        <f t="shared" si="122"/>
        <v>0</v>
      </c>
      <c r="AS124" s="177">
        <f t="shared" si="123"/>
        <v>0</v>
      </c>
      <c r="AT124" s="178">
        <f t="shared" si="124"/>
        <v>0</v>
      </c>
      <c r="AU124" s="176">
        <f t="shared" si="125"/>
        <v>0</v>
      </c>
      <c r="AV124" s="176">
        <f t="shared" si="126"/>
        <v>0</v>
      </c>
      <c r="AW124" s="176">
        <f t="shared" si="127"/>
        <v>0</v>
      </c>
      <c r="AY124" s="27"/>
      <c r="AZ124" s="27"/>
      <c r="BA124" s="27"/>
      <c r="BB124" s="27"/>
      <c r="BC124" s="27"/>
      <c r="BD124" s="27"/>
      <c r="BE124" s="27"/>
      <c r="BF124" s="27"/>
      <c r="BG124" s="27"/>
      <c r="BH124" s="27"/>
      <c r="BI124" s="27"/>
      <c r="BJ124" s="27"/>
      <c r="BK124" s="27"/>
      <c r="BL124" s="27"/>
      <c r="BM124" s="27"/>
      <c r="BN124" s="34"/>
      <c r="BO124" s="27"/>
      <c r="BP124" s="34"/>
      <c r="BQ124" s="27"/>
      <c r="BR124" s="27"/>
      <c r="BS124" s="27"/>
      <c r="BT124" s="26"/>
      <c r="BU124" s="27"/>
      <c r="BV124" s="27"/>
      <c r="BW124" s="27"/>
      <c r="BX124" s="27"/>
      <c r="BY124" s="27"/>
      <c r="BZ124" s="27"/>
      <c r="CA124" s="27"/>
      <c r="CB124" s="27"/>
      <c r="CC124" s="27"/>
      <c r="CD124" s="27"/>
      <c r="CE124" s="27"/>
      <c r="CF124" s="27"/>
      <c r="CG124" s="27"/>
      <c r="CH124" s="27"/>
      <c r="CI124" s="27"/>
      <c r="CJ124" s="27"/>
      <c r="CK124" s="27"/>
      <c r="CL124" s="27"/>
      <c r="CM124" s="34"/>
      <c r="CN124" s="27"/>
      <c r="CO124" s="34"/>
      <c r="CP124" s="27"/>
      <c r="CQ124" s="27"/>
      <c r="CR124" s="27"/>
      <c r="CS124" s="26"/>
      <c r="CT124" s="27"/>
      <c r="CU124" s="27"/>
      <c r="CV124" s="27"/>
      <c r="CW124" s="27"/>
      <c r="CX124" s="27"/>
      <c r="CY124" s="27"/>
      <c r="CZ124" s="27"/>
      <c r="DA124" s="27"/>
      <c r="DB124" s="27"/>
      <c r="DC124" s="27"/>
      <c r="DD124" s="27"/>
      <c r="DE124" s="27"/>
      <c r="DF124" s="27"/>
      <c r="DG124" s="27"/>
      <c r="DH124" s="27"/>
      <c r="DI124" s="27"/>
      <c r="DJ124" s="27"/>
      <c r="DK124" s="27"/>
      <c r="DL124" s="34"/>
      <c r="DM124" s="27"/>
      <c r="DN124" s="34"/>
      <c r="DO124" s="27"/>
      <c r="DP124" s="27"/>
      <c r="DQ124" s="27"/>
      <c r="DR124" s="26"/>
      <c r="DS124" s="27"/>
      <c r="DT124" s="27"/>
      <c r="DV124" s="1387"/>
      <c r="DW124" s="1387"/>
      <c r="DX124" s="1393"/>
      <c r="DY124" s="1393"/>
      <c r="DZ124" s="1393"/>
      <c r="EA124" s="1393"/>
      <c r="EB124" s="1393"/>
      <c r="EC124" s="1393"/>
      <c r="ED124" s="1393"/>
      <c r="EE124" s="1393"/>
      <c r="EF124" s="1393"/>
      <c r="EG124" s="1393"/>
      <c r="EH124" s="1393"/>
      <c r="EI124" s="1393"/>
      <c r="EJ124" s="1393"/>
      <c r="EK124" s="1393"/>
      <c r="EL124" s="1393"/>
      <c r="EM124" s="1393"/>
      <c r="EN124" s="1379"/>
      <c r="EO124" s="1379"/>
      <c r="EP124" s="1380"/>
      <c r="EQ124" s="1381"/>
      <c r="ER124" s="1381"/>
      <c r="ES124" s="1381"/>
    </row>
    <row r="125" spans="1:149" s="168" customFormat="1" ht="42" customHeight="1">
      <c r="A125" s="204">
        <v>8</v>
      </c>
      <c r="B125" s="202" t="str">
        <f>$B$17</f>
        <v>PAWENANG</v>
      </c>
      <c r="C125" s="205"/>
      <c r="D125" s="205"/>
      <c r="E125" s="205"/>
      <c r="F125" s="205"/>
      <c r="G125" s="205"/>
      <c r="H125" s="205"/>
      <c r="I125" s="205"/>
      <c r="J125" s="205"/>
      <c r="K125" s="1432"/>
      <c r="L125" s="1432"/>
      <c r="M125" s="205"/>
      <c r="N125" s="205"/>
      <c r="O125" s="205"/>
      <c r="P125" s="205"/>
      <c r="Q125" s="205"/>
      <c r="R125" s="205"/>
      <c r="S125" s="177">
        <f t="shared" si="116"/>
        <v>0</v>
      </c>
      <c r="T125" s="177">
        <f t="shared" si="117"/>
        <v>0</v>
      </c>
      <c r="U125" s="178">
        <f t="shared" si="118"/>
        <v>0</v>
      </c>
      <c r="V125" s="176">
        <f t="shared" si="119"/>
        <v>0</v>
      </c>
      <c r="W125" s="176">
        <f t="shared" si="120"/>
        <v>0</v>
      </c>
      <c r="X125" s="176">
        <f t="shared" si="121"/>
        <v>0</v>
      </c>
      <c r="Z125" s="204">
        <v>8</v>
      </c>
      <c r="AA125" s="202" t="str">
        <f>$B$17</f>
        <v>PAWENANG</v>
      </c>
      <c r="AB125" s="205"/>
      <c r="AC125" s="205"/>
      <c r="AD125" s="205"/>
      <c r="AE125" s="205"/>
      <c r="AF125" s="205"/>
      <c r="AG125" s="205"/>
      <c r="AH125" s="205"/>
      <c r="AI125" s="205"/>
      <c r="AJ125" s="1432"/>
      <c r="AK125" s="1432"/>
      <c r="AL125" s="205"/>
      <c r="AM125" s="205"/>
      <c r="AN125" s="205"/>
      <c r="AO125" s="205"/>
      <c r="AP125" s="205"/>
      <c r="AQ125" s="205"/>
      <c r="AR125" s="177">
        <f t="shared" si="122"/>
        <v>0</v>
      </c>
      <c r="AS125" s="177">
        <f t="shared" si="123"/>
        <v>0</v>
      </c>
      <c r="AT125" s="178">
        <f t="shared" si="124"/>
        <v>0</v>
      </c>
      <c r="AU125" s="176">
        <f t="shared" si="125"/>
        <v>0</v>
      </c>
      <c r="AV125" s="176">
        <f t="shared" si="126"/>
        <v>0</v>
      </c>
      <c r="AW125" s="176">
        <f t="shared" si="127"/>
        <v>0</v>
      </c>
      <c r="AY125" s="27"/>
      <c r="AZ125" s="27"/>
      <c r="BA125" s="27"/>
      <c r="BB125" s="27"/>
      <c r="BC125" s="27"/>
      <c r="BD125" s="27"/>
      <c r="BE125" s="27"/>
      <c r="BF125" s="27"/>
      <c r="BG125" s="27"/>
      <c r="BH125" s="27"/>
      <c r="BI125" s="27"/>
      <c r="BJ125" s="27"/>
      <c r="BK125" s="27"/>
      <c r="BL125" s="27"/>
      <c r="BM125" s="27"/>
      <c r="BN125" s="34"/>
      <c r="BO125" s="27"/>
      <c r="BP125" s="34"/>
      <c r="BQ125" s="27"/>
      <c r="BR125" s="27"/>
      <c r="BS125" s="27"/>
      <c r="BT125" s="26"/>
      <c r="BU125" s="27"/>
      <c r="BV125" s="27"/>
      <c r="BW125" s="27"/>
      <c r="BX125" s="27"/>
      <c r="BY125" s="27"/>
      <c r="BZ125" s="27"/>
      <c r="CA125" s="27"/>
      <c r="CB125" s="27"/>
      <c r="CC125" s="27"/>
      <c r="CD125" s="27"/>
      <c r="CE125" s="27"/>
      <c r="CF125" s="27"/>
      <c r="CG125" s="27"/>
      <c r="CH125" s="27"/>
      <c r="CI125" s="27"/>
      <c r="CJ125" s="27"/>
      <c r="CK125" s="27"/>
      <c r="CL125" s="27"/>
      <c r="CM125" s="34"/>
      <c r="CN125" s="27"/>
      <c r="CO125" s="34"/>
      <c r="CP125" s="27"/>
      <c r="CQ125" s="27"/>
      <c r="CR125" s="27"/>
      <c r="CS125" s="26"/>
      <c r="CT125" s="27"/>
      <c r="CU125" s="27"/>
      <c r="CV125" s="27"/>
      <c r="CW125" s="27"/>
      <c r="CX125" s="27"/>
      <c r="CY125" s="27"/>
      <c r="CZ125" s="27"/>
      <c r="DA125" s="27"/>
      <c r="DB125" s="27"/>
      <c r="DC125" s="27"/>
      <c r="DD125" s="27"/>
      <c r="DE125" s="27"/>
      <c r="DF125" s="27"/>
      <c r="DG125" s="27"/>
      <c r="DH125" s="27"/>
      <c r="DI125" s="27"/>
      <c r="DJ125" s="27"/>
      <c r="DK125" s="27"/>
      <c r="DL125" s="34"/>
      <c r="DM125" s="27"/>
      <c r="DN125" s="34"/>
      <c r="DO125" s="27"/>
      <c r="DP125" s="27"/>
      <c r="DQ125" s="27"/>
      <c r="DR125" s="26"/>
      <c r="DS125" s="27"/>
      <c r="DT125" s="27"/>
      <c r="DV125" s="1387"/>
      <c r="DW125" s="1387"/>
      <c r="DX125" s="1393"/>
      <c r="DY125" s="1393"/>
      <c r="DZ125" s="1393"/>
      <c r="EA125" s="1393"/>
      <c r="EB125" s="1393"/>
      <c r="EC125" s="1393"/>
      <c r="ED125" s="1393"/>
      <c r="EE125" s="1393"/>
      <c r="EF125" s="1393"/>
      <c r="EG125" s="1393"/>
      <c r="EH125" s="1393"/>
      <c r="EI125" s="1393"/>
      <c r="EJ125" s="1393"/>
      <c r="EK125" s="1393"/>
      <c r="EL125" s="1393"/>
      <c r="EM125" s="1393"/>
      <c r="EN125" s="1379"/>
      <c r="EO125" s="1379"/>
      <c r="EP125" s="1380"/>
      <c r="EQ125" s="1381"/>
      <c r="ER125" s="1381"/>
      <c r="ES125" s="1381"/>
    </row>
    <row r="126" spans="1:149" s="168" customFormat="1" ht="42" customHeight="1">
      <c r="A126" s="204">
        <v>9</v>
      </c>
      <c r="B126" s="202" t="str">
        <f>$B$18</f>
        <v>CISARUA</v>
      </c>
      <c r="C126" s="205"/>
      <c r="D126" s="205"/>
      <c r="E126" s="205"/>
      <c r="F126" s="205"/>
      <c r="G126" s="205"/>
      <c r="H126" s="205"/>
      <c r="I126" s="205"/>
      <c r="J126" s="205"/>
      <c r="K126" s="1432"/>
      <c r="L126" s="1432"/>
      <c r="M126" s="206"/>
      <c r="N126" s="206"/>
      <c r="O126" s="205"/>
      <c r="P126" s="205"/>
      <c r="Q126" s="205"/>
      <c r="R126" s="205"/>
      <c r="S126" s="177">
        <f t="shared" si="116"/>
        <v>0</v>
      </c>
      <c r="T126" s="177">
        <f t="shared" si="117"/>
        <v>0</v>
      </c>
      <c r="U126" s="178">
        <f t="shared" si="118"/>
        <v>0</v>
      </c>
      <c r="V126" s="176">
        <f t="shared" si="119"/>
        <v>0</v>
      </c>
      <c r="W126" s="176">
        <f t="shared" si="120"/>
        <v>0</v>
      </c>
      <c r="X126" s="176">
        <f t="shared" si="121"/>
        <v>0</v>
      </c>
      <c r="Z126" s="204">
        <v>9</v>
      </c>
      <c r="AA126" s="202" t="str">
        <f>$B$18</f>
        <v>CISARUA</v>
      </c>
      <c r="AB126" s="205"/>
      <c r="AC126" s="205"/>
      <c r="AD126" s="205"/>
      <c r="AE126" s="205"/>
      <c r="AF126" s="205"/>
      <c r="AG126" s="205"/>
      <c r="AH126" s="205"/>
      <c r="AI126" s="205"/>
      <c r="AJ126" s="1432"/>
      <c r="AK126" s="1432"/>
      <c r="AL126" s="206"/>
      <c r="AM126" s="206"/>
      <c r="AN126" s="205"/>
      <c r="AO126" s="205"/>
      <c r="AP126" s="205"/>
      <c r="AQ126" s="205"/>
      <c r="AR126" s="177">
        <f t="shared" si="122"/>
        <v>0</v>
      </c>
      <c r="AS126" s="177">
        <f t="shared" si="123"/>
        <v>0</v>
      </c>
      <c r="AT126" s="178">
        <f t="shared" si="124"/>
        <v>0</v>
      </c>
      <c r="AU126" s="176">
        <f t="shared" si="125"/>
        <v>0</v>
      </c>
      <c r="AV126" s="176">
        <f t="shared" si="126"/>
        <v>0</v>
      </c>
      <c r="AW126" s="176">
        <f t="shared" si="127"/>
        <v>0</v>
      </c>
      <c r="AY126" s="27"/>
      <c r="AZ126" s="27"/>
      <c r="BA126" s="27"/>
      <c r="BB126" s="27"/>
      <c r="BC126" s="27"/>
      <c r="BD126" s="27"/>
      <c r="BE126" s="27"/>
      <c r="BF126" s="27"/>
      <c r="BG126" s="27"/>
      <c r="BH126" s="27"/>
      <c r="BI126" s="27"/>
      <c r="BJ126" s="27"/>
      <c r="BK126" s="27"/>
      <c r="BL126" s="27"/>
      <c r="BM126" s="27"/>
      <c r="BN126" s="34"/>
      <c r="BO126" s="27"/>
      <c r="BP126" s="34"/>
      <c r="BQ126" s="27"/>
      <c r="BR126" s="27"/>
      <c r="BS126" s="27"/>
      <c r="BT126" s="26"/>
      <c r="BU126" s="27"/>
      <c r="BV126" s="27"/>
      <c r="BW126" s="27"/>
      <c r="BX126" s="27"/>
      <c r="BY126" s="27"/>
      <c r="BZ126" s="27"/>
      <c r="CA126" s="27"/>
      <c r="CB126" s="27"/>
      <c r="CC126" s="27"/>
      <c r="CD126" s="27"/>
      <c r="CE126" s="27"/>
      <c r="CF126" s="27"/>
      <c r="CG126" s="27"/>
      <c r="CH126" s="27"/>
      <c r="CI126" s="27"/>
      <c r="CJ126" s="27"/>
      <c r="CK126" s="27"/>
      <c r="CL126" s="27"/>
      <c r="CM126" s="34"/>
      <c r="CN126" s="27"/>
      <c r="CO126" s="34"/>
      <c r="CP126" s="27"/>
      <c r="CQ126" s="27"/>
      <c r="CR126" s="27"/>
      <c r="CS126" s="26"/>
      <c r="CT126" s="27"/>
      <c r="CU126" s="27"/>
      <c r="CV126" s="27"/>
      <c r="CW126" s="27"/>
      <c r="CX126" s="27"/>
      <c r="CY126" s="27"/>
      <c r="CZ126" s="27"/>
      <c r="DA126" s="27"/>
      <c r="DB126" s="27"/>
      <c r="DC126" s="27"/>
      <c r="DD126" s="27"/>
      <c r="DE126" s="27"/>
      <c r="DF126" s="27"/>
      <c r="DG126" s="27"/>
      <c r="DH126" s="27"/>
      <c r="DI126" s="27"/>
      <c r="DJ126" s="27"/>
      <c r="DK126" s="27"/>
      <c r="DL126" s="34"/>
      <c r="DM126" s="27"/>
      <c r="DN126" s="34"/>
      <c r="DO126" s="27"/>
      <c r="DP126" s="27"/>
      <c r="DQ126" s="27"/>
      <c r="DR126" s="26"/>
      <c r="DS126" s="27"/>
      <c r="DT126" s="27"/>
      <c r="DV126" s="1387"/>
      <c r="DW126" s="1387"/>
      <c r="DX126" s="1393"/>
      <c r="DY126" s="1393"/>
      <c r="DZ126" s="1393"/>
      <c r="EA126" s="1393"/>
      <c r="EB126" s="1393"/>
      <c r="EC126" s="1393"/>
      <c r="ED126" s="1393"/>
      <c r="EE126" s="1393"/>
      <c r="EF126" s="1393"/>
      <c r="EG126" s="1393"/>
      <c r="EH126" s="1393"/>
      <c r="EI126" s="1393"/>
      <c r="EJ126" s="1393"/>
      <c r="EK126" s="1393"/>
      <c r="EL126" s="1393"/>
      <c r="EM126" s="1393"/>
      <c r="EN126" s="1379"/>
      <c r="EO126" s="1379"/>
      <c r="EP126" s="1380"/>
      <c r="EQ126" s="1381"/>
      <c r="ER126" s="1381"/>
      <c r="ES126" s="1381"/>
    </row>
    <row r="127" spans="1:149" s="168" customFormat="1" ht="42" customHeight="1">
      <c r="A127" s="204">
        <v>10</v>
      </c>
      <c r="B127" s="202" t="str">
        <f>$B$19</f>
        <v>GIRIJAYA</v>
      </c>
      <c r="C127" s="207"/>
      <c r="D127" s="207"/>
      <c r="E127" s="206"/>
      <c r="F127" s="206"/>
      <c r="G127" s="206"/>
      <c r="H127" s="206"/>
      <c r="I127" s="206"/>
      <c r="J127" s="206"/>
      <c r="K127" s="1433"/>
      <c r="L127" s="1433"/>
      <c r="M127" s="206"/>
      <c r="N127" s="206"/>
      <c r="O127" s="206"/>
      <c r="P127" s="206"/>
      <c r="Q127" s="206"/>
      <c r="R127" s="206"/>
      <c r="S127" s="177">
        <f t="shared" si="116"/>
        <v>0</v>
      </c>
      <c r="T127" s="177">
        <f t="shared" si="117"/>
        <v>0</v>
      </c>
      <c r="U127" s="178">
        <f t="shared" si="118"/>
        <v>0</v>
      </c>
      <c r="V127" s="176">
        <f t="shared" si="119"/>
        <v>0</v>
      </c>
      <c r="W127" s="176">
        <f t="shared" si="120"/>
        <v>0</v>
      </c>
      <c r="X127" s="176">
        <f t="shared" si="121"/>
        <v>0</v>
      </c>
      <c r="Z127" s="204">
        <v>10</v>
      </c>
      <c r="AA127" s="202" t="str">
        <f>$B$19</f>
        <v>GIRIJAYA</v>
      </c>
      <c r="AB127" s="207"/>
      <c r="AC127" s="207"/>
      <c r="AD127" s="206"/>
      <c r="AE127" s="206"/>
      <c r="AF127" s="206"/>
      <c r="AG127" s="206"/>
      <c r="AH127" s="206"/>
      <c r="AI127" s="206"/>
      <c r="AJ127" s="1433"/>
      <c r="AK127" s="1433"/>
      <c r="AL127" s="206"/>
      <c r="AM127" s="206"/>
      <c r="AN127" s="206"/>
      <c r="AO127" s="206"/>
      <c r="AP127" s="206"/>
      <c r="AQ127" s="206"/>
      <c r="AR127" s="177">
        <f t="shared" si="122"/>
        <v>0</v>
      </c>
      <c r="AS127" s="177">
        <f t="shared" si="123"/>
        <v>0</v>
      </c>
      <c r="AT127" s="178">
        <f t="shared" si="124"/>
        <v>0</v>
      </c>
      <c r="AU127" s="176">
        <f t="shared" si="125"/>
        <v>0</v>
      </c>
      <c r="AV127" s="176">
        <f t="shared" si="126"/>
        <v>0</v>
      </c>
      <c r="AW127" s="176">
        <f t="shared" si="127"/>
        <v>0</v>
      </c>
      <c r="AY127" s="27"/>
      <c r="AZ127" s="27"/>
      <c r="BA127" s="27"/>
      <c r="BB127" s="27"/>
      <c r="BC127" s="27"/>
      <c r="BD127" s="27"/>
      <c r="BE127" s="27"/>
      <c r="BF127" s="27"/>
      <c r="BG127" s="27"/>
      <c r="BH127" s="27"/>
      <c r="BI127" s="27"/>
      <c r="BJ127" s="27"/>
      <c r="BK127" s="27"/>
      <c r="BL127" s="27"/>
      <c r="BM127" s="27"/>
      <c r="BN127" s="34"/>
      <c r="BO127" s="27"/>
      <c r="BP127" s="34"/>
      <c r="BQ127" s="27"/>
      <c r="BR127" s="27"/>
      <c r="BS127" s="27"/>
      <c r="BT127" s="26"/>
      <c r="BU127" s="27"/>
      <c r="BV127" s="27"/>
      <c r="BW127" s="27"/>
      <c r="BX127" s="27"/>
      <c r="BY127" s="27"/>
      <c r="BZ127" s="27"/>
      <c r="CA127" s="27"/>
      <c r="CB127" s="27"/>
      <c r="CC127" s="27"/>
      <c r="CD127" s="27"/>
      <c r="CE127" s="27"/>
      <c r="CF127" s="27"/>
      <c r="CG127" s="27"/>
      <c r="CH127" s="27"/>
      <c r="CI127" s="27"/>
      <c r="CJ127" s="27"/>
      <c r="CK127" s="27"/>
      <c r="CL127" s="27"/>
      <c r="CM127" s="34"/>
      <c r="CN127" s="27"/>
      <c r="CO127" s="34"/>
      <c r="CP127" s="27"/>
      <c r="CQ127" s="27"/>
      <c r="CR127" s="27"/>
      <c r="CS127" s="26"/>
      <c r="CT127" s="27"/>
      <c r="CU127" s="27"/>
      <c r="CV127" s="27"/>
      <c r="CW127" s="27"/>
      <c r="CX127" s="27"/>
      <c r="CY127" s="27"/>
      <c r="CZ127" s="27"/>
      <c r="DA127" s="27"/>
      <c r="DB127" s="27"/>
      <c r="DC127" s="27"/>
      <c r="DD127" s="27"/>
      <c r="DE127" s="27"/>
      <c r="DF127" s="27"/>
      <c r="DG127" s="27"/>
      <c r="DH127" s="27"/>
      <c r="DI127" s="27"/>
      <c r="DJ127" s="27"/>
      <c r="DK127" s="27"/>
      <c r="DL127" s="34"/>
      <c r="DM127" s="27"/>
      <c r="DN127" s="34"/>
      <c r="DO127" s="27"/>
      <c r="DP127" s="27"/>
      <c r="DQ127" s="27"/>
      <c r="DR127" s="26"/>
      <c r="DS127" s="27"/>
      <c r="DT127" s="27"/>
      <c r="DV127" s="1387"/>
      <c r="DW127" s="1387"/>
      <c r="DX127" s="1393"/>
      <c r="DY127" s="1393"/>
      <c r="DZ127" s="1393"/>
      <c r="EA127" s="1393"/>
      <c r="EB127" s="1393"/>
      <c r="EC127" s="1393"/>
      <c r="ED127" s="1393"/>
      <c r="EE127" s="1393"/>
      <c r="EF127" s="1393"/>
      <c r="EG127" s="1393"/>
      <c r="EH127" s="1393"/>
      <c r="EI127" s="1393"/>
      <c r="EJ127" s="1393"/>
      <c r="EK127" s="1393"/>
      <c r="EL127" s="1393"/>
      <c r="EM127" s="1393"/>
      <c r="EN127" s="1379"/>
      <c r="EO127" s="1379"/>
      <c r="EP127" s="1380"/>
      <c r="EQ127" s="1381"/>
      <c r="ER127" s="1381"/>
      <c r="ES127" s="1381"/>
    </row>
    <row r="128" spans="1:149" s="168" customFormat="1" ht="42" customHeight="1">
      <c r="A128" s="204">
        <v>11</v>
      </c>
      <c r="B128" s="202">
        <f>$B$20</f>
        <v>0</v>
      </c>
      <c r="C128" s="207"/>
      <c r="D128" s="207"/>
      <c r="E128" s="206"/>
      <c r="F128" s="206"/>
      <c r="G128" s="206"/>
      <c r="H128" s="206"/>
      <c r="I128" s="206"/>
      <c r="J128" s="206"/>
      <c r="K128" s="1433"/>
      <c r="L128" s="1433"/>
      <c r="M128" s="206"/>
      <c r="N128" s="206"/>
      <c r="O128" s="206"/>
      <c r="P128" s="206"/>
      <c r="Q128" s="206"/>
      <c r="R128" s="206"/>
      <c r="S128" s="177">
        <f t="shared" si="116"/>
        <v>0</v>
      </c>
      <c r="T128" s="177">
        <f t="shared" si="117"/>
        <v>0</v>
      </c>
      <c r="U128" s="178">
        <f t="shared" si="118"/>
        <v>0</v>
      </c>
      <c r="V128" s="176">
        <f t="shared" si="119"/>
        <v>0</v>
      </c>
      <c r="W128" s="176">
        <f t="shared" si="120"/>
        <v>0</v>
      </c>
      <c r="X128" s="176">
        <f t="shared" si="121"/>
        <v>0</v>
      </c>
      <c r="Z128" s="204">
        <v>11</v>
      </c>
      <c r="AA128" s="202">
        <f>$B$20</f>
        <v>0</v>
      </c>
      <c r="AB128" s="207"/>
      <c r="AC128" s="207"/>
      <c r="AD128" s="206"/>
      <c r="AE128" s="206"/>
      <c r="AF128" s="206"/>
      <c r="AG128" s="206"/>
      <c r="AH128" s="206"/>
      <c r="AI128" s="206"/>
      <c r="AJ128" s="1433"/>
      <c r="AK128" s="1433"/>
      <c r="AL128" s="206"/>
      <c r="AM128" s="206"/>
      <c r="AN128" s="206"/>
      <c r="AO128" s="206"/>
      <c r="AP128" s="206"/>
      <c r="AQ128" s="206"/>
      <c r="AR128" s="177">
        <f t="shared" si="122"/>
        <v>0</v>
      </c>
      <c r="AS128" s="177">
        <f t="shared" si="123"/>
        <v>0</v>
      </c>
      <c r="AT128" s="178">
        <f t="shared" si="124"/>
        <v>0</v>
      </c>
      <c r="AU128" s="176">
        <f t="shared" si="125"/>
        <v>0</v>
      </c>
      <c r="AV128" s="176">
        <f t="shared" si="126"/>
        <v>0</v>
      </c>
      <c r="AW128" s="176">
        <f t="shared" si="127"/>
        <v>0</v>
      </c>
      <c r="AY128" s="27"/>
      <c r="AZ128" s="27"/>
      <c r="BA128" s="27"/>
      <c r="BB128" s="27"/>
      <c r="BC128" s="27"/>
      <c r="BD128" s="27"/>
      <c r="BE128" s="27"/>
      <c r="BF128" s="27"/>
      <c r="BG128" s="27"/>
      <c r="BH128" s="27"/>
      <c r="BI128" s="27"/>
      <c r="BJ128" s="27"/>
      <c r="BK128" s="27"/>
      <c r="BL128" s="27"/>
      <c r="BM128" s="27"/>
      <c r="BN128" s="34"/>
      <c r="BO128" s="27"/>
      <c r="BP128" s="34"/>
      <c r="BQ128" s="27"/>
      <c r="BR128" s="27"/>
      <c r="BS128" s="27"/>
      <c r="BT128" s="26"/>
      <c r="BU128" s="27"/>
      <c r="BV128" s="27"/>
      <c r="BW128" s="27"/>
      <c r="BX128" s="27"/>
      <c r="BY128" s="27"/>
      <c r="BZ128" s="27"/>
      <c r="CA128" s="27"/>
      <c r="CB128" s="27"/>
      <c r="CC128" s="27"/>
      <c r="CD128" s="27"/>
      <c r="CE128" s="27"/>
      <c r="CF128" s="27"/>
      <c r="CG128" s="27"/>
      <c r="CH128" s="27"/>
      <c r="CI128" s="27"/>
      <c r="CJ128" s="27"/>
      <c r="CK128" s="27"/>
      <c r="CL128" s="27"/>
      <c r="CM128" s="34"/>
      <c r="CN128" s="27"/>
      <c r="CO128" s="34"/>
      <c r="CP128" s="27"/>
      <c r="CQ128" s="27"/>
      <c r="CR128" s="27"/>
      <c r="CS128" s="26"/>
      <c r="CT128" s="27"/>
      <c r="CU128" s="27"/>
      <c r="CV128" s="27"/>
      <c r="CW128" s="27"/>
      <c r="CX128" s="27"/>
      <c r="CY128" s="27"/>
      <c r="CZ128" s="27"/>
      <c r="DA128" s="27"/>
      <c r="DB128" s="27"/>
      <c r="DC128" s="27"/>
      <c r="DD128" s="27"/>
      <c r="DE128" s="27"/>
      <c r="DF128" s="27"/>
      <c r="DG128" s="27"/>
      <c r="DH128" s="27"/>
      <c r="DI128" s="27"/>
      <c r="DJ128" s="27"/>
      <c r="DK128" s="27"/>
      <c r="DL128" s="34"/>
      <c r="DM128" s="27"/>
      <c r="DN128" s="34"/>
      <c r="DO128" s="27"/>
      <c r="DP128" s="27"/>
      <c r="DQ128" s="27"/>
      <c r="DR128" s="26"/>
      <c r="DS128" s="27"/>
      <c r="DT128" s="27"/>
      <c r="DV128" s="1387"/>
      <c r="DW128" s="1387"/>
      <c r="DX128" s="1393"/>
      <c r="DY128" s="1393"/>
      <c r="DZ128" s="1393"/>
      <c r="EA128" s="1393"/>
      <c r="EB128" s="1393"/>
      <c r="EC128" s="1393"/>
      <c r="ED128" s="1393"/>
      <c r="EE128" s="1393"/>
      <c r="EF128" s="1393"/>
      <c r="EG128" s="1393"/>
      <c r="EH128" s="1393"/>
      <c r="EI128" s="1393"/>
      <c r="EJ128" s="1393"/>
      <c r="EK128" s="1393"/>
      <c r="EL128" s="1393"/>
      <c r="EM128" s="1393"/>
      <c r="EN128" s="1379"/>
      <c r="EO128" s="1379"/>
      <c r="EP128" s="1380"/>
      <c r="EQ128" s="1381"/>
      <c r="ER128" s="1381"/>
      <c r="ES128" s="1381"/>
    </row>
    <row r="129" spans="1:149" s="168" customFormat="1" ht="42" customHeight="1">
      <c r="A129" s="204">
        <v>12</v>
      </c>
      <c r="B129" s="202">
        <f>$B$21</f>
        <v>0</v>
      </c>
      <c r="C129" s="207"/>
      <c r="D129" s="207"/>
      <c r="E129" s="206"/>
      <c r="F129" s="206"/>
      <c r="G129" s="206"/>
      <c r="H129" s="206"/>
      <c r="I129" s="206"/>
      <c r="J129" s="206"/>
      <c r="K129" s="1433"/>
      <c r="L129" s="1433"/>
      <c r="M129" s="206"/>
      <c r="N129" s="206"/>
      <c r="O129" s="206"/>
      <c r="P129" s="206"/>
      <c r="Q129" s="206"/>
      <c r="R129" s="206"/>
      <c r="S129" s="177">
        <f t="shared" si="116"/>
        <v>0</v>
      </c>
      <c r="T129" s="177">
        <f t="shared" si="117"/>
        <v>0</v>
      </c>
      <c r="U129" s="178">
        <f t="shared" si="118"/>
        <v>0</v>
      </c>
      <c r="V129" s="176">
        <f t="shared" si="119"/>
        <v>0</v>
      </c>
      <c r="W129" s="176">
        <f t="shared" si="120"/>
        <v>0</v>
      </c>
      <c r="X129" s="176">
        <f t="shared" si="121"/>
        <v>0</v>
      </c>
      <c r="Z129" s="204">
        <v>12</v>
      </c>
      <c r="AA129" s="202">
        <f>$B$21</f>
        <v>0</v>
      </c>
      <c r="AB129" s="207"/>
      <c r="AC129" s="207"/>
      <c r="AD129" s="206"/>
      <c r="AE129" s="206"/>
      <c r="AF129" s="206"/>
      <c r="AG129" s="206"/>
      <c r="AH129" s="206"/>
      <c r="AI129" s="206"/>
      <c r="AJ129" s="1433"/>
      <c r="AK129" s="1433"/>
      <c r="AL129" s="206"/>
      <c r="AM129" s="206"/>
      <c r="AN129" s="206"/>
      <c r="AO129" s="206"/>
      <c r="AP129" s="206"/>
      <c r="AQ129" s="206"/>
      <c r="AR129" s="177">
        <f t="shared" si="122"/>
        <v>0</v>
      </c>
      <c r="AS129" s="177">
        <f t="shared" si="123"/>
        <v>0</v>
      </c>
      <c r="AT129" s="178">
        <f t="shared" si="124"/>
        <v>0</v>
      </c>
      <c r="AU129" s="176">
        <f t="shared" si="125"/>
        <v>0</v>
      </c>
      <c r="AV129" s="176">
        <f t="shared" si="126"/>
        <v>0</v>
      </c>
      <c r="AW129" s="176">
        <f t="shared" si="127"/>
        <v>0</v>
      </c>
      <c r="AY129" s="27"/>
      <c r="AZ129" s="27"/>
      <c r="BA129" s="27"/>
      <c r="BB129" s="27"/>
      <c r="BC129" s="27"/>
      <c r="BD129" s="27"/>
      <c r="BE129" s="27"/>
      <c r="BF129" s="27"/>
      <c r="BG129" s="27"/>
      <c r="BH129" s="27"/>
      <c r="BI129" s="27"/>
      <c r="BJ129" s="27"/>
      <c r="BK129" s="27"/>
      <c r="BL129" s="27"/>
      <c r="BM129" s="27"/>
      <c r="BN129" s="34"/>
      <c r="BO129" s="27"/>
      <c r="BP129" s="34"/>
      <c r="BQ129" s="27"/>
      <c r="BR129" s="27"/>
      <c r="BS129" s="27"/>
      <c r="BT129" s="26"/>
      <c r="BU129" s="27"/>
      <c r="BV129" s="27"/>
      <c r="BW129" s="27"/>
      <c r="BX129" s="27"/>
      <c r="BY129" s="27"/>
      <c r="BZ129" s="27"/>
      <c r="CA129" s="27"/>
      <c r="CB129" s="27"/>
      <c r="CC129" s="27"/>
      <c r="CD129" s="27"/>
      <c r="CE129" s="27"/>
      <c r="CF129" s="27"/>
      <c r="CG129" s="27"/>
      <c r="CH129" s="27"/>
      <c r="CI129" s="27"/>
      <c r="CJ129" s="27"/>
      <c r="CK129" s="27"/>
      <c r="CL129" s="27"/>
      <c r="CM129" s="34"/>
      <c r="CN129" s="27"/>
      <c r="CO129" s="34"/>
      <c r="CP129" s="27"/>
      <c r="CQ129" s="27"/>
      <c r="CR129" s="27"/>
      <c r="CS129" s="26"/>
      <c r="CT129" s="27"/>
      <c r="CU129" s="27"/>
      <c r="CV129" s="27"/>
      <c r="CW129" s="27"/>
      <c r="CX129" s="27"/>
      <c r="CY129" s="27"/>
      <c r="CZ129" s="27"/>
      <c r="DA129" s="27"/>
      <c r="DB129" s="27"/>
      <c r="DC129" s="27"/>
      <c r="DD129" s="27"/>
      <c r="DE129" s="27"/>
      <c r="DF129" s="27"/>
      <c r="DG129" s="27"/>
      <c r="DH129" s="27"/>
      <c r="DI129" s="27"/>
      <c r="DJ129" s="27"/>
      <c r="DK129" s="27"/>
      <c r="DL129" s="34"/>
      <c r="DM129" s="27"/>
      <c r="DN129" s="34"/>
      <c r="DO129" s="27"/>
      <c r="DP129" s="27"/>
      <c r="DQ129" s="27"/>
      <c r="DR129" s="26"/>
      <c r="DS129" s="27"/>
      <c r="DT129" s="27"/>
      <c r="DV129" s="1387"/>
      <c r="DW129" s="1387"/>
      <c r="DX129" s="1393"/>
      <c r="DY129" s="1393"/>
      <c r="DZ129" s="1393"/>
      <c r="EA129" s="1393"/>
      <c r="EB129" s="1393"/>
      <c r="EC129" s="1393"/>
      <c r="ED129" s="1393"/>
      <c r="EE129" s="1393"/>
      <c r="EF129" s="1393"/>
      <c r="EG129" s="1393"/>
      <c r="EH129" s="1393"/>
      <c r="EI129" s="1393"/>
      <c r="EJ129" s="1393"/>
      <c r="EK129" s="1393"/>
      <c r="EL129" s="1393"/>
      <c r="EM129" s="1393"/>
      <c r="EN129" s="1379"/>
      <c r="EO129" s="1379"/>
      <c r="EP129" s="1380"/>
      <c r="EQ129" s="1381"/>
      <c r="ER129" s="1381"/>
      <c r="ES129" s="1381"/>
    </row>
    <row r="130" spans="1:149" s="168" customFormat="1" ht="42" customHeight="1">
      <c r="A130" s="204">
        <v>13</v>
      </c>
      <c r="B130" s="202">
        <f>$B$22</f>
        <v>0</v>
      </c>
      <c r="C130" s="207"/>
      <c r="D130" s="207"/>
      <c r="E130" s="206"/>
      <c r="F130" s="206"/>
      <c r="G130" s="206"/>
      <c r="H130" s="206"/>
      <c r="I130" s="206"/>
      <c r="J130" s="206"/>
      <c r="K130" s="1433"/>
      <c r="L130" s="1433"/>
      <c r="M130" s="206"/>
      <c r="N130" s="206"/>
      <c r="O130" s="206"/>
      <c r="P130" s="206"/>
      <c r="Q130" s="206"/>
      <c r="R130" s="206"/>
      <c r="S130" s="177">
        <f t="shared" si="116"/>
        <v>0</v>
      </c>
      <c r="T130" s="177">
        <f t="shared" si="117"/>
        <v>0</v>
      </c>
      <c r="U130" s="178">
        <f t="shared" si="118"/>
        <v>0</v>
      </c>
      <c r="V130" s="176">
        <f t="shared" si="119"/>
        <v>0</v>
      </c>
      <c r="W130" s="176">
        <f t="shared" si="120"/>
        <v>0</v>
      </c>
      <c r="X130" s="176">
        <f t="shared" si="121"/>
        <v>0</v>
      </c>
      <c r="Z130" s="204">
        <v>13</v>
      </c>
      <c r="AA130" s="202">
        <f>$B$22</f>
        <v>0</v>
      </c>
      <c r="AB130" s="207"/>
      <c r="AC130" s="207"/>
      <c r="AD130" s="206"/>
      <c r="AE130" s="206"/>
      <c r="AF130" s="206"/>
      <c r="AG130" s="206"/>
      <c r="AH130" s="206"/>
      <c r="AI130" s="206"/>
      <c r="AJ130" s="1433"/>
      <c r="AK130" s="1433"/>
      <c r="AL130" s="206"/>
      <c r="AM130" s="206"/>
      <c r="AN130" s="206"/>
      <c r="AO130" s="206"/>
      <c r="AP130" s="206"/>
      <c r="AQ130" s="206"/>
      <c r="AR130" s="177">
        <f t="shared" si="122"/>
        <v>0</v>
      </c>
      <c r="AS130" s="177">
        <f t="shared" si="123"/>
        <v>0</v>
      </c>
      <c r="AT130" s="178">
        <f t="shared" si="124"/>
        <v>0</v>
      </c>
      <c r="AU130" s="176">
        <f t="shared" si="125"/>
        <v>0</v>
      </c>
      <c r="AV130" s="176">
        <f t="shared" si="126"/>
        <v>0</v>
      </c>
      <c r="AW130" s="176">
        <f t="shared" si="127"/>
        <v>0</v>
      </c>
      <c r="AY130" s="27"/>
      <c r="AZ130" s="27"/>
      <c r="BA130" s="27"/>
      <c r="BB130" s="27"/>
      <c r="BC130" s="27"/>
      <c r="BD130" s="27"/>
      <c r="BE130" s="27"/>
      <c r="BF130" s="27"/>
      <c r="BG130" s="27"/>
      <c r="BH130" s="27"/>
      <c r="BI130" s="27"/>
      <c r="BJ130" s="27"/>
      <c r="BK130" s="27"/>
      <c r="BL130" s="27"/>
      <c r="BM130" s="27"/>
      <c r="BN130" s="34"/>
      <c r="BO130" s="27"/>
      <c r="BP130" s="34"/>
      <c r="BQ130" s="27"/>
      <c r="BR130" s="27"/>
      <c r="BS130" s="27"/>
      <c r="BT130" s="26"/>
      <c r="BU130" s="27"/>
      <c r="BV130" s="27"/>
      <c r="BW130" s="27"/>
      <c r="BX130" s="27"/>
      <c r="BY130" s="27"/>
      <c r="BZ130" s="27"/>
      <c r="CA130" s="27"/>
      <c r="CB130" s="27"/>
      <c r="CC130" s="27"/>
      <c r="CD130" s="27"/>
      <c r="CE130" s="27"/>
      <c r="CF130" s="27"/>
      <c r="CG130" s="27"/>
      <c r="CH130" s="27"/>
      <c r="CI130" s="27"/>
      <c r="CJ130" s="27"/>
      <c r="CK130" s="27"/>
      <c r="CL130" s="27"/>
      <c r="CM130" s="34"/>
      <c r="CN130" s="27"/>
      <c r="CO130" s="34"/>
      <c r="CP130" s="27"/>
      <c r="CQ130" s="27"/>
      <c r="CR130" s="27"/>
      <c r="CS130" s="26"/>
      <c r="CT130" s="27"/>
      <c r="CU130" s="27"/>
      <c r="CV130" s="27"/>
      <c r="CW130" s="27"/>
      <c r="CX130" s="27"/>
      <c r="CY130" s="27"/>
      <c r="CZ130" s="27"/>
      <c r="DA130" s="27"/>
      <c r="DB130" s="27"/>
      <c r="DC130" s="27"/>
      <c r="DD130" s="27"/>
      <c r="DE130" s="27"/>
      <c r="DF130" s="27"/>
      <c r="DG130" s="27"/>
      <c r="DH130" s="27"/>
      <c r="DI130" s="27"/>
      <c r="DJ130" s="27"/>
      <c r="DK130" s="27"/>
      <c r="DL130" s="34"/>
      <c r="DM130" s="27"/>
      <c r="DN130" s="34"/>
      <c r="DO130" s="27"/>
      <c r="DP130" s="27"/>
      <c r="DQ130" s="27"/>
      <c r="DR130" s="26"/>
      <c r="DS130" s="27"/>
      <c r="DT130" s="27"/>
      <c r="DV130" s="1387"/>
      <c r="DW130" s="1387"/>
      <c r="DX130" s="1393"/>
      <c r="DY130" s="1393"/>
      <c r="DZ130" s="1393"/>
      <c r="EA130" s="1393"/>
      <c r="EB130" s="1393"/>
      <c r="EC130" s="1393"/>
      <c r="ED130" s="1393"/>
      <c r="EE130" s="1393"/>
      <c r="EF130" s="1393"/>
      <c r="EG130" s="1393"/>
      <c r="EH130" s="1393"/>
      <c r="EI130" s="1393"/>
      <c r="EJ130" s="1393"/>
      <c r="EK130" s="1393"/>
      <c r="EL130" s="1393"/>
      <c r="EM130" s="1393"/>
      <c r="EN130" s="1379"/>
      <c r="EO130" s="1379"/>
      <c r="EP130" s="1380"/>
      <c r="EQ130" s="1381"/>
      <c r="ER130" s="1381"/>
      <c r="ES130" s="1381"/>
    </row>
    <row r="131" spans="1:149" s="168" customFormat="1" ht="42" customHeight="1">
      <c r="A131" s="204">
        <v>14</v>
      </c>
      <c r="B131" s="202">
        <f>$B$23</f>
        <v>0</v>
      </c>
      <c r="C131" s="207"/>
      <c r="D131" s="207"/>
      <c r="E131" s="206"/>
      <c r="F131" s="206"/>
      <c r="G131" s="206"/>
      <c r="H131" s="206"/>
      <c r="I131" s="206"/>
      <c r="J131" s="206"/>
      <c r="K131" s="1433"/>
      <c r="L131" s="1433"/>
      <c r="M131" s="206"/>
      <c r="N131" s="206"/>
      <c r="O131" s="206"/>
      <c r="P131" s="206"/>
      <c r="Q131" s="206"/>
      <c r="R131" s="206"/>
      <c r="S131" s="177">
        <f t="shared" si="116"/>
        <v>0</v>
      </c>
      <c r="T131" s="177">
        <f t="shared" si="117"/>
        <v>0</v>
      </c>
      <c r="U131" s="178">
        <f t="shared" si="118"/>
        <v>0</v>
      </c>
      <c r="V131" s="176">
        <f t="shared" si="119"/>
        <v>0</v>
      </c>
      <c r="W131" s="176">
        <f t="shared" si="120"/>
        <v>0</v>
      </c>
      <c r="X131" s="176">
        <f t="shared" si="121"/>
        <v>0</v>
      </c>
      <c r="Z131" s="204">
        <v>14</v>
      </c>
      <c r="AA131" s="202">
        <f>$B$23</f>
        <v>0</v>
      </c>
      <c r="AB131" s="207"/>
      <c r="AC131" s="207"/>
      <c r="AD131" s="206"/>
      <c r="AE131" s="206"/>
      <c r="AF131" s="206"/>
      <c r="AG131" s="206"/>
      <c r="AH131" s="206"/>
      <c r="AI131" s="206"/>
      <c r="AJ131" s="1433"/>
      <c r="AK131" s="1433"/>
      <c r="AL131" s="206"/>
      <c r="AM131" s="206"/>
      <c r="AN131" s="206"/>
      <c r="AO131" s="206"/>
      <c r="AP131" s="206"/>
      <c r="AQ131" s="206"/>
      <c r="AR131" s="177">
        <f t="shared" si="122"/>
        <v>0</v>
      </c>
      <c r="AS131" s="177">
        <f t="shared" si="123"/>
        <v>0</v>
      </c>
      <c r="AT131" s="178">
        <f t="shared" si="124"/>
        <v>0</v>
      </c>
      <c r="AU131" s="176">
        <f t="shared" si="125"/>
        <v>0</v>
      </c>
      <c r="AV131" s="176">
        <f t="shared" si="126"/>
        <v>0</v>
      </c>
      <c r="AW131" s="176">
        <f t="shared" si="127"/>
        <v>0</v>
      </c>
      <c r="AY131" s="27"/>
      <c r="AZ131" s="27"/>
      <c r="BA131" s="27"/>
      <c r="BB131" s="27"/>
      <c r="BC131" s="27"/>
      <c r="BD131" s="27"/>
      <c r="BE131" s="27"/>
      <c r="BF131" s="27"/>
      <c r="BG131" s="27"/>
      <c r="BH131" s="27"/>
      <c r="BI131" s="27"/>
      <c r="BJ131" s="27"/>
      <c r="BK131" s="27"/>
      <c r="BL131" s="27"/>
      <c r="BM131" s="27"/>
      <c r="BN131" s="34"/>
      <c r="BO131" s="27"/>
      <c r="BP131" s="34"/>
      <c r="BQ131" s="27"/>
      <c r="BR131" s="27"/>
      <c r="BS131" s="27"/>
      <c r="BT131" s="26"/>
      <c r="BU131" s="27"/>
      <c r="BV131" s="27"/>
      <c r="BW131" s="27"/>
      <c r="BX131" s="27"/>
      <c r="BY131" s="27"/>
      <c r="BZ131" s="27"/>
      <c r="CA131" s="27"/>
      <c r="CB131" s="27"/>
      <c r="CC131" s="27"/>
      <c r="CD131" s="27"/>
      <c r="CE131" s="27"/>
      <c r="CF131" s="27"/>
      <c r="CG131" s="27"/>
      <c r="CH131" s="27"/>
      <c r="CI131" s="27"/>
      <c r="CJ131" s="27"/>
      <c r="CK131" s="27"/>
      <c r="CL131" s="27"/>
      <c r="CM131" s="34"/>
      <c r="CN131" s="27"/>
      <c r="CO131" s="34"/>
      <c r="CP131" s="27"/>
      <c r="CQ131" s="27"/>
      <c r="CR131" s="27"/>
      <c r="CS131" s="26"/>
      <c r="CT131" s="27"/>
      <c r="CU131" s="27"/>
      <c r="CV131" s="27"/>
      <c r="CW131" s="27"/>
      <c r="CX131" s="27"/>
      <c r="CY131" s="27"/>
      <c r="CZ131" s="27"/>
      <c r="DA131" s="27"/>
      <c r="DB131" s="27"/>
      <c r="DC131" s="27"/>
      <c r="DD131" s="27"/>
      <c r="DE131" s="27"/>
      <c r="DF131" s="27"/>
      <c r="DG131" s="27"/>
      <c r="DH131" s="27"/>
      <c r="DI131" s="27"/>
      <c r="DJ131" s="27"/>
      <c r="DK131" s="27"/>
      <c r="DL131" s="34"/>
      <c r="DM131" s="27"/>
      <c r="DN131" s="34"/>
      <c r="DO131" s="27"/>
      <c r="DP131" s="27"/>
      <c r="DQ131" s="27"/>
      <c r="DR131" s="26"/>
      <c r="DS131" s="27"/>
      <c r="DT131" s="27"/>
      <c r="DV131" s="1387"/>
      <c r="DW131" s="1387"/>
      <c r="DX131" s="1393"/>
      <c r="DY131" s="1393"/>
      <c r="DZ131" s="1393"/>
      <c r="EA131" s="1393"/>
      <c r="EB131" s="1393"/>
      <c r="EC131" s="1393"/>
      <c r="ED131" s="1393"/>
      <c r="EE131" s="1393"/>
      <c r="EF131" s="1393"/>
      <c r="EG131" s="1393"/>
      <c r="EH131" s="1393"/>
      <c r="EI131" s="1393"/>
      <c r="EJ131" s="1393"/>
      <c r="EK131" s="1393"/>
      <c r="EL131" s="1393"/>
      <c r="EM131" s="1393"/>
      <c r="EN131" s="1379"/>
      <c r="EO131" s="1379"/>
      <c r="EP131" s="1380"/>
      <c r="EQ131" s="1381"/>
      <c r="ER131" s="1381"/>
      <c r="ES131" s="1381"/>
    </row>
    <row r="132" spans="1:149" s="168" customFormat="1" ht="42" customHeight="1">
      <c r="A132" s="204">
        <v>15</v>
      </c>
      <c r="B132" s="202">
        <f>$B$24</f>
        <v>0</v>
      </c>
      <c r="C132" s="207"/>
      <c r="D132" s="207"/>
      <c r="E132" s="206"/>
      <c r="F132" s="206"/>
      <c r="G132" s="206"/>
      <c r="H132" s="206"/>
      <c r="I132" s="206"/>
      <c r="J132" s="206"/>
      <c r="K132" s="1433"/>
      <c r="L132" s="1433"/>
      <c r="M132" s="206"/>
      <c r="N132" s="206"/>
      <c r="O132" s="206"/>
      <c r="P132" s="206"/>
      <c r="Q132" s="206"/>
      <c r="R132" s="206"/>
      <c r="S132" s="177">
        <f t="shared" si="116"/>
        <v>0</v>
      </c>
      <c r="T132" s="177">
        <f t="shared" si="117"/>
        <v>0</v>
      </c>
      <c r="U132" s="178">
        <f t="shared" si="118"/>
        <v>0</v>
      </c>
      <c r="V132" s="176">
        <f t="shared" si="119"/>
        <v>0</v>
      </c>
      <c r="W132" s="176">
        <f t="shared" si="120"/>
        <v>0</v>
      </c>
      <c r="X132" s="176">
        <f t="shared" si="121"/>
        <v>0</v>
      </c>
      <c r="Z132" s="204">
        <v>15</v>
      </c>
      <c r="AA132" s="202">
        <f>$B$24</f>
        <v>0</v>
      </c>
      <c r="AB132" s="207"/>
      <c r="AC132" s="207"/>
      <c r="AD132" s="206"/>
      <c r="AE132" s="206"/>
      <c r="AF132" s="206"/>
      <c r="AG132" s="206"/>
      <c r="AH132" s="206"/>
      <c r="AI132" s="206"/>
      <c r="AJ132" s="1433"/>
      <c r="AK132" s="1433"/>
      <c r="AL132" s="206"/>
      <c r="AM132" s="206"/>
      <c r="AN132" s="206"/>
      <c r="AO132" s="206"/>
      <c r="AP132" s="206"/>
      <c r="AQ132" s="206"/>
      <c r="AR132" s="177">
        <f t="shared" si="122"/>
        <v>0</v>
      </c>
      <c r="AS132" s="177">
        <f t="shared" si="123"/>
        <v>0</v>
      </c>
      <c r="AT132" s="178">
        <f t="shared" si="124"/>
        <v>0</v>
      </c>
      <c r="AU132" s="176">
        <f t="shared" si="125"/>
        <v>0</v>
      </c>
      <c r="AV132" s="176">
        <f t="shared" si="126"/>
        <v>0</v>
      </c>
      <c r="AW132" s="176">
        <f t="shared" si="127"/>
        <v>0</v>
      </c>
      <c r="AY132" s="27"/>
      <c r="AZ132" s="27"/>
      <c r="BA132" s="27"/>
      <c r="BB132" s="27"/>
      <c r="BC132" s="27"/>
      <c r="BD132" s="27"/>
      <c r="BE132" s="27"/>
      <c r="BF132" s="27"/>
      <c r="BG132" s="27"/>
      <c r="BH132" s="27"/>
      <c r="BI132" s="27"/>
      <c r="BJ132" s="27"/>
      <c r="BK132" s="27"/>
      <c r="BL132" s="27"/>
      <c r="BM132" s="27"/>
      <c r="BN132" s="34"/>
      <c r="BO132" s="27"/>
      <c r="BP132" s="34"/>
      <c r="BQ132" s="27"/>
      <c r="BR132" s="27"/>
      <c r="BS132" s="27"/>
      <c r="BT132" s="26"/>
      <c r="BU132" s="27"/>
      <c r="BV132" s="27"/>
      <c r="BW132" s="27"/>
      <c r="BX132" s="27"/>
      <c r="BY132" s="27"/>
      <c r="BZ132" s="27"/>
      <c r="CA132" s="27"/>
      <c r="CB132" s="27"/>
      <c r="CC132" s="27"/>
      <c r="CD132" s="27"/>
      <c r="CE132" s="27"/>
      <c r="CF132" s="27"/>
      <c r="CG132" s="27"/>
      <c r="CH132" s="27"/>
      <c r="CI132" s="27"/>
      <c r="CJ132" s="27"/>
      <c r="CK132" s="27"/>
      <c r="CL132" s="27"/>
      <c r="CM132" s="34"/>
      <c r="CN132" s="27"/>
      <c r="CO132" s="34"/>
      <c r="CP132" s="27"/>
      <c r="CQ132" s="27"/>
      <c r="CR132" s="27"/>
      <c r="CS132" s="26"/>
      <c r="CT132" s="27"/>
      <c r="CU132" s="27"/>
      <c r="CV132" s="27"/>
      <c r="CW132" s="27"/>
      <c r="CX132" s="27"/>
      <c r="CY132" s="27"/>
      <c r="CZ132" s="27"/>
      <c r="DA132" s="27"/>
      <c r="DB132" s="27"/>
      <c r="DC132" s="27"/>
      <c r="DD132" s="27"/>
      <c r="DE132" s="27"/>
      <c r="DF132" s="27"/>
      <c r="DG132" s="27"/>
      <c r="DH132" s="27"/>
      <c r="DI132" s="27"/>
      <c r="DJ132" s="27"/>
      <c r="DK132" s="27"/>
      <c r="DL132" s="34"/>
      <c r="DM132" s="27"/>
      <c r="DN132" s="34"/>
      <c r="DO132" s="27"/>
      <c r="DP132" s="27"/>
      <c r="DQ132" s="27"/>
      <c r="DR132" s="26"/>
      <c r="DS132" s="27"/>
      <c r="DT132" s="27"/>
      <c r="DV132" s="1387"/>
      <c r="DW132" s="1387"/>
      <c r="DX132" s="1393"/>
      <c r="DY132" s="1393"/>
      <c r="DZ132" s="1393"/>
      <c r="EA132" s="1393"/>
      <c r="EB132" s="1393"/>
      <c r="EC132" s="1393"/>
      <c r="ED132" s="1393"/>
      <c r="EE132" s="1393"/>
      <c r="EF132" s="1393"/>
      <c r="EG132" s="1393"/>
      <c r="EH132" s="1393"/>
      <c r="EI132" s="1393"/>
      <c r="EJ132" s="1393"/>
      <c r="EK132" s="1393"/>
      <c r="EL132" s="1393"/>
      <c r="EM132" s="1393"/>
      <c r="EN132" s="1379"/>
      <c r="EO132" s="1379"/>
      <c r="EP132" s="1380"/>
      <c r="EQ132" s="1381"/>
      <c r="ER132" s="1381"/>
      <c r="ES132" s="1381"/>
    </row>
    <row r="133" spans="1:149" s="168" customFormat="1" ht="42" customHeight="1">
      <c r="A133" s="204">
        <v>16</v>
      </c>
      <c r="B133" s="202">
        <f>$B$25</f>
        <v>0</v>
      </c>
      <c r="C133" s="207"/>
      <c r="D133" s="207"/>
      <c r="E133" s="206"/>
      <c r="F133" s="206"/>
      <c r="G133" s="206"/>
      <c r="H133" s="206"/>
      <c r="I133" s="206"/>
      <c r="J133" s="206"/>
      <c r="K133" s="1433"/>
      <c r="L133" s="1433"/>
      <c r="M133" s="206"/>
      <c r="N133" s="206"/>
      <c r="O133" s="206"/>
      <c r="P133" s="206"/>
      <c r="Q133" s="206"/>
      <c r="R133" s="206"/>
      <c r="S133" s="177">
        <f t="shared" si="116"/>
        <v>0</v>
      </c>
      <c r="T133" s="177">
        <f t="shared" si="117"/>
        <v>0</v>
      </c>
      <c r="U133" s="178">
        <f t="shared" si="118"/>
        <v>0</v>
      </c>
      <c r="V133" s="176">
        <f>SUM(S133-T133)</f>
        <v>0</v>
      </c>
      <c r="W133" s="176">
        <f>SUM(O133-P133)</f>
        <v>0</v>
      </c>
      <c r="X133" s="176">
        <f>SUM(Q133-R133)</f>
        <v>0</v>
      </c>
      <c r="Z133" s="204">
        <v>16</v>
      </c>
      <c r="AA133" s="202">
        <f>$B$25</f>
        <v>0</v>
      </c>
      <c r="AB133" s="207"/>
      <c r="AC133" s="207"/>
      <c r="AD133" s="206"/>
      <c r="AE133" s="206"/>
      <c r="AF133" s="206"/>
      <c r="AG133" s="206"/>
      <c r="AH133" s="206"/>
      <c r="AI133" s="206"/>
      <c r="AJ133" s="1433"/>
      <c r="AK133" s="1433"/>
      <c r="AL133" s="206"/>
      <c r="AM133" s="206"/>
      <c r="AN133" s="206"/>
      <c r="AO133" s="206"/>
      <c r="AP133" s="206"/>
      <c r="AQ133" s="206"/>
      <c r="AR133" s="177">
        <f t="shared" si="122"/>
        <v>0</v>
      </c>
      <c r="AS133" s="177">
        <f t="shared" si="123"/>
        <v>0</v>
      </c>
      <c r="AT133" s="178">
        <f t="shared" si="124"/>
        <v>0</v>
      </c>
      <c r="AU133" s="176">
        <f>SUM(AR133-AS133)</f>
        <v>0</v>
      </c>
      <c r="AV133" s="176">
        <f>SUM(AN133-AO133)</f>
        <v>0</v>
      </c>
      <c r="AW133" s="176">
        <f>SUM(AP133-AQ133)</f>
        <v>0</v>
      </c>
      <c r="AY133" s="27"/>
      <c r="AZ133" s="27"/>
      <c r="BA133" s="27"/>
      <c r="BB133" s="27"/>
      <c r="BC133" s="27"/>
      <c r="BD133" s="27"/>
      <c r="BE133" s="27"/>
      <c r="BF133" s="27"/>
      <c r="BG133" s="27"/>
      <c r="BH133" s="27"/>
      <c r="BI133" s="27"/>
      <c r="BJ133" s="27"/>
      <c r="BK133" s="27"/>
      <c r="BL133" s="27"/>
      <c r="BM133" s="27"/>
      <c r="BN133" s="34"/>
      <c r="BO133" s="27"/>
      <c r="BP133" s="34"/>
      <c r="BQ133" s="27"/>
      <c r="BR133" s="27"/>
      <c r="BS133" s="27"/>
      <c r="BT133" s="26"/>
      <c r="BU133" s="27"/>
      <c r="BV133" s="27"/>
      <c r="BW133" s="27"/>
      <c r="BX133" s="27"/>
      <c r="BY133" s="27"/>
      <c r="BZ133" s="27"/>
      <c r="CA133" s="27"/>
      <c r="CB133" s="27"/>
      <c r="CC133" s="27"/>
      <c r="CD133" s="27"/>
      <c r="CE133" s="27"/>
      <c r="CF133" s="27"/>
      <c r="CG133" s="27"/>
      <c r="CH133" s="27"/>
      <c r="CI133" s="27"/>
      <c r="CJ133" s="27"/>
      <c r="CK133" s="27"/>
      <c r="CL133" s="27"/>
      <c r="CM133" s="34"/>
      <c r="CN133" s="27"/>
      <c r="CO133" s="34"/>
      <c r="CP133" s="27"/>
      <c r="CQ133" s="27"/>
      <c r="CR133" s="27"/>
      <c r="CS133" s="26"/>
      <c r="CT133" s="27"/>
      <c r="CU133" s="27"/>
      <c r="CV133" s="27"/>
      <c r="CW133" s="27"/>
      <c r="CX133" s="27"/>
      <c r="CY133" s="27"/>
      <c r="CZ133" s="27"/>
      <c r="DA133" s="27"/>
      <c r="DB133" s="27"/>
      <c r="DC133" s="27"/>
      <c r="DD133" s="27"/>
      <c r="DE133" s="27"/>
      <c r="DF133" s="27"/>
      <c r="DG133" s="27"/>
      <c r="DH133" s="27"/>
      <c r="DI133" s="27"/>
      <c r="DJ133" s="27"/>
      <c r="DK133" s="27"/>
      <c r="DL133" s="34"/>
      <c r="DM133" s="27"/>
      <c r="DN133" s="34"/>
      <c r="DO133" s="27"/>
      <c r="DP133" s="27"/>
      <c r="DQ133" s="27"/>
      <c r="DR133" s="26"/>
      <c r="DS133" s="27"/>
      <c r="DT133" s="27"/>
      <c r="DV133" s="1387"/>
      <c r="DW133" s="1387"/>
      <c r="DX133" s="1393"/>
      <c r="DY133" s="1393"/>
      <c r="DZ133" s="1393"/>
      <c r="EA133" s="1393"/>
      <c r="EB133" s="1393"/>
      <c r="EC133" s="1393"/>
      <c r="ED133" s="1393"/>
      <c r="EE133" s="1393"/>
      <c r="EF133" s="1393"/>
      <c r="EG133" s="1393"/>
      <c r="EH133" s="1393"/>
      <c r="EI133" s="1393"/>
      <c r="EJ133" s="1393"/>
      <c r="EK133" s="1393"/>
      <c r="EL133" s="1393"/>
      <c r="EM133" s="1393"/>
      <c r="EN133" s="1379"/>
      <c r="EO133" s="1379"/>
      <c r="EP133" s="1380"/>
      <c r="EQ133" s="1381"/>
      <c r="ER133" s="1381"/>
      <c r="ES133" s="1381"/>
    </row>
    <row r="134" spans="1:149" s="168" customFormat="1" ht="16.5" thickBot="1">
      <c r="A134" s="179"/>
      <c r="B134" s="1376"/>
      <c r="C134" s="181"/>
      <c r="D134" s="182"/>
      <c r="E134" s="182"/>
      <c r="F134" s="182"/>
      <c r="G134" s="182"/>
      <c r="H134" s="182"/>
      <c r="I134" s="182"/>
      <c r="J134" s="182"/>
      <c r="K134" s="1434"/>
      <c r="L134" s="1434"/>
      <c r="M134" s="182"/>
      <c r="N134" s="182"/>
      <c r="O134" s="182"/>
      <c r="P134" s="182"/>
      <c r="Q134" s="182"/>
      <c r="R134" s="183"/>
      <c r="S134" s="1374"/>
      <c r="T134" s="1374"/>
      <c r="U134" s="1375"/>
      <c r="V134" s="1373"/>
      <c r="W134" s="1373"/>
      <c r="X134" s="1373"/>
      <c r="Z134" s="179"/>
      <c r="AA134" s="1376"/>
      <c r="AB134" s="181"/>
      <c r="AC134" s="182"/>
      <c r="AD134" s="182"/>
      <c r="AE134" s="182"/>
      <c r="AF134" s="182"/>
      <c r="AG134" s="182"/>
      <c r="AH134" s="182"/>
      <c r="AI134" s="182"/>
      <c r="AJ134" s="1434"/>
      <c r="AK134" s="1434"/>
      <c r="AL134" s="182"/>
      <c r="AM134" s="182"/>
      <c r="AN134" s="182"/>
      <c r="AO134" s="182"/>
      <c r="AP134" s="182"/>
      <c r="AQ134" s="183"/>
      <c r="AR134" s="1374"/>
      <c r="AS134" s="1374"/>
      <c r="AT134" s="1375"/>
      <c r="AU134" s="1373"/>
      <c r="AV134" s="1373"/>
      <c r="AW134" s="1373"/>
      <c r="AY134" s="27"/>
      <c r="AZ134" s="27"/>
      <c r="BA134" s="27"/>
      <c r="BB134" s="27"/>
      <c r="BC134" s="27"/>
      <c r="BD134" s="27"/>
      <c r="BE134" s="27"/>
      <c r="BF134" s="27"/>
      <c r="BG134" s="27"/>
      <c r="BH134" s="27"/>
      <c r="BI134" s="27"/>
      <c r="BJ134" s="27"/>
      <c r="BK134" s="27"/>
      <c r="BL134" s="27"/>
      <c r="BM134" s="27"/>
      <c r="BN134" s="34"/>
      <c r="BO134" s="27"/>
      <c r="BP134" s="34"/>
      <c r="BQ134" s="27"/>
      <c r="BR134" s="27"/>
      <c r="BS134" s="27"/>
      <c r="BT134" s="26"/>
      <c r="BU134" s="27"/>
      <c r="BV134" s="27"/>
      <c r="BW134" s="27"/>
      <c r="BX134" s="27"/>
      <c r="BY134" s="27"/>
      <c r="BZ134" s="27"/>
      <c r="CA134" s="27"/>
      <c r="CB134" s="27"/>
      <c r="CC134" s="27"/>
      <c r="CD134" s="27"/>
      <c r="CE134" s="27"/>
      <c r="CF134" s="27"/>
      <c r="CG134" s="27"/>
      <c r="CH134" s="27"/>
      <c r="CI134" s="27"/>
      <c r="CJ134" s="27"/>
      <c r="CK134" s="27"/>
      <c r="CL134" s="27"/>
      <c r="CM134" s="34"/>
      <c r="CN134" s="27"/>
      <c r="CO134" s="34"/>
      <c r="CP134" s="27"/>
      <c r="CQ134" s="27"/>
      <c r="CR134" s="27"/>
      <c r="CS134" s="26"/>
      <c r="CT134" s="27"/>
      <c r="CU134" s="27"/>
      <c r="CV134" s="27"/>
      <c r="CW134" s="27"/>
      <c r="CX134" s="27"/>
      <c r="CY134" s="27"/>
      <c r="CZ134" s="27"/>
      <c r="DA134" s="27"/>
      <c r="DB134" s="27"/>
      <c r="DC134" s="27"/>
      <c r="DD134" s="27"/>
      <c r="DE134" s="27"/>
      <c r="DF134" s="27"/>
      <c r="DG134" s="27"/>
      <c r="DH134" s="27"/>
      <c r="DI134" s="27"/>
      <c r="DJ134" s="27"/>
      <c r="DK134" s="27"/>
      <c r="DL134" s="34"/>
      <c r="DM134" s="27"/>
      <c r="DN134" s="34"/>
      <c r="DO134" s="27"/>
      <c r="DP134" s="27"/>
      <c r="DQ134" s="27"/>
      <c r="DR134" s="26"/>
      <c r="DS134" s="27"/>
      <c r="DT134" s="27"/>
      <c r="DV134" s="1387"/>
      <c r="DW134" s="1387"/>
      <c r="DX134" s="1379"/>
      <c r="DY134" s="1379"/>
      <c r="DZ134" s="1379"/>
      <c r="EA134" s="1379"/>
      <c r="EB134" s="1379"/>
      <c r="EC134" s="1379"/>
      <c r="ED134" s="1379"/>
      <c r="EE134" s="1379"/>
      <c r="EF134" s="1379"/>
      <c r="EG134" s="1379"/>
      <c r="EH134" s="1379"/>
      <c r="EI134" s="1379"/>
      <c r="EJ134" s="1379"/>
      <c r="EK134" s="1379"/>
      <c r="EL134" s="1379"/>
      <c r="EM134" s="1379"/>
      <c r="EN134" s="1379"/>
      <c r="EO134" s="1379"/>
      <c r="EP134" s="1380"/>
      <c r="EQ134" s="1381"/>
      <c r="ER134" s="1381"/>
      <c r="ES134" s="1381"/>
    </row>
    <row r="135" spans="1:149" s="168" customFormat="1" ht="45" customHeight="1" thickTop="1" thickBot="1">
      <c r="A135" s="3410" t="s">
        <v>77</v>
      </c>
      <c r="B135" s="3410"/>
      <c r="C135" s="185">
        <f>SUM(C118:C133)</f>
        <v>0</v>
      </c>
      <c r="D135" s="185">
        <f t="shared" ref="D135:S135" si="128">SUM(D118:D133)</f>
        <v>0</v>
      </c>
      <c r="E135" s="185">
        <f t="shared" si="128"/>
        <v>0</v>
      </c>
      <c r="F135" s="185">
        <f t="shared" si="128"/>
        <v>0</v>
      </c>
      <c r="G135" s="185">
        <f t="shared" si="128"/>
        <v>0</v>
      </c>
      <c r="H135" s="185">
        <f t="shared" si="128"/>
        <v>0</v>
      </c>
      <c r="I135" s="185">
        <f t="shared" si="128"/>
        <v>0</v>
      </c>
      <c r="J135" s="185">
        <f t="shared" si="128"/>
        <v>0</v>
      </c>
      <c r="K135" s="1435">
        <f t="shared" si="128"/>
        <v>0</v>
      </c>
      <c r="L135" s="1435">
        <f t="shared" si="128"/>
        <v>0</v>
      </c>
      <c r="M135" s="185">
        <f t="shared" si="128"/>
        <v>0</v>
      </c>
      <c r="N135" s="185">
        <f t="shared" si="128"/>
        <v>0</v>
      </c>
      <c r="O135" s="185">
        <f t="shared" si="128"/>
        <v>0</v>
      </c>
      <c r="P135" s="185">
        <f t="shared" si="128"/>
        <v>0</v>
      </c>
      <c r="Q135" s="185">
        <f t="shared" si="128"/>
        <v>0</v>
      </c>
      <c r="R135" s="185">
        <f t="shared" si="128"/>
        <v>0</v>
      </c>
      <c r="S135" s="185">
        <f t="shared" si="128"/>
        <v>0</v>
      </c>
      <c r="T135" s="185">
        <f>SUM(T118:T133)</f>
        <v>0</v>
      </c>
      <c r="U135" s="186">
        <f>IF(S135=0,0,T135/S135)</f>
        <v>0</v>
      </c>
      <c r="V135" s="3410">
        <f>SUM(S135-T135)</f>
        <v>0</v>
      </c>
      <c r="W135" s="3410"/>
      <c r="Z135" s="3410" t="s">
        <v>77</v>
      </c>
      <c r="AA135" s="3410"/>
      <c r="AB135" s="185">
        <f>SUM(AB118:AB133)</f>
        <v>0</v>
      </c>
      <c r="AC135" s="185">
        <f t="shared" ref="AC135:AR135" si="129">SUM(AC118:AC133)</f>
        <v>0</v>
      </c>
      <c r="AD135" s="185">
        <f t="shared" si="129"/>
        <v>0</v>
      </c>
      <c r="AE135" s="185">
        <f t="shared" si="129"/>
        <v>0</v>
      </c>
      <c r="AF135" s="185">
        <f t="shared" si="129"/>
        <v>0</v>
      </c>
      <c r="AG135" s="185">
        <f t="shared" si="129"/>
        <v>0</v>
      </c>
      <c r="AH135" s="185">
        <f t="shared" si="129"/>
        <v>0</v>
      </c>
      <c r="AI135" s="185">
        <f t="shared" si="129"/>
        <v>0</v>
      </c>
      <c r="AJ135" s="1435">
        <f t="shared" si="129"/>
        <v>0</v>
      </c>
      <c r="AK135" s="1435">
        <f t="shared" si="129"/>
        <v>0</v>
      </c>
      <c r="AL135" s="185">
        <f t="shared" si="129"/>
        <v>0</v>
      </c>
      <c r="AM135" s="185">
        <f t="shared" si="129"/>
        <v>0</v>
      </c>
      <c r="AN135" s="185">
        <f t="shared" si="129"/>
        <v>0</v>
      </c>
      <c r="AO135" s="185">
        <f t="shared" si="129"/>
        <v>0</v>
      </c>
      <c r="AP135" s="185">
        <f t="shared" si="129"/>
        <v>0</v>
      </c>
      <c r="AQ135" s="185">
        <f t="shared" si="129"/>
        <v>0</v>
      </c>
      <c r="AR135" s="185">
        <f t="shared" si="129"/>
        <v>0</v>
      </c>
      <c r="AS135" s="185">
        <f>SUM(AS118:AS133)</f>
        <v>0</v>
      </c>
      <c r="AT135" s="186">
        <f>IF(AR135=0,0,AS135/AR135)</f>
        <v>0</v>
      </c>
      <c r="AU135" s="3410">
        <f>SUM(AR135-AS135)</f>
        <v>0</v>
      </c>
      <c r="AV135" s="3410"/>
      <c r="AY135" s="27"/>
      <c r="AZ135" s="27"/>
      <c r="BA135" s="27"/>
      <c r="BB135" s="27"/>
      <c r="BC135" s="27"/>
      <c r="BD135" s="27"/>
      <c r="BE135" s="27"/>
      <c r="BF135" s="27"/>
      <c r="BG135" s="27"/>
      <c r="BH135" s="27"/>
      <c r="BI135" s="27"/>
      <c r="BJ135" s="27"/>
      <c r="BK135" s="27"/>
      <c r="BL135" s="27"/>
      <c r="BM135" s="27"/>
      <c r="BN135" s="34"/>
      <c r="BO135" s="27"/>
      <c r="BP135" s="34"/>
      <c r="BQ135" s="27"/>
      <c r="BR135" s="27"/>
      <c r="BS135" s="27"/>
      <c r="BT135" s="26"/>
      <c r="BU135" s="27"/>
      <c r="BV135" s="27"/>
      <c r="BW135" s="27"/>
      <c r="BX135" s="27"/>
      <c r="BY135" s="27"/>
      <c r="BZ135" s="27"/>
      <c r="CA135" s="27"/>
      <c r="CB135" s="27"/>
      <c r="CC135" s="27"/>
      <c r="CD135" s="27"/>
      <c r="CE135" s="27"/>
      <c r="CF135" s="27"/>
      <c r="CG135" s="27"/>
      <c r="CH135" s="27"/>
      <c r="CI135" s="27"/>
      <c r="CJ135" s="27"/>
      <c r="CK135" s="27"/>
      <c r="CL135" s="27"/>
      <c r="CM135" s="34"/>
      <c r="CN135" s="27"/>
      <c r="CO135" s="34"/>
      <c r="CP135" s="27"/>
      <c r="CQ135" s="27"/>
      <c r="CR135" s="27"/>
      <c r="CS135" s="26"/>
      <c r="CT135" s="27"/>
      <c r="CU135" s="27"/>
      <c r="CV135" s="27"/>
      <c r="CW135" s="27"/>
      <c r="CX135" s="27"/>
      <c r="CY135" s="27"/>
      <c r="CZ135" s="27"/>
      <c r="DA135" s="27"/>
      <c r="DB135" s="27"/>
      <c r="DC135" s="27"/>
      <c r="DD135" s="27"/>
      <c r="DE135" s="27"/>
      <c r="DF135" s="27"/>
      <c r="DG135" s="27"/>
      <c r="DH135" s="27"/>
      <c r="DI135" s="27"/>
      <c r="DJ135" s="27"/>
      <c r="DK135" s="27"/>
      <c r="DL135" s="34"/>
      <c r="DM135" s="27"/>
      <c r="DN135" s="34"/>
      <c r="DO135" s="27"/>
      <c r="DP135" s="27"/>
      <c r="DQ135" s="27"/>
      <c r="DR135" s="26"/>
      <c r="DS135" s="27"/>
      <c r="DT135" s="27"/>
      <c r="DV135" s="3410"/>
      <c r="DW135" s="3410"/>
      <c r="DX135" s="1394"/>
      <c r="DY135" s="1394"/>
      <c r="DZ135" s="1394"/>
      <c r="EA135" s="1394"/>
      <c r="EB135" s="1394"/>
      <c r="EC135" s="1394"/>
      <c r="ED135" s="1394"/>
      <c r="EE135" s="1394"/>
      <c r="EF135" s="1394"/>
      <c r="EG135" s="1394"/>
      <c r="EH135" s="1394"/>
      <c r="EI135" s="1394"/>
      <c r="EJ135" s="1394"/>
      <c r="EK135" s="1394"/>
      <c r="EL135" s="1394"/>
      <c r="EM135" s="1394"/>
      <c r="EN135" s="1394"/>
      <c r="EO135" s="1394"/>
      <c r="EP135" s="1395"/>
      <c r="EQ135" s="3410"/>
      <c r="ER135" s="3410"/>
      <c r="ES135" s="1387"/>
    </row>
    <row r="136" spans="1:149" s="168" customFormat="1" ht="16.5" thickTop="1">
      <c r="A136" s="188"/>
      <c r="B136" s="189"/>
      <c r="C136" s="184"/>
      <c r="P136" s="190"/>
      <c r="R136" s="190"/>
      <c r="T136" s="190"/>
      <c r="Z136" s="188"/>
      <c r="AA136" s="189"/>
      <c r="AB136" s="184"/>
      <c r="AO136" s="190"/>
      <c r="AQ136" s="190"/>
      <c r="AS136" s="190"/>
      <c r="AY136" s="27"/>
      <c r="AZ136" s="27"/>
      <c r="BA136" s="27"/>
      <c r="BB136" s="27"/>
      <c r="BC136" s="27"/>
      <c r="BD136" s="27"/>
      <c r="BE136" s="27"/>
      <c r="BF136" s="27"/>
      <c r="BG136" s="27"/>
      <c r="BH136" s="27"/>
      <c r="BI136" s="27"/>
      <c r="BJ136" s="27"/>
      <c r="BK136" s="27"/>
      <c r="BL136" s="27"/>
      <c r="BM136" s="27"/>
      <c r="BN136" s="34"/>
      <c r="BO136" s="27"/>
      <c r="BP136" s="34"/>
      <c r="BQ136" s="27"/>
      <c r="BR136" s="27"/>
      <c r="BS136" s="27"/>
      <c r="BT136" s="26"/>
      <c r="BU136" s="27"/>
      <c r="BV136" s="27"/>
      <c r="BW136" s="27"/>
      <c r="BX136" s="27"/>
      <c r="BY136" s="27"/>
      <c r="BZ136" s="27"/>
      <c r="CA136" s="27"/>
      <c r="CB136" s="27"/>
      <c r="CC136" s="27"/>
      <c r="CD136" s="27"/>
      <c r="CE136" s="27"/>
      <c r="CF136" s="27"/>
      <c r="CG136" s="27"/>
      <c r="CH136" s="27"/>
      <c r="CI136" s="27"/>
      <c r="CJ136" s="27"/>
      <c r="CK136" s="27"/>
      <c r="CL136" s="27"/>
      <c r="CM136" s="34"/>
      <c r="CN136" s="27"/>
      <c r="CO136" s="34"/>
      <c r="CP136" s="27"/>
      <c r="CQ136" s="27"/>
      <c r="CR136" s="27"/>
      <c r="CS136" s="26"/>
      <c r="CT136" s="27"/>
      <c r="CU136" s="27"/>
      <c r="CV136" s="27"/>
      <c r="CW136" s="27"/>
      <c r="CX136" s="27"/>
      <c r="CY136" s="27"/>
      <c r="CZ136" s="27"/>
      <c r="DA136" s="27"/>
      <c r="DB136" s="27"/>
      <c r="DC136" s="27"/>
      <c r="DD136" s="27"/>
      <c r="DE136" s="27"/>
      <c r="DF136" s="27"/>
      <c r="DG136" s="27"/>
      <c r="DH136" s="27"/>
      <c r="DI136" s="27"/>
      <c r="DJ136" s="27"/>
      <c r="DK136" s="27"/>
      <c r="DL136" s="34"/>
      <c r="DM136" s="27"/>
      <c r="DN136" s="34"/>
      <c r="DO136" s="27"/>
      <c r="DP136" s="27"/>
      <c r="DQ136" s="27"/>
      <c r="DR136" s="26"/>
      <c r="DS136" s="27"/>
      <c r="DT136" s="27"/>
      <c r="DV136" s="1397"/>
      <c r="DW136" s="1387"/>
      <c r="DX136" s="1381"/>
      <c r="DY136" s="1387"/>
      <c r="DZ136" s="1387"/>
      <c r="EA136" s="1387"/>
      <c r="EB136" s="1387"/>
      <c r="EC136" s="1387"/>
      <c r="ED136" s="1387"/>
      <c r="EE136" s="1387"/>
      <c r="EF136" s="1387"/>
      <c r="EG136" s="1387"/>
      <c r="EH136" s="1387"/>
      <c r="EI136" s="1387"/>
      <c r="EJ136" s="1387"/>
      <c r="EK136" s="1398"/>
      <c r="EL136" s="1387"/>
      <c r="EM136" s="1398"/>
      <c r="EN136" s="1387"/>
      <c r="EO136" s="1398"/>
      <c r="EP136" s="1387"/>
      <c r="EQ136" s="1387"/>
      <c r="ER136" s="1387"/>
      <c r="ES136" s="1387"/>
    </row>
    <row r="137" spans="1:149" s="168" customFormat="1" ht="15">
      <c r="B137" s="3410" t="s">
        <v>82</v>
      </c>
      <c r="C137" s="3410"/>
      <c r="D137" s="3410"/>
      <c r="E137" s="3410"/>
      <c r="F137" s="3410"/>
      <c r="G137" s="3410"/>
      <c r="H137" s="3410"/>
      <c r="I137" s="3410"/>
      <c r="J137" s="3410"/>
      <c r="K137" s="3410"/>
      <c r="L137" s="3410"/>
      <c r="M137" s="3410"/>
      <c r="N137" s="3410"/>
      <c r="O137" s="3410"/>
      <c r="P137" s="3410"/>
      <c r="Q137" s="191"/>
      <c r="R137" s="3410" t="s">
        <v>83</v>
      </c>
      <c r="S137" s="3410"/>
      <c r="T137" s="3410"/>
      <c r="U137" s="191"/>
      <c r="AA137" s="3410" t="s">
        <v>82</v>
      </c>
      <c r="AB137" s="3410"/>
      <c r="AC137" s="3410"/>
      <c r="AD137" s="3410"/>
      <c r="AE137" s="3410"/>
      <c r="AF137" s="3410"/>
      <c r="AG137" s="3410"/>
      <c r="AH137" s="3410"/>
      <c r="AI137" s="3410"/>
      <c r="AJ137" s="3410"/>
      <c r="AK137" s="3410"/>
      <c r="AL137" s="3410"/>
      <c r="AM137" s="3410"/>
      <c r="AN137" s="3410"/>
      <c r="AO137" s="3410"/>
      <c r="AP137" s="191"/>
      <c r="AQ137" s="3410" t="s">
        <v>83</v>
      </c>
      <c r="AR137" s="3410"/>
      <c r="AS137" s="3410"/>
      <c r="AT137" s="191"/>
      <c r="AY137" s="27"/>
      <c r="AZ137" s="27"/>
      <c r="BA137" s="27"/>
      <c r="BB137" s="27"/>
      <c r="BC137" s="27"/>
      <c r="BD137" s="27"/>
      <c r="BE137" s="27"/>
      <c r="BF137" s="27"/>
      <c r="BG137" s="27"/>
      <c r="BH137" s="27"/>
      <c r="BI137" s="27"/>
      <c r="BJ137" s="27"/>
      <c r="BK137" s="27"/>
      <c r="BL137" s="27"/>
      <c r="BM137" s="27"/>
      <c r="BN137" s="34"/>
      <c r="BO137" s="27"/>
      <c r="BP137" s="34"/>
      <c r="BQ137" s="27"/>
      <c r="BR137" s="27"/>
      <c r="BS137" s="27"/>
      <c r="BT137" s="26"/>
      <c r="BU137" s="27"/>
      <c r="BV137" s="27"/>
      <c r="BW137" s="27"/>
      <c r="BX137" s="27"/>
      <c r="BY137" s="27"/>
      <c r="BZ137" s="27"/>
      <c r="CA137" s="27"/>
      <c r="CB137" s="27"/>
      <c r="CC137" s="27"/>
      <c r="CD137" s="27"/>
      <c r="CE137" s="27"/>
      <c r="CF137" s="27"/>
      <c r="CG137" s="27"/>
      <c r="CH137" s="27"/>
      <c r="CI137" s="27"/>
      <c r="CJ137" s="27"/>
      <c r="CK137" s="27"/>
      <c r="CL137" s="27"/>
      <c r="CM137" s="34"/>
      <c r="CN137" s="27"/>
      <c r="CO137" s="34"/>
      <c r="CP137" s="27"/>
      <c r="CQ137" s="27"/>
      <c r="CR137" s="27"/>
      <c r="CS137" s="26"/>
      <c r="CT137" s="27"/>
      <c r="CU137" s="27"/>
      <c r="CV137" s="27"/>
      <c r="CW137" s="27"/>
      <c r="CX137" s="27"/>
      <c r="CY137" s="27"/>
      <c r="CZ137" s="27"/>
      <c r="DA137" s="27"/>
      <c r="DB137" s="27"/>
      <c r="DC137" s="27"/>
      <c r="DD137" s="27"/>
      <c r="DE137" s="27"/>
      <c r="DF137" s="27"/>
      <c r="DG137" s="27"/>
      <c r="DH137" s="27"/>
      <c r="DI137" s="27"/>
      <c r="DJ137" s="27"/>
      <c r="DK137" s="27"/>
      <c r="DL137" s="34"/>
      <c r="DM137" s="27"/>
      <c r="DN137" s="34"/>
      <c r="DO137" s="27"/>
      <c r="DP137" s="27"/>
      <c r="DQ137" s="27"/>
      <c r="DR137" s="26"/>
      <c r="DS137" s="27"/>
      <c r="DT137" s="27"/>
      <c r="DV137" s="1387"/>
      <c r="DW137" s="3410"/>
      <c r="DX137" s="3410"/>
      <c r="DY137" s="3410"/>
      <c r="DZ137" s="3410"/>
      <c r="EA137" s="3410"/>
      <c r="EB137" s="3410"/>
      <c r="EC137" s="3410"/>
      <c r="ED137" s="3410"/>
      <c r="EE137" s="3410"/>
      <c r="EF137" s="3410"/>
      <c r="EG137" s="3410"/>
      <c r="EH137" s="3410"/>
      <c r="EI137" s="3410"/>
      <c r="EJ137" s="3410"/>
      <c r="EK137" s="3410"/>
      <c r="EL137" s="1399"/>
      <c r="EM137" s="3410"/>
      <c r="EN137" s="3410"/>
      <c r="EO137" s="3410"/>
      <c r="EP137" s="1399"/>
      <c r="EQ137" s="1387"/>
      <c r="ER137" s="1387"/>
      <c r="ES137" s="1387"/>
    </row>
    <row r="138" spans="1:149" s="168" customFormat="1" ht="15">
      <c r="B138" s="191"/>
      <c r="C138" s="191"/>
      <c r="D138" s="191"/>
      <c r="E138" s="191"/>
      <c r="F138" s="191"/>
      <c r="G138" s="191"/>
      <c r="H138" s="191"/>
      <c r="I138" s="191"/>
      <c r="J138" s="191"/>
      <c r="K138" s="191"/>
      <c r="L138" s="191"/>
      <c r="M138" s="191"/>
      <c r="N138" s="191"/>
      <c r="O138" s="191"/>
      <c r="P138" s="187"/>
      <c r="Q138" s="191"/>
      <c r="R138" s="187"/>
      <c r="S138" s="191"/>
      <c r="T138" s="191"/>
      <c r="U138" s="191"/>
      <c r="AA138" s="191"/>
      <c r="AB138" s="191"/>
      <c r="AC138" s="191"/>
      <c r="AD138" s="191"/>
      <c r="AE138" s="191"/>
      <c r="AF138" s="191"/>
      <c r="AG138" s="191"/>
      <c r="AH138" s="191"/>
      <c r="AI138" s="191"/>
      <c r="AJ138" s="191"/>
      <c r="AK138" s="191"/>
      <c r="AL138" s="191"/>
      <c r="AM138" s="191"/>
      <c r="AN138" s="191"/>
      <c r="AO138" s="187"/>
      <c r="AP138" s="191"/>
      <c r="AQ138" s="187"/>
      <c r="AR138" s="191"/>
      <c r="AS138" s="191"/>
      <c r="AT138" s="191"/>
      <c r="AY138" s="27"/>
      <c r="AZ138" s="27"/>
      <c r="BA138" s="27"/>
      <c r="BB138" s="27"/>
      <c r="BC138" s="27"/>
      <c r="BD138" s="27"/>
      <c r="BE138" s="27"/>
      <c r="BF138" s="27"/>
      <c r="BG138" s="27"/>
      <c r="BH138" s="27"/>
      <c r="BI138" s="27"/>
      <c r="BJ138" s="27"/>
      <c r="BK138" s="27"/>
      <c r="BL138" s="27"/>
      <c r="BM138" s="27"/>
      <c r="BN138" s="34"/>
      <c r="BO138" s="27"/>
      <c r="BP138" s="34"/>
      <c r="BQ138" s="27"/>
      <c r="BR138" s="27"/>
      <c r="BS138" s="27"/>
      <c r="BT138" s="26"/>
      <c r="BU138" s="27"/>
      <c r="BV138" s="27"/>
      <c r="BW138" s="27"/>
      <c r="BX138" s="27"/>
      <c r="BY138" s="27"/>
      <c r="BZ138" s="27"/>
      <c r="CA138" s="27"/>
      <c r="CB138" s="27"/>
      <c r="CC138" s="27"/>
      <c r="CD138" s="27"/>
      <c r="CE138" s="27"/>
      <c r="CF138" s="27"/>
      <c r="CG138" s="27"/>
      <c r="CH138" s="27"/>
      <c r="CI138" s="27"/>
      <c r="CJ138" s="27"/>
      <c r="CK138" s="27"/>
      <c r="CL138" s="27"/>
      <c r="CM138" s="34"/>
      <c r="CN138" s="27"/>
      <c r="CO138" s="34"/>
      <c r="CP138" s="27"/>
      <c r="CQ138" s="27"/>
      <c r="CR138" s="27"/>
      <c r="CS138" s="26"/>
      <c r="CT138" s="27"/>
      <c r="CU138" s="27"/>
      <c r="CV138" s="27"/>
      <c r="CW138" s="27"/>
      <c r="CX138" s="27"/>
      <c r="CY138" s="27"/>
      <c r="CZ138" s="27"/>
      <c r="DA138" s="27"/>
      <c r="DB138" s="27"/>
      <c r="DC138" s="27"/>
      <c r="DD138" s="27"/>
      <c r="DE138" s="27"/>
      <c r="DF138" s="27"/>
      <c r="DG138" s="27"/>
      <c r="DH138" s="27"/>
      <c r="DI138" s="27"/>
      <c r="DJ138" s="27"/>
      <c r="DK138" s="27"/>
      <c r="DL138" s="34"/>
      <c r="DM138" s="27"/>
      <c r="DN138" s="34"/>
      <c r="DO138" s="27"/>
      <c r="DP138" s="27"/>
      <c r="DQ138" s="27"/>
      <c r="DR138" s="26"/>
      <c r="DS138" s="27"/>
      <c r="DT138" s="27"/>
      <c r="DV138" s="1387"/>
      <c r="DW138" s="1399"/>
      <c r="DX138" s="1399"/>
      <c r="DY138" s="1399"/>
      <c r="DZ138" s="1399"/>
      <c r="EA138" s="1399"/>
      <c r="EB138" s="1399"/>
      <c r="EC138" s="1399"/>
      <c r="ED138" s="1399"/>
      <c r="EE138" s="1399"/>
      <c r="EF138" s="1399"/>
      <c r="EG138" s="1399"/>
      <c r="EH138" s="1399"/>
      <c r="EI138" s="1399"/>
      <c r="EJ138" s="1399"/>
      <c r="EK138" s="1396"/>
      <c r="EL138" s="1399"/>
      <c r="EM138" s="1396"/>
      <c r="EN138" s="1399"/>
      <c r="EO138" s="1399"/>
      <c r="EP138" s="1399"/>
      <c r="EQ138" s="1387"/>
      <c r="ER138" s="1387"/>
      <c r="ES138" s="1387"/>
    </row>
    <row r="139" spans="1:149" s="168" customFormat="1" ht="15">
      <c r="B139" s="191"/>
      <c r="C139" s="191"/>
      <c r="D139" s="191"/>
      <c r="E139" s="191"/>
      <c r="F139" s="191"/>
      <c r="G139" s="191"/>
      <c r="H139" s="191"/>
      <c r="I139" s="191"/>
      <c r="J139" s="191"/>
      <c r="K139" s="191"/>
      <c r="L139" s="191"/>
      <c r="M139" s="191"/>
      <c r="N139" s="191"/>
      <c r="O139" s="191"/>
      <c r="P139" s="187"/>
      <c r="Q139" s="191"/>
      <c r="R139" s="187"/>
      <c r="S139" s="191"/>
      <c r="T139" s="191"/>
      <c r="U139" s="191"/>
      <c r="AA139" s="191"/>
      <c r="AB139" s="191"/>
      <c r="AC139" s="191"/>
      <c r="AD139" s="191"/>
      <c r="AE139" s="191"/>
      <c r="AF139" s="191"/>
      <c r="AG139" s="191"/>
      <c r="AH139" s="191"/>
      <c r="AI139" s="191"/>
      <c r="AJ139" s="191"/>
      <c r="AK139" s="191"/>
      <c r="AL139" s="191"/>
      <c r="AM139" s="191"/>
      <c r="AN139" s="191"/>
      <c r="AO139" s="187"/>
      <c r="AP139" s="191"/>
      <c r="AQ139" s="187"/>
      <c r="AR139" s="191"/>
      <c r="AS139" s="191"/>
      <c r="AT139" s="191"/>
      <c r="AY139" s="27"/>
      <c r="AZ139" s="27"/>
      <c r="BA139" s="27"/>
      <c r="BB139" s="27"/>
      <c r="BC139" s="27"/>
      <c r="BD139" s="27"/>
      <c r="BE139" s="27"/>
      <c r="BF139" s="27"/>
      <c r="BG139" s="27"/>
      <c r="BH139" s="27"/>
      <c r="BI139" s="27"/>
      <c r="BJ139" s="27"/>
      <c r="BK139" s="27"/>
      <c r="BL139" s="27"/>
      <c r="BM139" s="27"/>
      <c r="BN139" s="34"/>
      <c r="BO139" s="27"/>
      <c r="BP139" s="34"/>
      <c r="BQ139" s="27"/>
      <c r="BR139" s="27"/>
      <c r="BS139" s="27"/>
      <c r="BT139" s="26"/>
      <c r="BU139" s="27"/>
      <c r="BV139" s="27"/>
      <c r="BW139" s="27"/>
      <c r="BX139" s="27"/>
      <c r="BY139" s="27"/>
      <c r="BZ139" s="27"/>
      <c r="CA139" s="27"/>
      <c r="CB139" s="27"/>
      <c r="CC139" s="27"/>
      <c r="CD139" s="27"/>
      <c r="CE139" s="27"/>
      <c r="CF139" s="27"/>
      <c r="CG139" s="27"/>
      <c r="CH139" s="27"/>
      <c r="CI139" s="27"/>
      <c r="CJ139" s="27"/>
      <c r="CK139" s="27"/>
      <c r="CL139" s="27"/>
      <c r="CM139" s="34"/>
      <c r="CN139" s="27"/>
      <c r="CO139" s="34"/>
      <c r="CP139" s="27"/>
      <c r="CQ139" s="27"/>
      <c r="CR139" s="27"/>
      <c r="CS139" s="26"/>
      <c r="CT139" s="27"/>
      <c r="CU139" s="27"/>
      <c r="CV139" s="27"/>
      <c r="CW139" s="27"/>
      <c r="CX139" s="27"/>
      <c r="CY139" s="27"/>
      <c r="CZ139" s="27"/>
      <c r="DA139" s="27"/>
      <c r="DB139" s="27"/>
      <c r="DC139" s="27"/>
      <c r="DD139" s="27"/>
      <c r="DE139" s="27"/>
      <c r="DF139" s="27"/>
      <c r="DG139" s="27"/>
      <c r="DH139" s="27"/>
      <c r="DI139" s="27"/>
      <c r="DJ139" s="27"/>
      <c r="DK139" s="27"/>
      <c r="DL139" s="34"/>
      <c r="DM139" s="27"/>
      <c r="DN139" s="34"/>
      <c r="DO139" s="27"/>
      <c r="DP139" s="27"/>
      <c r="DQ139" s="27"/>
      <c r="DR139" s="26"/>
      <c r="DS139" s="27"/>
      <c r="DT139" s="27"/>
      <c r="DV139" s="1387"/>
      <c r="DW139" s="1399"/>
      <c r="DX139" s="1399"/>
      <c r="DY139" s="1399"/>
      <c r="DZ139" s="1399"/>
      <c r="EA139" s="1399"/>
      <c r="EB139" s="1399"/>
      <c r="EC139" s="1399"/>
      <c r="ED139" s="1399"/>
      <c r="EE139" s="1399"/>
      <c r="EF139" s="1399"/>
      <c r="EG139" s="1399"/>
      <c r="EH139" s="1399"/>
      <c r="EI139" s="1399"/>
      <c r="EJ139" s="1399"/>
      <c r="EK139" s="1396"/>
      <c r="EL139" s="1399"/>
      <c r="EM139" s="1396"/>
      <c r="EN139" s="1399"/>
      <c r="EO139" s="1399"/>
      <c r="EP139" s="1399"/>
      <c r="EQ139" s="1387"/>
      <c r="ER139" s="1387"/>
      <c r="ES139" s="1387"/>
    </row>
    <row r="140" spans="1:149" s="168" customFormat="1" ht="15">
      <c r="B140" s="191"/>
      <c r="C140" s="191"/>
      <c r="D140" s="191"/>
      <c r="E140" s="191"/>
      <c r="F140" s="191"/>
      <c r="G140" s="191"/>
      <c r="H140" s="191"/>
      <c r="I140" s="191"/>
      <c r="J140" s="191"/>
      <c r="K140" s="191"/>
      <c r="L140" s="191"/>
      <c r="M140" s="191"/>
      <c r="N140" s="191"/>
      <c r="O140" s="191"/>
      <c r="P140" s="187"/>
      <c r="Q140" s="191"/>
      <c r="R140" s="187"/>
      <c r="S140" s="191"/>
      <c r="T140" s="191"/>
      <c r="U140" s="191"/>
      <c r="AA140" s="191"/>
      <c r="AB140" s="191"/>
      <c r="AC140" s="191"/>
      <c r="AD140" s="191"/>
      <c r="AE140" s="191"/>
      <c r="AF140" s="191"/>
      <c r="AG140" s="191"/>
      <c r="AH140" s="191"/>
      <c r="AI140" s="191"/>
      <c r="AJ140" s="191"/>
      <c r="AK140" s="191"/>
      <c r="AL140" s="191"/>
      <c r="AM140" s="191"/>
      <c r="AN140" s="191"/>
      <c r="AO140" s="187"/>
      <c r="AP140" s="191"/>
      <c r="AQ140" s="187"/>
      <c r="AR140" s="191"/>
      <c r="AS140" s="191"/>
      <c r="AT140" s="191"/>
      <c r="AY140" s="27"/>
      <c r="AZ140" s="27"/>
      <c r="BA140" s="27"/>
      <c r="BB140" s="27"/>
      <c r="BC140" s="27"/>
      <c r="BD140" s="27"/>
      <c r="BE140" s="27"/>
      <c r="BF140" s="27"/>
      <c r="BG140" s="27"/>
      <c r="BH140" s="27"/>
      <c r="BI140" s="27"/>
      <c r="BJ140" s="27"/>
      <c r="BK140" s="27"/>
      <c r="BL140" s="27"/>
      <c r="BM140" s="27"/>
      <c r="BN140" s="34"/>
      <c r="BO140" s="27"/>
      <c r="BP140" s="34"/>
      <c r="BQ140" s="27"/>
      <c r="BR140" s="27"/>
      <c r="BS140" s="27"/>
      <c r="BT140" s="26"/>
      <c r="BU140" s="27"/>
      <c r="BV140" s="27"/>
      <c r="BW140" s="27"/>
      <c r="BX140" s="27"/>
      <c r="BY140" s="27"/>
      <c r="BZ140" s="27"/>
      <c r="CA140" s="27"/>
      <c r="CB140" s="27"/>
      <c r="CC140" s="27"/>
      <c r="CD140" s="27"/>
      <c r="CE140" s="27"/>
      <c r="CF140" s="27"/>
      <c r="CG140" s="27"/>
      <c r="CH140" s="27"/>
      <c r="CI140" s="27"/>
      <c r="CJ140" s="27"/>
      <c r="CK140" s="27"/>
      <c r="CL140" s="27"/>
      <c r="CM140" s="34"/>
      <c r="CN140" s="27"/>
      <c r="CO140" s="34"/>
      <c r="CP140" s="27"/>
      <c r="CQ140" s="27"/>
      <c r="CR140" s="27"/>
      <c r="CS140" s="26"/>
      <c r="CT140" s="27"/>
      <c r="CU140" s="27"/>
      <c r="CV140" s="27"/>
      <c r="CW140" s="27"/>
      <c r="CX140" s="27"/>
      <c r="CY140" s="27"/>
      <c r="CZ140" s="27"/>
      <c r="DA140" s="27"/>
      <c r="DB140" s="27"/>
      <c r="DC140" s="27"/>
      <c r="DD140" s="27"/>
      <c r="DE140" s="27"/>
      <c r="DF140" s="27"/>
      <c r="DG140" s="27"/>
      <c r="DH140" s="27"/>
      <c r="DI140" s="27"/>
      <c r="DJ140" s="27"/>
      <c r="DK140" s="27"/>
      <c r="DL140" s="34"/>
      <c r="DM140" s="27"/>
      <c r="DN140" s="34"/>
      <c r="DO140" s="27"/>
      <c r="DP140" s="27"/>
      <c r="DQ140" s="27"/>
      <c r="DR140" s="26"/>
      <c r="DS140" s="27"/>
      <c r="DT140" s="27"/>
      <c r="DV140" s="1387"/>
      <c r="DW140" s="1399"/>
      <c r="DX140" s="1399"/>
      <c r="DY140" s="1399"/>
      <c r="DZ140" s="1399"/>
      <c r="EA140" s="1399"/>
      <c r="EB140" s="1399"/>
      <c r="EC140" s="1399"/>
      <c r="ED140" s="1399"/>
      <c r="EE140" s="1399"/>
      <c r="EF140" s="1399"/>
      <c r="EG140" s="1399"/>
      <c r="EH140" s="1399"/>
      <c r="EI140" s="1399"/>
      <c r="EJ140" s="1399"/>
      <c r="EK140" s="1396"/>
      <c r="EL140" s="1399"/>
      <c r="EM140" s="1396"/>
      <c r="EN140" s="1399"/>
      <c r="EO140" s="1399"/>
      <c r="EP140" s="1399"/>
      <c r="EQ140" s="1387"/>
      <c r="ER140" s="1387"/>
      <c r="ES140" s="1387"/>
    </row>
    <row r="141" spans="1:149" s="168" customFormat="1" ht="15">
      <c r="B141" s="191"/>
      <c r="C141" s="191"/>
      <c r="D141" s="191"/>
      <c r="E141" s="191"/>
      <c r="F141" s="191"/>
      <c r="G141" s="191"/>
      <c r="H141" s="191"/>
      <c r="I141" s="191"/>
      <c r="J141" s="191"/>
      <c r="K141" s="191"/>
      <c r="L141" s="191"/>
      <c r="M141" s="191"/>
      <c r="N141" s="191"/>
      <c r="O141" s="191"/>
      <c r="P141" s="187"/>
      <c r="Q141" s="191"/>
      <c r="R141" s="187"/>
      <c r="S141" s="191"/>
      <c r="T141" s="191"/>
      <c r="U141" s="191"/>
      <c r="AA141" s="191"/>
      <c r="AB141" s="191"/>
      <c r="AC141" s="191"/>
      <c r="AD141" s="191"/>
      <c r="AE141" s="191"/>
      <c r="AF141" s="191"/>
      <c r="AG141" s="191"/>
      <c r="AH141" s="191"/>
      <c r="AI141" s="191"/>
      <c r="AJ141" s="191"/>
      <c r="AK141" s="191"/>
      <c r="AL141" s="191"/>
      <c r="AM141" s="191"/>
      <c r="AN141" s="191"/>
      <c r="AO141" s="187"/>
      <c r="AP141" s="191"/>
      <c r="AQ141" s="187"/>
      <c r="AR141" s="191"/>
      <c r="AS141" s="191"/>
      <c r="AT141" s="191"/>
      <c r="AY141" s="27"/>
      <c r="AZ141" s="27"/>
      <c r="BA141" s="27"/>
      <c r="BB141" s="27"/>
      <c r="BC141" s="27"/>
      <c r="BD141" s="27"/>
      <c r="BE141" s="27"/>
      <c r="BF141" s="27"/>
      <c r="BG141" s="27"/>
      <c r="BH141" s="27"/>
      <c r="BI141" s="27"/>
      <c r="BJ141" s="27"/>
      <c r="BK141" s="27"/>
      <c r="BL141" s="27"/>
      <c r="BM141" s="27"/>
      <c r="BN141" s="34"/>
      <c r="BO141" s="27"/>
      <c r="BP141" s="34"/>
      <c r="BQ141" s="27"/>
      <c r="BR141" s="27"/>
      <c r="BS141" s="27"/>
      <c r="BT141" s="26"/>
      <c r="BU141" s="27"/>
      <c r="BV141" s="27"/>
      <c r="BW141" s="27"/>
      <c r="BX141" s="27"/>
      <c r="BY141" s="27"/>
      <c r="BZ141" s="27"/>
      <c r="CA141" s="27"/>
      <c r="CB141" s="27"/>
      <c r="CC141" s="27"/>
      <c r="CD141" s="27"/>
      <c r="CE141" s="27"/>
      <c r="CF141" s="27"/>
      <c r="CG141" s="27"/>
      <c r="CH141" s="27"/>
      <c r="CI141" s="27"/>
      <c r="CJ141" s="27"/>
      <c r="CK141" s="27"/>
      <c r="CL141" s="27"/>
      <c r="CM141" s="34"/>
      <c r="CN141" s="27"/>
      <c r="CO141" s="34"/>
      <c r="CP141" s="27"/>
      <c r="CQ141" s="27"/>
      <c r="CR141" s="27"/>
      <c r="CS141" s="26"/>
      <c r="CT141" s="27"/>
      <c r="CU141" s="27"/>
      <c r="CV141" s="27"/>
      <c r="CW141" s="27"/>
      <c r="CX141" s="27"/>
      <c r="CY141" s="27"/>
      <c r="CZ141" s="27"/>
      <c r="DA141" s="27"/>
      <c r="DB141" s="27"/>
      <c r="DC141" s="27"/>
      <c r="DD141" s="27"/>
      <c r="DE141" s="27"/>
      <c r="DF141" s="27"/>
      <c r="DG141" s="27"/>
      <c r="DH141" s="27"/>
      <c r="DI141" s="27"/>
      <c r="DJ141" s="27"/>
      <c r="DK141" s="27"/>
      <c r="DL141" s="34"/>
      <c r="DM141" s="27"/>
      <c r="DN141" s="34"/>
      <c r="DO141" s="27"/>
      <c r="DP141" s="27"/>
      <c r="DQ141" s="27"/>
      <c r="DR141" s="26"/>
      <c r="DS141" s="27"/>
      <c r="DT141" s="27"/>
      <c r="DV141" s="1387"/>
      <c r="DW141" s="1399"/>
      <c r="DX141" s="1399"/>
      <c r="DY141" s="1399"/>
      <c r="DZ141" s="1399"/>
      <c r="EA141" s="1399"/>
      <c r="EB141" s="1399"/>
      <c r="EC141" s="1399"/>
      <c r="ED141" s="1399"/>
      <c r="EE141" s="1399"/>
      <c r="EF141" s="1399"/>
      <c r="EG141" s="1399"/>
      <c r="EH141" s="1399"/>
      <c r="EI141" s="1399"/>
      <c r="EJ141" s="1399"/>
      <c r="EK141" s="1396"/>
      <c r="EL141" s="1399"/>
      <c r="EM141" s="1396"/>
      <c r="EN141" s="1399"/>
      <c r="EO141" s="1399"/>
      <c r="EP141" s="1399"/>
      <c r="EQ141" s="1387"/>
      <c r="ER141" s="1387"/>
      <c r="ES141" s="1387"/>
    </row>
    <row r="142" spans="1:149" s="168" customFormat="1" ht="15">
      <c r="B142" s="192" t="s">
        <v>2645</v>
      </c>
      <c r="C142" s="193"/>
      <c r="D142" s="3410" t="str">
        <f>$D$34</f>
        <v>-</v>
      </c>
      <c r="E142" s="3410"/>
      <c r="G142" s="192" t="str">
        <f>$G$34</f>
        <v>-</v>
      </c>
      <c r="H142" s="192"/>
      <c r="I142" s="192" t="str">
        <f>$I$34</f>
        <v>Yudi B</v>
      </c>
      <c r="J142" s="192"/>
      <c r="K142" s="187" t="str">
        <f>$K$34</f>
        <v>Endang Taryana</v>
      </c>
      <c r="L142" s="192"/>
      <c r="M142" s="192"/>
      <c r="N142" s="192"/>
      <c r="O142" s="192"/>
      <c r="P142" s="194"/>
      <c r="Q142" s="192"/>
      <c r="R142" s="3410" t="str">
        <f>$R$34</f>
        <v>Arin Yustini, SE</v>
      </c>
      <c r="S142" s="3410"/>
      <c r="T142" s="3410"/>
      <c r="U142" s="191"/>
      <c r="AA142" s="192" t="str">
        <f>$B$34</f>
        <v>Dadin</v>
      </c>
      <c r="AB142" s="193"/>
      <c r="AC142" s="3410" t="str">
        <f>$D$34</f>
        <v>-</v>
      </c>
      <c r="AD142" s="3410"/>
      <c r="AF142" s="192" t="str">
        <f>$G$34</f>
        <v>-</v>
      </c>
      <c r="AG142" s="192"/>
      <c r="AH142" s="192" t="str">
        <f>$I$34</f>
        <v>Yudi B</v>
      </c>
      <c r="AI142" s="192"/>
      <c r="AJ142" s="187" t="str">
        <f>$K$34</f>
        <v>Endang Taryana</v>
      </c>
      <c r="AK142" s="192"/>
      <c r="AL142" s="192"/>
      <c r="AM142" s="192"/>
      <c r="AN142" s="192"/>
      <c r="AO142" s="194"/>
      <c r="AP142" s="192"/>
      <c r="AQ142" s="3410" t="str">
        <f>$R$34</f>
        <v>Arin Yustini, SE</v>
      </c>
      <c r="AR142" s="3410"/>
      <c r="AS142" s="3410"/>
      <c r="AT142" s="191"/>
      <c r="AY142" s="27"/>
      <c r="AZ142" s="27"/>
      <c r="BA142" s="27"/>
      <c r="BB142" s="27"/>
      <c r="BC142" s="27"/>
      <c r="BD142" s="27"/>
      <c r="BE142" s="27"/>
      <c r="BF142" s="27"/>
      <c r="BG142" s="27"/>
      <c r="BH142" s="27"/>
      <c r="BI142" s="27"/>
      <c r="BJ142" s="27"/>
      <c r="BK142" s="27"/>
      <c r="BL142" s="27"/>
      <c r="BM142" s="27"/>
      <c r="BN142" s="34"/>
      <c r="BO142" s="27"/>
      <c r="BP142" s="34"/>
      <c r="BQ142" s="27"/>
      <c r="BR142" s="27"/>
      <c r="BS142" s="27"/>
      <c r="BT142" s="26"/>
      <c r="BU142" s="27"/>
      <c r="BV142" s="27"/>
      <c r="BW142" s="27"/>
      <c r="BX142" s="27"/>
      <c r="BY142" s="27"/>
      <c r="BZ142" s="27"/>
      <c r="CA142" s="27"/>
      <c r="CB142" s="27"/>
      <c r="CC142" s="27"/>
      <c r="CD142" s="27"/>
      <c r="CE142" s="27"/>
      <c r="CF142" s="27"/>
      <c r="CG142" s="27"/>
      <c r="CH142" s="27"/>
      <c r="CI142" s="27"/>
      <c r="CJ142" s="27"/>
      <c r="CK142" s="27"/>
      <c r="CL142" s="27"/>
      <c r="CM142" s="34"/>
      <c r="CN142" s="27"/>
      <c r="CO142" s="34"/>
      <c r="CP142" s="27"/>
      <c r="CQ142" s="27"/>
      <c r="CR142" s="27"/>
      <c r="CS142" s="26"/>
      <c r="CT142" s="27"/>
      <c r="CU142" s="27"/>
      <c r="CV142" s="27"/>
      <c r="CW142" s="27"/>
      <c r="CX142" s="27"/>
      <c r="CY142" s="27"/>
      <c r="CZ142" s="27"/>
      <c r="DA142" s="27"/>
      <c r="DB142" s="27"/>
      <c r="DC142" s="27"/>
      <c r="DD142" s="27"/>
      <c r="DE142" s="27"/>
      <c r="DF142" s="27"/>
      <c r="DG142" s="27"/>
      <c r="DH142" s="27"/>
      <c r="DI142" s="27"/>
      <c r="DJ142" s="27"/>
      <c r="DK142" s="27"/>
      <c r="DL142" s="34"/>
      <c r="DM142" s="27"/>
      <c r="DN142" s="34"/>
      <c r="DO142" s="27"/>
      <c r="DP142" s="27"/>
      <c r="DQ142" s="27"/>
      <c r="DR142" s="26"/>
      <c r="DS142" s="27"/>
      <c r="DT142" s="27"/>
      <c r="DV142" s="1387"/>
      <c r="DW142" s="1400"/>
      <c r="DX142" s="1401"/>
      <c r="DY142" s="3410"/>
      <c r="DZ142" s="3410"/>
      <c r="EA142" s="1387"/>
      <c r="EB142" s="1400"/>
      <c r="EC142" s="1400"/>
      <c r="ED142" s="1400"/>
      <c r="EE142" s="1400"/>
      <c r="EF142" s="1396"/>
      <c r="EG142" s="1400"/>
      <c r="EH142" s="1400"/>
      <c r="EI142" s="1400"/>
      <c r="EJ142" s="1400"/>
      <c r="EK142" s="1402"/>
      <c r="EL142" s="1400"/>
      <c r="EM142" s="3410"/>
      <c r="EN142" s="3410"/>
      <c r="EO142" s="3410"/>
      <c r="EP142" s="1399"/>
      <c r="EQ142" s="1387"/>
      <c r="ER142" s="1387"/>
      <c r="ES142" s="1387"/>
    </row>
    <row r="143" spans="1:149" s="168" customFormat="1" ht="15">
      <c r="B143" s="191" t="str">
        <f>$B$35</f>
        <v>BKAD</v>
      </c>
      <c r="D143" s="3410" t="str">
        <f>$D$35</f>
        <v xml:space="preserve">Fasilitator Kecamatan </v>
      </c>
      <c r="E143" s="3410"/>
      <c r="G143" s="191" t="str">
        <f>$G$35</f>
        <v>Fasilitator Teknik</v>
      </c>
      <c r="H143" s="191"/>
      <c r="I143" s="191" t="s">
        <v>2644</v>
      </c>
      <c r="J143" s="191"/>
      <c r="K143" s="187" t="str">
        <f>$K$35</f>
        <v>Ketua UPK</v>
      </c>
      <c r="L143" s="191"/>
      <c r="M143" s="192"/>
      <c r="N143" s="191"/>
      <c r="O143" s="191"/>
      <c r="P143" s="187"/>
      <c r="Q143" s="191"/>
      <c r="R143" s="3410" t="str">
        <f>$R$35</f>
        <v>Bendahara UPK</v>
      </c>
      <c r="S143" s="3410"/>
      <c r="T143" s="3410"/>
      <c r="U143" s="191"/>
      <c r="AA143" s="191" t="str">
        <f>$B$35</f>
        <v>BKAD</v>
      </c>
      <c r="AC143" s="3410" t="str">
        <f>$D$35</f>
        <v xml:space="preserve">Fasilitator Kecamatan </v>
      </c>
      <c r="AD143" s="3410"/>
      <c r="AF143" s="191" t="str">
        <f>$G$35</f>
        <v>Fasilitator Teknik</v>
      </c>
      <c r="AG143" s="191"/>
      <c r="AH143" s="191" t="str">
        <f>$I$35</f>
        <v>PJOK</v>
      </c>
      <c r="AI143" s="191"/>
      <c r="AJ143" s="187" t="str">
        <f>$K$35</f>
        <v>Ketua UPK</v>
      </c>
      <c r="AK143" s="191"/>
      <c r="AL143" s="192"/>
      <c r="AM143" s="191"/>
      <c r="AN143" s="191"/>
      <c r="AO143" s="187"/>
      <c r="AP143" s="191"/>
      <c r="AQ143" s="3410" t="str">
        <f>$R$35</f>
        <v>Bendahara UPK</v>
      </c>
      <c r="AR143" s="3410"/>
      <c r="AS143" s="3410"/>
      <c r="AT143" s="191"/>
      <c r="AY143" s="27"/>
      <c r="AZ143" s="27"/>
      <c r="BA143" s="27"/>
      <c r="BB143" s="27"/>
      <c r="BC143" s="27"/>
      <c r="BD143" s="27"/>
      <c r="BE143" s="27"/>
      <c r="BF143" s="27"/>
      <c r="BG143" s="27"/>
      <c r="BH143" s="27"/>
      <c r="BI143" s="27"/>
      <c r="BJ143" s="27"/>
      <c r="BK143" s="27"/>
      <c r="BL143" s="27"/>
      <c r="BM143" s="27"/>
      <c r="BN143" s="34"/>
      <c r="BO143" s="27"/>
      <c r="BP143" s="34"/>
      <c r="BQ143" s="27"/>
      <c r="BR143" s="27"/>
      <c r="BS143" s="27"/>
      <c r="BT143" s="26"/>
      <c r="BU143" s="27"/>
      <c r="BV143" s="27"/>
      <c r="BW143" s="27"/>
      <c r="BX143" s="27"/>
      <c r="BY143" s="27"/>
      <c r="BZ143" s="27"/>
      <c r="CA143" s="27"/>
      <c r="CB143" s="27"/>
      <c r="CC143" s="27"/>
      <c r="CD143" s="27"/>
      <c r="CE143" s="27"/>
      <c r="CF143" s="27"/>
      <c r="CG143" s="27"/>
      <c r="CH143" s="27"/>
      <c r="CI143" s="27"/>
      <c r="CJ143" s="27"/>
      <c r="CK143" s="27"/>
      <c r="CL143" s="27"/>
      <c r="CM143" s="34"/>
      <c r="CN143" s="27"/>
      <c r="CO143" s="34"/>
      <c r="CP143" s="27"/>
      <c r="CQ143" s="27"/>
      <c r="CR143" s="27"/>
      <c r="CS143" s="26"/>
      <c r="CT143" s="27"/>
      <c r="CU143" s="27"/>
      <c r="CV143" s="27"/>
      <c r="CW143" s="27"/>
      <c r="CX143" s="27"/>
      <c r="CY143" s="27"/>
      <c r="CZ143" s="27"/>
      <c r="DA143" s="27"/>
      <c r="DB143" s="27"/>
      <c r="DC143" s="27"/>
      <c r="DD143" s="27"/>
      <c r="DE143" s="27"/>
      <c r="DF143" s="27"/>
      <c r="DG143" s="27"/>
      <c r="DH143" s="27"/>
      <c r="DI143" s="27"/>
      <c r="DJ143" s="27"/>
      <c r="DK143" s="27"/>
      <c r="DL143" s="34"/>
      <c r="DM143" s="27"/>
      <c r="DN143" s="34"/>
      <c r="DO143" s="27"/>
      <c r="DP143" s="27"/>
      <c r="DQ143" s="27"/>
      <c r="DR143" s="26"/>
      <c r="DS143" s="27"/>
      <c r="DT143" s="27"/>
      <c r="DV143" s="1387"/>
      <c r="DW143" s="1399"/>
      <c r="DX143" s="1387"/>
      <c r="DY143" s="3410"/>
      <c r="DZ143" s="3410"/>
      <c r="EA143" s="1387"/>
      <c r="EB143" s="1399"/>
      <c r="EC143" s="1399"/>
      <c r="ED143" s="1399"/>
      <c r="EE143" s="1399"/>
      <c r="EF143" s="1396"/>
      <c r="EG143" s="1399"/>
      <c r="EH143" s="1400"/>
      <c r="EI143" s="1399"/>
      <c r="EJ143" s="1399"/>
      <c r="EK143" s="1396"/>
      <c r="EL143" s="1399"/>
      <c r="EM143" s="3410"/>
      <c r="EN143" s="3410"/>
      <c r="EO143" s="3410"/>
      <c r="EP143" s="1399"/>
      <c r="EQ143" s="1387"/>
      <c r="ER143" s="1387"/>
      <c r="ES143" s="1387"/>
    </row>
    <row r="144" spans="1:149" s="168" customFormat="1" ht="15">
      <c r="B144" s="191"/>
      <c r="D144" s="191"/>
      <c r="E144" s="191"/>
      <c r="G144" s="191"/>
      <c r="H144" s="191"/>
      <c r="I144" s="191"/>
      <c r="J144" s="191"/>
      <c r="K144" s="187"/>
      <c r="L144" s="191"/>
      <c r="M144" s="192"/>
      <c r="N144" s="191"/>
      <c r="O144" s="191"/>
      <c r="P144" s="187"/>
      <c r="Q144" s="191"/>
      <c r="R144" s="187"/>
      <c r="S144" s="191"/>
      <c r="T144" s="191"/>
      <c r="U144" s="191"/>
      <c r="AA144" s="191"/>
      <c r="AC144" s="191"/>
      <c r="AD144" s="191"/>
      <c r="AF144" s="191"/>
      <c r="AG144" s="191"/>
      <c r="AH144" s="191"/>
      <c r="AI144" s="191"/>
      <c r="AJ144" s="187"/>
      <c r="AK144" s="191"/>
      <c r="AL144" s="192"/>
      <c r="AM144" s="191"/>
      <c r="AN144" s="191"/>
      <c r="AO144" s="187"/>
      <c r="AP144" s="191"/>
      <c r="AQ144" s="187"/>
      <c r="AR144" s="191"/>
      <c r="AS144" s="191"/>
      <c r="AT144" s="191"/>
      <c r="AY144" s="27"/>
      <c r="AZ144" s="27"/>
      <c r="BA144" s="27"/>
      <c r="BB144" s="27"/>
      <c r="BC144" s="27"/>
      <c r="BD144" s="27"/>
      <c r="BE144" s="27"/>
      <c r="BF144" s="27"/>
      <c r="BG144" s="27"/>
      <c r="BH144" s="27"/>
      <c r="BI144" s="27"/>
      <c r="BJ144" s="27"/>
      <c r="BK144" s="27"/>
      <c r="BL144" s="27"/>
      <c r="BM144" s="27"/>
      <c r="BN144" s="34"/>
      <c r="BO144" s="27"/>
      <c r="BP144" s="34"/>
      <c r="BQ144" s="27"/>
      <c r="BR144" s="27"/>
      <c r="BS144" s="27"/>
      <c r="BT144" s="26"/>
      <c r="BU144" s="27"/>
      <c r="BV144" s="27"/>
      <c r="BW144" s="27"/>
      <c r="BX144" s="27"/>
      <c r="BY144" s="27"/>
      <c r="BZ144" s="27"/>
      <c r="CA144" s="27"/>
      <c r="CB144" s="27"/>
      <c r="CC144" s="27"/>
      <c r="CD144" s="27"/>
      <c r="CE144" s="27"/>
      <c r="CF144" s="27"/>
      <c r="CG144" s="27"/>
      <c r="CH144" s="27"/>
      <c r="CI144" s="27"/>
      <c r="CJ144" s="27"/>
      <c r="CK144" s="27"/>
      <c r="CL144" s="27"/>
      <c r="CM144" s="34"/>
      <c r="CN144" s="27"/>
      <c r="CO144" s="34"/>
      <c r="CP144" s="27"/>
      <c r="CQ144" s="27"/>
      <c r="CR144" s="27"/>
      <c r="CS144" s="26"/>
      <c r="CT144" s="27"/>
      <c r="CU144" s="27"/>
      <c r="CV144" s="27"/>
      <c r="CW144" s="27"/>
      <c r="CX144" s="27"/>
      <c r="CY144" s="27"/>
      <c r="CZ144" s="27"/>
      <c r="DA144" s="27"/>
      <c r="DB144" s="27"/>
      <c r="DC144" s="27"/>
      <c r="DD144" s="27"/>
      <c r="DE144" s="27"/>
      <c r="DF144" s="27"/>
      <c r="DG144" s="27"/>
      <c r="DH144" s="27"/>
      <c r="DI144" s="27"/>
      <c r="DJ144" s="27"/>
      <c r="DK144" s="27"/>
      <c r="DL144" s="34"/>
      <c r="DM144" s="27"/>
      <c r="DN144" s="34"/>
      <c r="DO144" s="27"/>
      <c r="DP144" s="27"/>
      <c r="DQ144" s="27"/>
      <c r="DR144" s="26"/>
      <c r="DS144" s="27"/>
      <c r="DT144" s="27"/>
      <c r="DV144" s="1387"/>
      <c r="DW144" s="1399"/>
      <c r="DX144" s="1387"/>
      <c r="DY144" s="1399"/>
      <c r="DZ144" s="1399"/>
      <c r="EA144" s="1387"/>
      <c r="EB144" s="1399"/>
      <c r="EC144" s="1399"/>
      <c r="ED144" s="1399"/>
      <c r="EE144" s="1399"/>
      <c r="EF144" s="1396"/>
      <c r="EG144" s="1399"/>
      <c r="EH144" s="1400"/>
      <c r="EI144" s="1399"/>
      <c r="EJ144" s="1399"/>
      <c r="EK144" s="1396"/>
      <c r="EL144" s="1399"/>
      <c r="EM144" s="1396"/>
      <c r="EN144" s="1399"/>
      <c r="EO144" s="1399"/>
      <c r="EP144" s="1399"/>
      <c r="EQ144" s="1387"/>
      <c r="ER144" s="1387"/>
      <c r="ES144" s="1387"/>
    </row>
  </sheetData>
  <customSheetViews>
    <customSheetView guid="{4567A2CF-35AA-4E08-B7D1-F029A2641346}" topLeftCell="A6">
      <selection activeCell="H11" sqref="H11"/>
      <pageMargins left="0.25" right="0.25" top="0.75" bottom="0.25" header="0.511811023622047" footer="0.511811023622047"/>
      <printOptions horizontalCentered="1" verticalCentered="1"/>
      <pageSetup paperSize="175" scale="95" orientation="landscape" r:id="rId1"/>
      <headerFooter alignWithMargins="0"/>
    </customSheetView>
  </customSheetViews>
  <mergeCells count="429">
    <mergeCell ref="I8:J8"/>
    <mergeCell ref="A1:U1"/>
    <mergeCell ref="O8:P8"/>
    <mergeCell ref="U8:U9"/>
    <mergeCell ref="A27:B27"/>
    <mergeCell ref="E8:F8"/>
    <mergeCell ref="S8:T8"/>
    <mergeCell ref="M8:N8"/>
    <mergeCell ref="Q8:R8"/>
    <mergeCell ref="A2:U2"/>
    <mergeCell ref="A8:A9"/>
    <mergeCell ref="B8:B9"/>
    <mergeCell ref="C8:D8"/>
    <mergeCell ref="R4:S4"/>
    <mergeCell ref="G8:H8"/>
    <mergeCell ref="K8:L8"/>
    <mergeCell ref="D71:E71"/>
    <mergeCell ref="R71:T71"/>
    <mergeCell ref="B29:K29"/>
    <mergeCell ref="A73:U73"/>
    <mergeCell ref="A74:U74"/>
    <mergeCell ref="A63:B63"/>
    <mergeCell ref="B36:C36"/>
    <mergeCell ref="V63:W63"/>
    <mergeCell ref="B65:P65"/>
    <mergeCell ref="R65:T65"/>
    <mergeCell ref="D70:E70"/>
    <mergeCell ref="R70:T70"/>
    <mergeCell ref="A37:U37"/>
    <mergeCell ref="A38:U38"/>
    <mergeCell ref="R40:S40"/>
    <mergeCell ref="D34:E34"/>
    <mergeCell ref="D35:E35"/>
    <mergeCell ref="R35:T35"/>
    <mergeCell ref="R34:T34"/>
    <mergeCell ref="R29:T29"/>
    <mergeCell ref="D143:E143"/>
    <mergeCell ref="R143:T143"/>
    <mergeCell ref="A135:B135"/>
    <mergeCell ref="A116:A117"/>
    <mergeCell ref="B116:B117"/>
    <mergeCell ref="C116:D116"/>
    <mergeCell ref="E116:F116"/>
    <mergeCell ref="G116:H116"/>
    <mergeCell ref="I116:J116"/>
    <mergeCell ref="Q116:R116"/>
    <mergeCell ref="Z1:AT1"/>
    <mergeCell ref="Z2:AT2"/>
    <mergeCell ref="AQ4:AR4"/>
    <mergeCell ref="Z8:Z9"/>
    <mergeCell ref="AA8:AA9"/>
    <mergeCell ref="K116:L116"/>
    <mergeCell ref="M116:N116"/>
    <mergeCell ref="O116:P116"/>
    <mergeCell ref="S116:T116"/>
    <mergeCell ref="U116:U117"/>
    <mergeCell ref="R101:T101"/>
    <mergeCell ref="Q80:R80"/>
    <mergeCell ref="S80:T80"/>
    <mergeCell ref="R76:S76"/>
    <mergeCell ref="K80:L80"/>
    <mergeCell ref="M80:N80"/>
    <mergeCell ref="O80:P80"/>
    <mergeCell ref="V27:W27"/>
    <mergeCell ref="AQ29:AS29"/>
    <mergeCell ref="AQ34:AS34"/>
    <mergeCell ref="AC35:AD35"/>
    <mergeCell ref="AQ35:AS35"/>
    <mergeCell ref="AP8:AQ8"/>
    <mergeCell ref="AR8:AS8"/>
    <mergeCell ref="V135:W135"/>
    <mergeCell ref="B137:P137"/>
    <mergeCell ref="R137:T137"/>
    <mergeCell ref="U80:U81"/>
    <mergeCell ref="A99:B99"/>
    <mergeCell ref="V99:W99"/>
    <mergeCell ref="B101:P101"/>
    <mergeCell ref="D142:E142"/>
    <mergeCell ref="R142:T142"/>
    <mergeCell ref="D106:E106"/>
    <mergeCell ref="R106:T106"/>
    <mergeCell ref="D107:E107"/>
    <mergeCell ref="R107:T107"/>
    <mergeCell ref="A109:U109"/>
    <mergeCell ref="A110:U110"/>
    <mergeCell ref="R112:S112"/>
    <mergeCell ref="A80:A81"/>
    <mergeCell ref="B80:B81"/>
    <mergeCell ref="C80:D80"/>
    <mergeCell ref="E80:F80"/>
    <mergeCell ref="G80:H80"/>
    <mergeCell ref="I80:J80"/>
    <mergeCell ref="AL8:AM8"/>
    <mergeCell ref="AN8:AO8"/>
    <mergeCell ref="AB8:AC8"/>
    <mergeCell ref="AD8:AE8"/>
    <mergeCell ref="AF8:AG8"/>
    <mergeCell ref="AH8:AI8"/>
    <mergeCell ref="AC34:AD34"/>
    <mergeCell ref="AQ76:AR76"/>
    <mergeCell ref="Z63:AA63"/>
    <mergeCell ref="AA29:AO29"/>
    <mergeCell ref="AU63:AV63"/>
    <mergeCell ref="AA65:AO65"/>
    <mergeCell ref="AQ65:AS65"/>
    <mergeCell ref="AC70:AD70"/>
    <mergeCell ref="AQ70:AS70"/>
    <mergeCell ref="AA36:AB36"/>
    <mergeCell ref="Z37:AT37"/>
    <mergeCell ref="Z38:AT38"/>
    <mergeCell ref="AQ40:AR40"/>
    <mergeCell ref="AC143:AD143"/>
    <mergeCell ref="AQ143:AS143"/>
    <mergeCell ref="Z135:AA135"/>
    <mergeCell ref="Z116:Z117"/>
    <mergeCell ref="AA116:AA117"/>
    <mergeCell ref="AB116:AC116"/>
    <mergeCell ref="AD116:AE116"/>
    <mergeCell ref="AF116:AG116"/>
    <mergeCell ref="AH116:AI116"/>
    <mergeCell ref="AP116:AQ116"/>
    <mergeCell ref="AA137:AO137"/>
    <mergeCell ref="AQ137:AS137"/>
    <mergeCell ref="AR116:AS116"/>
    <mergeCell ref="AT116:AT117"/>
    <mergeCell ref="AC106:AD106"/>
    <mergeCell ref="BB35:BC35"/>
    <mergeCell ref="Z109:AT109"/>
    <mergeCell ref="AC142:AD142"/>
    <mergeCell ref="AQ142:AS142"/>
    <mergeCell ref="AY38:BS38"/>
    <mergeCell ref="AJ116:AK116"/>
    <mergeCell ref="AL116:AM116"/>
    <mergeCell ref="AN116:AO116"/>
    <mergeCell ref="AC107:AD107"/>
    <mergeCell ref="AQ107:AS107"/>
    <mergeCell ref="Z110:AT110"/>
    <mergeCell ref="AQ112:AR112"/>
    <mergeCell ref="AR80:AS80"/>
    <mergeCell ref="AT80:AT81"/>
    <mergeCell ref="Z99:AA99"/>
    <mergeCell ref="Z80:Z81"/>
    <mergeCell ref="AD80:AE80"/>
    <mergeCell ref="AF80:AG80"/>
    <mergeCell ref="AQ106:AS106"/>
    <mergeCell ref="BP40:BQ40"/>
    <mergeCell ref="BB70:BC70"/>
    <mergeCell ref="BP70:BR70"/>
    <mergeCell ref="AT8:AT9"/>
    <mergeCell ref="Z27:AA27"/>
    <mergeCell ref="AU27:AV27"/>
    <mergeCell ref="AY27:AZ27"/>
    <mergeCell ref="BE8:BF8"/>
    <mergeCell ref="BG8:BH8"/>
    <mergeCell ref="BI8:BJ8"/>
    <mergeCell ref="AU135:AV135"/>
    <mergeCell ref="AJ8:AK8"/>
    <mergeCell ref="AU99:AV99"/>
    <mergeCell ref="AA101:AO101"/>
    <mergeCell ref="AQ101:AS101"/>
    <mergeCell ref="AH80:AI80"/>
    <mergeCell ref="AJ80:AK80"/>
    <mergeCell ref="AL80:AM80"/>
    <mergeCell ref="AN80:AO80"/>
    <mergeCell ref="AP80:AQ80"/>
    <mergeCell ref="AA80:AA81"/>
    <mergeCell ref="AB80:AC80"/>
    <mergeCell ref="AC71:AD71"/>
    <mergeCell ref="AQ71:AS71"/>
    <mergeCell ref="Z73:AT73"/>
    <mergeCell ref="Z74:AT74"/>
    <mergeCell ref="AY63:AZ63"/>
    <mergeCell ref="AY1:BS1"/>
    <mergeCell ref="AY2:BS2"/>
    <mergeCell ref="BP4:BQ4"/>
    <mergeCell ref="AY8:AY9"/>
    <mergeCell ref="AZ8:AZ9"/>
    <mergeCell ref="BA8:BB8"/>
    <mergeCell ref="BC8:BD8"/>
    <mergeCell ref="BM8:BN8"/>
    <mergeCell ref="BO8:BP8"/>
    <mergeCell ref="BQ8:BR8"/>
    <mergeCell ref="BS8:BS9"/>
    <mergeCell ref="BK8:BL8"/>
    <mergeCell ref="AZ65:BN65"/>
    <mergeCell ref="BP65:BR65"/>
    <mergeCell ref="AY99:AZ99"/>
    <mergeCell ref="BT99:BU99"/>
    <mergeCell ref="BT63:BU63"/>
    <mergeCell ref="BT27:BU27"/>
    <mergeCell ref="AZ29:BN29"/>
    <mergeCell ref="BP29:BR29"/>
    <mergeCell ref="BB34:BC34"/>
    <mergeCell ref="BP34:BR34"/>
    <mergeCell ref="BP35:BR35"/>
    <mergeCell ref="AZ36:BA36"/>
    <mergeCell ref="AY37:BS37"/>
    <mergeCell ref="AY80:AY81"/>
    <mergeCell ref="AZ80:AZ81"/>
    <mergeCell ref="BA80:BB80"/>
    <mergeCell ref="BC80:BD80"/>
    <mergeCell ref="BE80:BF80"/>
    <mergeCell ref="BG80:BH80"/>
    <mergeCell ref="BS80:BS81"/>
    <mergeCell ref="BB71:BC71"/>
    <mergeCell ref="BP71:BR71"/>
    <mergeCell ref="AY73:BS73"/>
    <mergeCell ref="AY74:BS74"/>
    <mergeCell ref="BP76:BQ76"/>
    <mergeCell ref="BB106:BC106"/>
    <mergeCell ref="BP106:BR106"/>
    <mergeCell ref="BB107:BC107"/>
    <mergeCell ref="BP107:BR107"/>
    <mergeCell ref="BI80:BJ80"/>
    <mergeCell ref="BK80:BL80"/>
    <mergeCell ref="BM80:BN80"/>
    <mergeCell ref="BO80:BP80"/>
    <mergeCell ref="BQ80:BR80"/>
    <mergeCell ref="AZ101:BN101"/>
    <mergeCell ref="BP101:BR101"/>
    <mergeCell ref="BX1:CR1"/>
    <mergeCell ref="BX2:CR2"/>
    <mergeCell ref="CO4:CP4"/>
    <mergeCell ref="BX8:BX9"/>
    <mergeCell ref="BY8:BY9"/>
    <mergeCell ref="BZ8:CA8"/>
    <mergeCell ref="CB8:CC8"/>
    <mergeCell ref="CD8:CE8"/>
    <mergeCell ref="CF8:CG8"/>
    <mergeCell ref="CH8:CI8"/>
    <mergeCell ref="CO35:CQ35"/>
    <mergeCell ref="BY36:BZ36"/>
    <mergeCell ref="BX37:CR37"/>
    <mergeCell ref="BX38:CR38"/>
    <mergeCell ref="CO40:CP40"/>
    <mergeCell ref="CR8:CR9"/>
    <mergeCell ref="BX27:BY27"/>
    <mergeCell ref="CS27:CT27"/>
    <mergeCell ref="BY29:CM29"/>
    <mergeCell ref="CO29:CQ29"/>
    <mergeCell ref="CJ8:CK8"/>
    <mergeCell ref="CL8:CM8"/>
    <mergeCell ref="CN8:CO8"/>
    <mergeCell ref="CP8:CQ8"/>
    <mergeCell ref="CA107:CB107"/>
    <mergeCell ref="CO107:CQ107"/>
    <mergeCell ref="CP80:CQ80"/>
    <mergeCell ref="CR80:CR81"/>
    <mergeCell ref="BX99:BY99"/>
    <mergeCell ref="CS99:CT99"/>
    <mergeCell ref="BY101:CM101"/>
    <mergeCell ref="CO101:CQ101"/>
    <mergeCell ref="CF80:CG80"/>
    <mergeCell ref="CH80:CI80"/>
    <mergeCell ref="BX80:BX81"/>
    <mergeCell ref="BY80:BY81"/>
    <mergeCell ref="BZ80:CA80"/>
    <mergeCell ref="CB80:CC80"/>
    <mergeCell ref="CD80:CE80"/>
    <mergeCell ref="CW1:DQ1"/>
    <mergeCell ref="CW2:DQ2"/>
    <mergeCell ref="DN4:DO4"/>
    <mergeCell ref="CW8:CW9"/>
    <mergeCell ref="CX8:CX9"/>
    <mergeCell ref="CA106:CB106"/>
    <mergeCell ref="CO106:CQ106"/>
    <mergeCell ref="CJ80:CK80"/>
    <mergeCell ref="CL80:CM80"/>
    <mergeCell ref="CN80:CO80"/>
    <mergeCell ref="CA71:CB71"/>
    <mergeCell ref="CO71:CQ71"/>
    <mergeCell ref="BX73:CR73"/>
    <mergeCell ref="BX74:CR74"/>
    <mergeCell ref="CO76:CP76"/>
    <mergeCell ref="BX63:BY63"/>
    <mergeCell ref="CA70:CB70"/>
    <mergeCell ref="CO70:CQ70"/>
    <mergeCell ref="CS63:CT63"/>
    <mergeCell ref="BY65:CM65"/>
    <mergeCell ref="CO65:CQ65"/>
    <mergeCell ref="CA34:CB34"/>
    <mergeCell ref="CO34:CQ34"/>
    <mergeCell ref="CA35:CB35"/>
    <mergeCell ref="DR27:DS27"/>
    <mergeCell ref="DI8:DJ8"/>
    <mergeCell ref="DK8:DL8"/>
    <mergeCell ref="DG8:DH8"/>
    <mergeCell ref="DN35:DP35"/>
    <mergeCell ref="DM8:DN8"/>
    <mergeCell ref="DO8:DP8"/>
    <mergeCell ref="CX29:DL29"/>
    <mergeCell ref="DN29:DP29"/>
    <mergeCell ref="DQ8:DQ9"/>
    <mergeCell ref="CZ34:DA34"/>
    <mergeCell ref="DN34:DP34"/>
    <mergeCell ref="CZ35:DA35"/>
    <mergeCell ref="CW27:CX27"/>
    <mergeCell ref="CY8:CZ8"/>
    <mergeCell ref="DA8:DB8"/>
    <mergeCell ref="DC8:DD8"/>
    <mergeCell ref="DE8:DF8"/>
    <mergeCell ref="CX36:CY36"/>
    <mergeCell ref="CZ107:DA107"/>
    <mergeCell ref="DN107:DP107"/>
    <mergeCell ref="DO80:DP80"/>
    <mergeCell ref="DQ80:DQ81"/>
    <mergeCell ref="CW99:CX99"/>
    <mergeCell ref="DR99:DS99"/>
    <mergeCell ref="CX101:DL101"/>
    <mergeCell ref="DN101:DP101"/>
    <mergeCell ref="DE80:DF80"/>
    <mergeCell ref="DG80:DH80"/>
    <mergeCell ref="CW80:CW81"/>
    <mergeCell ref="CX80:CX81"/>
    <mergeCell ref="CY80:CZ80"/>
    <mergeCell ref="DA80:DB80"/>
    <mergeCell ref="DC80:DD80"/>
    <mergeCell ref="DV1:EP1"/>
    <mergeCell ref="DV2:EP2"/>
    <mergeCell ref="EM4:EN4"/>
    <mergeCell ref="DV8:DV9"/>
    <mergeCell ref="DW8:DW9"/>
    <mergeCell ref="CZ106:DA106"/>
    <mergeCell ref="DN106:DP106"/>
    <mergeCell ref="DI80:DJ80"/>
    <mergeCell ref="DK80:DL80"/>
    <mergeCell ref="DM80:DN80"/>
    <mergeCell ref="CZ71:DA71"/>
    <mergeCell ref="DN71:DP71"/>
    <mergeCell ref="CW73:DQ73"/>
    <mergeCell ref="CW74:DQ74"/>
    <mergeCell ref="DN76:DO76"/>
    <mergeCell ref="CW63:CX63"/>
    <mergeCell ref="DR63:DS63"/>
    <mergeCell ref="CX65:DL65"/>
    <mergeCell ref="DN65:DP65"/>
    <mergeCell ref="CZ70:DA70"/>
    <mergeCell ref="DN70:DP70"/>
    <mergeCell ref="CW37:DQ37"/>
    <mergeCell ref="CW38:DQ38"/>
    <mergeCell ref="DN40:DO40"/>
    <mergeCell ref="EP8:EP9"/>
    <mergeCell ref="DV27:DW27"/>
    <mergeCell ref="EQ27:ER27"/>
    <mergeCell ref="EH8:EI8"/>
    <mergeCell ref="EJ8:EK8"/>
    <mergeCell ref="EH44:EI44"/>
    <mergeCell ref="EJ44:EK44"/>
    <mergeCell ref="EL44:EM44"/>
    <mergeCell ref="EN44:EO44"/>
    <mergeCell ref="EP44:EP45"/>
    <mergeCell ref="DX8:DY8"/>
    <mergeCell ref="DZ8:EA8"/>
    <mergeCell ref="EB8:EC8"/>
    <mergeCell ref="ED8:EE8"/>
    <mergeCell ref="EF8:EG8"/>
    <mergeCell ref="EM35:EO35"/>
    <mergeCell ref="EL8:EM8"/>
    <mergeCell ref="EN8:EO8"/>
    <mergeCell ref="DW29:EK29"/>
    <mergeCell ref="EM29:EO29"/>
    <mergeCell ref="DW36:DX36"/>
    <mergeCell ref="DV37:EP37"/>
    <mergeCell ref="DV38:EP38"/>
    <mergeCell ref="EM40:EN40"/>
    <mergeCell ref="DV44:DV45"/>
    <mergeCell ref="DY34:DZ34"/>
    <mergeCell ref="EM34:EO34"/>
    <mergeCell ref="DY35:DZ35"/>
    <mergeCell ref="DW44:DW45"/>
    <mergeCell ref="DX44:DY44"/>
    <mergeCell ref="DZ44:EA44"/>
    <mergeCell ref="EB44:EC44"/>
    <mergeCell ref="ED44:EE44"/>
    <mergeCell ref="EF44:EG44"/>
    <mergeCell ref="DY71:DZ71"/>
    <mergeCell ref="EM71:EO71"/>
    <mergeCell ref="DV73:EP73"/>
    <mergeCell ref="DV74:EP74"/>
    <mergeCell ref="EM76:EN76"/>
    <mergeCell ref="DV63:DW63"/>
    <mergeCell ref="EQ63:ER63"/>
    <mergeCell ref="DW65:EK65"/>
    <mergeCell ref="EM65:EO65"/>
    <mergeCell ref="DY70:DZ70"/>
    <mergeCell ref="EM70:EO70"/>
    <mergeCell ref="EQ99:ER99"/>
    <mergeCell ref="DW101:EK101"/>
    <mergeCell ref="EM101:EO101"/>
    <mergeCell ref="ED80:EE80"/>
    <mergeCell ref="EF80:EG80"/>
    <mergeCell ref="EH80:EI80"/>
    <mergeCell ref="EJ80:EK80"/>
    <mergeCell ref="EL80:EM80"/>
    <mergeCell ref="DV80:DV81"/>
    <mergeCell ref="DW80:DW81"/>
    <mergeCell ref="DX80:DY80"/>
    <mergeCell ref="DZ80:EA80"/>
    <mergeCell ref="EB80:EC80"/>
    <mergeCell ref="DY106:DZ106"/>
    <mergeCell ref="EM106:EO106"/>
    <mergeCell ref="DY107:DZ107"/>
    <mergeCell ref="EM107:EO107"/>
    <mergeCell ref="DV109:EP109"/>
    <mergeCell ref="DV110:EP110"/>
    <mergeCell ref="EM112:EN112"/>
    <mergeCell ref="EN80:EO80"/>
    <mergeCell ref="EP80:EP81"/>
    <mergeCell ref="DV99:DW99"/>
    <mergeCell ref="DY143:DZ143"/>
    <mergeCell ref="EM143:EO143"/>
    <mergeCell ref="DV135:DW135"/>
    <mergeCell ref="DV116:DV117"/>
    <mergeCell ref="DW116:DW117"/>
    <mergeCell ref="DX116:DY116"/>
    <mergeCell ref="DZ116:EA116"/>
    <mergeCell ref="EB116:EC116"/>
    <mergeCell ref="ED116:EE116"/>
    <mergeCell ref="EL116:EM116"/>
    <mergeCell ref="EQ135:ER135"/>
    <mergeCell ref="DW137:EK137"/>
    <mergeCell ref="EM137:EO137"/>
    <mergeCell ref="DY142:DZ142"/>
    <mergeCell ref="EM142:EO142"/>
    <mergeCell ref="EF116:EG116"/>
    <mergeCell ref="EH116:EI116"/>
    <mergeCell ref="EJ116:EK116"/>
    <mergeCell ref="EN116:EO116"/>
    <mergeCell ref="EP116:EP117"/>
  </mergeCells>
  <phoneticPr fontId="15" type="noConversion"/>
  <printOptions horizontalCentered="1" verticalCentered="1"/>
  <pageMargins left="0.23622047244094499" right="0.23622047244094499" top="0.74803149606299202" bottom="0.23622047244094499" header="0.511811023622047" footer="0.511811023622047"/>
  <pageSetup paperSize="9" scale="41" orientation="landscape" r:id="rId2"/>
  <headerFooter alignWithMargins="0"/>
  <rowBreaks count="3" manualBreakCount="3">
    <brk id="35" max="145" man="1"/>
    <brk id="71" max="145" man="1"/>
    <brk id="107" max="145" man="1"/>
  </rowBreaks>
  <colBreaks count="10" manualBreakCount="10">
    <brk id="21" min="35" max="70" man="1"/>
    <brk id="25" min="35" max="70" man="1"/>
    <brk id="46" min="35" max="70" man="1"/>
    <brk id="50" min="35" max="70" man="1"/>
    <brk id="71" min="35" max="70" man="1"/>
    <brk id="75" min="35" max="70" man="1"/>
    <brk id="96" min="35" max="70" man="1"/>
    <brk id="100" min="35" max="70" man="1"/>
    <brk id="121" min="35" max="70" man="1"/>
    <brk id="125" min="35" max="70" man="1"/>
  </colBreaks>
  <drawing r:id="rId3"/>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H113"/>
  <sheetViews>
    <sheetView zoomScale="85" zoomScaleNormal="85" zoomScaleSheetLayoutView="40" workbookViewId="0">
      <selection sqref="A1:G1"/>
    </sheetView>
  </sheetViews>
  <sheetFormatPr defaultColWidth="9.140625" defaultRowHeight="15.75"/>
  <cols>
    <col min="1" max="2" width="3.85546875" style="751" customWidth="1"/>
    <col min="3" max="3" width="40.28515625" style="751" customWidth="1"/>
    <col min="4" max="4" width="20.5703125" style="751" customWidth="1"/>
    <col min="5" max="5" width="3.85546875" style="751" customWidth="1"/>
    <col min="6" max="6" width="40.28515625" style="751" customWidth="1"/>
    <col min="7" max="7" width="20.5703125" style="751" customWidth="1"/>
    <col min="8" max="8" width="16.85546875" style="1272" bestFit="1" customWidth="1"/>
    <col min="9" max="16384" width="9.140625" style="766"/>
  </cols>
  <sheetData>
    <row r="1" spans="1:7" ht="23.25">
      <c r="A1" s="3614" t="s">
        <v>704</v>
      </c>
      <c r="B1" s="3614"/>
      <c r="C1" s="3614"/>
      <c r="D1" s="3614"/>
      <c r="E1" s="3614"/>
      <c r="F1" s="3614"/>
      <c r="G1" s="3614"/>
    </row>
    <row r="2" spans="1:7" ht="18">
      <c r="A2" s="3595" t="s">
        <v>734</v>
      </c>
      <c r="B2" s="3595"/>
      <c r="C2" s="3595"/>
      <c r="D2" s="3595"/>
      <c r="E2" s="3595"/>
      <c r="F2" s="3595"/>
      <c r="G2" s="3595"/>
    </row>
    <row r="3" spans="1:7" ht="26.25">
      <c r="A3" s="3525" t="s">
        <v>2246</v>
      </c>
      <c r="B3" s="3525"/>
      <c r="C3" s="3525"/>
      <c r="D3" s="3525"/>
      <c r="E3" s="3525"/>
      <c r="F3" s="3525"/>
      <c r="G3" s="3525"/>
    </row>
    <row r="4" spans="1:7" ht="16.5" customHeight="1">
      <c r="A4" s="1273"/>
      <c r="B4" s="1273"/>
      <c r="C4" s="1273"/>
      <c r="D4" s="1273"/>
      <c r="E4" s="1273"/>
      <c r="F4" s="1273"/>
      <c r="G4" s="1273"/>
    </row>
    <row r="5" spans="1:7">
      <c r="A5" s="1273"/>
      <c r="B5" s="1273"/>
      <c r="C5" s="917" t="s">
        <v>86</v>
      </c>
      <c r="D5" s="4" t="str">
        <f>": "&amp;DT!D3</f>
        <v>: Nagrak</v>
      </c>
      <c r="E5" s="1273"/>
      <c r="F5" s="1273"/>
      <c r="G5" s="1273"/>
    </row>
    <row r="6" spans="1:7">
      <c r="A6" s="1273"/>
      <c r="B6" s="1273"/>
      <c r="C6" s="917" t="s">
        <v>87</v>
      </c>
      <c r="D6" s="4" t="str">
        <f>": "&amp;DT!D4</f>
        <v>: Sukabumi</v>
      </c>
      <c r="E6" s="1273"/>
      <c r="F6" s="1273"/>
      <c r="G6" s="1273"/>
    </row>
    <row r="7" spans="1:7">
      <c r="A7" s="1274"/>
      <c r="B7" s="1274"/>
      <c r="C7" s="917" t="s">
        <v>88</v>
      </c>
      <c r="D7" s="4" t="str">
        <f>": "&amp;DT!D5</f>
        <v>: Jawa Barat</v>
      </c>
      <c r="E7" s="1274"/>
      <c r="F7" s="1274"/>
      <c r="G7" s="1274"/>
    </row>
    <row r="8" spans="1:7" ht="16.5" customHeight="1" thickBot="1">
      <c r="A8" s="1275"/>
      <c r="B8" s="1276"/>
      <c r="C8" s="1276"/>
      <c r="D8" s="1276"/>
      <c r="E8" s="1276"/>
      <c r="F8" s="1277"/>
      <c r="G8" s="1274"/>
    </row>
    <row r="9" spans="1:7" ht="27" customHeight="1" thickBot="1">
      <c r="A9" s="3615" t="s">
        <v>89</v>
      </c>
      <c r="B9" s="3616"/>
      <c r="C9" s="3616"/>
      <c r="D9" s="2495" t="s">
        <v>736</v>
      </c>
      <c r="E9" s="3616" t="s">
        <v>737</v>
      </c>
      <c r="F9" s="3616"/>
      <c r="G9" s="2496" t="s">
        <v>736</v>
      </c>
    </row>
    <row r="10" spans="1:7" ht="16.5" thickTop="1">
      <c r="A10" s="2481" t="s">
        <v>489</v>
      </c>
      <c r="B10" s="1279" t="s">
        <v>91</v>
      </c>
      <c r="C10" s="1280"/>
      <c r="D10" s="1281"/>
      <c r="E10" s="1278" t="s">
        <v>490</v>
      </c>
      <c r="F10" s="1280" t="s">
        <v>92</v>
      </c>
      <c r="G10" s="2486"/>
    </row>
    <row r="11" spans="1:7">
      <c r="A11" s="2481"/>
      <c r="B11" s="1279" t="s">
        <v>707</v>
      </c>
      <c r="C11" s="1280" t="s">
        <v>738</v>
      </c>
      <c r="D11" s="1281"/>
      <c r="E11" s="1282"/>
      <c r="F11" s="1283" t="s">
        <v>739</v>
      </c>
      <c r="G11" s="2482">
        <f>'BUKU HUTANG &amp; HIBAH'!E143</f>
        <v>33010000</v>
      </c>
    </row>
    <row r="12" spans="1:7">
      <c r="A12" s="2483"/>
      <c r="B12" s="1284"/>
      <c r="C12" s="1283" t="s">
        <v>857</v>
      </c>
      <c r="D12" s="877">
        <f>'Kas B PPK'!R46</f>
        <v>0</v>
      </c>
      <c r="E12" s="1282"/>
      <c r="F12" s="1283" t="s">
        <v>740</v>
      </c>
      <c r="G12" s="2482">
        <f>'BUKU HUTANG &amp; HIBAH'!K143</f>
        <v>43000000</v>
      </c>
    </row>
    <row r="13" spans="1:7">
      <c r="A13" s="2483"/>
      <c r="B13" s="1284"/>
      <c r="C13" s="1283" t="s">
        <v>858</v>
      </c>
      <c r="D13" s="877">
        <f>'Kas B PNPM-MPd'!Q27</f>
        <v>0</v>
      </c>
      <c r="E13" s="1282"/>
      <c r="F13" s="1283" t="s">
        <v>742</v>
      </c>
      <c r="G13" s="2482">
        <f>('Kas B PPK'!E46+'Kas B PNPM-MPd'!E27+'Kas B GSC'!E46+'Kas B PNPM-TP GEMPA'!E46+'Kas B PASCA KRISIS'!E46+'Kas OP-UPK'!I90+'Kas UEP'!G42+'Kas SPP'!G367+'Kas SPP Pihak ke-3'!G42)-(+'Kas B PPK'!O46+'Kas B PNPM-MPd'!N27+'Kas B GSC'!L46+'Kas B PNPM-TP GEMPA'!O46+'Kas B PASCA KRISIS'!O46+'Kas OP-UPK'!X90+'Kas UEP'!K42+'Kas SPP'!K367+'Kas SPP Pihak ke-3'!K42)</f>
        <v>-24900000</v>
      </c>
    </row>
    <row r="14" spans="1:7">
      <c r="A14" s="2483"/>
      <c r="B14" s="1284"/>
      <c r="C14" s="1283" t="s">
        <v>859</v>
      </c>
      <c r="D14" s="877">
        <f>'Kas B GSC'!O46</f>
        <v>0</v>
      </c>
      <c r="E14" s="1282"/>
      <c r="F14" s="2938" t="str">
        <f>'Neraca Program REGULER'!F14</f>
        <v xml:space="preserve">* Hutang Bonus UPK </v>
      </c>
      <c r="G14" s="2484">
        <f>'Neraca Program REGULER'!G14</f>
        <v>19980000</v>
      </c>
    </row>
    <row r="15" spans="1:7">
      <c r="A15" s="2483"/>
      <c r="B15" s="1284"/>
      <c r="C15" s="1283" t="s">
        <v>860</v>
      </c>
      <c r="D15" s="877">
        <f>'Kas B PNPM-TP GEMPA'!R46</f>
        <v>0</v>
      </c>
      <c r="E15" s="1282"/>
      <c r="F15" s="2939" t="str">
        <f>'Neraca Program REGULER'!F15</f>
        <v xml:space="preserve">Jumlah Hutang </v>
      </c>
      <c r="G15" s="2487">
        <f>SUM(G11:G14)</f>
        <v>71090000</v>
      </c>
    </row>
    <row r="16" spans="1:7">
      <c r="A16" s="2483"/>
      <c r="B16" s="1284"/>
      <c r="C16" s="1283" t="s">
        <v>861</v>
      </c>
      <c r="D16" s="877">
        <f>'Kas B PASCA KRISIS'!R46</f>
        <v>0</v>
      </c>
      <c r="E16" s="1282"/>
      <c r="F16" s="1287"/>
      <c r="G16" s="2485"/>
    </row>
    <row r="17" spans="1:7">
      <c r="A17" s="2483"/>
      <c r="B17" s="1284"/>
      <c r="C17" s="1283" t="s">
        <v>741</v>
      </c>
      <c r="D17" s="877">
        <f>'Kas OP-UPK'!AC90</f>
        <v>129250</v>
      </c>
      <c r="E17" s="1282"/>
      <c r="F17" s="1287"/>
      <c r="G17" s="2485"/>
    </row>
    <row r="18" spans="1:7">
      <c r="A18" s="2483"/>
      <c r="B18" s="1284"/>
      <c r="C18" s="1283" t="s">
        <v>743</v>
      </c>
      <c r="D18" s="877">
        <f>'Kas UEP'!N42</f>
        <v>0</v>
      </c>
      <c r="E18" s="1282"/>
      <c r="F18" s="1289"/>
      <c r="G18" s="2485"/>
    </row>
    <row r="19" spans="1:7">
      <c r="A19" s="2483"/>
      <c r="B19" s="1284"/>
      <c r="C19" s="1283" t="s">
        <v>744</v>
      </c>
      <c r="D19" s="877">
        <f>'Kas SPP'!N367</f>
        <v>0</v>
      </c>
      <c r="E19" s="1282"/>
      <c r="F19" s="1283"/>
      <c r="G19" s="2486"/>
    </row>
    <row r="20" spans="1:7">
      <c r="A20" s="2483"/>
      <c r="B20" s="1284"/>
      <c r="C20" s="1283" t="s">
        <v>906</v>
      </c>
      <c r="D20" s="877">
        <f>'Kas SPP Pihak ke-3'!N42</f>
        <v>0</v>
      </c>
      <c r="E20" s="1282"/>
      <c r="F20" s="1283"/>
      <c r="G20" s="2486"/>
    </row>
    <row r="21" spans="1:7">
      <c r="A21" s="2483"/>
      <c r="B21" s="1284"/>
      <c r="C21" s="1285" t="s">
        <v>745</v>
      </c>
      <c r="D21" s="1286">
        <f>SUM(D12:D20)</f>
        <v>129250</v>
      </c>
      <c r="E21" s="1278" t="s">
        <v>424</v>
      </c>
      <c r="F21" s="1280" t="s">
        <v>101</v>
      </c>
      <c r="G21" s="2486"/>
    </row>
    <row r="22" spans="1:7">
      <c r="A22" s="2483"/>
      <c r="B22" s="1284"/>
      <c r="C22" s="1283"/>
      <c r="D22" s="1281"/>
      <c r="E22" s="1282"/>
      <c r="F22" s="1283" t="s">
        <v>746</v>
      </c>
      <c r="G22" s="2482">
        <f>'DATA BANTUAN'!D3</f>
        <v>0</v>
      </c>
    </row>
    <row r="23" spans="1:7">
      <c r="A23" s="2483"/>
      <c r="B23" s="1279" t="s">
        <v>711</v>
      </c>
      <c r="C23" s="1280" t="s">
        <v>100</v>
      </c>
      <c r="D23" s="1281"/>
      <c r="E23" s="1282"/>
      <c r="F23" s="1283" t="s">
        <v>747</v>
      </c>
      <c r="G23" s="2482">
        <f>'DATA BANTUAN'!D4</f>
        <v>0</v>
      </c>
    </row>
    <row r="24" spans="1:7">
      <c r="A24" s="2483"/>
      <c r="B24" s="1284"/>
      <c r="C24" s="1283" t="s">
        <v>852</v>
      </c>
      <c r="D24" s="877">
        <f>'Bank B PPK'!L30</f>
        <v>0</v>
      </c>
      <c r="E24" s="1282"/>
      <c r="F24" s="1283" t="s">
        <v>748</v>
      </c>
      <c r="G24" s="2482">
        <f>'DATA BANTUAN'!D5</f>
        <v>0</v>
      </c>
    </row>
    <row r="25" spans="1:7">
      <c r="A25" s="2483"/>
      <c r="B25" s="1284"/>
      <c r="C25" s="1283" t="s">
        <v>853</v>
      </c>
      <c r="D25" s="877">
        <f>'Bank B PNPM-MPd'!L36</f>
        <v>0</v>
      </c>
      <c r="E25" s="1282"/>
      <c r="F25" s="1283" t="s">
        <v>750</v>
      </c>
      <c r="G25" s="2482">
        <f>SUM('DATA BANTUAN'!D8:D9)</f>
        <v>0</v>
      </c>
    </row>
    <row r="26" spans="1:7">
      <c r="A26" s="2483"/>
      <c r="B26" s="1284"/>
      <c r="C26" s="1283" t="s">
        <v>856</v>
      </c>
      <c r="D26" s="877">
        <f>'Bank B GSC'!L30</f>
        <v>0</v>
      </c>
      <c r="E26" s="1282"/>
      <c r="F26" s="1283" t="s">
        <v>752</v>
      </c>
      <c r="G26" s="2482">
        <f>SUM('DATA BANTUAN'!J3:J9)</f>
        <v>9081165000</v>
      </c>
    </row>
    <row r="27" spans="1:7">
      <c r="A27" s="2483"/>
      <c r="B27" s="1284"/>
      <c r="C27" s="1283" t="s">
        <v>854</v>
      </c>
      <c r="D27" s="877">
        <f>'Bank B PNPM-TP GEMPA'!K30</f>
        <v>8285</v>
      </c>
      <c r="E27" s="1282"/>
      <c r="F27" s="1283" t="s">
        <v>849</v>
      </c>
      <c r="G27" s="2482">
        <f>SUM('DATA BANTUAN'!P3:P9)</f>
        <v>0</v>
      </c>
    </row>
    <row r="28" spans="1:7">
      <c r="A28" s="2483"/>
      <c r="B28" s="1284"/>
      <c r="C28" s="1283" t="s">
        <v>855</v>
      </c>
      <c r="D28" s="877">
        <f>'Bank B PASCA KRISIS'!K30</f>
        <v>0</v>
      </c>
      <c r="E28" s="1282"/>
      <c r="F28" s="1283" t="s">
        <v>850</v>
      </c>
      <c r="G28" s="2482">
        <f>SUM('DATA BANTUAN'!D26:D28)</f>
        <v>500000000</v>
      </c>
    </row>
    <row r="29" spans="1:7">
      <c r="A29" s="2483"/>
      <c r="B29" s="1284"/>
      <c r="C29" s="1283" t="s">
        <v>749</v>
      </c>
      <c r="D29" s="877">
        <f>'Bank OP-UPK'!K32</f>
        <v>35096029.859999895</v>
      </c>
      <c r="E29" s="1282"/>
      <c r="F29" s="1283" t="s">
        <v>851</v>
      </c>
      <c r="G29" s="2482">
        <f>SUM('DATA BANTUAN'!J26:J28)</f>
        <v>0</v>
      </c>
    </row>
    <row r="30" spans="1:7">
      <c r="A30" s="2483"/>
      <c r="B30" s="1284"/>
      <c r="C30" s="1283" t="s">
        <v>751</v>
      </c>
      <c r="D30" s="877">
        <f>'Bank UEP'!K30</f>
        <v>0</v>
      </c>
      <c r="E30" s="1282"/>
      <c r="F30" s="1283" t="s">
        <v>754</v>
      </c>
      <c r="G30" s="2482">
        <f>SUM('DATA BANTUAN'!E6:E7)</f>
        <v>0</v>
      </c>
    </row>
    <row r="31" spans="1:7">
      <c r="A31" s="2483"/>
      <c r="B31" s="1284"/>
      <c r="C31" s="1283" t="s">
        <v>753</v>
      </c>
      <c r="D31" s="877">
        <f>'Bank SPP'!K54</f>
        <v>13002776</v>
      </c>
      <c r="E31" s="1282"/>
      <c r="F31" s="1283"/>
      <c r="G31" s="2485"/>
    </row>
    <row r="32" spans="1:7">
      <c r="A32" s="2483"/>
      <c r="B32" s="1284"/>
      <c r="C32" s="1283" t="s">
        <v>907</v>
      </c>
      <c r="D32" s="877">
        <f>'Bank SPP Pihak ke-3'!K30</f>
        <v>0</v>
      </c>
      <c r="E32" s="1282"/>
      <c r="F32" s="1283" t="s">
        <v>755</v>
      </c>
      <c r="G32" s="2482">
        <f>'DATA BANTUAN'!E5</f>
        <v>0</v>
      </c>
    </row>
    <row r="33" spans="1:7">
      <c r="A33" s="2483"/>
      <c r="B33" s="1284"/>
      <c r="C33" s="1285" t="s">
        <v>756</v>
      </c>
      <c r="D33" s="1286">
        <f>SUM(D24:D32)</f>
        <v>48107090.859999895</v>
      </c>
      <c r="E33" s="1282"/>
      <c r="F33" s="1283" t="s">
        <v>757</v>
      </c>
      <c r="G33" s="2482">
        <f>SUM('DATA BANTUAN'!E8:E9)</f>
        <v>0</v>
      </c>
    </row>
    <row r="34" spans="1:7">
      <c r="A34" s="2483"/>
      <c r="B34" s="1279"/>
      <c r="C34" s="1280"/>
      <c r="D34" s="1281"/>
      <c r="E34" s="1282"/>
      <c r="F34" s="1283" t="s">
        <v>758</v>
      </c>
      <c r="G34" s="2482">
        <f>SUM('DATA BANTUAN'!K3:K9)</f>
        <v>1567500000</v>
      </c>
    </row>
    <row r="35" spans="1:7">
      <c r="A35" s="2483"/>
      <c r="B35" s="1279" t="s">
        <v>716</v>
      </c>
      <c r="C35" s="1280" t="s">
        <v>49</v>
      </c>
      <c r="D35" s="1281"/>
      <c r="E35" s="1282"/>
      <c r="F35" s="1283" t="s">
        <v>1741</v>
      </c>
      <c r="G35" s="2482">
        <f>SUM('DATA BANTUAN'!Q3:Q9)</f>
        <v>0</v>
      </c>
    </row>
    <row r="36" spans="1:7">
      <c r="A36" s="2483"/>
      <c r="B36" s="1284"/>
      <c r="C36" s="1283" t="s">
        <v>759</v>
      </c>
      <c r="D36" s="877">
        <f>'LPP-UEP'!$T$110</f>
        <v>0</v>
      </c>
      <c r="E36" s="1282"/>
      <c r="F36" s="1283"/>
      <c r="G36" s="2485"/>
    </row>
    <row r="37" spans="1:7">
      <c r="A37" s="2483"/>
      <c r="B37" s="1284"/>
      <c r="C37" s="1283" t="s">
        <v>761</v>
      </c>
      <c r="D37" s="877">
        <f>'LPP-SPP'!$T$110</f>
        <v>4481090600</v>
      </c>
      <c r="E37" s="1290"/>
      <c r="F37" s="1283" t="s">
        <v>760</v>
      </c>
      <c r="G37" s="2482">
        <f>'BUKU HUTANG &amp; HIBAH'!K203</f>
        <v>47750000</v>
      </c>
    </row>
    <row r="38" spans="1:7">
      <c r="A38" s="2483"/>
      <c r="B38" s="1284"/>
      <c r="C38" s="1283" t="s">
        <v>905</v>
      </c>
      <c r="D38" s="877">
        <f>'LPP-SPP PIHAK KE-3'!$T$110</f>
        <v>0</v>
      </c>
      <c r="E38" s="1290"/>
      <c r="F38" s="1283"/>
      <c r="G38" s="2485"/>
    </row>
    <row r="39" spans="1:7">
      <c r="A39" s="2483"/>
      <c r="B39" s="1284"/>
      <c r="C39" s="1283" t="s">
        <v>1743</v>
      </c>
      <c r="D39" s="877"/>
      <c r="E39" s="1291"/>
      <c r="F39" s="1283"/>
      <c r="G39" s="2487"/>
    </row>
    <row r="40" spans="1:7">
      <c r="A40" s="2483"/>
      <c r="B40" s="1284"/>
      <c r="C40" s="1283"/>
      <c r="D40" s="1288"/>
      <c r="E40" s="1291"/>
      <c r="F40" s="1283" t="s">
        <v>762</v>
      </c>
      <c r="G40" s="2488">
        <f>'Lap. Opr. Program'!F71</f>
        <v>2488586774.248889</v>
      </c>
    </row>
    <row r="41" spans="1:7">
      <c r="A41" s="2483"/>
      <c r="B41" s="1279" t="s">
        <v>764</v>
      </c>
      <c r="C41" s="1280" t="s">
        <v>765</v>
      </c>
      <c r="D41" s="877">
        <f>'Kas OP-UPK'!O90</f>
        <v>5400000</v>
      </c>
      <c r="E41" s="1282"/>
      <c r="F41" s="1283"/>
      <c r="G41" s="2487"/>
    </row>
    <row r="42" spans="1:7">
      <c r="A42" s="2483"/>
      <c r="B42" s="1284"/>
      <c r="C42" s="1283" t="s">
        <v>766</v>
      </c>
      <c r="D42" s="877">
        <f>'Lap. Opr. Program'!J39</f>
        <v>3600000</v>
      </c>
      <c r="E42" s="1282"/>
      <c r="F42" s="1283" t="s">
        <v>763</v>
      </c>
      <c r="G42" s="2488">
        <f>'Lap. Opr. Program'!I69</f>
        <v>166612035</v>
      </c>
    </row>
    <row r="43" spans="1:7">
      <c r="A43" s="2483"/>
      <c r="B43" s="1284"/>
      <c r="C43" s="1283" t="s">
        <v>768</v>
      </c>
      <c r="D43" s="1286">
        <f>+D41-D42</f>
        <v>1800000</v>
      </c>
      <c r="E43" s="1282"/>
      <c r="F43" s="1292"/>
      <c r="G43" s="2487"/>
    </row>
    <row r="44" spans="1:7">
      <c r="A44" s="2483"/>
      <c r="B44" s="1284"/>
      <c r="C44" s="1283"/>
      <c r="D44" s="1281"/>
      <c r="E44" s="1282"/>
      <c r="F44" s="1293"/>
      <c r="G44" s="2485"/>
    </row>
    <row r="45" spans="1:7" ht="17.25">
      <c r="A45" s="2483"/>
      <c r="B45" s="1279" t="s">
        <v>771</v>
      </c>
      <c r="C45" s="1280" t="s">
        <v>34</v>
      </c>
      <c r="D45" s="877">
        <f>Inventaris!I73</f>
        <v>119068400</v>
      </c>
      <c r="E45" s="1282"/>
      <c r="F45" s="1294" t="s">
        <v>767</v>
      </c>
      <c r="G45" s="2486"/>
    </row>
    <row r="46" spans="1:7">
      <c r="A46" s="2483"/>
      <c r="B46" s="1284"/>
      <c r="C46" s="1283" t="s">
        <v>773</v>
      </c>
      <c r="D46" s="877">
        <f>'Lap. Opr. Program'!J40</f>
        <v>80006848.61111109</v>
      </c>
      <c r="E46" s="1282"/>
      <c r="F46" s="1292" t="s">
        <v>769</v>
      </c>
      <c r="G46" s="2489">
        <f>+G47+G48</f>
        <v>4494093376</v>
      </c>
    </row>
    <row r="47" spans="1:7">
      <c r="A47" s="2483"/>
      <c r="B47" s="1284"/>
      <c r="C47" s="1283" t="s">
        <v>768</v>
      </c>
      <c r="D47" s="1286">
        <f>+D45-D46</f>
        <v>39061551.38888891</v>
      </c>
      <c r="E47" s="1282"/>
      <c r="F47" s="1293" t="s">
        <v>770</v>
      </c>
      <c r="G47" s="2484">
        <f>D36+D30+D18</f>
        <v>0</v>
      </c>
    </row>
    <row r="48" spans="1:7">
      <c r="A48" s="2483"/>
      <c r="B48" s="1284"/>
      <c r="C48" s="1283"/>
      <c r="D48" s="1288"/>
      <c r="E48" s="1282"/>
      <c r="F48" s="1293" t="s">
        <v>772</v>
      </c>
      <c r="G48" s="2484">
        <f>D37+D31+D19</f>
        <v>4494093376</v>
      </c>
    </row>
    <row r="49" spans="1:7">
      <c r="A49" s="2483"/>
      <c r="B49" s="1279" t="s">
        <v>774</v>
      </c>
      <c r="C49" s="1280" t="s">
        <v>516</v>
      </c>
      <c r="D49" s="1288"/>
      <c r="E49" s="1282"/>
      <c r="F49" s="1283"/>
      <c r="G49" s="2486"/>
    </row>
    <row r="50" spans="1:7">
      <c r="A50" s="2490"/>
      <c r="B50" s="1296"/>
      <c r="C50" s="1297" t="s">
        <v>775</v>
      </c>
      <c r="D50" s="1298">
        <f>'Aktiva Tetap &amp; Aktv Lain2'!G21</f>
        <v>250000000</v>
      </c>
      <c r="E50" s="1295"/>
      <c r="F50" s="1297"/>
      <c r="G50" s="2491"/>
    </row>
    <row r="51" spans="1:7">
      <c r="A51" s="2492"/>
      <c r="B51" s="1301"/>
      <c r="C51" s="1302"/>
      <c r="D51" s="1303"/>
      <c r="E51" s="1300"/>
      <c r="F51" s="1302"/>
      <c r="G51" s="2480"/>
    </row>
    <row r="52" spans="1:7">
      <c r="A52" s="2483"/>
      <c r="B52" s="1279" t="s">
        <v>776</v>
      </c>
      <c r="C52" s="1280" t="s">
        <v>117</v>
      </c>
      <c r="D52" s="1281"/>
      <c r="E52" s="1282"/>
      <c r="F52" s="1283"/>
      <c r="G52" s="2486"/>
    </row>
    <row r="53" spans="1:7">
      <c r="A53" s="2483"/>
      <c r="B53" s="1284"/>
      <c r="C53" s="1304" t="s">
        <v>862</v>
      </c>
      <c r="D53" s="1288"/>
      <c r="E53" s="1282"/>
      <c r="F53" s="1283"/>
      <c r="G53" s="2486"/>
    </row>
    <row r="54" spans="1:7">
      <c r="A54" s="2483"/>
      <c r="B54" s="1284"/>
      <c r="C54" s="1283" t="s">
        <v>777</v>
      </c>
      <c r="D54" s="877">
        <f>IF('DATA BANTUAN'!K14=0,'DATA BANTUAN'!J14,'DATA BANTUAN'!J14-'DATA BANTUAN'!K14)</f>
        <v>0</v>
      </c>
      <c r="E54" s="1282"/>
      <c r="F54" s="1283"/>
      <c r="G54" s="2486"/>
    </row>
    <row r="55" spans="1:7">
      <c r="A55" s="2483"/>
      <c r="B55" s="1284"/>
      <c r="C55" s="1283" t="s">
        <v>778</v>
      </c>
      <c r="D55" s="877">
        <f>IF('DATA BANTUAN'!K15=0,'DATA BANTUAN'!J15,'DATA BANTUAN'!J15-'DATA BANTUAN'!K15)</f>
        <v>0</v>
      </c>
      <c r="E55" s="1282"/>
      <c r="F55" s="1283"/>
      <c r="G55" s="2486"/>
    </row>
    <row r="56" spans="1:7">
      <c r="A56" s="2483"/>
      <c r="B56" s="1284"/>
      <c r="C56" s="1283" t="s">
        <v>779</v>
      </c>
      <c r="D56" s="877">
        <f>IF('DATA BANTUAN'!K16=0,'DATA BANTUAN'!J16,'DATA BANTUAN'!J16-'DATA BANTUAN'!K16)</f>
        <v>0</v>
      </c>
      <c r="E56" s="1282"/>
      <c r="F56" s="1283"/>
      <c r="G56" s="2486"/>
    </row>
    <row r="57" spans="1:7">
      <c r="A57" s="2483"/>
      <c r="B57" s="1284"/>
      <c r="C57" s="1283" t="s">
        <v>780</v>
      </c>
      <c r="D57" s="877">
        <f>IF('DATA BANTUAN'!K19=0,'DATA BANTUAN'!J19,'DATA BANTUAN'!J19-'DATA BANTUAN'!K19)</f>
        <v>0</v>
      </c>
      <c r="E57" s="1282"/>
      <c r="F57" s="1283"/>
      <c r="G57" s="2486"/>
    </row>
    <row r="58" spans="1:7">
      <c r="A58" s="2483"/>
      <c r="B58" s="1284"/>
      <c r="C58" s="1283" t="s">
        <v>781</v>
      </c>
      <c r="D58" s="877">
        <f>IF('DATA BANTUAN'!K20=0,'DATA BANTUAN'!J20,'DATA BANTUAN'!J20-'DATA BANTUAN'!K20)</f>
        <v>0</v>
      </c>
      <c r="E58" s="1282"/>
      <c r="F58" s="1283"/>
      <c r="G58" s="2486"/>
    </row>
    <row r="59" spans="1:7">
      <c r="A59" s="2483"/>
      <c r="B59" s="1284"/>
      <c r="C59" s="1304" t="s">
        <v>863</v>
      </c>
      <c r="D59" s="1288"/>
      <c r="E59" s="1282"/>
      <c r="F59" s="1283"/>
      <c r="G59" s="2486"/>
    </row>
    <row r="60" spans="1:7">
      <c r="A60" s="2483"/>
      <c r="B60" s="1284"/>
      <c r="C60" s="1283" t="s">
        <v>777</v>
      </c>
      <c r="D60" s="877">
        <f>IF('DATA BANTUAN'!Q14=0,'DATA BANTUAN'!P14,'DATA BANTUAN'!P14-'DATA BANTUAN'!Q14)</f>
        <v>0</v>
      </c>
      <c r="E60" s="1282"/>
      <c r="F60" s="1283"/>
      <c r="G60" s="2486"/>
    </row>
    <row r="61" spans="1:7">
      <c r="A61" s="2483"/>
      <c r="B61" s="1284"/>
      <c r="C61" s="1283" t="s">
        <v>778</v>
      </c>
      <c r="D61" s="877">
        <f>IF('DATA BANTUAN'!Q15=0,'DATA BANTUAN'!P15,'DATA BANTUAN'!P15-'DATA BANTUAN'!Q15)</f>
        <v>0</v>
      </c>
      <c r="E61" s="1282"/>
      <c r="F61" s="1283"/>
      <c r="G61" s="2486"/>
    </row>
    <row r="62" spans="1:7">
      <c r="A62" s="2483"/>
      <c r="B62" s="1284"/>
      <c r="C62" s="1283" t="s">
        <v>779</v>
      </c>
      <c r="D62" s="877">
        <f>IF('DATA BANTUAN'!Q16=0,'DATA BANTUAN'!P16,'DATA BANTUAN'!P16-'DATA BANTUAN'!Q16)</f>
        <v>0</v>
      </c>
      <c r="E62" s="1282"/>
      <c r="F62" s="1283"/>
      <c r="G62" s="2486"/>
    </row>
    <row r="63" spans="1:7">
      <c r="A63" s="2483"/>
      <c r="B63" s="1284"/>
      <c r="C63" s="1283" t="s">
        <v>780</v>
      </c>
      <c r="D63" s="877">
        <f>IF('DATA BANTUAN'!Q19=0,'DATA BANTUAN'!P19,'DATA BANTUAN'!P19-'DATA BANTUAN'!Q19)</f>
        <v>0</v>
      </c>
      <c r="E63" s="1282"/>
      <c r="F63" s="1283"/>
      <c r="G63" s="2486"/>
    </row>
    <row r="64" spans="1:7">
      <c r="A64" s="2483"/>
      <c r="B64" s="1284"/>
      <c r="C64" s="1283" t="s">
        <v>781</v>
      </c>
      <c r="D64" s="877">
        <f>IF('DATA BANTUAN'!Q20=0,'DATA BANTUAN'!P20,'DATA BANTUAN'!P20-'DATA BANTUAN'!Q20)</f>
        <v>0</v>
      </c>
      <c r="E64" s="1282"/>
      <c r="F64" s="1283"/>
      <c r="G64" s="2486"/>
    </row>
    <row r="65" spans="1:7">
      <c r="A65" s="2483"/>
      <c r="B65" s="1284"/>
      <c r="C65" s="1304" t="s">
        <v>864</v>
      </c>
      <c r="D65" s="1288"/>
      <c r="E65" s="1282"/>
      <c r="F65" s="1283"/>
      <c r="G65" s="2486"/>
    </row>
    <row r="66" spans="1:7">
      <c r="A66" s="2483"/>
      <c r="B66" s="1284"/>
      <c r="C66" s="1283" t="s">
        <v>777</v>
      </c>
      <c r="D66" s="877">
        <f>IF('DATA BANTUAN'!E33=0,'DATA BANTUAN'!D33,'DATA BANTUAN'!D33-'DATA BANTUAN'!E33)</f>
        <v>0</v>
      </c>
      <c r="E66" s="1282"/>
      <c r="F66" s="1283"/>
      <c r="G66" s="2486"/>
    </row>
    <row r="67" spans="1:7">
      <c r="A67" s="2483"/>
      <c r="B67" s="1284"/>
      <c r="C67" s="1283" t="s">
        <v>778</v>
      </c>
      <c r="D67" s="877">
        <f>IF('DATA BANTUAN'!E34=0,'DATA BANTUAN'!D34,'DATA BANTUAN'!D34-'DATA BANTUAN'!E34)</f>
        <v>0</v>
      </c>
      <c r="E67" s="1282"/>
      <c r="F67" s="1283"/>
      <c r="G67" s="2486"/>
    </row>
    <row r="68" spans="1:7">
      <c r="A68" s="2483"/>
      <c r="B68" s="1284"/>
      <c r="C68" s="1283" t="s">
        <v>779</v>
      </c>
      <c r="D68" s="877">
        <f>IF('DATA BANTUAN'!E35=0,'DATA BANTUAN'!D35,'DATA BANTUAN'!D35-'DATA BANTUAN'!E35)</f>
        <v>0</v>
      </c>
      <c r="E68" s="1282"/>
      <c r="F68" s="1283"/>
      <c r="G68" s="2486"/>
    </row>
    <row r="69" spans="1:7">
      <c r="A69" s="2483"/>
      <c r="B69" s="1284"/>
      <c r="C69" s="1283" t="s">
        <v>780</v>
      </c>
      <c r="D69" s="877">
        <f>IF('DATA BANTUAN'!E38=0,'DATA BANTUAN'!D38,'DATA BANTUAN'!D38-'DATA BANTUAN'!E38)</f>
        <v>0</v>
      </c>
      <c r="E69" s="1282"/>
      <c r="F69" s="1283"/>
      <c r="G69" s="2486"/>
    </row>
    <row r="70" spans="1:7">
      <c r="A70" s="2483"/>
      <c r="B70" s="1284"/>
      <c r="C70" s="1283" t="s">
        <v>781</v>
      </c>
      <c r="D70" s="877">
        <f>IF('DATA BANTUAN'!E39=0,'DATA BANTUAN'!D39,'DATA BANTUAN'!D39-'DATA BANTUAN'!E39)</f>
        <v>0</v>
      </c>
      <c r="E70" s="1282"/>
      <c r="F70" s="1283"/>
      <c r="G70" s="2486"/>
    </row>
    <row r="71" spans="1:7">
      <c r="A71" s="2483"/>
      <c r="B71" s="1284"/>
      <c r="C71" s="1304" t="s">
        <v>865</v>
      </c>
      <c r="D71" s="1288"/>
      <c r="E71" s="1282"/>
      <c r="F71" s="1283"/>
      <c r="G71" s="2486"/>
    </row>
    <row r="72" spans="1:7">
      <c r="A72" s="2483"/>
      <c r="B72" s="1284"/>
      <c r="C72" s="1283" t="s">
        <v>777</v>
      </c>
      <c r="D72" s="877">
        <f>IF('DATA BANTUAN'!K33=0,'DATA BANTUAN'!J33,'DATA BANTUAN'!J33-'DATA BANTUAN'!K33)</f>
        <v>0</v>
      </c>
      <c r="E72" s="1282"/>
      <c r="F72" s="1283"/>
      <c r="G72" s="2486"/>
    </row>
    <row r="73" spans="1:7">
      <c r="A73" s="2483"/>
      <c r="B73" s="1284"/>
      <c r="C73" s="1283" t="s">
        <v>778</v>
      </c>
      <c r="D73" s="877">
        <f>IF('DATA BANTUAN'!K34=0,'DATA BANTUAN'!J34,'DATA BANTUAN'!J34-'DATA BANTUAN'!K34)</f>
        <v>0</v>
      </c>
      <c r="E73" s="1282"/>
      <c r="F73" s="1283"/>
      <c r="G73" s="2486"/>
    </row>
    <row r="74" spans="1:7">
      <c r="A74" s="2483"/>
      <c r="B74" s="1284"/>
      <c r="C74" s="1283" t="s">
        <v>779</v>
      </c>
      <c r="D74" s="877">
        <f>IF('DATA BANTUAN'!K35=0,'DATA BANTUAN'!J35,'DATA BANTUAN'!J35-'DATA BANTUAN'!K35)</f>
        <v>0</v>
      </c>
      <c r="E74" s="1282"/>
      <c r="F74" s="1283"/>
      <c r="G74" s="2486"/>
    </row>
    <row r="75" spans="1:7">
      <c r="A75" s="2483"/>
      <c r="B75" s="1284"/>
      <c r="C75" s="1283" t="s">
        <v>780</v>
      </c>
      <c r="D75" s="877">
        <f>IF('DATA BANTUAN'!K38=0,'DATA BANTUAN'!J38,'DATA BANTUAN'!J38-'DATA BANTUAN'!K38)</f>
        <v>0</v>
      </c>
      <c r="E75" s="1282"/>
      <c r="F75" s="1283"/>
      <c r="G75" s="2486"/>
    </row>
    <row r="76" spans="1:7">
      <c r="A76" s="2483"/>
      <c r="B76" s="1284"/>
      <c r="C76" s="1283" t="s">
        <v>781</v>
      </c>
      <c r="D76" s="877">
        <f>IF('DATA BANTUAN'!K39=0,'DATA BANTUAN'!J39,'DATA BANTUAN'!J39-'DATA BANTUAN'!K39)</f>
        <v>0</v>
      </c>
      <c r="E76" s="1282"/>
      <c r="F76" s="1283"/>
      <c r="G76" s="2486"/>
    </row>
    <row r="77" spans="1:7">
      <c r="A77" s="2483"/>
      <c r="B77" s="1284"/>
      <c r="C77" s="1285" t="s">
        <v>782</v>
      </c>
      <c r="D77" s="1286">
        <f>SUM(D53:D76)</f>
        <v>0</v>
      </c>
      <c r="E77" s="1282"/>
      <c r="F77" s="1283"/>
      <c r="G77" s="2486"/>
    </row>
    <row r="78" spans="1:7">
      <c r="A78" s="2483"/>
      <c r="B78" s="1279" t="s">
        <v>784</v>
      </c>
      <c r="C78" s="1280" t="s">
        <v>783</v>
      </c>
      <c r="D78" s="1281"/>
      <c r="E78" s="1282"/>
      <c r="F78" s="1283"/>
      <c r="G78" s="2486"/>
    </row>
    <row r="79" spans="1:7">
      <c r="A79" s="2483"/>
      <c r="B79" s="1279"/>
      <c r="C79" s="1304" t="s">
        <v>866</v>
      </c>
      <c r="D79" s="1288"/>
      <c r="E79" s="1282"/>
      <c r="F79" s="1283"/>
      <c r="G79" s="2486"/>
    </row>
    <row r="80" spans="1:7">
      <c r="A80" s="2483"/>
      <c r="B80" s="1279"/>
      <c r="C80" s="1283" t="s">
        <v>777</v>
      </c>
      <c r="D80" s="877">
        <f>'DATA BANTUAN'!E14</f>
        <v>0</v>
      </c>
      <c r="E80" s="1282"/>
      <c r="F80" s="1283"/>
      <c r="G80" s="2486"/>
    </row>
    <row r="81" spans="1:7">
      <c r="A81" s="2483"/>
      <c r="B81" s="1279"/>
      <c r="C81" s="1283" t="s">
        <v>778</v>
      </c>
      <c r="D81" s="877">
        <f>'DATA BANTUAN'!E15</f>
        <v>0</v>
      </c>
      <c r="E81" s="1282"/>
      <c r="F81" s="1283"/>
      <c r="G81" s="2486"/>
    </row>
    <row r="82" spans="1:7">
      <c r="A82" s="2483"/>
      <c r="B82" s="1279"/>
      <c r="C82" s="1283" t="s">
        <v>779</v>
      </c>
      <c r="D82" s="877">
        <f>'DATA BANTUAN'!E16</f>
        <v>0</v>
      </c>
      <c r="E82" s="1282"/>
      <c r="F82" s="1283"/>
      <c r="G82" s="2486"/>
    </row>
    <row r="83" spans="1:7">
      <c r="A83" s="2483"/>
      <c r="B83" s="1279"/>
      <c r="C83" s="1283" t="s">
        <v>780</v>
      </c>
      <c r="D83" s="877">
        <f>'DATA BANTUAN'!E19</f>
        <v>0</v>
      </c>
      <c r="E83" s="1282"/>
      <c r="F83" s="1283"/>
      <c r="G83" s="2486"/>
    </row>
    <row r="84" spans="1:7">
      <c r="A84" s="2483"/>
      <c r="B84" s="1279"/>
      <c r="C84" s="1283" t="s">
        <v>781</v>
      </c>
      <c r="D84" s="877">
        <f>'DATA BANTUAN'!E20</f>
        <v>0</v>
      </c>
      <c r="E84" s="1282"/>
      <c r="F84" s="1283"/>
      <c r="G84" s="2486"/>
    </row>
    <row r="85" spans="1:7">
      <c r="A85" s="2483"/>
      <c r="B85" s="1279"/>
      <c r="C85" s="1304" t="s">
        <v>862</v>
      </c>
      <c r="D85" s="1288"/>
      <c r="E85" s="1282"/>
      <c r="F85" s="1283"/>
      <c r="G85" s="2486"/>
    </row>
    <row r="86" spans="1:7">
      <c r="A86" s="2483"/>
      <c r="B86" s="1279"/>
      <c r="C86" s="1283" t="s">
        <v>777</v>
      </c>
      <c r="D86" s="877">
        <f>'DATA BANTUAN'!K14</f>
        <v>5207955700</v>
      </c>
      <c r="E86" s="1282"/>
      <c r="F86" s="1283"/>
      <c r="G86" s="2486"/>
    </row>
    <row r="87" spans="1:7">
      <c r="A87" s="2483"/>
      <c r="B87" s="1279"/>
      <c r="C87" s="1283" t="s">
        <v>778</v>
      </c>
      <c r="D87" s="877">
        <f>'DATA BANTUAN'!K15</f>
        <v>1857930500</v>
      </c>
      <c r="E87" s="1282"/>
      <c r="F87" s="1283"/>
      <c r="G87" s="2486"/>
    </row>
    <row r="88" spans="1:7">
      <c r="A88" s="2483"/>
      <c r="B88" s="1279"/>
      <c r="C88" s="1283" t="s">
        <v>779</v>
      </c>
      <c r="D88" s="877">
        <f>'DATA BANTUAN'!K16</f>
        <v>1000449500</v>
      </c>
      <c r="E88" s="1282"/>
      <c r="F88" s="1283"/>
      <c r="G88" s="2486"/>
    </row>
    <row r="89" spans="1:7">
      <c r="A89" s="2483"/>
      <c r="B89" s="1279"/>
      <c r="C89" s="1283" t="s">
        <v>780</v>
      </c>
      <c r="D89" s="877">
        <f>'DATA BANTUAN'!K19</f>
        <v>305775417</v>
      </c>
      <c r="E89" s="1282"/>
      <c r="F89" s="1283"/>
      <c r="G89" s="2486"/>
    </row>
    <row r="90" spans="1:7">
      <c r="A90" s="2483"/>
      <c r="B90" s="1279"/>
      <c r="C90" s="1283" t="s">
        <v>781</v>
      </c>
      <c r="D90" s="877">
        <f>'DATA BANTUAN'!K20</f>
        <v>319454200</v>
      </c>
      <c r="E90" s="1282"/>
      <c r="F90" s="1283"/>
      <c r="G90" s="2486"/>
    </row>
    <row r="91" spans="1:7">
      <c r="A91" s="2483"/>
      <c r="B91" s="1279"/>
      <c r="C91" s="1304" t="s">
        <v>863</v>
      </c>
      <c r="D91" s="1288"/>
      <c r="E91" s="1282"/>
      <c r="F91" s="1283"/>
      <c r="G91" s="2486"/>
    </row>
    <row r="92" spans="1:7">
      <c r="A92" s="2483"/>
      <c r="B92" s="1279"/>
      <c r="C92" s="1283" t="s">
        <v>777</v>
      </c>
      <c r="D92" s="877">
        <f>'DATA BANTUAN'!Q14</f>
        <v>0</v>
      </c>
      <c r="E92" s="1282"/>
      <c r="F92" s="1283"/>
      <c r="G92" s="2486"/>
    </row>
    <row r="93" spans="1:7">
      <c r="A93" s="2483"/>
      <c r="B93" s="1279"/>
      <c r="C93" s="1283" t="s">
        <v>778</v>
      </c>
      <c r="D93" s="877">
        <f>'DATA BANTUAN'!Q15</f>
        <v>0</v>
      </c>
      <c r="E93" s="1282"/>
      <c r="F93" s="1283"/>
      <c r="G93" s="2486"/>
    </row>
    <row r="94" spans="1:7">
      <c r="A94" s="2483"/>
      <c r="B94" s="1279"/>
      <c r="C94" s="1283" t="s">
        <v>779</v>
      </c>
      <c r="D94" s="877">
        <f>'DATA BANTUAN'!Q16</f>
        <v>0</v>
      </c>
      <c r="E94" s="1282"/>
      <c r="F94" s="1283"/>
      <c r="G94" s="2486"/>
    </row>
    <row r="95" spans="1:7">
      <c r="A95" s="2483"/>
      <c r="B95" s="1279"/>
      <c r="C95" s="1283" t="s">
        <v>780</v>
      </c>
      <c r="D95" s="877">
        <f>'DATA BANTUAN'!Q19</f>
        <v>0</v>
      </c>
      <c r="E95" s="1282"/>
      <c r="F95" s="1283"/>
      <c r="G95" s="2486"/>
    </row>
    <row r="96" spans="1:7">
      <c r="A96" s="2483"/>
      <c r="B96" s="1279"/>
      <c r="C96" s="1283" t="s">
        <v>781</v>
      </c>
      <c r="D96" s="877">
        <f>'DATA BANTUAN'!Q20</f>
        <v>0</v>
      </c>
      <c r="E96" s="1282"/>
      <c r="F96" s="1283"/>
      <c r="G96" s="2486"/>
    </row>
    <row r="97" spans="1:7">
      <c r="A97" s="2483"/>
      <c r="B97" s="1279"/>
      <c r="C97" s="1304" t="s">
        <v>864</v>
      </c>
      <c r="D97" s="1288"/>
      <c r="E97" s="1282"/>
      <c r="F97" s="1283"/>
      <c r="G97" s="2486"/>
    </row>
    <row r="98" spans="1:7">
      <c r="A98" s="2483"/>
      <c r="B98" s="1279"/>
      <c r="C98" s="1283" t="s">
        <v>777</v>
      </c>
      <c r="D98" s="877">
        <f>'DATA BANTUAN'!E33</f>
        <v>207480400</v>
      </c>
      <c r="E98" s="1282"/>
      <c r="F98" s="1283"/>
      <c r="G98" s="2486"/>
    </row>
    <row r="99" spans="1:7">
      <c r="A99" s="2483"/>
      <c r="B99" s="1279"/>
      <c r="C99" s="1283" t="s">
        <v>778</v>
      </c>
      <c r="D99" s="877">
        <f>'DATA BANTUAN'!E34</f>
        <v>158469600</v>
      </c>
      <c r="E99" s="1282"/>
      <c r="F99" s="1283"/>
      <c r="G99" s="2486"/>
    </row>
    <row r="100" spans="1:7">
      <c r="A100" s="2483"/>
      <c r="B100" s="1279"/>
      <c r="C100" s="1283" t="s">
        <v>779</v>
      </c>
      <c r="D100" s="877">
        <f>'DATA BANTUAN'!E35</f>
        <v>0</v>
      </c>
      <c r="E100" s="1282"/>
      <c r="F100" s="1283"/>
      <c r="G100" s="2486"/>
    </row>
    <row r="101" spans="1:7">
      <c r="A101" s="2483"/>
      <c r="B101" s="1279"/>
      <c r="C101" s="1283" t="s">
        <v>780</v>
      </c>
      <c r="D101" s="877">
        <f>'DATA BANTUAN'!E38</f>
        <v>0</v>
      </c>
      <c r="E101" s="1282"/>
      <c r="F101" s="1283"/>
      <c r="G101" s="2486"/>
    </row>
    <row r="102" spans="1:7">
      <c r="A102" s="2483"/>
      <c r="B102" s="1279"/>
      <c r="C102" s="1283" t="s">
        <v>781</v>
      </c>
      <c r="D102" s="877">
        <f>'DATA BANTUAN'!E39</f>
        <v>15000000</v>
      </c>
      <c r="E102" s="1282"/>
      <c r="F102" s="1283"/>
      <c r="G102" s="2486"/>
    </row>
    <row r="103" spans="1:7">
      <c r="A103" s="2483"/>
      <c r="B103" s="1279"/>
      <c r="C103" s="1304" t="s">
        <v>865</v>
      </c>
      <c r="D103" s="1288"/>
      <c r="E103" s="1282"/>
      <c r="F103" s="1283"/>
      <c r="G103" s="2486"/>
    </row>
    <row r="104" spans="1:7">
      <c r="A104" s="2483"/>
      <c r="B104" s="1284"/>
      <c r="C104" s="1283" t="s">
        <v>777</v>
      </c>
      <c r="D104" s="877">
        <f>'DATA BANTUAN'!K33</f>
        <v>0</v>
      </c>
      <c r="E104" s="1282"/>
      <c r="F104" s="1283"/>
      <c r="G104" s="2486"/>
    </row>
    <row r="105" spans="1:7">
      <c r="A105" s="2483"/>
      <c r="B105" s="1284"/>
      <c r="C105" s="1283" t="s">
        <v>778</v>
      </c>
      <c r="D105" s="877">
        <f>'DATA BANTUAN'!K34</f>
        <v>0</v>
      </c>
      <c r="E105" s="1282"/>
      <c r="F105" s="1283"/>
      <c r="G105" s="2486"/>
    </row>
    <row r="106" spans="1:7">
      <c r="A106" s="2483"/>
      <c r="B106" s="1284"/>
      <c r="C106" s="1283" t="s">
        <v>779</v>
      </c>
      <c r="D106" s="877">
        <f>'DATA BANTUAN'!K35</f>
        <v>0</v>
      </c>
      <c r="E106" s="1282"/>
      <c r="F106" s="1283"/>
      <c r="G106" s="2486"/>
    </row>
    <row r="107" spans="1:7">
      <c r="A107" s="2483"/>
      <c r="B107" s="1284"/>
      <c r="C107" s="1283" t="s">
        <v>780</v>
      </c>
      <c r="D107" s="877">
        <f>'DATA BANTUAN'!K38</f>
        <v>0</v>
      </c>
      <c r="E107" s="1282"/>
      <c r="F107" s="1283"/>
      <c r="G107" s="2486"/>
    </row>
    <row r="108" spans="1:7">
      <c r="A108" s="2483"/>
      <c r="B108" s="1284"/>
      <c r="C108" s="1283" t="s">
        <v>781</v>
      </c>
      <c r="D108" s="877">
        <f>'DATA BANTUAN'!K39</f>
        <v>0</v>
      </c>
      <c r="E108" s="1282"/>
      <c r="F108" s="1283"/>
      <c r="G108" s="2486"/>
    </row>
    <row r="109" spans="1:7">
      <c r="A109" s="2483"/>
      <c r="B109" s="1284"/>
      <c r="C109" s="1285" t="s">
        <v>782</v>
      </c>
      <c r="D109" s="1286">
        <f>SUM(D79:D108)</f>
        <v>9072515317</v>
      </c>
      <c r="E109" s="1282"/>
      <c r="F109" s="1283"/>
      <c r="G109" s="2486"/>
    </row>
    <row r="110" spans="1:7">
      <c r="A110" s="2483"/>
      <c r="B110" s="1284"/>
      <c r="C110" s="1285"/>
      <c r="D110" s="1288"/>
      <c r="E110" s="1282"/>
      <c r="F110" s="1283"/>
      <c r="G110" s="2486"/>
    </row>
    <row r="111" spans="1:7">
      <c r="A111" s="2483"/>
      <c r="B111" s="1279" t="s">
        <v>867</v>
      </c>
      <c r="C111" s="1280" t="s">
        <v>172</v>
      </c>
      <c r="D111" s="877">
        <f>G113-D21-D33-D36-D37-D38-D39-D43-D47-D50-D77-D109</f>
        <v>30000000</v>
      </c>
      <c r="E111" s="1282"/>
      <c r="F111" s="1283"/>
      <c r="G111" s="2486"/>
    </row>
    <row r="112" spans="1:7">
      <c r="A112" s="2483"/>
      <c r="B112" s="1284"/>
      <c r="C112" s="1283"/>
      <c r="D112" s="1281"/>
      <c r="E112" s="1282"/>
      <c r="F112" s="1283"/>
      <c r="G112" s="2486"/>
    </row>
    <row r="113" spans="1:7" ht="30.75" customHeight="1" thickBot="1">
      <c r="A113" s="3612" t="s">
        <v>118</v>
      </c>
      <c r="B113" s="3613"/>
      <c r="C113" s="3613"/>
      <c r="D113" s="2493">
        <f>D21+D33+D36+D37+D38+D39+D43+D47+D50+D77+D109+D111</f>
        <v>13922703809.24889</v>
      </c>
      <c r="E113" s="3613" t="s">
        <v>785</v>
      </c>
      <c r="F113" s="3613"/>
      <c r="G113" s="2494">
        <f>G15+(SUM(G22:G42))</f>
        <v>13922703809.24889</v>
      </c>
    </row>
  </sheetData>
  <sheetProtection formatColumns="0" formatRows="0"/>
  <mergeCells count="7">
    <mergeCell ref="A113:C113"/>
    <mergeCell ref="E113:F113"/>
    <mergeCell ref="A1:G1"/>
    <mergeCell ref="A2:G2"/>
    <mergeCell ref="A3:G3"/>
    <mergeCell ref="A9:C9"/>
    <mergeCell ref="E9:F9"/>
  </mergeCells>
  <printOptions horizontalCentered="1"/>
  <pageMargins left="0.23622047244094491" right="0.23622047244094491" top="0.23622047244094491" bottom="0.23622047244094491" header="0.31496062992125984" footer="0.31496062992125984"/>
  <pageSetup paperSize="9" scale="74" orientation="portrait" horizontalDpi="4294967293" verticalDpi="4294967293" r:id="rId1"/>
  <headerFooter>
    <oddFooter>&amp;C&amp;P</oddFooter>
  </headerFooter>
  <rowBreaks count="1" manualBreakCount="1">
    <brk id="50" max="16383" man="1"/>
  </rowBreaks>
  <drawing r:id="rId2"/>
  <legacyDrawing r:id="rId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71"/>
  <sheetViews>
    <sheetView zoomScale="85" zoomScaleNormal="85" workbookViewId="0">
      <selection activeCell="F53" sqref="F53"/>
    </sheetView>
  </sheetViews>
  <sheetFormatPr defaultColWidth="9.140625" defaultRowHeight="15.75"/>
  <cols>
    <col min="1" max="3" width="3.5703125" style="751" customWidth="1"/>
    <col min="4" max="4" width="17" style="751" customWidth="1"/>
    <col min="5" max="5" width="34.85546875" style="751" customWidth="1"/>
    <col min="6" max="10" width="16" style="751" customWidth="1"/>
    <col min="11" max="11" width="9.140625" style="749"/>
    <col min="12" max="16" width="9.140625" style="765"/>
    <col min="17" max="16384" width="9.140625" style="766"/>
  </cols>
  <sheetData>
    <row r="1" spans="1:10" ht="23.25">
      <c r="A1" s="3623" t="s">
        <v>704</v>
      </c>
      <c r="B1" s="3623"/>
      <c r="C1" s="3623"/>
      <c r="D1" s="3623"/>
      <c r="E1" s="3623"/>
      <c r="F1" s="3623"/>
      <c r="G1" s="3623"/>
      <c r="H1" s="3623"/>
      <c r="I1" s="3623"/>
      <c r="J1" s="3623"/>
    </row>
    <row r="2" spans="1:10" ht="18">
      <c r="A2" s="3595" t="s">
        <v>705</v>
      </c>
      <c r="B2" s="3595"/>
      <c r="C2" s="3595"/>
      <c r="D2" s="3595"/>
      <c r="E2" s="3595"/>
      <c r="F2" s="3595"/>
      <c r="G2" s="3595"/>
      <c r="H2" s="3595"/>
      <c r="I2" s="3595"/>
      <c r="J2" s="3595"/>
    </row>
    <row r="3" spans="1:10" ht="23.25">
      <c r="A3" s="3623" t="s">
        <v>259</v>
      </c>
      <c r="B3" s="3623"/>
      <c r="C3" s="3623"/>
      <c r="D3" s="3623"/>
      <c r="E3" s="3623"/>
      <c r="F3" s="3623"/>
      <c r="G3" s="3623"/>
      <c r="H3" s="3623"/>
      <c r="I3" s="3623"/>
      <c r="J3" s="3623"/>
    </row>
    <row r="4" spans="1:10" ht="6" customHeight="1"/>
    <row r="5" spans="1:10">
      <c r="D5" s="917" t="s">
        <v>86</v>
      </c>
      <c r="E5" s="4" t="str">
        <f>": "&amp;DT!D3</f>
        <v>: Nagrak</v>
      </c>
    </row>
    <row r="6" spans="1:10">
      <c r="D6" s="917" t="s">
        <v>87</v>
      </c>
      <c r="E6" s="4" t="str">
        <f>": "&amp;DT!D4</f>
        <v>: Sukabumi</v>
      </c>
    </row>
    <row r="7" spans="1:10">
      <c r="D7" s="917" t="s">
        <v>88</v>
      </c>
      <c r="E7" s="4" t="str">
        <f>": "&amp;DT!D5</f>
        <v>: Jawa Barat</v>
      </c>
    </row>
    <row r="8" spans="1:10" ht="6" customHeight="1" thickBot="1">
      <c r="A8" s="750"/>
      <c r="F8" s="752"/>
      <c r="G8" s="752"/>
      <c r="H8" s="752"/>
      <c r="I8" s="752"/>
      <c r="J8" s="753"/>
    </row>
    <row r="9" spans="1:10">
      <c r="A9" s="3624" t="s">
        <v>706</v>
      </c>
      <c r="B9" s="3625"/>
      <c r="C9" s="3625"/>
      <c r="D9" s="3625"/>
      <c r="E9" s="3625"/>
      <c r="F9" s="3611" t="s">
        <v>358</v>
      </c>
      <c r="G9" s="3445" t="s">
        <v>363</v>
      </c>
      <c r="H9" s="3445"/>
      <c r="I9" s="3445"/>
      <c r="J9" s="3629" t="s">
        <v>546</v>
      </c>
    </row>
    <row r="10" spans="1:10" ht="16.5" thickBot="1">
      <c r="A10" s="3626"/>
      <c r="B10" s="3627"/>
      <c r="C10" s="3627"/>
      <c r="D10" s="3627"/>
      <c r="E10" s="3627"/>
      <c r="F10" s="3628"/>
      <c r="G10" s="2531" t="s">
        <v>361</v>
      </c>
      <c r="H10" s="2531" t="s">
        <v>125</v>
      </c>
      <c r="I10" s="2531" t="s">
        <v>360</v>
      </c>
      <c r="J10" s="3630"/>
    </row>
    <row r="11" spans="1:10" ht="16.5" thickTop="1">
      <c r="A11" s="2509" t="s">
        <v>489</v>
      </c>
      <c r="B11" s="2510" t="s">
        <v>124</v>
      </c>
      <c r="C11" s="2510"/>
      <c r="D11" s="2510"/>
      <c r="E11" s="2511"/>
      <c r="F11" s="2498"/>
      <c r="G11" s="2497"/>
      <c r="H11" s="2497"/>
      <c r="I11" s="2497"/>
      <c r="J11" s="2520"/>
    </row>
    <row r="12" spans="1:10">
      <c r="A12" s="2512"/>
      <c r="B12" s="755" t="s">
        <v>707</v>
      </c>
      <c r="C12" s="755" t="s">
        <v>126</v>
      </c>
      <c r="D12" s="756"/>
      <c r="E12" s="2499"/>
      <c r="F12" s="2499"/>
      <c r="G12" s="757"/>
      <c r="H12" s="757"/>
      <c r="I12" s="757"/>
      <c r="J12" s="2521"/>
    </row>
    <row r="13" spans="1:10">
      <c r="A13" s="2512"/>
      <c r="B13" s="756"/>
      <c r="C13" s="756"/>
      <c r="D13" s="756" t="s">
        <v>708</v>
      </c>
      <c r="E13" s="2499"/>
      <c r="F13" s="2499">
        <f>'Kas UEP'!E12</f>
        <v>0</v>
      </c>
      <c r="G13" s="757">
        <f>'Kas UEP'!E13</f>
        <v>0</v>
      </c>
      <c r="H13" s="757">
        <f>'Kas UEP'!E40</f>
        <v>0</v>
      </c>
      <c r="I13" s="877">
        <f>SUM(G13:H13)</f>
        <v>0</v>
      </c>
      <c r="J13" s="2482">
        <f>F13+I13</f>
        <v>0</v>
      </c>
    </row>
    <row r="14" spans="1:10">
      <c r="A14" s="2512"/>
      <c r="B14" s="756"/>
      <c r="C14" s="756"/>
      <c r="D14" s="756" t="s">
        <v>709</v>
      </c>
      <c r="E14" s="2499"/>
      <c r="F14" s="2499">
        <f>'Kas SPP'!E12</f>
        <v>4105941100</v>
      </c>
      <c r="G14" s="757">
        <f>'Kas SPP'!E13</f>
        <v>102400500</v>
      </c>
      <c r="H14" s="757">
        <f>'Kas SPP'!E365</f>
        <v>97423000</v>
      </c>
      <c r="I14" s="877">
        <f>SUM(G14:H14)</f>
        <v>199823500</v>
      </c>
      <c r="J14" s="2482">
        <f>F14+I14</f>
        <v>4305764600</v>
      </c>
    </row>
    <row r="15" spans="1:10">
      <c r="A15" s="2513"/>
      <c r="B15" s="2514"/>
      <c r="C15" s="2514"/>
      <c r="D15" s="2514" t="s">
        <v>955</v>
      </c>
      <c r="E15" s="760"/>
      <c r="F15" s="2499">
        <f>'Kas SPP Pihak ke-3'!E12</f>
        <v>0</v>
      </c>
      <c r="G15" s="757">
        <f>'Kas SPP Pihak ke-3'!E13</f>
        <v>0</v>
      </c>
      <c r="H15" s="757">
        <f>'Kas SPP Pihak ke-3'!E40</f>
        <v>0</v>
      </c>
      <c r="I15" s="877">
        <f>SUM(G15:H15)</f>
        <v>0</v>
      </c>
      <c r="J15" s="2482">
        <f>F15+I15</f>
        <v>0</v>
      </c>
    </row>
    <row r="16" spans="1:10">
      <c r="A16" s="2506"/>
      <c r="B16" s="2508"/>
      <c r="C16" s="2508"/>
      <c r="D16" s="2508"/>
      <c r="E16" s="2504" t="s">
        <v>710</v>
      </c>
      <c r="F16" s="2500">
        <f>SUM(F13:F15)</f>
        <v>4105941100</v>
      </c>
      <c r="G16" s="932">
        <f>SUM(G13:G15)</f>
        <v>102400500</v>
      </c>
      <c r="H16" s="932">
        <f>SUM(H13:H15)</f>
        <v>97423000</v>
      </c>
      <c r="I16" s="932">
        <f>SUM(I13:I15)</f>
        <v>199823500</v>
      </c>
      <c r="J16" s="2522">
        <f>SUM(J13:J15)</f>
        <v>4305764600</v>
      </c>
    </row>
    <row r="17" spans="1:10">
      <c r="A17" s="2515"/>
      <c r="B17" s="762"/>
      <c r="C17" s="762"/>
      <c r="D17" s="762"/>
      <c r="E17" s="2503"/>
      <c r="F17" s="2499"/>
      <c r="G17" s="757"/>
      <c r="H17" s="757"/>
      <c r="I17" s="757"/>
      <c r="J17" s="2521"/>
    </row>
    <row r="18" spans="1:10">
      <c r="A18" s="2512"/>
      <c r="B18" s="755" t="s">
        <v>711</v>
      </c>
      <c r="C18" s="755" t="s">
        <v>128</v>
      </c>
      <c r="D18" s="756"/>
      <c r="E18" s="2499"/>
      <c r="F18" s="2499"/>
      <c r="G18" s="757"/>
      <c r="H18" s="757"/>
      <c r="I18" s="757"/>
      <c r="J18" s="2521"/>
    </row>
    <row r="19" spans="1:10">
      <c r="A19" s="2512"/>
      <c r="B19" s="756"/>
      <c r="C19" s="756"/>
      <c r="D19" s="756" t="s">
        <v>868</v>
      </c>
      <c r="E19" s="2499"/>
      <c r="F19" s="2499">
        <f>'Bank B PPK'!H11</f>
        <v>0</v>
      </c>
      <c r="G19" s="757">
        <f>'Bank B PPK'!H12</f>
        <v>0</v>
      </c>
      <c r="H19" s="757">
        <f>'Bank B PPK'!H28</f>
        <v>0</v>
      </c>
      <c r="I19" s="877">
        <f t="shared" ref="I19:I26" si="0">SUM(G19:H19)</f>
        <v>0</v>
      </c>
      <c r="J19" s="2482">
        <f t="shared" ref="J19:J26" si="1">F19+I19</f>
        <v>0</v>
      </c>
    </row>
    <row r="20" spans="1:10">
      <c r="A20" s="2512"/>
      <c r="B20" s="756"/>
      <c r="C20" s="756"/>
      <c r="D20" s="756" t="s">
        <v>869</v>
      </c>
      <c r="E20" s="2499"/>
      <c r="F20" s="2499">
        <f>'Bank B PNPM-MPd'!H11</f>
        <v>15243952</v>
      </c>
      <c r="G20" s="757">
        <f>'Bank B PNPM-MPd'!H12</f>
        <v>0</v>
      </c>
      <c r="H20" s="757">
        <f>'Bank B PNPM-MPd'!H34</f>
        <v>0</v>
      </c>
      <c r="I20" s="877">
        <f t="shared" si="0"/>
        <v>0</v>
      </c>
      <c r="J20" s="2482">
        <f t="shared" si="1"/>
        <v>15243952</v>
      </c>
    </row>
    <row r="21" spans="1:10">
      <c r="A21" s="2512"/>
      <c r="B21" s="756"/>
      <c r="C21" s="756"/>
      <c r="D21" s="756" t="s">
        <v>870</v>
      </c>
      <c r="E21" s="2499"/>
      <c r="F21" s="2499">
        <f>'Bank B GSC'!H11</f>
        <v>0</v>
      </c>
      <c r="G21" s="757">
        <f>'Bank B GSC'!H12</f>
        <v>0</v>
      </c>
      <c r="H21" s="757">
        <f>'Bank B GSC'!H28</f>
        <v>0</v>
      </c>
      <c r="I21" s="877">
        <f t="shared" si="0"/>
        <v>0</v>
      </c>
      <c r="J21" s="2482">
        <f t="shared" si="1"/>
        <v>0</v>
      </c>
    </row>
    <row r="22" spans="1:10">
      <c r="A22" s="2512"/>
      <c r="B22" s="756"/>
      <c r="C22" s="756"/>
      <c r="D22" s="756" t="s">
        <v>871</v>
      </c>
      <c r="E22" s="2499"/>
      <c r="F22" s="2499">
        <f>'Bank B PNPM-TP GEMPA'!G11</f>
        <v>312232</v>
      </c>
      <c r="G22" s="757">
        <f>'Bank B PNPM-TP GEMPA'!G12</f>
        <v>0</v>
      </c>
      <c r="H22" s="757">
        <f>'Bank B PNPM-TP GEMPA'!G28</f>
        <v>0</v>
      </c>
      <c r="I22" s="877">
        <f t="shared" si="0"/>
        <v>0</v>
      </c>
      <c r="J22" s="2482">
        <f t="shared" si="1"/>
        <v>312232</v>
      </c>
    </row>
    <row r="23" spans="1:10">
      <c r="A23" s="2512"/>
      <c r="B23" s="756"/>
      <c r="C23" s="756"/>
      <c r="D23" s="756" t="s">
        <v>872</v>
      </c>
      <c r="E23" s="2499"/>
      <c r="F23" s="2499">
        <f>'Bank B PASCA KRISIS'!G11</f>
        <v>0</v>
      </c>
      <c r="G23" s="757">
        <f>'Bank B PASCA KRISIS'!G12</f>
        <v>0</v>
      </c>
      <c r="H23" s="757">
        <f>'Bank B PASCA KRISIS'!G28</f>
        <v>0</v>
      </c>
      <c r="I23" s="877">
        <f t="shared" si="0"/>
        <v>0</v>
      </c>
      <c r="J23" s="2482">
        <f t="shared" si="1"/>
        <v>0</v>
      </c>
    </row>
    <row r="24" spans="1:10">
      <c r="A24" s="2512"/>
      <c r="B24" s="756"/>
      <c r="C24" s="756"/>
      <c r="D24" s="756" t="s">
        <v>712</v>
      </c>
      <c r="E24" s="2499"/>
      <c r="F24" s="2499">
        <f>'Bank OP-UPK'!G11</f>
        <v>2035402.86</v>
      </c>
      <c r="G24" s="757">
        <f>'Bank OP-UPK'!G12</f>
        <v>4313</v>
      </c>
      <c r="H24" s="757">
        <f>'Bank OP-UPK'!G30</f>
        <v>9681</v>
      </c>
      <c r="I24" s="877">
        <f t="shared" si="0"/>
        <v>13994</v>
      </c>
      <c r="J24" s="2482">
        <f t="shared" si="1"/>
        <v>2049396.86</v>
      </c>
    </row>
    <row r="25" spans="1:10">
      <c r="A25" s="2512"/>
      <c r="B25" s="756"/>
      <c r="C25" s="756"/>
      <c r="D25" s="756" t="s">
        <v>713</v>
      </c>
      <c r="E25" s="2499"/>
      <c r="F25" s="2499">
        <f>'Bank UEP'!G11</f>
        <v>0</v>
      </c>
      <c r="G25" s="757">
        <f>'Bank UEP'!G12</f>
        <v>0</v>
      </c>
      <c r="H25" s="757">
        <f>'Bank UEP'!G28</f>
        <v>0</v>
      </c>
      <c r="I25" s="877">
        <f t="shared" si="0"/>
        <v>0</v>
      </c>
      <c r="J25" s="2482">
        <f t="shared" si="1"/>
        <v>0</v>
      </c>
    </row>
    <row r="26" spans="1:10">
      <c r="A26" s="2512"/>
      <c r="B26" s="756"/>
      <c r="C26" s="756"/>
      <c r="D26" s="756" t="s">
        <v>714</v>
      </c>
      <c r="E26" s="2499"/>
      <c r="F26" s="2499">
        <f>'Bank SPP'!G11</f>
        <v>34065843</v>
      </c>
      <c r="G26" s="757">
        <f>'Bank SPP'!G12</f>
        <v>117585</v>
      </c>
      <c r="H26" s="757">
        <f>'Bank SPP'!G52</f>
        <v>233954</v>
      </c>
      <c r="I26" s="877">
        <f t="shared" si="0"/>
        <v>351539</v>
      </c>
      <c r="J26" s="2482">
        <f t="shared" si="1"/>
        <v>34417382</v>
      </c>
    </row>
    <row r="27" spans="1:10">
      <c r="A27" s="2513"/>
      <c r="B27" s="2514"/>
      <c r="C27" s="2514"/>
      <c r="D27" s="2514" t="s">
        <v>927</v>
      </c>
      <c r="E27" s="760"/>
      <c r="F27" s="2499">
        <f>'Bank SPP Pihak ke-3'!G11</f>
        <v>0</v>
      </c>
      <c r="G27" s="757">
        <f>'Bank SPP Pihak ke-3'!G12</f>
        <v>0</v>
      </c>
      <c r="H27" s="757">
        <f>'Bank SPP Pihak ke-3'!G28</f>
        <v>0</v>
      </c>
      <c r="I27" s="877">
        <f>SUM(G27:H27)</f>
        <v>0</v>
      </c>
      <c r="J27" s="2482">
        <f>F27+I27</f>
        <v>0</v>
      </c>
    </row>
    <row r="28" spans="1:10">
      <c r="A28" s="2506"/>
      <c r="B28" s="2508"/>
      <c r="C28" s="2508"/>
      <c r="D28" s="2508"/>
      <c r="E28" s="2504" t="s">
        <v>715</v>
      </c>
      <c r="F28" s="2501">
        <f>SUM(F19:F27)</f>
        <v>51657429.859999999</v>
      </c>
      <c r="G28" s="934">
        <f>SUM(G19:G27)</f>
        <v>121898</v>
      </c>
      <c r="H28" s="934">
        <f>SUM(H19:H27)</f>
        <v>243635</v>
      </c>
      <c r="I28" s="934">
        <f>SUM(I19:I27)</f>
        <v>365533</v>
      </c>
      <c r="J28" s="2523">
        <f>SUM(J19:J27)</f>
        <v>52022962.859999999</v>
      </c>
    </row>
    <row r="29" spans="1:10">
      <c r="A29" s="2506"/>
      <c r="B29" s="2508"/>
      <c r="C29" s="2508"/>
      <c r="D29" s="2508"/>
      <c r="E29" s="881"/>
      <c r="F29" s="881"/>
      <c r="G29" s="881"/>
      <c r="H29" s="881"/>
      <c r="I29" s="881"/>
      <c r="J29" s="2524"/>
    </row>
    <row r="30" spans="1:10">
      <c r="A30" s="2506"/>
      <c r="B30" s="2507" t="s">
        <v>716</v>
      </c>
      <c r="C30" s="2507" t="s">
        <v>717</v>
      </c>
      <c r="D30" s="2508"/>
      <c r="E30" s="881"/>
      <c r="F30" s="2502">
        <f>'Kas B PPK'!F12+'Kas B PNPM-MPd'!F12+'Kas B PNPM-TP GEMPA'!F12+'Kas B GSC'!F12+'Kas B PASCA KRISIS'!F12+'Kas UEP'!F12+'Kas SPP'!F12+'Kas OP-UPK'!J11</f>
        <v>31358300</v>
      </c>
      <c r="G30" s="930">
        <f>'Kas B PPK'!F13+'Kas B PNPM-MPd'!F13+'Kas B PNPM-TP GEMPA'!F13+'Kas B GSC'!F13+'Kas B PASCA KRISIS'!F13+'Kas UEP'!F13+'Kas SPP'!F13+'Kas OP-UPK'!J12</f>
        <v>0</v>
      </c>
      <c r="H30" s="930">
        <f>'Kas B PPK'!F44+'Kas B PNPM-MPd'!F25+'Kas B PNPM-TP GEMPA'!F44+'Kas B GSC'!F44+'Kas B PASCA KRISIS'!F44+'Kas UEP'!F40+'Kas SPP'!F365+'Kas OP-UPK'!J88</f>
        <v>0</v>
      </c>
      <c r="I30" s="879">
        <f>SUM(G30:H30)</f>
        <v>0</v>
      </c>
      <c r="J30" s="2525">
        <f>F30+I30</f>
        <v>31358300</v>
      </c>
    </row>
    <row r="31" spans="1:10">
      <c r="A31" s="2506"/>
      <c r="B31" s="2507"/>
      <c r="C31" s="2507"/>
      <c r="D31" s="2508"/>
      <c r="E31" s="881"/>
      <c r="F31" s="760"/>
      <c r="G31" s="760"/>
      <c r="H31" s="760"/>
      <c r="I31" s="760"/>
      <c r="J31" s="2526"/>
    </row>
    <row r="32" spans="1:10">
      <c r="A32" s="3631" t="s">
        <v>134</v>
      </c>
      <c r="B32" s="3632"/>
      <c r="C32" s="3632"/>
      <c r="D32" s="3632"/>
      <c r="E32" s="3633"/>
      <c r="F32" s="933">
        <f>F16+F28+F30</f>
        <v>4188956829.8600001</v>
      </c>
      <c r="G32" s="933">
        <f>G16+G28+G30</f>
        <v>102522398</v>
      </c>
      <c r="H32" s="933">
        <f>H16+H28+H30</f>
        <v>97666635</v>
      </c>
      <c r="I32" s="933">
        <f>I16+I28+I30</f>
        <v>200189033</v>
      </c>
      <c r="J32" s="2527">
        <f>J16+J28+J30</f>
        <v>4389145862.8599997</v>
      </c>
    </row>
    <row r="33" spans="1:10">
      <c r="A33" s="2515"/>
      <c r="B33" s="762"/>
      <c r="C33" s="762"/>
      <c r="D33" s="762"/>
      <c r="E33" s="2503"/>
      <c r="F33" s="2503"/>
      <c r="G33" s="758"/>
      <c r="H33" s="758"/>
      <c r="I33" s="758"/>
      <c r="J33" s="2528"/>
    </row>
    <row r="34" spans="1:10">
      <c r="A34" s="2516" t="s">
        <v>718</v>
      </c>
      <c r="B34" s="755" t="s">
        <v>135</v>
      </c>
      <c r="C34" s="755"/>
      <c r="D34" s="755"/>
      <c r="E34" s="2498"/>
      <c r="F34" s="2499"/>
      <c r="G34" s="757"/>
      <c r="H34" s="757"/>
      <c r="I34" s="757"/>
      <c r="J34" s="2521"/>
    </row>
    <row r="35" spans="1:10">
      <c r="A35" s="2512"/>
      <c r="B35" s="755" t="s">
        <v>707</v>
      </c>
      <c r="C35" s="755" t="s">
        <v>136</v>
      </c>
      <c r="D35" s="756"/>
      <c r="E35" s="2499"/>
      <c r="F35" s="2499"/>
      <c r="G35" s="757"/>
      <c r="H35" s="757"/>
      <c r="I35" s="757"/>
      <c r="J35" s="2521"/>
    </row>
    <row r="36" spans="1:10">
      <c r="A36" s="2512"/>
      <c r="B36" s="756"/>
      <c r="C36" s="756"/>
      <c r="D36" s="756" t="s">
        <v>719</v>
      </c>
      <c r="E36" s="2499"/>
      <c r="F36" s="2499">
        <f>'Kas OP-UPK'!L11</f>
        <v>464886000</v>
      </c>
      <c r="G36" s="757">
        <f>'Kas OP-UPK'!L12</f>
        <v>9200000</v>
      </c>
      <c r="H36" s="757">
        <f>'Kas OP-UPK'!L88</f>
        <v>0</v>
      </c>
      <c r="I36" s="877">
        <f t="shared" ref="I36:I41" si="2">SUM(G36:H36)</f>
        <v>9200000</v>
      </c>
      <c r="J36" s="2482">
        <f t="shared" ref="J36:J41" si="3">F36+I36</f>
        <v>474086000</v>
      </c>
    </row>
    <row r="37" spans="1:10">
      <c r="A37" s="2512"/>
      <c r="B37" s="756"/>
      <c r="C37" s="756"/>
      <c r="D37" s="756" t="s">
        <v>720</v>
      </c>
      <c r="E37" s="2499"/>
      <c r="F37" s="2499">
        <f>'Kas OP-UPK'!M11</f>
        <v>136093179</v>
      </c>
      <c r="G37" s="757">
        <f>'Kas OP-UPK'!M12</f>
        <v>1767700</v>
      </c>
      <c r="H37" s="757">
        <f>'Kas OP-UPK'!M88</f>
        <v>1419500</v>
      </c>
      <c r="I37" s="877">
        <f t="shared" si="2"/>
        <v>3187200</v>
      </c>
      <c r="J37" s="2482">
        <f t="shared" si="3"/>
        <v>139280379</v>
      </c>
    </row>
    <row r="38" spans="1:10">
      <c r="A38" s="2512"/>
      <c r="B38" s="756"/>
      <c r="C38" s="756"/>
      <c r="D38" s="756" t="s">
        <v>721</v>
      </c>
      <c r="E38" s="2499"/>
      <c r="F38" s="2499">
        <f>'Kas OP-UPK'!N11</f>
        <v>20549000</v>
      </c>
      <c r="G38" s="757">
        <f>'Kas OP-UPK'!N12</f>
        <v>50000</v>
      </c>
      <c r="H38" s="757">
        <f>'Kas OP-UPK'!N88</f>
        <v>150000</v>
      </c>
      <c r="I38" s="877">
        <f t="shared" si="2"/>
        <v>200000</v>
      </c>
      <c r="J38" s="2482">
        <f t="shared" si="3"/>
        <v>20749000</v>
      </c>
    </row>
    <row r="39" spans="1:10">
      <c r="A39" s="2512"/>
      <c r="B39" s="756"/>
      <c r="C39" s="756"/>
      <c r="D39" s="756" t="s">
        <v>722</v>
      </c>
      <c r="E39" s="2499"/>
      <c r="F39" s="2499">
        <f>BDD!J28</f>
        <v>3600000</v>
      </c>
      <c r="G39" s="757">
        <f>BDD!K28</f>
        <v>0</v>
      </c>
      <c r="H39" s="757">
        <f>BDD!L28</f>
        <v>0</v>
      </c>
      <c r="I39" s="877">
        <f t="shared" si="2"/>
        <v>0</v>
      </c>
      <c r="J39" s="2482">
        <f t="shared" si="3"/>
        <v>3600000</v>
      </c>
    </row>
    <row r="40" spans="1:10">
      <c r="A40" s="2512"/>
      <c r="B40" s="756"/>
      <c r="C40" s="756"/>
      <c r="D40" s="756" t="s">
        <v>723</v>
      </c>
      <c r="E40" s="2499"/>
      <c r="F40" s="2499">
        <f>Inventaris!Q73</f>
        <v>78989893.61111109</v>
      </c>
      <c r="G40" s="757">
        <f>Inventaris!R73</f>
        <v>6.9849193096160889E-10</v>
      </c>
      <c r="H40" s="757">
        <f>Inventaris!S73</f>
        <v>1016955.0000000001</v>
      </c>
      <c r="I40" s="877">
        <f t="shared" si="2"/>
        <v>1016955.0000000008</v>
      </c>
      <c r="J40" s="2482">
        <f t="shared" si="3"/>
        <v>80006848.61111109</v>
      </c>
    </row>
    <row r="41" spans="1:10">
      <c r="A41" s="2513"/>
      <c r="B41" s="2514"/>
      <c r="C41" s="2514"/>
      <c r="D41" s="2514" t="s">
        <v>724</v>
      </c>
      <c r="E41" s="760"/>
      <c r="F41" s="2499">
        <f>SUM('Kas OP-UPK'!R11:W11)</f>
        <v>426384675</v>
      </c>
      <c r="G41" s="757">
        <f>SUM('Kas OP-UPK'!R12:W12)</f>
        <v>14397400</v>
      </c>
      <c r="H41" s="757">
        <f>SUM('Kas OP-UPK'!R88:W88)</f>
        <v>5479200</v>
      </c>
      <c r="I41" s="877">
        <f t="shared" si="2"/>
        <v>19876600</v>
      </c>
      <c r="J41" s="2482">
        <f t="shared" si="3"/>
        <v>446261275</v>
      </c>
    </row>
    <row r="42" spans="1:10">
      <c r="A42" s="2506"/>
      <c r="B42" s="2508"/>
      <c r="C42" s="2508"/>
      <c r="D42" s="2508"/>
      <c r="E42" s="2504" t="s">
        <v>725</v>
      </c>
      <c r="F42" s="2500">
        <f>SUM(F36:F41)</f>
        <v>1130502747.6111112</v>
      </c>
      <c r="G42" s="932">
        <f>SUM(G36:G41)</f>
        <v>25415100</v>
      </c>
      <c r="H42" s="932">
        <f>SUM(H36:H41)</f>
        <v>8065655</v>
      </c>
      <c r="I42" s="932">
        <f>SUM(I36:I41)</f>
        <v>33480755</v>
      </c>
      <c r="J42" s="2522">
        <f>SUM(J36:J41)</f>
        <v>1163983502.6111112</v>
      </c>
    </row>
    <row r="43" spans="1:10">
      <c r="A43" s="2506"/>
      <c r="B43" s="2508"/>
      <c r="C43" s="2508"/>
      <c r="D43" s="2508"/>
      <c r="E43" s="881"/>
      <c r="F43" s="2499"/>
      <c r="G43" s="757"/>
      <c r="H43" s="757"/>
      <c r="I43" s="757"/>
      <c r="J43" s="2521"/>
    </row>
    <row r="44" spans="1:10">
      <c r="A44" s="2506"/>
      <c r="B44" s="2507" t="s">
        <v>711</v>
      </c>
      <c r="C44" s="2507" t="s">
        <v>144</v>
      </c>
      <c r="D44" s="2507"/>
      <c r="E44" s="2504"/>
      <c r="F44" s="2504"/>
      <c r="G44" s="759"/>
      <c r="H44" s="759"/>
      <c r="I44" s="878">
        <f>SUM(G44:H44)</f>
        <v>0</v>
      </c>
      <c r="J44" s="2529">
        <f>F44+I44</f>
        <v>0</v>
      </c>
    </row>
    <row r="45" spans="1:10">
      <c r="A45" s="2515"/>
      <c r="B45" s="762"/>
      <c r="C45" s="762"/>
      <c r="D45" s="762"/>
      <c r="E45" s="2503"/>
      <c r="F45" s="2499"/>
      <c r="G45" s="757"/>
      <c r="H45" s="757"/>
      <c r="I45" s="757"/>
      <c r="J45" s="2521"/>
    </row>
    <row r="46" spans="1:10">
      <c r="A46" s="2512"/>
      <c r="B46" s="755" t="s">
        <v>716</v>
      </c>
      <c r="C46" s="755" t="s">
        <v>145</v>
      </c>
      <c r="D46" s="756"/>
      <c r="E46" s="2499"/>
      <c r="F46" s="2499"/>
      <c r="G46" s="757"/>
      <c r="H46" s="757"/>
      <c r="I46" s="757"/>
      <c r="J46" s="2521"/>
    </row>
    <row r="47" spans="1:10">
      <c r="A47" s="2512"/>
      <c r="B47" s="756"/>
      <c r="C47" s="756"/>
      <c r="D47" s="756" t="s">
        <v>873</v>
      </c>
      <c r="E47" s="2499"/>
      <c r="F47" s="2499">
        <f>'Bank B PPK'!J11</f>
        <v>0</v>
      </c>
      <c r="G47" s="757">
        <f>'Bank B PPK'!J12</f>
        <v>0</v>
      </c>
      <c r="H47" s="757">
        <f>'Bank B PPK'!J28</f>
        <v>0</v>
      </c>
      <c r="I47" s="877">
        <f>SUM(G47:H47)</f>
        <v>0</v>
      </c>
      <c r="J47" s="2482">
        <f>F47+I47</f>
        <v>0</v>
      </c>
    </row>
    <row r="48" spans="1:10">
      <c r="A48" s="2512"/>
      <c r="B48" s="756"/>
      <c r="C48" s="756"/>
      <c r="D48" s="756" t="s">
        <v>874</v>
      </c>
      <c r="E48" s="2499"/>
      <c r="F48" s="2499">
        <f>'Bank B PNPM-MPd'!J11</f>
        <v>3134088</v>
      </c>
      <c r="G48" s="757">
        <f>'Bank B PNPM-MPd'!J12</f>
        <v>0</v>
      </c>
      <c r="H48" s="757">
        <f>'Bank B PNPM-MPd'!J34</f>
        <v>0</v>
      </c>
      <c r="I48" s="877">
        <f t="shared" ref="I48:I64" si="4">SUM(G48:H48)</f>
        <v>0</v>
      </c>
      <c r="J48" s="2482">
        <f t="shared" ref="J48:J64" si="5">F48+I48</f>
        <v>3134088</v>
      </c>
    </row>
    <row r="49" spans="1:10">
      <c r="A49" s="2512"/>
      <c r="B49" s="756"/>
      <c r="C49" s="756"/>
      <c r="D49" s="756" t="s">
        <v>875</v>
      </c>
      <c r="E49" s="2499"/>
      <c r="F49" s="2499">
        <f>'Bank B GSC'!J11</f>
        <v>0</v>
      </c>
      <c r="G49" s="757">
        <f>'Bank B GSC'!J12</f>
        <v>0</v>
      </c>
      <c r="H49" s="757">
        <f>'Bank B GSC'!J28</f>
        <v>0</v>
      </c>
      <c r="I49" s="877">
        <f t="shared" si="4"/>
        <v>0</v>
      </c>
      <c r="J49" s="2482">
        <f t="shared" si="5"/>
        <v>0</v>
      </c>
    </row>
    <row r="50" spans="1:10">
      <c r="A50" s="2512"/>
      <c r="B50" s="756"/>
      <c r="C50" s="756"/>
      <c r="D50" s="756" t="s">
        <v>876</v>
      </c>
      <c r="E50" s="2499"/>
      <c r="F50" s="2499">
        <f>'Bank B PNPM-TP GEMPA'!I11</f>
        <v>62447</v>
      </c>
      <c r="G50" s="757">
        <f>'Bank B PNPM-TP GEMPA'!I12</f>
        <v>0</v>
      </c>
      <c r="H50" s="757">
        <f>'Bank B PNPM-TP GEMPA'!I28</f>
        <v>0</v>
      </c>
      <c r="I50" s="877">
        <f t="shared" si="4"/>
        <v>0</v>
      </c>
      <c r="J50" s="2482">
        <f t="shared" si="5"/>
        <v>62447</v>
      </c>
    </row>
    <row r="51" spans="1:10">
      <c r="A51" s="2512"/>
      <c r="B51" s="756"/>
      <c r="C51" s="756"/>
      <c r="D51" s="756" t="s">
        <v>877</v>
      </c>
      <c r="E51" s="2499"/>
      <c r="F51" s="2499">
        <f>'Bank B PASCA KRISIS'!I11</f>
        <v>0</v>
      </c>
      <c r="G51" s="757">
        <f>'Bank B PASCA KRISIS'!I12</f>
        <v>0</v>
      </c>
      <c r="H51" s="757">
        <f>'Bank B PASCA KRISIS'!I28</f>
        <v>0</v>
      </c>
      <c r="I51" s="877">
        <f t="shared" si="4"/>
        <v>0</v>
      </c>
      <c r="J51" s="2482">
        <f t="shared" si="5"/>
        <v>0</v>
      </c>
    </row>
    <row r="52" spans="1:10">
      <c r="A52" s="2512"/>
      <c r="B52" s="756"/>
      <c r="C52" s="756"/>
      <c r="D52" s="756" t="s">
        <v>726</v>
      </c>
      <c r="E52" s="2499"/>
      <c r="F52" s="2499">
        <f>'Bank OP-UPK'!I11</f>
        <v>388386</v>
      </c>
      <c r="G52" s="757">
        <f>'Bank OP-UPK'!I12</f>
        <v>0</v>
      </c>
      <c r="H52" s="757">
        <f>'Bank OP-UPK'!I30</f>
        <v>1936</v>
      </c>
      <c r="I52" s="877">
        <f t="shared" si="4"/>
        <v>1936</v>
      </c>
      <c r="J52" s="2482">
        <f t="shared" si="5"/>
        <v>390322</v>
      </c>
    </row>
    <row r="53" spans="1:10">
      <c r="A53" s="2512"/>
      <c r="B53" s="756"/>
      <c r="C53" s="756"/>
      <c r="D53" s="756" t="s">
        <v>727</v>
      </c>
      <c r="E53" s="2499"/>
      <c r="F53" s="2499">
        <f>'Bank UEP'!I11</f>
        <v>0</v>
      </c>
      <c r="G53" s="757">
        <f>'Bank UEP'!I12</f>
        <v>0</v>
      </c>
      <c r="H53" s="757">
        <f>'Bank UEP'!I28</f>
        <v>0</v>
      </c>
      <c r="I53" s="877">
        <f t="shared" si="4"/>
        <v>0</v>
      </c>
      <c r="J53" s="2482">
        <f t="shared" si="5"/>
        <v>0</v>
      </c>
    </row>
    <row r="54" spans="1:10">
      <c r="A54" s="2512"/>
      <c r="B54" s="756"/>
      <c r="C54" s="756"/>
      <c r="D54" s="756" t="s">
        <v>1295</v>
      </c>
      <c r="E54" s="2499"/>
      <c r="F54" s="2499">
        <f>'Bank SPP'!I11</f>
        <v>6424006</v>
      </c>
      <c r="G54" s="757">
        <f>'Bank SPP'!I12</f>
        <v>23517</v>
      </c>
      <c r="H54" s="757">
        <f>'Bank SPP'!I52</f>
        <v>46790</v>
      </c>
      <c r="I54" s="877">
        <f t="shared" si="4"/>
        <v>70307</v>
      </c>
      <c r="J54" s="2482">
        <f t="shared" si="5"/>
        <v>6494313</v>
      </c>
    </row>
    <row r="55" spans="1:10">
      <c r="A55" s="2512"/>
      <c r="B55" s="756"/>
      <c r="C55" s="756"/>
      <c r="D55" s="756" t="s">
        <v>1739</v>
      </c>
      <c r="E55" s="2499"/>
      <c r="F55" s="2499">
        <f>'Bank SPP Pihak ke-3'!I11</f>
        <v>0</v>
      </c>
      <c r="G55" s="757">
        <f>'Bank SPP Pihak ke-3'!I12</f>
        <v>0</v>
      </c>
      <c r="H55" s="757">
        <f>'Bank SPP Pihak ke-3'!I28</f>
        <v>0</v>
      </c>
      <c r="I55" s="877">
        <f t="shared" si="4"/>
        <v>0</v>
      </c>
      <c r="J55" s="2482">
        <f t="shared" si="5"/>
        <v>0</v>
      </c>
    </row>
    <row r="56" spans="1:10">
      <c r="A56" s="2512"/>
      <c r="B56" s="756"/>
      <c r="C56" s="756"/>
      <c r="D56" s="756" t="s">
        <v>878</v>
      </c>
      <c r="E56" s="2499"/>
      <c r="F56" s="2499">
        <f>'Bank B PPK'!K11</f>
        <v>0</v>
      </c>
      <c r="G56" s="757">
        <f>'Bank B PPK'!K12</f>
        <v>0</v>
      </c>
      <c r="H56" s="757">
        <f>'Bank B PPK'!K28</f>
        <v>0</v>
      </c>
      <c r="I56" s="877">
        <f t="shared" si="4"/>
        <v>0</v>
      </c>
      <c r="J56" s="2482">
        <f t="shared" si="5"/>
        <v>0</v>
      </c>
    </row>
    <row r="57" spans="1:10">
      <c r="A57" s="2512"/>
      <c r="B57" s="756"/>
      <c r="C57" s="756"/>
      <c r="D57" s="756" t="s">
        <v>879</v>
      </c>
      <c r="E57" s="2499"/>
      <c r="F57" s="2499">
        <f>'Bank B PNPM-MPd'!K11</f>
        <v>419622</v>
      </c>
      <c r="G57" s="757">
        <f>'Bank B PNPM-MPd'!K12</f>
        <v>0</v>
      </c>
      <c r="H57" s="757">
        <f>'Bank B PNPM-MPd'!K34</f>
        <v>0</v>
      </c>
      <c r="I57" s="877">
        <f t="shared" si="4"/>
        <v>0</v>
      </c>
      <c r="J57" s="2482">
        <f t="shared" si="5"/>
        <v>419622</v>
      </c>
    </row>
    <row r="58" spans="1:10">
      <c r="A58" s="2512"/>
      <c r="B58" s="756"/>
      <c r="C58" s="756"/>
      <c r="D58" s="756" t="s">
        <v>880</v>
      </c>
      <c r="E58" s="2499"/>
      <c r="F58" s="2499">
        <f>'Bank B GSC'!K11</f>
        <v>0</v>
      </c>
      <c r="G58" s="757">
        <f>'Bank B GSC'!K12</f>
        <v>0</v>
      </c>
      <c r="H58" s="757">
        <f>'Bank B GSC'!K28</f>
        <v>0</v>
      </c>
      <c r="I58" s="877">
        <f t="shared" si="4"/>
        <v>0</v>
      </c>
      <c r="J58" s="2482">
        <f t="shared" si="5"/>
        <v>0</v>
      </c>
    </row>
    <row r="59" spans="1:10">
      <c r="A59" s="2512"/>
      <c r="B59" s="756"/>
      <c r="C59" s="756"/>
      <c r="D59" s="756" t="s">
        <v>881</v>
      </c>
      <c r="E59" s="2499"/>
      <c r="F59" s="2499">
        <f>'Bank B PNPM-TP GEMPA'!J11</f>
        <v>241500</v>
      </c>
      <c r="G59" s="757">
        <f>'Bank B PNPM-TP GEMPA'!J12</f>
        <v>0</v>
      </c>
      <c r="H59" s="757">
        <f>'Bank B PNPM-TP GEMPA'!J28</f>
        <v>0</v>
      </c>
      <c r="I59" s="877">
        <f t="shared" si="4"/>
        <v>0</v>
      </c>
      <c r="J59" s="2482">
        <f t="shared" si="5"/>
        <v>241500</v>
      </c>
    </row>
    <row r="60" spans="1:10">
      <c r="A60" s="2512"/>
      <c r="B60" s="756"/>
      <c r="C60" s="756"/>
      <c r="D60" s="756" t="s">
        <v>882</v>
      </c>
      <c r="E60" s="2499"/>
      <c r="F60" s="2499">
        <f>'Bank B PASCA KRISIS'!J11</f>
        <v>0</v>
      </c>
      <c r="G60" s="757">
        <f>'Bank B PASCA KRISIS'!J12</f>
        <v>0</v>
      </c>
      <c r="H60" s="757">
        <f>'Bank B PASCA KRISIS'!J28</f>
        <v>0</v>
      </c>
      <c r="I60" s="877">
        <f t="shared" si="4"/>
        <v>0</v>
      </c>
      <c r="J60" s="2482">
        <f t="shared" si="5"/>
        <v>0</v>
      </c>
    </row>
    <row r="61" spans="1:10">
      <c r="A61" s="2512"/>
      <c r="B61" s="756"/>
      <c r="C61" s="756"/>
      <c r="D61" s="756" t="s">
        <v>728</v>
      </c>
      <c r="E61" s="2499"/>
      <c r="F61" s="2499">
        <f>'Bank OP-UPK'!J11</f>
        <v>455695</v>
      </c>
      <c r="G61" s="757">
        <f>'Bank OP-UPK'!J12</f>
        <v>5000</v>
      </c>
      <c r="H61" s="757">
        <f>'Bank OP-UPK'!J30</f>
        <v>5000</v>
      </c>
      <c r="I61" s="877">
        <f t="shared" si="4"/>
        <v>10000</v>
      </c>
      <c r="J61" s="2482">
        <f t="shared" si="5"/>
        <v>465695</v>
      </c>
    </row>
    <row r="62" spans="1:10">
      <c r="A62" s="2512"/>
      <c r="B62" s="756"/>
      <c r="C62" s="756"/>
      <c r="D62" s="756" t="s">
        <v>729</v>
      </c>
      <c r="E62" s="2499"/>
      <c r="F62" s="2499">
        <f>'Bank UEP'!J11</f>
        <v>0</v>
      </c>
      <c r="G62" s="757">
        <f>'Bank UEP'!J12</f>
        <v>0</v>
      </c>
      <c r="H62" s="757">
        <f>'Bank UEP'!J28</f>
        <v>0</v>
      </c>
      <c r="I62" s="877">
        <f t="shared" si="4"/>
        <v>0</v>
      </c>
      <c r="J62" s="2482">
        <f t="shared" si="5"/>
        <v>0</v>
      </c>
    </row>
    <row r="63" spans="1:10">
      <c r="A63" s="2512"/>
      <c r="B63" s="756"/>
      <c r="C63" s="756"/>
      <c r="D63" s="756" t="s">
        <v>730</v>
      </c>
      <c r="E63" s="2499"/>
      <c r="F63" s="2499">
        <f>'Bank SPP'!J11</f>
        <v>488739</v>
      </c>
      <c r="G63" s="757">
        <f>'Bank SPP'!J12</f>
        <v>7000</v>
      </c>
      <c r="H63" s="757">
        <f>'Bank SPP'!J52</f>
        <v>7000</v>
      </c>
      <c r="I63" s="877">
        <f t="shared" si="4"/>
        <v>14000</v>
      </c>
      <c r="J63" s="2482">
        <f t="shared" si="5"/>
        <v>502739</v>
      </c>
    </row>
    <row r="64" spans="1:10">
      <c r="A64" s="2512"/>
      <c r="B64" s="756"/>
      <c r="C64" s="756"/>
      <c r="D64" s="756" t="s">
        <v>1740</v>
      </c>
      <c r="E64" s="2499"/>
      <c r="F64" s="2499">
        <f>'Bank SPP Pihak ke-3'!J11</f>
        <v>0</v>
      </c>
      <c r="G64" s="757">
        <f>'Bank SPP Pihak ke-3'!J12</f>
        <v>0</v>
      </c>
      <c r="H64" s="757">
        <f>'Bank SPP Pihak ke-3'!J28</f>
        <v>0</v>
      </c>
      <c r="I64" s="877">
        <f t="shared" si="4"/>
        <v>0</v>
      </c>
      <c r="J64" s="2482">
        <f t="shared" si="5"/>
        <v>0</v>
      </c>
    </row>
    <row r="65" spans="1:10">
      <c r="A65" s="2513"/>
      <c r="B65" s="2514"/>
      <c r="C65" s="2514"/>
      <c r="D65" s="2514" t="s">
        <v>731</v>
      </c>
      <c r="E65" s="760"/>
      <c r="F65" s="2499">
        <f>'Kas B PPK'!P12+'Kas B PNPM-MPd'!O12+'Kas B GSC'!M12+'Kas B PNPM-TP GEMPA'!P12+'Kas B PASCA KRISIS'!P12+Inventaris!N73+'Kas OP-UPK'!AB11</f>
        <v>12519325</v>
      </c>
      <c r="G65" s="757">
        <f>'Kas B PPK'!P13+'Kas B PNPM-MPd'!O13+'Kas B GSC'!M13+'Kas B PNPM-TP GEMPA'!P13+'Kas B PASCA KRISIS'!P13+Inventaris!O73</f>
        <v>0</v>
      </c>
      <c r="H65" s="757">
        <f>'Kas B PPK'!P44+'Kas B PNPM-MPd'!O25+'Kas B GSC'!M44+'Kas B PNPM-TP GEMPA'!P44+'Kas B PASCA KRISIS'!P44+Inventaris!P73+'Kas OP-UPK'!AB89</f>
        <v>0</v>
      </c>
      <c r="I65" s="877">
        <f>SUM(G65:H65)</f>
        <v>0</v>
      </c>
      <c r="J65" s="2482">
        <f>F65+I65</f>
        <v>12519325</v>
      </c>
    </row>
    <row r="66" spans="1:10">
      <c r="A66" s="2506"/>
      <c r="B66" s="2508"/>
      <c r="C66" s="2508"/>
      <c r="D66" s="2508"/>
      <c r="E66" s="2504" t="s">
        <v>732</v>
      </c>
      <c r="F66" s="2500">
        <f>SUM(F47:F65)</f>
        <v>24133808</v>
      </c>
      <c r="G66" s="932">
        <f>SUM(G47:G65)</f>
        <v>35517</v>
      </c>
      <c r="H66" s="932">
        <f>SUM(H47:H65)</f>
        <v>60726</v>
      </c>
      <c r="I66" s="932">
        <f>SUM(I47:I65)</f>
        <v>96243</v>
      </c>
      <c r="J66" s="2522">
        <f>SUM(J47:J65)</f>
        <v>24230051</v>
      </c>
    </row>
    <row r="67" spans="1:10">
      <c r="A67" s="2517"/>
      <c r="B67" s="2518"/>
      <c r="C67" s="2518"/>
      <c r="D67" s="2518"/>
      <c r="E67" s="2519"/>
      <c r="F67" s="2499"/>
      <c r="G67" s="757"/>
      <c r="H67" s="757"/>
      <c r="I67" s="757"/>
      <c r="J67" s="2521"/>
    </row>
    <row r="68" spans="1:10">
      <c r="A68" s="3617" t="s">
        <v>149</v>
      </c>
      <c r="B68" s="3618"/>
      <c r="C68" s="3618"/>
      <c r="D68" s="3618"/>
      <c r="E68" s="3619"/>
      <c r="F68" s="2505">
        <f>F42+F44+F66</f>
        <v>1154636555.6111112</v>
      </c>
      <c r="G68" s="931">
        <f>G42+G44+G66</f>
        <v>25450617</v>
      </c>
      <c r="H68" s="931">
        <f>H42+H44+H66</f>
        <v>8126381</v>
      </c>
      <c r="I68" s="931">
        <f>I42+I44+I66</f>
        <v>33576998</v>
      </c>
      <c r="J68" s="2530">
        <f>J42+J44+J66</f>
        <v>1188213553.6111112</v>
      </c>
    </row>
    <row r="69" spans="1:10" ht="16.5" thickBot="1">
      <c r="A69" s="3617" t="s">
        <v>733</v>
      </c>
      <c r="B69" s="3618"/>
      <c r="C69" s="3618"/>
      <c r="D69" s="3618"/>
      <c r="E69" s="3619"/>
      <c r="F69" s="2505">
        <f>F32-F68</f>
        <v>3034320274.248889</v>
      </c>
      <c r="G69" s="2532">
        <f>G32-G68</f>
        <v>77071781</v>
      </c>
      <c r="H69" s="2532">
        <f>H32-H68</f>
        <v>89540254</v>
      </c>
      <c r="I69" s="2532">
        <f>I32-I68</f>
        <v>166612035</v>
      </c>
      <c r="J69" s="2533">
        <f>J32-J68</f>
        <v>3200932309.2488885</v>
      </c>
    </row>
    <row r="70" spans="1:10">
      <c r="A70" s="3617" t="s">
        <v>549</v>
      </c>
      <c r="B70" s="3618"/>
      <c r="C70" s="3618"/>
      <c r="D70" s="3618"/>
      <c r="E70" s="3619"/>
      <c r="F70" s="2534">
        <f>'R-L Microfinance'!D57</f>
        <v>545733500</v>
      </c>
    </row>
    <row r="71" spans="1:10" ht="16.5" thickBot="1">
      <c r="A71" s="3620" t="s">
        <v>550</v>
      </c>
      <c r="B71" s="3621"/>
      <c r="C71" s="3621"/>
      <c r="D71" s="3621"/>
      <c r="E71" s="3622"/>
      <c r="F71" s="2535">
        <f>F69-F70</f>
        <v>2488586774.248889</v>
      </c>
    </row>
  </sheetData>
  <sheetProtection formatColumns="0" formatRows="0"/>
  <protectedRanges>
    <protectedRange sqref="F44:H44" name="Range1"/>
  </protectedRanges>
  <mergeCells count="12">
    <mergeCell ref="A70:E70"/>
    <mergeCell ref="A71:E71"/>
    <mergeCell ref="A1:J1"/>
    <mergeCell ref="A2:J2"/>
    <mergeCell ref="A3:J3"/>
    <mergeCell ref="A9:E10"/>
    <mergeCell ref="F9:F10"/>
    <mergeCell ref="G9:I9"/>
    <mergeCell ref="J9:J10"/>
    <mergeCell ref="A32:E32"/>
    <mergeCell ref="A68:E68"/>
    <mergeCell ref="A69:E69"/>
  </mergeCells>
  <printOptions horizontalCentered="1"/>
  <pageMargins left="0.23622047244094491" right="0.23622047244094491" top="0.23622047244094491" bottom="0.23622047244094491" header="0.31496062992125984" footer="0.31496062992125984"/>
  <pageSetup paperSize="9" scale="68" orientation="portrait" horizontalDpi="4294967293" verticalDpi="4294967293" r:id="rId1"/>
  <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rgb="FF92D050"/>
  </sheetPr>
  <dimension ref="A1:H71"/>
  <sheetViews>
    <sheetView zoomScale="85" zoomScaleNormal="85" zoomScaleSheetLayoutView="40" workbookViewId="0">
      <selection activeCell="G13" sqref="G13"/>
    </sheetView>
  </sheetViews>
  <sheetFormatPr defaultColWidth="9.140625" defaultRowHeight="15.75"/>
  <cols>
    <col min="1" max="2" width="3.85546875" style="751" customWidth="1"/>
    <col min="3" max="3" width="40.28515625" style="751" customWidth="1"/>
    <col min="4" max="4" width="20.5703125" style="751" customWidth="1"/>
    <col min="5" max="5" width="3.85546875" style="751" customWidth="1"/>
    <col min="6" max="6" width="40.28515625" style="751" customWidth="1"/>
    <col min="7" max="7" width="20.5703125" style="751" customWidth="1"/>
    <col min="8" max="8" width="16.85546875" style="1272" bestFit="1" customWidth="1"/>
    <col min="9" max="16384" width="9.140625" style="766"/>
  </cols>
  <sheetData>
    <row r="1" spans="1:7" ht="23.25">
      <c r="A1" s="3614" t="s">
        <v>704</v>
      </c>
      <c r="B1" s="3614"/>
      <c r="C1" s="3614"/>
      <c r="D1" s="3614"/>
      <c r="E1" s="3614"/>
      <c r="F1" s="3614"/>
      <c r="G1" s="3614"/>
    </row>
    <row r="2" spans="1:7" ht="18">
      <c r="A2" s="3595" t="s">
        <v>734</v>
      </c>
      <c r="B2" s="3595"/>
      <c r="C2" s="3595"/>
      <c r="D2" s="3595"/>
      <c r="E2" s="3595"/>
      <c r="F2" s="3595"/>
      <c r="G2" s="3595"/>
    </row>
    <row r="3" spans="1:7" ht="20.25">
      <c r="A3" s="3610" t="s">
        <v>735</v>
      </c>
      <c r="B3" s="3610"/>
      <c r="C3" s="3610"/>
      <c r="D3" s="3610"/>
      <c r="E3" s="3610"/>
      <c r="F3" s="3610"/>
      <c r="G3" s="3610"/>
    </row>
    <row r="4" spans="1:7" ht="16.5" customHeight="1">
      <c r="A4" s="1273"/>
      <c r="B4" s="1273"/>
      <c r="C4" s="1273"/>
      <c r="D4" s="1273"/>
      <c r="E4" s="1273"/>
      <c r="F4" s="1273"/>
      <c r="G4" s="1273"/>
    </row>
    <row r="5" spans="1:7">
      <c r="A5" s="1273"/>
      <c r="B5" s="1273"/>
      <c r="C5" s="917" t="s">
        <v>86</v>
      </c>
      <c r="D5" s="4" t="str">
        <f>": "&amp;DT!D3</f>
        <v>: Nagrak</v>
      </c>
      <c r="E5" s="1273"/>
      <c r="F5" s="1273"/>
      <c r="G5" s="1273"/>
    </row>
    <row r="6" spans="1:7">
      <c r="A6" s="1273"/>
      <c r="B6" s="1273"/>
      <c r="C6" s="917" t="s">
        <v>87</v>
      </c>
      <c r="D6" s="4" t="str">
        <f>": "&amp;DT!D4</f>
        <v>: Sukabumi</v>
      </c>
      <c r="E6" s="1273"/>
      <c r="F6" s="1273"/>
      <c r="G6" s="1273"/>
    </row>
    <row r="7" spans="1:7">
      <c r="A7" s="1274"/>
      <c r="B7" s="1274"/>
      <c r="C7" s="917" t="s">
        <v>88</v>
      </c>
      <c r="D7" s="4" t="str">
        <f>": "&amp;DT!D5</f>
        <v>: Jawa Barat</v>
      </c>
      <c r="E7" s="1274"/>
      <c r="F7" s="1274"/>
      <c r="G7" s="1274"/>
    </row>
    <row r="8" spans="1:7" ht="16.5" customHeight="1">
      <c r="A8" s="1275"/>
      <c r="B8" s="1276"/>
      <c r="C8" s="1276"/>
      <c r="D8" s="1276"/>
      <c r="E8" s="1276"/>
      <c r="F8" s="1277"/>
      <c r="G8" s="1274"/>
    </row>
    <row r="9" spans="1:7" ht="24" customHeight="1">
      <c r="A9" s="3635" t="s">
        <v>89</v>
      </c>
      <c r="B9" s="3635"/>
      <c r="C9" s="3635"/>
      <c r="D9" s="2464" t="s">
        <v>736</v>
      </c>
      <c r="E9" s="3635" t="s">
        <v>737</v>
      </c>
      <c r="F9" s="3635"/>
      <c r="G9" s="2464" t="s">
        <v>736</v>
      </c>
    </row>
    <row r="10" spans="1:7">
      <c r="A10" s="1994" t="s">
        <v>489</v>
      </c>
      <c r="B10" s="1995" t="s">
        <v>91</v>
      </c>
      <c r="C10" s="1996"/>
      <c r="D10" s="1997"/>
      <c r="E10" s="1994" t="s">
        <v>490</v>
      </c>
      <c r="F10" s="1996" t="s">
        <v>92</v>
      </c>
      <c r="G10" s="1997"/>
    </row>
    <row r="11" spans="1:7">
      <c r="A11" s="1998"/>
      <c r="B11" s="1999" t="s">
        <v>707</v>
      </c>
      <c r="C11" s="1988" t="s">
        <v>738</v>
      </c>
      <c r="D11" s="1989"/>
      <c r="E11" s="2000"/>
      <c r="F11" s="1990" t="s">
        <v>739</v>
      </c>
      <c r="G11" s="1991">
        <f>'BUKU HUTANG &amp; HIBAH'!E143</f>
        <v>33010000</v>
      </c>
    </row>
    <row r="12" spans="1:7">
      <c r="A12" s="2000"/>
      <c r="B12" s="2001"/>
      <c r="C12" s="1990" t="s">
        <v>857</v>
      </c>
      <c r="D12" s="1991">
        <f>'Kas B PPK'!R46</f>
        <v>0</v>
      </c>
      <c r="E12" s="2000"/>
      <c r="F12" s="1990" t="s">
        <v>740</v>
      </c>
      <c r="G12" s="1991">
        <f>'BUKU HUTANG &amp; HIBAH'!K143</f>
        <v>43000000</v>
      </c>
    </row>
    <row r="13" spans="1:7">
      <c r="A13" s="2000"/>
      <c r="B13" s="2001"/>
      <c r="C13" s="1990" t="s">
        <v>858</v>
      </c>
      <c r="D13" s="1991">
        <f>'Kas B PNPM-MPd'!Q27</f>
        <v>0</v>
      </c>
      <c r="E13" s="2000"/>
      <c r="F13" s="1990" t="s">
        <v>742</v>
      </c>
      <c r="G13" s="1991">
        <f>('Kas B PPK'!E46+'Kas B PNPM-MPd'!E27+'Kas OP-UPK'!I90+'Kas UEP'!G42+'Kas SPP'!G367+'Kas SPP Pihak ke-3'!G42)-(+'Kas B PPK'!O46+'Kas B PNPM-MPd'!N27+'Kas OP-UPK'!X90+'Kas UEP'!K42+'Kas SPP'!K367+'Kas SPP Pihak ke-3'!K42)</f>
        <v>-24900000</v>
      </c>
    </row>
    <row r="14" spans="1:7">
      <c r="A14" s="2000"/>
      <c r="B14" s="2001"/>
      <c r="C14" s="1990" t="s">
        <v>741</v>
      </c>
      <c r="D14" s="1991">
        <f>'Kas OP-UPK'!AC90</f>
        <v>129250</v>
      </c>
      <c r="E14" s="2000"/>
      <c r="F14" s="1990" t="s">
        <v>2349</v>
      </c>
      <c r="G14" s="1993">
        <f>'Neraca Micro'!H15</f>
        <v>19980000</v>
      </c>
    </row>
    <row r="15" spans="1:7">
      <c r="A15" s="2000"/>
      <c r="B15" s="2001"/>
      <c r="C15" s="1990" t="s">
        <v>743</v>
      </c>
      <c r="D15" s="1991">
        <f>'Kas UEP'!N42</f>
        <v>0</v>
      </c>
      <c r="E15" s="2000"/>
      <c r="F15" s="2003" t="s">
        <v>2348</v>
      </c>
      <c r="G15" s="2006">
        <f>SUM(G11:G14)</f>
        <v>71090000</v>
      </c>
    </row>
    <row r="16" spans="1:7">
      <c r="A16" s="2000"/>
      <c r="B16" s="2001"/>
      <c r="C16" s="1990" t="s">
        <v>744</v>
      </c>
      <c r="D16" s="1991">
        <f>'Kas SPP'!N367</f>
        <v>0</v>
      </c>
      <c r="E16" s="2000"/>
      <c r="F16" s="1990"/>
      <c r="G16" s="1989"/>
    </row>
    <row r="17" spans="1:7">
      <c r="A17" s="2000"/>
      <c r="B17" s="2001"/>
      <c r="C17" s="1990" t="s">
        <v>906</v>
      </c>
      <c r="D17" s="1991">
        <f>'Kas SPP Pihak ke-3'!N42</f>
        <v>0</v>
      </c>
      <c r="E17" s="2000"/>
      <c r="F17" s="1990"/>
      <c r="G17" s="1989"/>
    </row>
    <row r="18" spans="1:7">
      <c r="A18" s="2000"/>
      <c r="B18" s="2001"/>
      <c r="C18" s="1992" t="s">
        <v>745</v>
      </c>
      <c r="D18" s="1993">
        <f>SUM(D12:D17)</f>
        <v>129250</v>
      </c>
      <c r="E18" s="1998" t="s">
        <v>424</v>
      </c>
      <c r="F18" s="1988" t="s">
        <v>101</v>
      </c>
      <c r="G18" s="1989"/>
    </row>
    <row r="19" spans="1:7">
      <c r="A19" s="2000"/>
      <c r="B19" s="2001"/>
      <c r="C19" s="1990"/>
      <c r="D19" s="1989"/>
      <c r="E19" s="2000"/>
      <c r="F19" s="1990" t="s">
        <v>746</v>
      </c>
      <c r="G19" s="1991">
        <f>'DATA BANTUAN'!D3</f>
        <v>0</v>
      </c>
    </row>
    <row r="20" spans="1:7">
      <c r="A20" s="2000"/>
      <c r="B20" s="1999" t="s">
        <v>711</v>
      </c>
      <c r="C20" s="1988" t="s">
        <v>100</v>
      </c>
      <c r="D20" s="1989"/>
      <c r="E20" s="2000"/>
      <c r="F20" s="1990" t="s">
        <v>747</v>
      </c>
      <c r="G20" s="1991">
        <f>'DATA BANTUAN'!D4</f>
        <v>0</v>
      </c>
    </row>
    <row r="21" spans="1:7">
      <c r="A21" s="2000"/>
      <c r="B21" s="2001"/>
      <c r="C21" s="1990" t="s">
        <v>852</v>
      </c>
      <c r="D21" s="1991">
        <f>'Bank B PPK'!L30</f>
        <v>0</v>
      </c>
      <c r="E21" s="2000"/>
      <c r="F21" s="1990" t="s">
        <v>748</v>
      </c>
      <c r="G21" s="1991">
        <f>'DATA BANTUAN'!D5</f>
        <v>0</v>
      </c>
    </row>
    <row r="22" spans="1:7">
      <c r="A22" s="2000"/>
      <c r="B22" s="2001"/>
      <c r="C22" s="1990" t="s">
        <v>853</v>
      </c>
      <c r="D22" s="1991">
        <f>'Bank B PNPM-MPd'!L36</f>
        <v>0</v>
      </c>
      <c r="E22" s="2000"/>
      <c r="F22" s="1990" t="s">
        <v>750</v>
      </c>
      <c r="G22" s="1991">
        <f>SUM('DATA BANTUAN'!D8:D9)</f>
        <v>0</v>
      </c>
    </row>
    <row r="23" spans="1:7">
      <c r="A23" s="2000"/>
      <c r="B23" s="2001"/>
      <c r="C23" s="1990" t="s">
        <v>749</v>
      </c>
      <c r="D23" s="1991">
        <f>'Bank OP-UPK'!K32</f>
        <v>35096029.859999895</v>
      </c>
      <c r="E23" s="2000"/>
      <c r="F23" s="1990" t="s">
        <v>752</v>
      </c>
      <c r="G23" s="1991">
        <f>SUM('DATA BANTUAN'!J3:J9)+'Kas B PNPM-TP GEMPA'!J46+'Kas B PNPM-TP GEMPA'!K46+'Kas B PASCA KRISIS'!J46+'Kas B PASCA KRISIS'!K46</f>
        <v>9190215000</v>
      </c>
    </row>
    <row r="24" spans="1:7">
      <c r="A24" s="2000"/>
      <c r="B24" s="2001"/>
      <c r="C24" s="1990" t="s">
        <v>751</v>
      </c>
      <c r="D24" s="1991">
        <f>'Bank UEP'!K30</f>
        <v>0</v>
      </c>
      <c r="E24" s="2000"/>
      <c r="F24" s="1990" t="s">
        <v>754</v>
      </c>
      <c r="G24" s="1991">
        <f>SUM('DATA BANTUAN'!E6:E7)</f>
        <v>0</v>
      </c>
    </row>
    <row r="25" spans="1:7">
      <c r="A25" s="2000"/>
      <c r="B25" s="2001"/>
      <c r="C25" s="1990" t="s">
        <v>753</v>
      </c>
      <c r="D25" s="1991">
        <f>'Bank SPP'!K54</f>
        <v>13002776</v>
      </c>
      <c r="E25" s="2000"/>
      <c r="F25" s="1990"/>
      <c r="G25" s="2002"/>
    </row>
    <row r="26" spans="1:7">
      <c r="A26" s="2000"/>
      <c r="B26" s="2001"/>
      <c r="C26" s="1990" t="s">
        <v>907</v>
      </c>
      <c r="D26" s="1991">
        <f>'Bank SPP Pihak ke-3'!K30</f>
        <v>0</v>
      </c>
      <c r="E26" s="2000"/>
      <c r="F26" s="1990" t="s">
        <v>755</v>
      </c>
      <c r="G26" s="1991">
        <f>'DATA BANTUAN'!E5</f>
        <v>0</v>
      </c>
    </row>
    <row r="27" spans="1:7">
      <c r="A27" s="2000"/>
      <c r="B27" s="2001"/>
      <c r="C27" s="1992" t="s">
        <v>756</v>
      </c>
      <c r="D27" s="1993">
        <f>SUM(D21:D26)</f>
        <v>48098805.859999895</v>
      </c>
      <c r="E27" s="2000"/>
      <c r="F27" s="1990" t="s">
        <v>757</v>
      </c>
      <c r="G27" s="1991">
        <f>SUM('DATA BANTUAN'!E8:E9)</f>
        <v>0</v>
      </c>
    </row>
    <row r="28" spans="1:7">
      <c r="A28" s="2000"/>
      <c r="B28" s="1999"/>
      <c r="C28" s="1988"/>
      <c r="D28" s="1989"/>
      <c r="E28" s="2000"/>
      <c r="F28" s="1990" t="s">
        <v>758</v>
      </c>
      <c r="G28" s="1991">
        <f>SUM('DATA BANTUAN'!K3:K9)</f>
        <v>1567500000</v>
      </c>
    </row>
    <row r="29" spans="1:7">
      <c r="A29" s="2000"/>
      <c r="B29" s="1999" t="s">
        <v>716</v>
      </c>
      <c r="C29" s="1988" t="s">
        <v>49</v>
      </c>
      <c r="D29" s="1989"/>
      <c r="E29" s="2000"/>
      <c r="F29" s="2022"/>
      <c r="G29" s="2002"/>
    </row>
    <row r="30" spans="1:7">
      <c r="A30" s="2000"/>
      <c r="B30" s="2001"/>
      <c r="C30" s="1990" t="s">
        <v>759</v>
      </c>
      <c r="D30" s="1991">
        <f>'LPP-UEP'!$T$110</f>
        <v>0</v>
      </c>
      <c r="E30" s="2000"/>
      <c r="F30" s="1990"/>
      <c r="G30" s="2002"/>
    </row>
    <row r="31" spans="1:7">
      <c r="A31" s="2000"/>
      <c r="B31" s="2001"/>
      <c r="C31" s="1990" t="s">
        <v>761</v>
      </c>
      <c r="D31" s="1991">
        <f>'LPP-SPP'!$T$110</f>
        <v>4481090600</v>
      </c>
      <c r="E31" s="2004"/>
      <c r="F31" s="1990" t="s">
        <v>760</v>
      </c>
      <c r="G31" s="1991">
        <f>'BUKU HUTANG &amp; HIBAH'!K203</f>
        <v>47750000</v>
      </c>
    </row>
    <row r="32" spans="1:7">
      <c r="A32" s="2000"/>
      <c r="B32" s="2001"/>
      <c r="C32" s="1990" t="s">
        <v>905</v>
      </c>
      <c r="D32" s="1991">
        <f>'LPP-SPP PIHAK KE-3'!$T$110</f>
        <v>0</v>
      </c>
      <c r="E32" s="2004"/>
      <c r="F32" s="1990"/>
      <c r="G32" s="2002"/>
    </row>
    <row r="33" spans="1:7">
      <c r="A33" s="2000"/>
      <c r="B33" s="2001"/>
      <c r="C33" s="1990" t="s">
        <v>1743</v>
      </c>
      <c r="D33" s="1991"/>
      <c r="E33" s="2005"/>
      <c r="F33" s="1990"/>
      <c r="G33" s="2006"/>
    </row>
    <row r="34" spans="1:7">
      <c r="A34" s="2000"/>
      <c r="B34" s="2001"/>
      <c r="C34" s="1990"/>
      <c r="D34" s="2002"/>
      <c r="E34" s="2005"/>
      <c r="F34" s="1990" t="s">
        <v>762</v>
      </c>
      <c r="G34" s="2007">
        <f>'Lap. Opr. Program REGULER'!F62</f>
        <v>2498578489.248889</v>
      </c>
    </row>
    <row r="35" spans="1:7">
      <c r="A35" s="2000"/>
      <c r="B35" s="1999" t="s">
        <v>764</v>
      </c>
      <c r="C35" s="1988" t="s">
        <v>765</v>
      </c>
      <c r="D35" s="1991">
        <f>'Kas OP-UPK'!O90</f>
        <v>5400000</v>
      </c>
      <c r="E35" s="2000"/>
      <c r="F35" s="1990"/>
      <c r="G35" s="2006"/>
    </row>
    <row r="36" spans="1:7">
      <c r="A36" s="2000"/>
      <c r="B36" s="2001"/>
      <c r="C36" s="1990" t="s">
        <v>766</v>
      </c>
      <c r="D36" s="1991">
        <f>'Lap. Opr. Program REGULER'!J36</f>
        <v>3600000</v>
      </c>
      <c r="E36" s="2000"/>
      <c r="F36" s="1990" t="s">
        <v>763</v>
      </c>
      <c r="G36" s="2007">
        <f>'Lap. Opr. Program REGULER'!I60</f>
        <v>166612035</v>
      </c>
    </row>
    <row r="37" spans="1:7">
      <c r="A37" s="2000"/>
      <c r="B37" s="2001"/>
      <c r="C37" s="1990" t="s">
        <v>768</v>
      </c>
      <c r="D37" s="1993">
        <f>+D35-D36</f>
        <v>1800000</v>
      </c>
      <c r="E37" s="2000"/>
      <c r="F37" s="2008"/>
      <c r="G37" s="2006"/>
    </row>
    <row r="38" spans="1:7">
      <c r="A38" s="2000"/>
      <c r="B38" s="2001"/>
      <c r="C38" s="1990"/>
      <c r="D38" s="1989"/>
      <c r="E38" s="2000"/>
      <c r="F38" s="2009"/>
      <c r="G38" s="2002"/>
    </row>
    <row r="39" spans="1:7" ht="17.25">
      <c r="A39" s="2000"/>
      <c r="B39" s="1999" t="s">
        <v>771</v>
      </c>
      <c r="C39" s="1988" t="s">
        <v>34</v>
      </c>
      <c r="D39" s="1991">
        <f>Inventaris!I73</f>
        <v>119068400</v>
      </c>
      <c r="E39" s="2000"/>
      <c r="F39" s="2010" t="s">
        <v>767</v>
      </c>
      <c r="G39" s="1989"/>
    </row>
    <row r="40" spans="1:7">
      <c r="A40" s="2000"/>
      <c r="B40" s="2001"/>
      <c r="C40" s="1990" t="s">
        <v>773</v>
      </c>
      <c r="D40" s="1991">
        <f>'Lap. Opr. Program REGULER'!J37</f>
        <v>80006848.61111109</v>
      </c>
      <c r="E40" s="2000"/>
      <c r="F40" s="2008" t="s">
        <v>769</v>
      </c>
      <c r="G40" s="2011">
        <f>+G41+G42</f>
        <v>4494093376</v>
      </c>
    </row>
    <row r="41" spans="1:7">
      <c r="A41" s="2000"/>
      <c r="B41" s="2001"/>
      <c r="C41" s="1990" t="s">
        <v>768</v>
      </c>
      <c r="D41" s="1993">
        <f>+D39-D40</f>
        <v>39061551.38888891</v>
      </c>
      <c r="E41" s="2000"/>
      <c r="F41" s="2009" t="s">
        <v>770</v>
      </c>
      <c r="G41" s="1993">
        <f>D30+D24+D15</f>
        <v>0</v>
      </c>
    </row>
    <row r="42" spans="1:7">
      <c r="A42" s="2000"/>
      <c r="B42" s="2001"/>
      <c r="C42" s="1990"/>
      <c r="D42" s="2002"/>
      <c r="E42" s="2000"/>
      <c r="F42" s="2009" t="s">
        <v>772</v>
      </c>
      <c r="G42" s="1993">
        <f>D31+D25+D16</f>
        <v>4494093376</v>
      </c>
    </row>
    <row r="43" spans="1:7">
      <c r="A43" s="2000"/>
      <c r="B43" s="1999" t="s">
        <v>774</v>
      </c>
      <c r="C43" s="1988" t="s">
        <v>516</v>
      </c>
      <c r="D43" s="2002"/>
      <c r="E43" s="2017"/>
      <c r="F43" s="2018"/>
      <c r="G43" s="2019"/>
    </row>
    <row r="44" spans="1:7">
      <c r="A44" s="2000"/>
      <c r="B44" s="2001"/>
      <c r="C44" s="1990" t="s">
        <v>775</v>
      </c>
      <c r="D44" s="1993">
        <f>'Neraca Program'!D50</f>
        <v>250000000</v>
      </c>
      <c r="E44" s="1282"/>
      <c r="F44" s="1283"/>
      <c r="G44" s="1281"/>
    </row>
    <row r="45" spans="1:7">
      <c r="A45" s="2000"/>
      <c r="B45" s="2001"/>
      <c r="C45" s="1990"/>
      <c r="D45" s="2002"/>
      <c r="E45" s="1282"/>
      <c r="F45" s="1283"/>
      <c r="G45" s="1281"/>
    </row>
    <row r="46" spans="1:7">
      <c r="A46" s="2000"/>
      <c r="B46" s="1999" t="s">
        <v>776</v>
      </c>
      <c r="C46" s="1988" t="s">
        <v>117</v>
      </c>
      <c r="D46" s="1989"/>
      <c r="E46" s="1282"/>
      <c r="F46" s="1283"/>
      <c r="G46" s="1281"/>
    </row>
    <row r="47" spans="1:7">
      <c r="A47" s="2000"/>
      <c r="B47" s="2001"/>
      <c r="C47" s="2012" t="s">
        <v>862</v>
      </c>
      <c r="D47" s="2002"/>
      <c r="E47" s="1282"/>
      <c r="F47" s="1283"/>
      <c r="G47" s="1281"/>
    </row>
    <row r="48" spans="1:7">
      <c r="A48" s="2000"/>
      <c r="B48" s="2001"/>
      <c r="C48" s="1990" t="s">
        <v>777</v>
      </c>
      <c r="D48" s="1991">
        <f>IF('DATA BANTUAN'!K14=0,'DATA BANTUAN'!J14,'DATA BANTUAN'!J14-'DATA BANTUAN'!K14)</f>
        <v>0</v>
      </c>
      <c r="E48" s="1282"/>
      <c r="F48" s="1283"/>
      <c r="G48" s="1281"/>
    </row>
    <row r="49" spans="1:7">
      <c r="A49" s="2000"/>
      <c r="B49" s="2001"/>
      <c r="C49" s="1990" t="s">
        <v>778</v>
      </c>
      <c r="D49" s="1991">
        <f>IF('DATA BANTUAN'!K15=0,'DATA BANTUAN'!J15,'DATA BANTUAN'!J15-'DATA BANTUAN'!K15)</f>
        <v>0</v>
      </c>
      <c r="E49" s="1282"/>
      <c r="F49" s="1283"/>
      <c r="G49" s="1281"/>
    </row>
    <row r="50" spans="1:7">
      <c r="A50" s="2000"/>
      <c r="B50" s="2001"/>
      <c r="C50" s="1990" t="s">
        <v>779</v>
      </c>
      <c r="D50" s="1991">
        <f>IF('DATA BANTUAN'!K16=0,'DATA BANTUAN'!J16,'DATA BANTUAN'!J16-'DATA BANTUAN'!K16)</f>
        <v>0</v>
      </c>
      <c r="E50" s="1282"/>
      <c r="F50" s="1283"/>
      <c r="G50" s="1281"/>
    </row>
    <row r="51" spans="1:7">
      <c r="A51" s="2000"/>
      <c r="B51" s="2001"/>
      <c r="C51" s="1990" t="s">
        <v>780</v>
      </c>
      <c r="D51" s="1991">
        <f>IF('DATA BANTUAN'!K19=0,'DATA BANTUAN'!J19,'DATA BANTUAN'!J19-'DATA BANTUAN'!K19)</f>
        <v>0</v>
      </c>
      <c r="E51" s="1282"/>
      <c r="F51" s="1283"/>
      <c r="G51" s="1281"/>
    </row>
    <row r="52" spans="1:7">
      <c r="A52" s="2000"/>
      <c r="B52" s="2001"/>
      <c r="C52" s="1990" t="s">
        <v>781</v>
      </c>
      <c r="D52" s="1991">
        <f>IF('DATA BANTUAN'!K20=0,'DATA BANTUAN'!J20,'DATA BANTUAN'!J20-'DATA BANTUAN'!K20)</f>
        <v>0</v>
      </c>
      <c r="E52" s="1282"/>
      <c r="F52" s="1283"/>
      <c r="G52" s="1281"/>
    </row>
    <row r="53" spans="1:7">
      <c r="A53" s="2000"/>
      <c r="B53" s="2001"/>
      <c r="C53" s="1992" t="s">
        <v>782</v>
      </c>
      <c r="D53" s="1993">
        <f>SUM(D48:D52)</f>
        <v>0</v>
      </c>
      <c r="E53" s="1282"/>
      <c r="F53" s="1283"/>
      <c r="G53" s="1281"/>
    </row>
    <row r="54" spans="1:7">
      <c r="A54" s="2000"/>
      <c r="B54" s="1999" t="s">
        <v>784</v>
      </c>
      <c r="C54" s="1988" t="s">
        <v>783</v>
      </c>
      <c r="D54" s="1989"/>
      <c r="E54" s="1282"/>
      <c r="F54" s="1283"/>
      <c r="G54" s="1281"/>
    </row>
    <row r="55" spans="1:7">
      <c r="A55" s="2000"/>
      <c r="B55" s="1999"/>
      <c r="C55" s="2012" t="s">
        <v>866</v>
      </c>
      <c r="D55" s="2002"/>
      <c r="E55" s="1282"/>
      <c r="F55" s="1283"/>
      <c r="G55" s="1281"/>
    </row>
    <row r="56" spans="1:7">
      <c r="A56" s="2000"/>
      <c r="B56" s="1999"/>
      <c r="C56" s="1990" t="s">
        <v>777</v>
      </c>
      <c r="D56" s="1991">
        <f>'DATA BANTUAN'!E14</f>
        <v>0</v>
      </c>
      <c r="E56" s="1282"/>
      <c r="F56" s="1283"/>
      <c r="G56" s="1281"/>
    </row>
    <row r="57" spans="1:7">
      <c r="A57" s="2000"/>
      <c r="B57" s="1999"/>
      <c r="C57" s="1990" t="s">
        <v>778</v>
      </c>
      <c r="D57" s="1991">
        <f>'DATA BANTUAN'!E15</f>
        <v>0</v>
      </c>
      <c r="E57" s="1282"/>
      <c r="F57" s="1283"/>
      <c r="G57" s="1281"/>
    </row>
    <row r="58" spans="1:7">
      <c r="A58" s="2000"/>
      <c r="B58" s="1999"/>
      <c r="C58" s="1990" t="s">
        <v>779</v>
      </c>
      <c r="D58" s="1991">
        <f>'DATA BANTUAN'!E16</f>
        <v>0</v>
      </c>
      <c r="E58" s="1282"/>
      <c r="F58" s="1283"/>
      <c r="G58" s="1281"/>
    </row>
    <row r="59" spans="1:7">
      <c r="A59" s="2000"/>
      <c r="B59" s="1999"/>
      <c r="C59" s="1990" t="s">
        <v>780</v>
      </c>
      <c r="D59" s="1991">
        <f>'DATA BANTUAN'!E19</f>
        <v>0</v>
      </c>
      <c r="E59" s="1282"/>
      <c r="F59" s="1283"/>
      <c r="G59" s="1281"/>
    </row>
    <row r="60" spans="1:7">
      <c r="A60" s="2000"/>
      <c r="B60" s="1999"/>
      <c r="C60" s="1990" t="s">
        <v>781</v>
      </c>
      <c r="D60" s="1991">
        <f>'DATA BANTUAN'!E20</f>
        <v>0</v>
      </c>
      <c r="E60" s="1282"/>
      <c r="F60" s="1283"/>
      <c r="G60" s="1281"/>
    </row>
    <row r="61" spans="1:7">
      <c r="A61" s="2000"/>
      <c r="B61" s="1999"/>
      <c r="C61" s="2012" t="s">
        <v>862</v>
      </c>
      <c r="D61" s="2002"/>
      <c r="E61" s="1282"/>
      <c r="F61" s="1283"/>
      <c r="G61" s="1281"/>
    </row>
    <row r="62" spans="1:7">
      <c r="A62" s="2000"/>
      <c r="B62" s="1999"/>
      <c r="C62" s="1990" t="s">
        <v>777</v>
      </c>
      <c r="D62" s="1991">
        <f>'DATA BANTUAN'!K14</f>
        <v>5207955700</v>
      </c>
      <c r="E62" s="1282"/>
      <c r="F62" s="1283"/>
      <c r="G62" s="1281"/>
    </row>
    <row r="63" spans="1:7">
      <c r="A63" s="2000"/>
      <c r="B63" s="1999"/>
      <c r="C63" s="1990" t="s">
        <v>778</v>
      </c>
      <c r="D63" s="1991">
        <f>'DATA BANTUAN'!K15</f>
        <v>1857930500</v>
      </c>
      <c r="E63" s="1282"/>
      <c r="F63" s="1283"/>
      <c r="G63" s="1281"/>
    </row>
    <row r="64" spans="1:7">
      <c r="A64" s="2000"/>
      <c r="B64" s="1999"/>
      <c r="C64" s="1990" t="s">
        <v>779</v>
      </c>
      <c r="D64" s="1991">
        <f>'DATA BANTUAN'!K16</f>
        <v>1000449500</v>
      </c>
      <c r="E64" s="1282"/>
      <c r="F64" s="1283"/>
      <c r="G64" s="1281"/>
    </row>
    <row r="65" spans="1:7">
      <c r="A65" s="2000"/>
      <c r="B65" s="1999"/>
      <c r="C65" s="1990" t="s">
        <v>780</v>
      </c>
      <c r="D65" s="1991">
        <f>'DATA BANTUAN'!K19</f>
        <v>305775417</v>
      </c>
      <c r="E65" s="1282"/>
      <c r="F65" s="1283"/>
      <c r="G65" s="1281"/>
    </row>
    <row r="66" spans="1:7">
      <c r="A66" s="2000"/>
      <c r="B66" s="1999"/>
      <c r="C66" s="1990" t="s">
        <v>781</v>
      </c>
      <c r="D66" s="1991">
        <f>'DATA BANTUAN'!K20</f>
        <v>319454200</v>
      </c>
      <c r="E66" s="1282"/>
      <c r="F66" s="1283"/>
      <c r="G66" s="1281"/>
    </row>
    <row r="67" spans="1:7">
      <c r="A67" s="2000"/>
      <c r="B67" s="2001"/>
      <c r="C67" s="1992" t="s">
        <v>782</v>
      </c>
      <c r="D67" s="1993">
        <f>SUM(D55:D66)</f>
        <v>8691565317</v>
      </c>
      <c r="E67" s="1282"/>
      <c r="F67" s="1283"/>
      <c r="G67" s="1281"/>
    </row>
    <row r="68" spans="1:7">
      <c r="A68" s="2000"/>
      <c r="B68" s="2001"/>
      <c r="C68" s="1992"/>
      <c r="D68" s="2002"/>
      <c r="E68" s="1282"/>
      <c r="F68" s="1283"/>
      <c r="G68" s="1281"/>
    </row>
    <row r="69" spans="1:7">
      <c r="A69" s="2000"/>
      <c r="B69" s="1999" t="s">
        <v>867</v>
      </c>
      <c r="C69" s="1988" t="s">
        <v>172</v>
      </c>
      <c r="D69" s="1991">
        <f>G71-D18-D27-D30-D31-D32-D33-D37-D41-D44-D53-D67</f>
        <v>30000000</v>
      </c>
      <c r="E69" s="1282"/>
      <c r="F69" s="1283"/>
      <c r="G69" s="1281"/>
    </row>
    <row r="70" spans="1:7">
      <c r="A70" s="2013"/>
      <c r="B70" s="2014"/>
      <c r="C70" s="2015"/>
      <c r="D70" s="2016"/>
      <c r="E70" s="1295"/>
      <c r="F70" s="1297"/>
      <c r="G70" s="1299"/>
    </row>
    <row r="71" spans="1:7" ht="30.75" customHeight="1">
      <c r="A71" s="3634" t="s">
        <v>118</v>
      </c>
      <c r="B71" s="3634"/>
      <c r="C71" s="3634"/>
      <c r="D71" s="878">
        <f>D18+D27+D30+D31+D32+D33+D37+D41+D44+D53+D67+D69</f>
        <v>13541745524.24889</v>
      </c>
      <c r="E71" s="3634" t="s">
        <v>785</v>
      </c>
      <c r="F71" s="3634"/>
      <c r="G71" s="878">
        <f>G15+(SUM(G19:G36))</f>
        <v>13541745524.24889</v>
      </c>
    </row>
  </sheetData>
  <sheetProtection formatColumns="0" formatRows="0"/>
  <mergeCells count="7">
    <mergeCell ref="A71:C71"/>
    <mergeCell ref="E71:F71"/>
    <mergeCell ref="A1:G1"/>
    <mergeCell ref="A2:G2"/>
    <mergeCell ref="A3:G3"/>
    <mergeCell ref="A9:C9"/>
    <mergeCell ref="E9:F9"/>
  </mergeCells>
  <printOptions horizontalCentered="1"/>
  <pageMargins left="0.25" right="0.25" top="0.25" bottom="0.25" header="0.3" footer="0.3"/>
  <pageSetup paperSize="9" scale="70" orientation="portrait" horizontalDpi="4294967294" verticalDpi="4294967294" r:id="rId1"/>
  <headerFooter>
    <oddFooter>&amp;C&amp;P</oddFooter>
  </headerFooter>
  <drawing r:id="rId2"/>
  <legacyDrawing r:id="rId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P62"/>
  <sheetViews>
    <sheetView topLeftCell="A37" zoomScale="85" zoomScaleNormal="85" workbookViewId="0">
      <selection activeCell="F57" sqref="F57"/>
    </sheetView>
  </sheetViews>
  <sheetFormatPr defaultColWidth="9.140625" defaultRowHeight="15.75"/>
  <cols>
    <col min="1" max="3" width="3.5703125" style="751" customWidth="1"/>
    <col min="4" max="4" width="17" style="751" customWidth="1"/>
    <col min="5" max="5" width="34.85546875" style="751" customWidth="1"/>
    <col min="6" max="10" width="16" style="751" customWidth="1"/>
    <col min="11" max="11" width="9.140625" style="749"/>
    <col min="12" max="16" width="9.140625" style="765"/>
    <col min="17" max="16384" width="9.140625" style="766"/>
  </cols>
  <sheetData>
    <row r="1" spans="1:10" ht="20.25">
      <c r="A1" s="3610" t="s">
        <v>704</v>
      </c>
      <c r="B1" s="3610"/>
      <c r="C1" s="3610"/>
      <c r="D1" s="3610"/>
      <c r="E1" s="3610"/>
      <c r="F1" s="3610"/>
      <c r="G1" s="3610"/>
      <c r="H1" s="3610"/>
      <c r="I1" s="3610"/>
      <c r="J1" s="3610"/>
    </row>
    <row r="2" spans="1:10">
      <c r="A2" s="3599" t="s">
        <v>705</v>
      </c>
      <c r="B2" s="3599"/>
      <c r="C2" s="3599"/>
      <c r="D2" s="3599"/>
      <c r="E2" s="3599"/>
      <c r="F2" s="3599"/>
      <c r="G2" s="3599"/>
      <c r="H2" s="3599"/>
      <c r="I2" s="3599"/>
      <c r="J2" s="3599"/>
    </row>
    <row r="3" spans="1:10" ht="20.25">
      <c r="A3" s="3610" t="s">
        <v>259</v>
      </c>
      <c r="B3" s="3610"/>
      <c r="C3" s="3610"/>
      <c r="D3" s="3610"/>
      <c r="E3" s="3610"/>
      <c r="F3" s="3610"/>
      <c r="G3" s="3610"/>
      <c r="H3" s="3610"/>
      <c r="I3" s="3610"/>
      <c r="J3" s="3610"/>
    </row>
    <row r="4" spans="1:10" ht="6" customHeight="1"/>
    <row r="5" spans="1:10">
      <c r="D5" s="917" t="s">
        <v>86</v>
      </c>
      <c r="E5" s="4" t="str">
        <f>": "&amp;DT!D3</f>
        <v>: Nagrak</v>
      </c>
    </row>
    <row r="6" spans="1:10">
      <c r="D6" s="917" t="s">
        <v>87</v>
      </c>
      <c r="E6" s="4" t="str">
        <f>": "&amp;DT!D4</f>
        <v>: Sukabumi</v>
      </c>
    </row>
    <row r="7" spans="1:10">
      <c r="D7" s="917" t="s">
        <v>88</v>
      </c>
      <c r="E7" s="4" t="str">
        <f>": "&amp;DT!D5</f>
        <v>: Jawa Barat</v>
      </c>
    </row>
    <row r="8" spans="1:10" ht="6" customHeight="1">
      <c r="A8" s="750"/>
      <c r="F8" s="752"/>
      <c r="G8" s="752"/>
      <c r="H8" s="752"/>
      <c r="I8" s="752"/>
      <c r="J8" s="753"/>
    </row>
    <row r="9" spans="1:10">
      <c r="A9" s="3446" t="s">
        <v>706</v>
      </c>
      <c r="B9" s="3446"/>
      <c r="C9" s="3446"/>
      <c r="D9" s="3446"/>
      <c r="E9" s="3446"/>
      <c r="F9" s="3446" t="s">
        <v>358</v>
      </c>
      <c r="G9" s="3446" t="s">
        <v>363</v>
      </c>
      <c r="H9" s="3446"/>
      <c r="I9" s="3446"/>
      <c r="J9" s="3446" t="s">
        <v>546</v>
      </c>
    </row>
    <row r="10" spans="1:10">
      <c r="A10" s="3446"/>
      <c r="B10" s="3446"/>
      <c r="C10" s="3446"/>
      <c r="D10" s="3446"/>
      <c r="E10" s="3446"/>
      <c r="F10" s="3446"/>
      <c r="G10" s="2540" t="s">
        <v>361</v>
      </c>
      <c r="H10" s="2540" t="s">
        <v>125</v>
      </c>
      <c r="I10" s="2540" t="s">
        <v>360</v>
      </c>
      <c r="J10" s="3446"/>
    </row>
    <row r="11" spans="1:10">
      <c r="A11" s="763" t="s">
        <v>489</v>
      </c>
      <c r="B11" s="755" t="s">
        <v>124</v>
      </c>
      <c r="C11" s="755"/>
      <c r="D11" s="755"/>
      <c r="E11" s="755"/>
      <c r="F11" s="2497"/>
      <c r="G11" s="2497"/>
      <c r="H11" s="2497"/>
      <c r="I11" s="2497"/>
      <c r="J11" s="2497"/>
    </row>
    <row r="12" spans="1:10">
      <c r="A12" s="754"/>
      <c r="B12" s="755" t="s">
        <v>707</v>
      </c>
      <c r="C12" s="755" t="s">
        <v>126</v>
      </c>
      <c r="D12" s="756"/>
      <c r="E12" s="756"/>
      <c r="F12" s="757"/>
      <c r="G12" s="757"/>
      <c r="H12" s="757"/>
      <c r="I12" s="757"/>
      <c r="J12" s="757"/>
    </row>
    <row r="13" spans="1:10">
      <c r="A13" s="754"/>
      <c r="B13" s="756"/>
      <c r="C13" s="756"/>
      <c r="D13" s="756" t="s">
        <v>708</v>
      </c>
      <c r="E13" s="756"/>
      <c r="F13" s="757">
        <f>'Kas UEP'!E12</f>
        <v>0</v>
      </c>
      <c r="G13" s="757">
        <f>'Kas UEP'!E13</f>
        <v>0</v>
      </c>
      <c r="H13" s="757">
        <f>'Kas UEP'!E40</f>
        <v>0</v>
      </c>
      <c r="I13" s="877">
        <f>SUM(G13:H13)</f>
        <v>0</v>
      </c>
      <c r="J13" s="877">
        <f>F13+I13</f>
        <v>0</v>
      </c>
    </row>
    <row r="14" spans="1:10">
      <c r="A14" s="754"/>
      <c r="B14" s="756"/>
      <c r="C14" s="756"/>
      <c r="D14" s="756" t="s">
        <v>709</v>
      </c>
      <c r="E14" s="756"/>
      <c r="F14" s="757">
        <f>'Kas SPP'!E12</f>
        <v>4105941100</v>
      </c>
      <c r="G14" s="757">
        <f>'Kas SPP'!E13</f>
        <v>102400500</v>
      </c>
      <c r="H14" s="757">
        <f>'Kas SPP'!E365</f>
        <v>97423000</v>
      </c>
      <c r="I14" s="877">
        <f>SUM(G14:H14)</f>
        <v>199823500</v>
      </c>
      <c r="J14" s="877">
        <f>F14+I14</f>
        <v>4305764600</v>
      </c>
    </row>
    <row r="15" spans="1:10">
      <c r="A15" s="754"/>
      <c r="B15" s="756"/>
      <c r="C15" s="756"/>
      <c r="D15" s="756" t="s">
        <v>955</v>
      </c>
      <c r="E15" s="756"/>
      <c r="F15" s="757">
        <f>'Kas SPP Pihak ke-3'!E12</f>
        <v>0</v>
      </c>
      <c r="G15" s="757">
        <f>'Kas SPP Pihak ke-3'!E13</f>
        <v>0</v>
      </c>
      <c r="H15" s="757">
        <f>'Kas SPP Pihak ke-3'!E40</f>
        <v>0</v>
      </c>
      <c r="I15" s="877">
        <f>SUM(G15:H15)</f>
        <v>0</v>
      </c>
      <c r="J15" s="877">
        <f>F15+I15</f>
        <v>0</v>
      </c>
    </row>
    <row r="16" spans="1:10">
      <c r="A16" s="754"/>
      <c r="B16" s="756"/>
      <c r="C16" s="756"/>
      <c r="D16" s="756"/>
      <c r="E16" s="755" t="s">
        <v>710</v>
      </c>
      <c r="F16" s="932">
        <f>SUM(F13:F15)</f>
        <v>4105941100</v>
      </c>
      <c r="G16" s="932">
        <f>SUM(G13:G15)</f>
        <v>102400500</v>
      </c>
      <c r="H16" s="932">
        <f>SUM(H13:H15)</f>
        <v>97423000</v>
      </c>
      <c r="I16" s="932">
        <f>SUM(I13:I15)</f>
        <v>199823500</v>
      </c>
      <c r="J16" s="932">
        <f>SUM(J13:J15)</f>
        <v>4305764600</v>
      </c>
    </row>
    <row r="17" spans="1:10">
      <c r="A17" s="754"/>
      <c r="B17" s="756"/>
      <c r="C17" s="756"/>
      <c r="D17" s="756"/>
      <c r="E17" s="756"/>
      <c r="F17" s="757"/>
      <c r="G17" s="757"/>
      <c r="H17" s="757"/>
      <c r="I17" s="757"/>
      <c r="J17" s="757"/>
    </row>
    <row r="18" spans="1:10">
      <c r="A18" s="754"/>
      <c r="B18" s="755" t="s">
        <v>711</v>
      </c>
      <c r="C18" s="755" t="s">
        <v>128</v>
      </c>
      <c r="D18" s="756"/>
      <c r="E18" s="756"/>
      <c r="F18" s="757"/>
      <c r="G18" s="757"/>
      <c r="H18" s="757"/>
      <c r="I18" s="757"/>
      <c r="J18" s="757"/>
    </row>
    <row r="19" spans="1:10">
      <c r="A19" s="754"/>
      <c r="B19" s="756"/>
      <c r="C19" s="756"/>
      <c r="D19" s="756" t="s">
        <v>868</v>
      </c>
      <c r="E19" s="756"/>
      <c r="F19" s="757">
        <f>'Bank B PPK'!H11</f>
        <v>0</v>
      </c>
      <c r="G19" s="757">
        <f>'Bank B PPK'!H12</f>
        <v>0</v>
      </c>
      <c r="H19" s="757">
        <f>'Bank B PPK'!H28</f>
        <v>0</v>
      </c>
      <c r="I19" s="877">
        <f t="shared" ref="I19:I24" si="0">SUM(G19:H19)</f>
        <v>0</v>
      </c>
      <c r="J19" s="877">
        <f t="shared" ref="J19:J24" si="1">F19+I19</f>
        <v>0</v>
      </c>
    </row>
    <row r="20" spans="1:10">
      <c r="A20" s="754"/>
      <c r="B20" s="756"/>
      <c r="C20" s="756"/>
      <c r="D20" s="756" t="s">
        <v>869</v>
      </c>
      <c r="E20" s="756"/>
      <c r="F20" s="757">
        <f>'Bank B PNPM-MPd'!H11</f>
        <v>15243952</v>
      </c>
      <c r="G20" s="757">
        <f>'Bank B PNPM-MPd'!H12</f>
        <v>0</v>
      </c>
      <c r="H20" s="757">
        <f>'Bank B PNPM-MPd'!H34</f>
        <v>0</v>
      </c>
      <c r="I20" s="877">
        <f t="shared" si="0"/>
        <v>0</v>
      </c>
      <c r="J20" s="877">
        <f t="shared" si="1"/>
        <v>15243952</v>
      </c>
    </row>
    <row r="21" spans="1:10">
      <c r="A21" s="754"/>
      <c r="B21" s="756"/>
      <c r="C21" s="756"/>
      <c r="D21" s="756" t="s">
        <v>712</v>
      </c>
      <c r="E21" s="756"/>
      <c r="F21" s="757">
        <f>'Bank OP-UPK'!G11</f>
        <v>2035402.86</v>
      </c>
      <c r="G21" s="757">
        <f>'Bank OP-UPK'!G12</f>
        <v>4313</v>
      </c>
      <c r="H21" s="757">
        <f>'Bank OP-UPK'!G30</f>
        <v>9681</v>
      </c>
      <c r="I21" s="877">
        <f t="shared" si="0"/>
        <v>13994</v>
      </c>
      <c r="J21" s="877">
        <f t="shared" si="1"/>
        <v>2049396.86</v>
      </c>
    </row>
    <row r="22" spans="1:10">
      <c r="A22" s="754"/>
      <c r="B22" s="756"/>
      <c r="C22" s="756"/>
      <c r="D22" s="756" t="s">
        <v>713</v>
      </c>
      <c r="E22" s="756"/>
      <c r="F22" s="757">
        <f>'Bank UEP'!G11</f>
        <v>0</v>
      </c>
      <c r="G22" s="757">
        <f>'Bank UEP'!G12</f>
        <v>0</v>
      </c>
      <c r="H22" s="757">
        <f>'Bank UEP'!G28</f>
        <v>0</v>
      </c>
      <c r="I22" s="877">
        <f t="shared" si="0"/>
        <v>0</v>
      </c>
      <c r="J22" s="877">
        <f t="shared" si="1"/>
        <v>0</v>
      </c>
    </row>
    <row r="23" spans="1:10">
      <c r="A23" s="754"/>
      <c r="B23" s="756"/>
      <c r="C23" s="756"/>
      <c r="D23" s="756" t="s">
        <v>714</v>
      </c>
      <c r="E23" s="756"/>
      <c r="F23" s="757">
        <f>'Bank SPP'!G11</f>
        <v>34065843</v>
      </c>
      <c r="G23" s="757">
        <f>'Bank SPP'!G12</f>
        <v>117585</v>
      </c>
      <c r="H23" s="757">
        <f>'Bank SPP'!G52</f>
        <v>233954</v>
      </c>
      <c r="I23" s="877">
        <f t="shared" si="0"/>
        <v>351539</v>
      </c>
      <c r="J23" s="877">
        <f t="shared" si="1"/>
        <v>34417382</v>
      </c>
    </row>
    <row r="24" spans="1:10">
      <c r="A24" s="754"/>
      <c r="B24" s="756"/>
      <c r="C24" s="756"/>
      <c r="D24" s="756" t="s">
        <v>927</v>
      </c>
      <c r="E24" s="756"/>
      <c r="F24" s="757">
        <f>'Bank SPP Pihak ke-3'!G11</f>
        <v>0</v>
      </c>
      <c r="G24" s="757">
        <f>'Bank SPP Pihak ke-3'!G12</f>
        <v>0</v>
      </c>
      <c r="H24" s="757">
        <f>'Bank SPP Pihak ke-3'!G28</f>
        <v>0</v>
      </c>
      <c r="I24" s="877">
        <f t="shared" si="0"/>
        <v>0</v>
      </c>
      <c r="J24" s="877">
        <f t="shared" si="1"/>
        <v>0</v>
      </c>
    </row>
    <row r="25" spans="1:10">
      <c r="A25" s="2536"/>
      <c r="B25" s="2508"/>
      <c r="C25" s="2508"/>
      <c r="D25" s="2508"/>
      <c r="E25" s="2507" t="s">
        <v>715</v>
      </c>
      <c r="F25" s="932">
        <f>SUM(F19:F24)</f>
        <v>51345197.859999999</v>
      </c>
      <c r="G25" s="934">
        <f>SUM(G19:G24)</f>
        <v>121898</v>
      </c>
      <c r="H25" s="934">
        <f>SUM(H19:H24)</f>
        <v>243635</v>
      </c>
      <c r="I25" s="934">
        <f>SUM(I19:I24)</f>
        <v>365533</v>
      </c>
      <c r="J25" s="934">
        <f>SUM(J19:J24)</f>
        <v>51710730.859999999</v>
      </c>
    </row>
    <row r="26" spans="1:10">
      <c r="A26" s="2536"/>
      <c r="B26" s="2508"/>
      <c r="C26" s="2508"/>
      <c r="D26" s="2508"/>
      <c r="E26" s="2508"/>
      <c r="F26" s="880"/>
      <c r="G26" s="881"/>
      <c r="H26" s="881"/>
      <c r="I26" s="881"/>
      <c r="J26" s="881"/>
    </row>
    <row r="27" spans="1:10">
      <c r="A27" s="2536"/>
      <c r="B27" s="2507" t="s">
        <v>716</v>
      </c>
      <c r="C27" s="2507" t="s">
        <v>717</v>
      </c>
      <c r="D27" s="2508"/>
      <c r="E27" s="2508"/>
      <c r="F27" s="930">
        <f>'Kas B PPK'!F12+'Kas B PNPM-MPd'!F12+'Kas UEP'!F12+'Kas SPP'!F12+'Kas OP-UPK'!J11+'Kas B GSC'!K12+'Kas B PNPM-TP GEMPA'!N12+'Kas B PASCA KRISIS'!N12</f>
        <v>41358300</v>
      </c>
      <c r="G27" s="930">
        <f>'Kas B PPK'!F13+'Kas B PNPM-MPd'!F13+'Kas UEP'!F13+'Kas SPP'!F13+'Kas OP-UPK'!J12+'Kas B GSC'!K13+'Kas B PNPM-TP GEMPA'!N13+'Kas B PASCA KRISIS'!N13</f>
        <v>0</v>
      </c>
      <c r="H27" s="930">
        <f>'Kas B PPK'!F44+'Kas B PNPM-MPd'!F25+'Kas UEP'!F40+'Kas SPP'!F365+'Kas OP-UPK'!J88+'Kas B GSC'!K44+'Kas B PNPM-TP GEMPA'!N44+'Kas B PASCA KRISIS'!N44</f>
        <v>0</v>
      </c>
      <c r="I27" s="879">
        <f>SUM(G27:H27)</f>
        <v>0</v>
      </c>
      <c r="J27" s="879">
        <f>F27+I27</f>
        <v>41358300</v>
      </c>
    </row>
    <row r="28" spans="1:10">
      <c r="A28" s="2536"/>
      <c r="B28" s="2507"/>
      <c r="C28" s="2507"/>
      <c r="D28" s="2508"/>
      <c r="E28" s="2508"/>
      <c r="F28" s="880"/>
      <c r="G28" s="760"/>
      <c r="H28" s="760"/>
      <c r="I28" s="760"/>
      <c r="J28" s="760"/>
    </row>
    <row r="29" spans="1:10">
      <c r="A29" s="3639" t="s">
        <v>134</v>
      </c>
      <c r="B29" s="3640"/>
      <c r="C29" s="3640"/>
      <c r="D29" s="3640"/>
      <c r="E29" s="3640"/>
      <c r="F29" s="931">
        <f>F16+F25+F27</f>
        <v>4198644597.8600001</v>
      </c>
      <c r="G29" s="933">
        <f>G16+G25+G27</f>
        <v>102522398</v>
      </c>
      <c r="H29" s="933">
        <f>H16+H25+H27</f>
        <v>97666635</v>
      </c>
      <c r="I29" s="933">
        <f>I16+I25+I27</f>
        <v>200189033</v>
      </c>
      <c r="J29" s="933">
        <f>J16+J25+J27</f>
        <v>4398833630.8599997</v>
      </c>
    </row>
    <row r="30" spans="1:10">
      <c r="A30" s="761"/>
      <c r="B30" s="762"/>
      <c r="C30" s="762"/>
      <c r="D30" s="762"/>
      <c r="E30" s="762"/>
      <c r="F30" s="758"/>
      <c r="G30" s="758"/>
      <c r="H30" s="758"/>
      <c r="I30" s="758"/>
      <c r="J30" s="758"/>
    </row>
    <row r="31" spans="1:10">
      <c r="A31" s="763" t="s">
        <v>718</v>
      </c>
      <c r="B31" s="755" t="s">
        <v>135</v>
      </c>
      <c r="C31" s="755"/>
      <c r="D31" s="755"/>
      <c r="E31" s="755"/>
      <c r="F31" s="757"/>
      <c r="G31" s="757"/>
      <c r="H31" s="757"/>
      <c r="I31" s="757"/>
      <c r="J31" s="757"/>
    </row>
    <row r="32" spans="1:10">
      <c r="A32" s="754"/>
      <c r="B32" s="755" t="s">
        <v>707</v>
      </c>
      <c r="C32" s="755" t="s">
        <v>136</v>
      </c>
      <c r="D32" s="756"/>
      <c r="E32" s="756"/>
      <c r="F32" s="757"/>
      <c r="G32" s="757"/>
      <c r="H32" s="757"/>
      <c r="I32" s="757"/>
      <c r="J32" s="757"/>
    </row>
    <row r="33" spans="1:10">
      <c r="A33" s="754"/>
      <c r="B33" s="756"/>
      <c r="C33" s="756"/>
      <c r="D33" s="756" t="s">
        <v>719</v>
      </c>
      <c r="E33" s="756"/>
      <c r="F33" s="757">
        <f>'Kas OP-UPK'!L11</f>
        <v>464886000</v>
      </c>
      <c r="G33" s="757">
        <f>'Kas OP-UPK'!L12</f>
        <v>9200000</v>
      </c>
      <c r="H33" s="757">
        <f>'Kas OP-UPK'!L88</f>
        <v>0</v>
      </c>
      <c r="I33" s="877">
        <f t="shared" ref="I33:I38" si="2">SUM(G33:H33)</f>
        <v>9200000</v>
      </c>
      <c r="J33" s="877">
        <f t="shared" ref="J33:J38" si="3">F33+I33</f>
        <v>474086000</v>
      </c>
    </row>
    <row r="34" spans="1:10">
      <c r="A34" s="754"/>
      <c r="B34" s="756"/>
      <c r="C34" s="756"/>
      <c r="D34" s="756" t="s">
        <v>720</v>
      </c>
      <c r="E34" s="756"/>
      <c r="F34" s="757">
        <f>'Kas OP-UPK'!M11</f>
        <v>136093179</v>
      </c>
      <c r="G34" s="757">
        <f>'Kas OP-UPK'!M12</f>
        <v>1767700</v>
      </c>
      <c r="H34" s="757">
        <f>'Kas OP-UPK'!M88</f>
        <v>1419500</v>
      </c>
      <c r="I34" s="877">
        <f t="shared" si="2"/>
        <v>3187200</v>
      </c>
      <c r="J34" s="877">
        <f t="shared" si="3"/>
        <v>139280379</v>
      </c>
    </row>
    <row r="35" spans="1:10">
      <c r="A35" s="754"/>
      <c r="B35" s="756"/>
      <c r="C35" s="756"/>
      <c r="D35" s="756" t="s">
        <v>721</v>
      </c>
      <c r="E35" s="756"/>
      <c r="F35" s="757">
        <f>'Kas OP-UPK'!N11</f>
        <v>20549000</v>
      </c>
      <c r="G35" s="757">
        <f>'Kas OP-UPK'!N12</f>
        <v>50000</v>
      </c>
      <c r="H35" s="757">
        <f>'Kas OP-UPK'!N88</f>
        <v>150000</v>
      </c>
      <c r="I35" s="877">
        <f t="shared" si="2"/>
        <v>200000</v>
      </c>
      <c r="J35" s="877">
        <f t="shared" si="3"/>
        <v>20749000</v>
      </c>
    </row>
    <row r="36" spans="1:10">
      <c r="A36" s="754"/>
      <c r="B36" s="756"/>
      <c r="C36" s="756"/>
      <c r="D36" s="756" t="s">
        <v>722</v>
      </c>
      <c r="E36" s="756"/>
      <c r="F36" s="757">
        <f>BDD!J28</f>
        <v>3600000</v>
      </c>
      <c r="G36" s="757">
        <f>BDD!K28</f>
        <v>0</v>
      </c>
      <c r="H36" s="757">
        <f>BDD!L28</f>
        <v>0</v>
      </c>
      <c r="I36" s="877">
        <f t="shared" si="2"/>
        <v>0</v>
      </c>
      <c r="J36" s="877">
        <f t="shared" si="3"/>
        <v>3600000</v>
      </c>
    </row>
    <row r="37" spans="1:10">
      <c r="A37" s="754"/>
      <c r="B37" s="756"/>
      <c r="C37" s="756"/>
      <c r="D37" s="756" t="s">
        <v>723</v>
      </c>
      <c r="E37" s="756"/>
      <c r="F37" s="757">
        <f>Inventaris!Q73</f>
        <v>78989893.61111109</v>
      </c>
      <c r="G37" s="757">
        <f>Inventaris!R73</f>
        <v>6.9849193096160889E-10</v>
      </c>
      <c r="H37" s="757">
        <f>Inventaris!S73</f>
        <v>1016955.0000000001</v>
      </c>
      <c r="I37" s="877">
        <f t="shared" si="2"/>
        <v>1016955.0000000008</v>
      </c>
      <c r="J37" s="877">
        <f t="shared" si="3"/>
        <v>80006848.61111109</v>
      </c>
    </row>
    <row r="38" spans="1:10">
      <c r="A38" s="754"/>
      <c r="B38" s="756"/>
      <c r="C38" s="756"/>
      <c r="D38" s="756" t="s">
        <v>724</v>
      </c>
      <c r="E38" s="756"/>
      <c r="F38" s="757">
        <f>SUM('Kas OP-UPK'!R11:W11)</f>
        <v>426384675</v>
      </c>
      <c r="G38" s="757">
        <f>SUM('Kas OP-UPK'!R12:W12)</f>
        <v>14397400</v>
      </c>
      <c r="H38" s="757">
        <f>SUM('Kas OP-UPK'!R88:W88)</f>
        <v>5479200</v>
      </c>
      <c r="I38" s="877">
        <f t="shared" si="2"/>
        <v>19876600</v>
      </c>
      <c r="J38" s="877">
        <f t="shared" si="3"/>
        <v>446261275</v>
      </c>
    </row>
    <row r="39" spans="1:10">
      <c r="A39" s="754"/>
      <c r="B39" s="756"/>
      <c r="C39" s="756"/>
      <c r="D39" s="756"/>
      <c r="E39" s="755" t="s">
        <v>725</v>
      </c>
      <c r="F39" s="932">
        <f>SUM(F33:F38)</f>
        <v>1130502747.6111112</v>
      </c>
      <c r="G39" s="932">
        <f>SUM(G33:G38)</f>
        <v>25415100</v>
      </c>
      <c r="H39" s="932">
        <f>SUM(H33:H38)</f>
        <v>8065655</v>
      </c>
      <c r="I39" s="932">
        <f>SUM(I33:I38)</f>
        <v>33480755</v>
      </c>
      <c r="J39" s="932">
        <f>SUM(J33:J38)</f>
        <v>1163983502.6111112</v>
      </c>
    </row>
    <row r="40" spans="1:10">
      <c r="A40" s="754"/>
      <c r="B40" s="756"/>
      <c r="C40" s="756"/>
      <c r="D40" s="756"/>
      <c r="E40" s="756"/>
      <c r="F40" s="757"/>
      <c r="G40" s="757"/>
      <c r="H40" s="757"/>
      <c r="I40" s="757"/>
      <c r="J40" s="757"/>
    </row>
    <row r="41" spans="1:10">
      <c r="A41" s="754"/>
      <c r="B41" s="755" t="s">
        <v>711</v>
      </c>
      <c r="C41" s="755" t="s">
        <v>144</v>
      </c>
      <c r="D41" s="755"/>
      <c r="E41" s="755"/>
      <c r="F41" s="759">
        <f>'Lap. Opr. Program'!F44</f>
        <v>0</v>
      </c>
      <c r="G41" s="759">
        <f>'Lap. Opr. Program'!G44</f>
        <v>0</v>
      </c>
      <c r="H41" s="759">
        <f>'Lap. Opr. Program'!H44</f>
        <v>0</v>
      </c>
      <c r="I41" s="878">
        <f>SUM(G41:H41)</f>
        <v>0</v>
      </c>
      <c r="J41" s="878">
        <f>F41+I41</f>
        <v>0</v>
      </c>
    </row>
    <row r="42" spans="1:10">
      <c r="A42" s="754"/>
      <c r="B42" s="756"/>
      <c r="C42" s="756"/>
      <c r="D42" s="756"/>
      <c r="E42" s="756"/>
      <c r="F42" s="757"/>
      <c r="G42" s="757"/>
      <c r="H42" s="757"/>
      <c r="I42" s="757"/>
      <c r="J42" s="757"/>
    </row>
    <row r="43" spans="1:10">
      <c r="A43" s="754"/>
      <c r="B43" s="755" t="s">
        <v>716</v>
      </c>
      <c r="C43" s="755" t="s">
        <v>145</v>
      </c>
      <c r="D43" s="756"/>
      <c r="E43" s="756"/>
      <c r="F43" s="757"/>
      <c r="G43" s="757"/>
      <c r="H43" s="757"/>
      <c r="I43" s="757"/>
      <c r="J43" s="757"/>
    </row>
    <row r="44" spans="1:10">
      <c r="A44" s="754"/>
      <c r="B44" s="756"/>
      <c r="C44" s="756"/>
      <c r="D44" s="756" t="s">
        <v>873</v>
      </c>
      <c r="E44" s="756"/>
      <c r="F44" s="757">
        <f>'Bank B PPK'!J11</f>
        <v>0</v>
      </c>
      <c r="G44" s="757">
        <f>'Bank B PPK'!J12</f>
        <v>0</v>
      </c>
      <c r="H44" s="757">
        <f>'Bank B PPK'!J28</f>
        <v>0</v>
      </c>
      <c r="I44" s="877">
        <f>SUM(G44:H44)</f>
        <v>0</v>
      </c>
      <c r="J44" s="877">
        <f>F44+I44</f>
        <v>0</v>
      </c>
    </row>
    <row r="45" spans="1:10">
      <c r="A45" s="754"/>
      <c r="B45" s="756"/>
      <c r="C45" s="756"/>
      <c r="D45" s="756" t="s">
        <v>874</v>
      </c>
      <c r="E45" s="756"/>
      <c r="F45" s="757">
        <f>'Bank B PNPM-MPd'!J11</f>
        <v>3134088</v>
      </c>
      <c r="G45" s="757">
        <f>'Bank B PNPM-MPd'!J12</f>
        <v>0</v>
      </c>
      <c r="H45" s="757">
        <f>'Bank B PNPM-MPd'!J34</f>
        <v>0</v>
      </c>
      <c r="I45" s="877">
        <f>SUM(G45:H45)</f>
        <v>0</v>
      </c>
      <c r="J45" s="877">
        <f>F45+I45</f>
        <v>3134088</v>
      </c>
    </row>
    <row r="46" spans="1:10">
      <c r="A46" s="754"/>
      <c r="B46" s="756"/>
      <c r="C46" s="756"/>
      <c r="D46" s="756" t="s">
        <v>726</v>
      </c>
      <c r="E46" s="756"/>
      <c r="F46" s="757">
        <f>'Bank OP-UPK'!I11</f>
        <v>388386</v>
      </c>
      <c r="G46" s="757">
        <f>'Bank OP-UPK'!I12</f>
        <v>0</v>
      </c>
      <c r="H46" s="757">
        <f>'Bank OP-UPK'!I30</f>
        <v>1936</v>
      </c>
      <c r="I46" s="877">
        <f>SUM(G46:H46)</f>
        <v>1936</v>
      </c>
      <c r="J46" s="877">
        <f>F46+I46</f>
        <v>390322</v>
      </c>
    </row>
    <row r="47" spans="1:10">
      <c r="A47" s="754"/>
      <c r="B47" s="756"/>
      <c r="C47" s="756"/>
      <c r="D47" s="756" t="s">
        <v>727</v>
      </c>
      <c r="E47" s="756"/>
      <c r="F47" s="757">
        <f>'Bank UEP'!I11</f>
        <v>0</v>
      </c>
      <c r="G47" s="757">
        <f>'Bank UEP'!I12</f>
        <v>0</v>
      </c>
      <c r="H47" s="757">
        <f>'Bank UEP'!I28</f>
        <v>0</v>
      </c>
      <c r="I47" s="877">
        <f>SUM(G47:H47)</f>
        <v>0</v>
      </c>
      <c r="J47" s="877">
        <f>F47+I47</f>
        <v>0</v>
      </c>
    </row>
    <row r="48" spans="1:10">
      <c r="A48" s="754"/>
      <c r="B48" s="756"/>
      <c r="C48" s="756"/>
      <c r="D48" s="756" t="s">
        <v>1295</v>
      </c>
      <c r="E48" s="756"/>
      <c r="F48" s="757">
        <f>'Bank SPP'!I11</f>
        <v>6424006</v>
      </c>
      <c r="G48" s="757">
        <f>'Bank SPP'!I12</f>
        <v>23517</v>
      </c>
      <c r="H48" s="757">
        <f>'Bank SPP'!I52</f>
        <v>46790</v>
      </c>
      <c r="I48" s="877">
        <f>SUM(G48:H48)</f>
        <v>70307</v>
      </c>
      <c r="J48" s="877">
        <f>F48+I48</f>
        <v>6494313</v>
      </c>
    </row>
    <row r="49" spans="1:10">
      <c r="A49" s="754"/>
      <c r="B49" s="756"/>
      <c r="C49" s="756"/>
      <c r="D49" s="756" t="s">
        <v>1739</v>
      </c>
      <c r="E49" s="756"/>
      <c r="F49" s="757">
        <f>'Bank SPP Pihak ke-3'!I11</f>
        <v>0</v>
      </c>
      <c r="G49" s="757">
        <f>'Bank SPP Pihak ke-3'!I12</f>
        <v>0</v>
      </c>
      <c r="H49" s="757">
        <f>'Bank SPP Pihak ke-3'!I28</f>
        <v>0</v>
      </c>
      <c r="I49" s="877">
        <f t="shared" ref="I49:I55" si="4">SUM(G49:H49)</f>
        <v>0</v>
      </c>
      <c r="J49" s="877">
        <f t="shared" ref="J49:J55" si="5">F49+I49</f>
        <v>0</v>
      </c>
    </row>
    <row r="50" spans="1:10">
      <c r="A50" s="754"/>
      <c r="B50" s="756"/>
      <c r="C50" s="756"/>
      <c r="D50" s="756" t="s">
        <v>878</v>
      </c>
      <c r="E50" s="756"/>
      <c r="F50" s="757">
        <f>'Bank B PPK'!K11</f>
        <v>0</v>
      </c>
      <c r="G50" s="757">
        <f>'Bank B PPK'!K12</f>
        <v>0</v>
      </c>
      <c r="H50" s="757">
        <f>'Bank B PPK'!K28</f>
        <v>0</v>
      </c>
      <c r="I50" s="877">
        <f t="shared" si="4"/>
        <v>0</v>
      </c>
      <c r="J50" s="877">
        <f t="shared" si="5"/>
        <v>0</v>
      </c>
    </row>
    <row r="51" spans="1:10">
      <c r="A51" s="754"/>
      <c r="B51" s="756"/>
      <c r="C51" s="756"/>
      <c r="D51" s="756" t="s">
        <v>879</v>
      </c>
      <c r="E51" s="756"/>
      <c r="F51" s="757">
        <f>'Bank B PNPM-MPd'!K11</f>
        <v>419622</v>
      </c>
      <c r="G51" s="757">
        <f>'Bank B PNPM-MPd'!K12</f>
        <v>0</v>
      </c>
      <c r="H51" s="757">
        <f>'Bank B PNPM-MPd'!K34</f>
        <v>0</v>
      </c>
      <c r="I51" s="877">
        <f t="shared" si="4"/>
        <v>0</v>
      </c>
      <c r="J51" s="877">
        <f t="shared" si="5"/>
        <v>419622</v>
      </c>
    </row>
    <row r="52" spans="1:10">
      <c r="A52" s="754"/>
      <c r="B52" s="756"/>
      <c r="C52" s="756"/>
      <c r="D52" s="756" t="s">
        <v>728</v>
      </c>
      <c r="E52" s="756"/>
      <c r="F52" s="757">
        <f>'Bank OP-UPK'!J11</f>
        <v>455695</v>
      </c>
      <c r="G52" s="757">
        <f>'Bank OP-UPK'!J12</f>
        <v>5000</v>
      </c>
      <c r="H52" s="757">
        <f>'Bank OP-UPK'!J30</f>
        <v>5000</v>
      </c>
      <c r="I52" s="877">
        <f t="shared" si="4"/>
        <v>10000</v>
      </c>
      <c r="J52" s="877">
        <f t="shared" si="5"/>
        <v>465695</v>
      </c>
    </row>
    <row r="53" spans="1:10">
      <c r="A53" s="754"/>
      <c r="B53" s="756"/>
      <c r="C53" s="756"/>
      <c r="D53" s="756" t="s">
        <v>729</v>
      </c>
      <c r="E53" s="756"/>
      <c r="F53" s="757">
        <f>'Bank UEP'!J11</f>
        <v>0</v>
      </c>
      <c r="G53" s="757">
        <f>'Bank UEP'!J12</f>
        <v>0</v>
      </c>
      <c r="H53" s="757">
        <f>'Bank UEP'!J28</f>
        <v>0</v>
      </c>
      <c r="I53" s="877">
        <f t="shared" si="4"/>
        <v>0</v>
      </c>
      <c r="J53" s="877">
        <f t="shared" si="5"/>
        <v>0</v>
      </c>
    </row>
    <row r="54" spans="1:10">
      <c r="A54" s="754"/>
      <c r="B54" s="756"/>
      <c r="C54" s="756"/>
      <c r="D54" s="756" t="s">
        <v>730</v>
      </c>
      <c r="E54" s="756"/>
      <c r="F54" s="757">
        <f>'Bank SPP'!J11</f>
        <v>488739</v>
      </c>
      <c r="G54" s="757">
        <f>'Bank SPP'!J12</f>
        <v>7000</v>
      </c>
      <c r="H54" s="757">
        <f>'Bank SPP'!J52</f>
        <v>7000</v>
      </c>
      <c r="I54" s="877">
        <f t="shared" si="4"/>
        <v>14000</v>
      </c>
      <c r="J54" s="877">
        <f t="shared" si="5"/>
        <v>502739</v>
      </c>
    </row>
    <row r="55" spans="1:10">
      <c r="A55" s="754"/>
      <c r="B55" s="756"/>
      <c r="C55" s="756"/>
      <c r="D55" s="756" t="s">
        <v>1740</v>
      </c>
      <c r="E55" s="756"/>
      <c r="F55" s="757">
        <f>'Bank SPP Pihak ke-3'!J11</f>
        <v>0</v>
      </c>
      <c r="G55" s="757">
        <f>'Bank SPP Pihak ke-3'!J12</f>
        <v>0</v>
      </c>
      <c r="H55" s="757">
        <f>'Bank SPP Pihak ke-3'!J28</f>
        <v>0</v>
      </c>
      <c r="I55" s="877">
        <f t="shared" si="4"/>
        <v>0</v>
      </c>
      <c r="J55" s="877">
        <f t="shared" si="5"/>
        <v>0</v>
      </c>
    </row>
    <row r="56" spans="1:10">
      <c r="A56" s="754"/>
      <c r="B56" s="756"/>
      <c r="C56" s="756"/>
      <c r="D56" s="756" t="s">
        <v>731</v>
      </c>
      <c r="E56" s="756"/>
      <c r="F56" s="757">
        <f>'Kas B PPK'!P12+'Kas B PNPM-MPd'!O12+Inventaris!N73++'Kas OP-UPK'!AB11</f>
        <v>12519325</v>
      </c>
      <c r="G56" s="757">
        <f>'Kas B PPK'!P13+'Kas B PNPM-MPd'!O13+Inventaris!O73</f>
        <v>0</v>
      </c>
      <c r="H56" s="757">
        <f>'Kas B PPK'!P44+'Kas B PNPM-MPd'!O25+Inventaris!P73+'Kas OP-UPK'!AB89</f>
        <v>0</v>
      </c>
      <c r="I56" s="877">
        <f>SUM(G56:H56)</f>
        <v>0</v>
      </c>
      <c r="J56" s="877">
        <f>F56+I56</f>
        <v>12519325</v>
      </c>
    </row>
    <row r="57" spans="1:10">
      <c r="A57" s="2537"/>
      <c r="B57" s="2538"/>
      <c r="C57" s="2538"/>
      <c r="D57" s="2538"/>
      <c r="E57" s="2504" t="s">
        <v>732</v>
      </c>
      <c r="F57" s="932">
        <f>SUM(F44:F56)</f>
        <v>23829861</v>
      </c>
      <c r="G57" s="932">
        <f>SUM(G44:G56)</f>
        <v>35517</v>
      </c>
      <c r="H57" s="932">
        <f>SUM(H44:H56)</f>
        <v>60726</v>
      </c>
      <c r="I57" s="932">
        <f>SUM(I44:I56)</f>
        <v>96243</v>
      </c>
      <c r="J57" s="932">
        <f>SUM(J44:J56)</f>
        <v>23926104</v>
      </c>
    </row>
    <row r="58" spans="1:10">
      <c r="A58" s="2537"/>
      <c r="B58" s="2538"/>
      <c r="C58" s="2538"/>
      <c r="D58" s="2538"/>
      <c r="E58" s="2539"/>
      <c r="F58" s="757"/>
      <c r="G58" s="757"/>
      <c r="H58" s="757"/>
      <c r="I58" s="757"/>
      <c r="J58" s="757"/>
    </row>
    <row r="59" spans="1:10">
      <c r="A59" s="3636" t="s">
        <v>149</v>
      </c>
      <c r="B59" s="3637"/>
      <c r="C59" s="3637"/>
      <c r="D59" s="3637"/>
      <c r="E59" s="3638"/>
      <c r="F59" s="931">
        <f>F39+F41+F57</f>
        <v>1154332608.6111112</v>
      </c>
      <c r="G59" s="931">
        <f>G39+G41+G57</f>
        <v>25450617</v>
      </c>
      <c r="H59" s="931">
        <f>H39+H41+H57</f>
        <v>8126381</v>
      </c>
      <c r="I59" s="931">
        <f>I39+I41+I57</f>
        <v>33576998</v>
      </c>
      <c r="J59" s="931">
        <f>J39+J41+J57</f>
        <v>1187909606.6111112</v>
      </c>
    </row>
    <row r="60" spans="1:10">
      <c r="A60" s="3636" t="s">
        <v>733</v>
      </c>
      <c r="B60" s="3637"/>
      <c r="C60" s="3637"/>
      <c r="D60" s="3637"/>
      <c r="E60" s="3638"/>
      <c r="F60" s="931">
        <f>F29-F59</f>
        <v>3044311989.248889</v>
      </c>
      <c r="G60" s="931">
        <f>G29-G59</f>
        <v>77071781</v>
      </c>
      <c r="H60" s="931">
        <f>H29-H59</f>
        <v>89540254</v>
      </c>
      <c r="I60" s="931">
        <f>I29-I59</f>
        <v>166612035</v>
      </c>
      <c r="J60" s="931">
        <f>J29-J59</f>
        <v>3210924024.2488885</v>
      </c>
    </row>
    <row r="61" spans="1:10">
      <c r="A61" s="3636" t="s">
        <v>549</v>
      </c>
      <c r="B61" s="3637"/>
      <c r="C61" s="3637"/>
      <c r="D61" s="3637"/>
      <c r="E61" s="3638"/>
      <c r="F61" s="764">
        <f>'R-L Microfinance'!D57</f>
        <v>545733500</v>
      </c>
    </row>
    <row r="62" spans="1:10">
      <c r="A62" s="3636" t="s">
        <v>550</v>
      </c>
      <c r="B62" s="3637"/>
      <c r="C62" s="3637"/>
      <c r="D62" s="3637"/>
      <c r="E62" s="3638"/>
      <c r="F62" s="935">
        <f>F60-F61</f>
        <v>2498578489.248889</v>
      </c>
    </row>
  </sheetData>
  <mergeCells count="12">
    <mergeCell ref="A61:E61"/>
    <mergeCell ref="A62:E62"/>
    <mergeCell ref="A1:J1"/>
    <mergeCell ref="A2:J2"/>
    <mergeCell ref="A3:J3"/>
    <mergeCell ref="A9:E10"/>
    <mergeCell ref="F9:F10"/>
    <mergeCell ref="G9:I9"/>
    <mergeCell ref="J9:J10"/>
    <mergeCell ref="A29:E29"/>
    <mergeCell ref="A59:E59"/>
    <mergeCell ref="A60:E60"/>
  </mergeCells>
  <printOptions horizontalCentered="1"/>
  <pageMargins left="0.25" right="0.25" top="0.75" bottom="0.25" header="0.3" footer="0.3"/>
  <pageSetup paperSize="9" scale="70" orientation="portrait" horizontalDpi="4294967294" verticalDpi="4294967294" r:id="rId1"/>
  <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L61"/>
  <sheetViews>
    <sheetView zoomScale="70" zoomScaleNormal="70" workbookViewId="0"/>
  </sheetViews>
  <sheetFormatPr defaultColWidth="9.140625" defaultRowHeight="17.25" customHeight="1"/>
  <cols>
    <col min="1" max="1" width="4" style="546" customWidth="1"/>
    <col min="2" max="2" width="8.5703125" style="546" customWidth="1"/>
    <col min="3" max="3" width="61.5703125" style="546" customWidth="1"/>
    <col min="4" max="5" width="22.5703125" style="546" customWidth="1"/>
    <col min="6" max="6" width="22.5703125" style="3064" customWidth="1"/>
    <col min="7" max="8" width="22.5703125" style="546" customWidth="1"/>
    <col min="9" max="9" width="4" style="546" customWidth="1"/>
    <col min="10" max="10" width="11.28515625" style="546" bestFit="1" customWidth="1"/>
    <col min="11" max="11" width="17.28515625" style="546" bestFit="1" customWidth="1"/>
    <col min="12" max="12" width="21.7109375" style="546" customWidth="1"/>
    <col min="13" max="16384" width="9.140625" style="546"/>
  </cols>
  <sheetData>
    <row r="1" spans="1:12" ht="21" customHeight="1" thickTop="1" thickBot="1">
      <c r="A1" s="543"/>
      <c r="B1" s="544"/>
      <c r="C1" s="544"/>
      <c r="D1" s="544"/>
      <c r="E1" s="544"/>
      <c r="F1" s="3044"/>
      <c r="G1" s="544"/>
      <c r="H1" s="544"/>
      <c r="I1" s="545"/>
    </row>
    <row r="2" spans="1:12" ht="35.25" customHeight="1" thickTop="1">
      <c r="A2" s="547"/>
      <c r="B2" s="3451" t="s">
        <v>123</v>
      </c>
      <c r="C2" s="3451"/>
      <c r="D2" s="3451"/>
      <c r="E2" s="3451"/>
      <c r="F2" s="3451"/>
      <c r="G2" s="3451"/>
      <c r="H2" s="3451"/>
      <c r="I2" s="548"/>
    </row>
    <row r="3" spans="1:12" ht="28.5" customHeight="1">
      <c r="A3" s="547"/>
      <c r="B3" s="3451" t="s">
        <v>2495</v>
      </c>
      <c r="C3" s="3451"/>
      <c r="D3" s="3451"/>
      <c r="E3" s="3451"/>
      <c r="F3" s="3451"/>
      <c r="G3" s="3451"/>
      <c r="H3" s="3451"/>
      <c r="I3" s="548"/>
    </row>
    <row r="4" spans="1:12" ht="28.5" customHeight="1" thickBot="1">
      <c r="A4" s="547"/>
      <c r="B4" s="3451" t="str">
        <f>"Periode s/d  "&amp;DT!D27</f>
        <v>Periode s/d  29 Februari 2016 2016</v>
      </c>
      <c r="C4" s="3451"/>
      <c r="D4" s="3451"/>
      <c r="E4" s="3451"/>
      <c r="F4" s="3451"/>
      <c r="G4" s="3451"/>
      <c r="H4" s="3451"/>
      <c r="I4" s="548"/>
    </row>
    <row r="5" spans="1:12" ht="17.25" customHeight="1" thickTop="1">
      <c r="A5" s="547"/>
      <c r="B5" s="549"/>
      <c r="C5" s="549"/>
      <c r="D5" s="549"/>
      <c r="E5" s="549"/>
      <c r="F5" s="3045"/>
      <c r="G5" s="549"/>
      <c r="H5" s="549"/>
      <c r="I5" s="548"/>
    </row>
    <row r="6" spans="1:12" ht="17.25" customHeight="1">
      <c r="A6" s="547"/>
      <c r="B6" s="550"/>
      <c r="C6" s="551" t="s">
        <v>86</v>
      </c>
      <c r="D6" s="916" t="str">
        <f>": "&amp;DT!D3</f>
        <v>: Nagrak</v>
      </c>
      <c r="E6" s="552"/>
      <c r="F6" s="3046"/>
      <c r="G6" s="549"/>
      <c r="H6" s="549"/>
      <c r="I6" s="548"/>
    </row>
    <row r="7" spans="1:12" ht="17.25" customHeight="1">
      <c r="A7" s="547"/>
      <c r="B7" s="550"/>
      <c r="C7" s="551" t="s">
        <v>87</v>
      </c>
      <c r="D7" s="916" t="str">
        <f>": "&amp;DT!D4</f>
        <v>: Sukabumi</v>
      </c>
      <c r="E7" s="553"/>
      <c r="F7" s="3046"/>
      <c r="G7" s="549"/>
      <c r="H7" s="549"/>
      <c r="I7" s="548"/>
    </row>
    <row r="8" spans="1:12" ht="17.25" customHeight="1">
      <c r="A8" s="547"/>
      <c r="B8" s="550"/>
      <c r="C8" s="551" t="s">
        <v>88</v>
      </c>
      <c r="D8" s="916" t="str">
        <f>": "&amp;DT!D5</f>
        <v>: Jawa Barat</v>
      </c>
      <c r="E8" s="552"/>
      <c r="F8" s="3046"/>
      <c r="G8" s="549"/>
      <c r="H8" s="549"/>
      <c r="I8" s="548"/>
    </row>
    <row r="9" spans="1:12" ht="17.25" customHeight="1" thickBot="1">
      <c r="A9" s="547"/>
      <c r="B9" s="549"/>
      <c r="C9" s="549"/>
      <c r="D9" s="549"/>
      <c r="E9" s="549"/>
      <c r="F9" s="3045"/>
      <c r="G9" s="549"/>
      <c r="H9" s="549"/>
      <c r="I9" s="548"/>
    </row>
    <row r="10" spans="1:12" ht="29.25" customHeight="1" thickBot="1">
      <c r="A10" s="547"/>
      <c r="B10" s="3647" t="s">
        <v>180</v>
      </c>
      <c r="C10" s="3647" t="s">
        <v>124</v>
      </c>
      <c r="D10" s="3647" t="s">
        <v>358</v>
      </c>
      <c r="E10" s="3647" t="s">
        <v>363</v>
      </c>
      <c r="F10" s="3647"/>
      <c r="G10" s="3647"/>
      <c r="H10" s="3647" t="s">
        <v>546</v>
      </c>
      <c r="I10" s="548"/>
    </row>
    <row r="11" spans="1:12" ht="29.25" customHeight="1" thickBot="1">
      <c r="A11" s="547"/>
      <c r="B11" s="3647"/>
      <c r="C11" s="3647"/>
      <c r="D11" s="3647"/>
      <c r="E11" s="2451" t="s">
        <v>361</v>
      </c>
      <c r="F11" s="3047" t="s">
        <v>125</v>
      </c>
      <c r="G11" s="2452" t="s">
        <v>360</v>
      </c>
      <c r="H11" s="3647"/>
      <c r="I11" s="548"/>
    </row>
    <row r="12" spans="1:12" ht="17.25" customHeight="1" thickBot="1">
      <c r="A12" s="547"/>
      <c r="B12" s="554"/>
      <c r="C12" s="555"/>
      <c r="D12" s="556"/>
      <c r="E12" s="554"/>
      <c r="F12" s="3048"/>
      <c r="G12" s="557"/>
      <c r="H12" s="558"/>
      <c r="I12" s="548"/>
    </row>
    <row r="13" spans="1:12" s="561" customFormat="1" ht="28.5" customHeight="1" thickBot="1">
      <c r="A13" s="559"/>
      <c r="B13" s="872" t="s">
        <v>181</v>
      </c>
      <c r="C13" s="865" t="s">
        <v>126</v>
      </c>
      <c r="D13" s="866">
        <f>SUM(D14:D17)</f>
        <v>4135899400</v>
      </c>
      <c r="E13" s="867">
        <f>SUM(E14:E17)</f>
        <v>102400500</v>
      </c>
      <c r="F13" s="3049">
        <f>SUM(F14:F17)</f>
        <v>97423000</v>
      </c>
      <c r="G13" s="868">
        <f>SUM(G14:G17)</f>
        <v>199823500</v>
      </c>
      <c r="H13" s="866">
        <f>SUM(H14:H17)</f>
        <v>4335722900</v>
      </c>
      <c r="I13" s="560"/>
    </row>
    <row r="14" spans="1:12" s="568" customFormat="1" ht="28.5" customHeight="1">
      <c r="A14" s="562"/>
      <c r="B14" s="563" t="s">
        <v>591</v>
      </c>
      <c r="C14" s="564" t="s">
        <v>592</v>
      </c>
      <c r="D14" s="565">
        <f>'Lap. Opr. Program REGULER'!F13</f>
        <v>0</v>
      </c>
      <c r="E14" s="566">
        <f>'Lap. Opr. Program REGULER'!G13</f>
        <v>0</v>
      </c>
      <c r="F14" s="3050">
        <f>'Lap. Opr. Program REGULER'!H13</f>
        <v>0</v>
      </c>
      <c r="G14" s="862">
        <f>E14+F14</f>
        <v>0</v>
      </c>
      <c r="H14" s="863">
        <f>D14+G14</f>
        <v>0</v>
      </c>
      <c r="I14" s="567"/>
    </row>
    <row r="15" spans="1:12" s="568" customFormat="1" ht="28.5" customHeight="1">
      <c r="A15" s="562"/>
      <c r="B15" s="563" t="s">
        <v>127</v>
      </c>
      <c r="C15" s="564" t="s">
        <v>555</v>
      </c>
      <c r="D15" s="565">
        <f>'Lap. Opr. Program REGULER'!F14</f>
        <v>4105941100</v>
      </c>
      <c r="E15" s="566">
        <f>'Lap. Opr. Program REGULER'!G14</f>
        <v>102400500</v>
      </c>
      <c r="F15" s="3050">
        <f>'Lap. Opr. Program REGULER'!H14</f>
        <v>97423000</v>
      </c>
      <c r="G15" s="862">
        <f>E15+F15</f>
        <v>199823500</v>
      </c>
      <c r="H15" s="863">
        <f>D15+G15</f>
        <v>4305764600</v>
      </c>
      <c r="I15" s="567"/>
      <c r="K15" s="3126">
        <v>82024400</v>
      </c>
      <c r="L15" s="3127">
        <f>F15-K15</f>
        <v>15398600</v>
      </c>
    </row>
    <row r="16" spans="1:12" s="568" customFormat="1" ht="28.5" customHeight="1">
      <c r="A16" s="562"/>
      <c r="B16" s="563" t="s">
        <v>547</v>
      </c>
      <c r="C16" s="564" t="s">
        <v>948</v>
      </c>
      <c r="D16" s="565">
        <f>'Lap. Opr. Program REGULER'!F15</f>
        <v>0</v>
      </c>
      <c r="E16" s="566">
        <f>'Lap. Opr. Program REGULER'!G15</f>
        <v>0</v>
      </c>
      <c r="F16" s="3050">
        <f>'Lap. Opr. Program REGULER'!H15</f>
        <v>0</v>
      </c>
      <c r="G16" s="862">
        <f>E16+F16</f>
        <v>0</v>
      </c>
      <c r="H16" s="863">
        <f>D16+G16</f>
        <v>0</v>
      </c>
      <c r="I16" s="567"/>
    </row>
    <row r="17" spans="1:10" s="568" customFormat="1" ht="28.5" customHeight="1">
      <c r="A17" s="562"/>
      <c r="B17" s="563" t="s">
        <v>947</v>
      </c>
      <c r="C17" s="569" t="s">
        <v>554</v>
      </c>
      <c r="D17" s="570">
        <f>'Kas UEP'!F12+'Kas SPP'!F12+'Kas OP-UPK'!J11+'Kas SPP Pihak ke-3'!F12</f>
        <v>29958300</v>
      </c>
      <c r="E17" s="571">
        <f>'Kas UEP'!F13+'Kas SPP'!F13+'Kas OP-UPK'!J12+'Kas SPP Pihak ke-3'!F13</f>
        <v>0</v>
      </c>
      <c r="F17" s="3051">
        <f>'Kas UEP'!F40+'Kas SPP'!F365+'Kas OP-UPK'!J88+'Kas SPP Pihak ke-3'!F40</f>
        <v>0</v>
      </c>
      <c r="G17" s="862">
        <f>E17+F17</f>
        <v>0</v>
      </c>
      <c r="H17" s="863">
        <f>D17+G17</f>
        <v>29958300</v>
      </c>
      <c r="I17" s="567"/>
    </row>
    <row r="18" spans="1:10" s="561" customFormat="1" ht="17.25" customHeight="1" thickBot="1">
      <c r="A18" s="559"/>
      <c r="B18" s="573"/>
      <c r="C18" s="574"/>
      <c r="D18" s="575"/>
      <c r="E18" s="576"/>
      <c r="F18" s="3052"/>
      <c r="G18" s="577"/>
      <c r="H18" s="578"/>
      <c r="I18" s="560"/>
    </row>
    <row r="19" spans="1:10" s="568" customFormat="1" ht="27.75" customHeight="1" thickBot="1">
      <c r="A19" s="562"/>
      <c r="B19" s="872" t="s">
        <v>182</v>
      </c>
      <c r="C19" s="865" t="s">
        <v>128</v>
      </c>
      <c r="D19" s="866">
        <f>SUM(D20:D24)</f>
        <v>224800045.86000001</v>
      </c>
      <c r="E19" s="867">
        <f>SUM(E20:E24)</f>
        <v>121898</v>
      </c>
      <c r="F19" s="3049">
        <f>SUM(F20:F24)</f>
        <v>243635</v>
      </c>
      <c r="G19" s="868">
        <f>SUM(G20:G24)</f>
        <v>365533</v>
      </c>
      <c r="H19" s="866">
        <f>SUM(H20:H24)</f>
        <v>225165578.86000001</v>
      </c>
      <c r="I19" s="567"/>
    </row>
    <row r="20" spans="1:10" s="561" customFormat="1" ht="28.5" customHeight="1">
      <c r="A20" s="559"/>
      <c r="B20" s="563" t="s">
        <v>129</v>
      </c>
      <c r="C20" s="564" t="s">
        <v>131</v>
      </c>
      <c r="D20" s="565">
        <f>'Lap. Opr. Program REGULER'!F21</f>
        <v>2035402.86</v>
      </c>
      <c r="E20" s="566">
        <f>'Lap. Opr. Program REGULER'!G21</f>
        <v>4313</v>
      </c>
      <c r="F20" s="3050">
        <f>'Lap. Opr. Program REGULER'!H21</f>
        <v>9681</v>
      </c>
      <c r="G20" s="862">
        <f>E20+F20</f>
        <v>13994</v>
      </c>
      <c r="H20" s="863">
        <f>D20+G20</f>
        <v>2049396.86</v>
      </c>
      <c r="I20" s="560"/>
    </row>
    <row r="21" spans="1:10" s="561" customFormat="1" ht="28.5" customHeight="1">
      <c r="A21" s="559"/>
      <c r="B21" s="579" t="s">
        <v>130</v>
      </c>
      <c r="C21" s="569" t="s">
        <v>593</v>
      </c>
      <c r="D21" s="565">
        <f>'Lap. Opr. Program REGULER'!F22</f>
        <v>0</v>
      </c>
      <c r="E21" s="571">
        <f>'Lap. Opr. Program REGULER'!G22</f>
        <v>0</v>
      </c>
      <c r="F21" s="3051">
        <f>'Lap. Opr. Program REGULER'!H22</f>
        <v>0</v>
      </c>
      <c r="G21" s="862">
        <f>E21+F21</f>
        <v>0</v>
      </c>
      <c r="H21" s="863">
        <f>D21+G21</f>
        <v>0</v>
      </c>
      <c r="I21" s="560"/>
      <c r="J21" s="580"/>
    </row>
    <row r="22" spans="1:10" s="561" customFormat="1" ht="28.5" customHeight="1">
      <c r="A22" s="559"/>
      <c r="B22" s="579" t="s">
        <v>517</v>
      </c>
      <c r="C22" s="569" t="s">
        <v>133</v>
      </c>
      <c r="D22" s="565">
        <f>'Lap. Opr. Program REGULER'!F23</f>
        <v>34065843</v>
      </c>
      <c r="E22" s="581">
        <f>'Lap. Opr. Program REGULER'!G23</f>
        <v>117585</v>
      </c>
      <c r="F22" s="3053">
        <f>'Lap. Opr. Program REGULER'!H23</f>
        <v>233954</v>
      </c>
      <c r="G22" s="862">
        <f>E22+F22</f>
        <v>351539</v>
      </c>
      <c r="H22" s="863">
        <f>D22+G22</f>
        <v>34417382</v>
      </c>
      <c r="I22" s="560"/>
      <c r="J22" s="580"/>
    </row>
    <row r="23" spans="1:10" s="561" customFormat="1" ht="28.5" customHeight="1">
      <c r="A23" s="559"/>
      <c r="B23" s="579" t="s">
        <v>132</v>
      </c>
      <c r="C23" s="569" t="s">
        <v>949</v>
      </c>
      <c r="D23" s="565">
        <f>'Lap. Opr. Program REGULER'!F24</f>
        <v>0</v>
      </c>
      <c r="E23" s="581">
        <f>'Lap. Opr. Program REGULER'!G24</f>
        <v>0</v>
      </c>
      <c r="F23" s="3053">
        <f>'Lap. Opr. Program REGULER'!H24</f>
        <v>0</v>
      </c>
      <c r="G23" s="862">
        <f>E23+F23</f>
        <v>0</v>
      </c>
      <c r="H23" s="863">
        <f>D23+G23</f>
        <v>0</v>
      </c>
      <c r="I23" s="560"/>
      <c r="J23" s="580"/>
    </row>
    <row r="24" spans="1:10" s="561" customFormat="1" ht="28.5" customHeight="1">
      <c r="A24" s="559"/>
      <c r="B24" s="579" t="s">
        <v>950</v>
      </c>
      <c r="C24" s="569" t="s">
        <v>2342</v>
      </c>
      <c r="D24" s="565">
        <f>'Kas OP-UPK'!E11</f>
        <v>188698800</v>
      </c>
      <c r="E24" s="582">
        <f>'Kas OP-UPK'!E12</f>
        <v>0</v>
      </c>
      <c r="F24" s="3053">
        <f>'Kas OP-UPK'!E88</f>
        <v>0</v>
      </c>
      <c r="G24" s="862">
        <f>E24+F24</f>
        <v>0</v>
      </c>
      <c r="H24" s="863">
        <f>D24+G24</f>
        <v>188698800</v>
      </c>
      <c r="I24" s="560"/>
      <c r="J24" s="580"/>
    </row>
    <row r="25" spans="1:10" s="561" customFormat="1" ht="17.25" customHeight="1" thickBot="1">
      <c r="A25" s="559"/>
      <c r="B25" s="579"/>
      <c r="C25" s="569"/>
      <c r="D25" s="583"/>
      <c r="E25" s="573"/>
      <c r="F25" s="3054"/>
      <c r="G25" s="584"/>
      <c r="H25" s="585"/>
      <c r="I25" s="560"/>
    </row>
    <row r="26" spans="1:10" s="568" customFormat="1" ht="36" customHeight="1" thickBot="1">
      <c r="A26" s="562"/>
      <c r="B26" s="579"/>
      <c r="C26" s="586" t="s">
        <v>134</v>
      </c>
      <c r="D26" s="861">
        <f>D13+D19</f>
        <v>4360699445.8599997</v>
      </c>
      <c r="E26" s="858">
        <f>E13+E19</f>
        <v>102522398</v>
      </c>
      <c r="F26" s="3055">
        <f>F13+F19</f>
        <v>97666635</v>
      </c>
      <c r="G26" s="860">
        <f>G13+G19</f>
        <v>200189033</v>
      </c>
      <c r="H26" s="861">
        <f>H13+H19</f>
        <v>4560888478.8599997</v>
      </c>
      <c r="I26" s="567"/>
    </row>
    <row r="27" spans="1:10" ht="17.25" customHeight="1">
      <c r="A27" s="547"/>
      <c r="B27" s="587"/>
      <c r="C27" s="588"/>
      <c r="D27" s="589"/>
      <c r="E27" s="590"/>
      <c r="F27" s="3056"/>
      <c r="G27" s="591"/>
      <c r="H27" s="592"/>
      <c r="I27" s="548"/>
    </row>
    <row r="28" spans="1:10" ht="21.75" customHeight="1" thickBot="1">
      <c r="A28" s="547"/>
      <c r="B28" s="593" t="s">
        <v>183</v>
      </c>
      <c r="C28" s="594" t="s">
        <v>135</v>
      </c>
      <c r="D28" s="595"/>
      <c r="E28" s="596"/>
      <c r="F28" s="3057"/>
      <c r="G28" s="597"/>
      <c r="H28" s="598"/>
      <c r="I28" s="548"/>
    </row>
    <row r="29" spans="1:10" s="568" customFormat="1" ht="27.75" customHeight="1" thickBot="1">
      <c r="A29" s="562"/>
      <c r="B29" s="872" t="s">
        <v>184</v>
      </c>
      <c r="C29" s="865" t="s">
        <v>594</v>
      </c>
      <c r="D29" s="866">
        <f>SUM(D30:D31)</f>
        <v>0</v>
      </c>
      <c r="E29" s="867">
        <f>SUM(E30:E31)</f>
        <v>0</v>
      </c>
      <c r="F29" s="3049">
        <f>SUM(F30:F31)</f>
        <v>0</v>
      </c>
      <c r="G29" s="868">
        <f>SUM(G30:G31)</f>
        <v>0</v>
      </c>
      <c r="H29" s="866">
        <f>SUM(H30:H31)</f>
        <v>0</v>
      </c>
      <c r="I29" s="567"/>
    </row>
    <row r="30" spans="1:10" s="561" customFormat="1" ht="28.5" customHeight="1">
      <c r="A30" s="559"/>
      <c r="B30" s="563" t="s">
        <v>137</v>
      </c>
      <c r="C30" s="599" t="s">
        <v>595</v>
      </c>
      <c r="D30" s="565"/>
      <c r="E30" s="566"/>
      <c r="F30" s="3050"/>
      <c r="G30" s="862">
        <f>E30+F30</f>
        <v>0</v>
      </c>
      <c r="H30" s="863">
        <f>D30+G30</f>
        <v>0</v>
      </c>
      <c r="I30" s="560"/>
    </row>
    <row r="31" spans="1:10" s="561" customFormat="1" ht="28.5" customHeight="1">
      <c r="A31" s="559"/>
      <c r="B31" s="579" t="s">
        <v>139</v>
      </c>
      <c r="C31" s="600" t="s">
        <v>596</v>
      </c>
      <c r="D31" s="565"/>
      <c r="E31" s="571"/>
      <c r="F31" s="3051"/>
      <c r="G31" s="862">
        <f>E31+F31</f>
        <v>0</v>
      </c>
      <c r="H31" s="863">
        <f>D31+G31</f>
        <v>0</v>
      </c>
      <c r="I31" s="560"/>
    </row>
    <row r="32" spans="1:10" s="561" customFormat="1" ht="16.5" customHeight="1" thickBot="1">
      <c r="A32" s="559"/>
      <c r="B32" s="601"/>
      <c r="C32" s="602"/>
      <c r="D32" s="603"/>
      <c r="E32" s="604"/>
      <c r="F32" s="3058"/>
      <c r="G32" s="870"/>
      <c r="H32" s="871"/>
      <c r="I32" s="560"/>
    </row>
    <row r="33" spans="1:12" s="568" customFormat="1" ht="27.75" customHeight="1" thickBot="1">
      <c r="A33" s="562"/>
      <c r="B33" s="864" t="s">
        <v>185</v>
      </c>
      <c r="C33" s="865" t="s">
        <v>136</v>
      </c>
      <c r="D33" s="866">
        <f>SUM(D34:D39)</f>
        <v>1130502747.6111112</v>
      </c>
      <c r="E33" s="867">
        <f>SUM(E34:E39)</f>
        <v>25415100</v>
      </c>
      <c r="F33" s="3049">
        <f>SUM(F34:F39)</f>
        <v>8065655</v>
      </c>
      <c r="G33" s="868">
        <f>SUM(G34:G39)</f>
        <v>33480755</v>
      </c>
      <c r="H33" s="866">
        <f>SUM(H34:H39)</f>
        <v>1128439211.6388888</v>
      </c>
      <c r="I33" s="567"/>
      <c r="K33" s="568">
        <v>245124190</v>
      </c>
      <c r="L33" s="568">
        <f>G33-K33</f>
        <v>-211643435</v>
      </c>
    </row>
    <row r="34" spans="1:12" s="561" customFormat="1" ht="28.5" customHeight="1">
      <c r="A34" s="559"/>
      <c r="B34" s="563" t="s">
        <v>597</v>
      </c>
      <c r="C34" s="564" t="s">
        <v>138</v>
      </c>
      <c r="D34" s="565">
        <f>'Lap. Opr. Program REGULER'!F33</f>
        <v>464886000</v>
      </c>
      <c r="E34" s="566">
        <f>'Lap. Opr. Program REGULER'!G33</f>
        <v>9200000</v>
      </c>
      <c r="F34" s="3050">
        <f>'Lap. Opr. Program REGULER'!H33</f>
        <v>0</v>
      </c>
      <c r="G34" s="862">
        <f t="shared" ref="G34:G39" si="0">E34+F34</f>
        <v>9200000</v>
      </c>
      <c r="H34" s="863">
        <f t="shared" ref="H34:H39" si="1">D34+G34</f>
        <v>474086000</v>
      </c>
      <c r="I34" s="560"/>
      <c r="K34" s="561">
        <v>112412000</v>
      </c>
      <c r="L34" s="561">
        <f>G34-K34</f>
        <v>-103212000</v>
      </c>
    </row>
    <row r="35" spans="1:12" s="561" customFormat="1" ht="28.5" customHeight="1">
      <c r="A35" s="559"/>
      <c r="B35" s="579" t="s">
        <v>598</v>
      </c>
      <c r="C35" s="569" t="s">
        <v>140</v>
      </c>
      <c r="D35" s="565">
        <f>'Lap. Opr. Program REGULER'!F34</f>
        <v>136093179</v>
      </c>
      <c r="E35" s="571">
        <f>'Lap. Opr. Program REGULER'!G34</f>
        <v>1767700</v>
      </c>
      <c r="F35" s="3051">
        <f>'Lap. Opr. Program REGULER'!H34</f>
        <v>1419500</v>
      </c>
      <c r="G35" s="862">
        <f t="shared" si="0"/>
        <v>3187200</v>
      </c>
      <c r="H35" s="863">
        <f t="shared" si="1"/>
        <v>139280379</v>
      </c>
      <c r="I35" s="560"/>
      <c r="K35" s="561">
        <v>17754450</v>
      </c>
      <c r="L35" s="561">
        <f>G35-K35</f>
        <v>-14567250</v>
      </c>
    </row>
    <row r="36" spans="1:12" s="561" customFormat="1" ht="28.5" customHeight="1">
      <c r="A36" s="559"/>
      <c r="B36" s="579" t="s">
        <v>599</v>
      </c>
      <c r="C36" s="569" t="s">
        <v>141</v>
      </c>
      <c r="D36" s="565">
        <f>'Lap. Opr. Program REGULER'!F35</f>
        <v>20549000</v>
      </c>
      <c r="E36" s="571">
        <f>'Lap. Opr. Program REGULER'!G35</f>
        <v>50000</v>
      </c>
      <c r="F36" s="3051">
        <f>'Lap. Opr. Program REGULER'!H35</f>
        <v>150000</v>
      </c>
      <c r="G36" s="862">
        <f t="shared" si="0"/>
        <v>200000</v>
      </c>
      <c r="H36" s="863">
        <f t="shared" si="1"/>
        <v>20749000</v>
      </c>
      <c r="I36" s="560"/>
    </row>
    <row r="37" spans="1:12" s="561" customFormat="1" ht="28.5" customHeight="1">
      <c r="A37" s="559"/>
      <c r="B37" s="579" t="s">
        <v>600</v>
      </c>
      <c r="C37" s="605" t="s">
        <v>142</v>
      </c>
      <c r="D37" s="565">
        <f>'Lap. Opr. Program REGULER'!F36</f>
        <v>3600000</v>
      </c>
      <c r="E37" s="571">
        <f>'Lap. Opr. Program REGULER'!G36</f>
        <v>0</v>
      </c>
      <c r="F37" s="3051">
        <f>'Lap. Opr. Program REGULER'!H36</f>
        <v>0</v>
      </c>
      <c r="G37" s="862">
        <f t="shared" si="0"/>
        <v>0</v>
      </c>
      <c r="H37" s="863">
        <f t="shared" si="1"/>
        <v>3600000</v>
      </c>
      <c r="I37" s="560"/>
    </row>
    <row r="38" spans="1:12" s="561" customFormat="1" ht="28.5" customHeight="1">
      <c r="A38" s="559"/>
      <c r="B38" s="579" t="s">
        <v>601</v>
      </c>
      <c r="C38" s="605" t="s">
        <v>143</v>
      </c>
      <c r="D38" s="565">
        <f>'Lap. Opr. Program REGULER'!F37</f>
        <v>78989893.61111109</v>
      </c>
      <c r="E38" s="572">
        <f>'Lap. Opr. Program REGULER'!G37</f>
        <v>6.9849193096160889E-10</v>
      </c>
      <c r="F38" s="3051">
        <f>'Lap. Opr. Program REGULER'!H37</f>
        <v>1016955.0000000001</v>
      </c>
      <c r="G38" s="862">
        <f t="shared" si="0"/>
        <v>1016955.0000000008</v>
      </c>
      <c r="H38" s="863">
        <v>44462557.638888888</v>
      </c>
      <c r="I38" s="560"/>
    </row>
    <row r="39" spans="1:12" s="561" customFormat="1" ht="28.5" customHeight="1">
      <c r="A39" s="559"/>
      <c r="B39" s="579" t="s">
        <v>602</v>
      </c>
      <c r="C39" s="569" t="s">
        <v>556</v>
      </c>
      <c r="D39" s="565">
        <f>'Lap. Opr. Program REGULER'!F38</f>
        <v>426384675</v>
      </c>
      <c r="E39" s="571">
        <f>'Lap. Opr. Program REGULER'!G38</f>
        <v>14397400</v>
      </c>
      <c r="F39" s="3051">
        <f>'Lap. Opr. Program REGULER'!H38</f>
        <v>5479200</v>
      </c>
      <c r="G39" s="862">
        <f t="shared" si="0"/>
        <v>19876600</v>
      </c>
      <c r="H39" s="863">
        <f t="shared" si="1"/>
        <v>446261275</v>
      </c>
      <c r="I39" s="560"/>
      <c r="K39" s="561">
        <v>95632200</v>
      </c>
      <c r="L39" s="561">
        <f>G39-K39</f>
        <v>-75755600</v>
      </c>
    </row>
    <row r="40" spans="1:12" s="561" customFormat="1" ht="17.25" customHeight="1" thickBot="1">
      <c r="A40" s="559"/>
      <c r="B40" s="606"/>
      <c r="C40" s="574"/>
      <c r="D40" s="583"/>
      <c r="E40" s="573"/>
      <c r="F40" s="3054"/>
      <c r="G40" s="584"/>
      <c r="H40" s="585"/>
      <c r="I40" s="560"/>
      <c r="L40" s="561">
        <f>SUM(L33:L39)</f>
        <v>-405178285</v>
      </c>
    </row>
    <row r="41" spans="1:12" s="568" customFormat="1" ht="27.75" customHeight="1" thickBot="1">
      <c r="A41" s="562"/>
      <c r="B41" s="864" t="s">
        <v>186</v>
      </c>
      <c r="C41" s="865" t="s">
        <v>144</v>
      </c>
      <c r="D41" s="866">
        <f>'Lap. Opr. Program REGULER'!F41</f>
        <v>0</v>
      </c>
      <c r="E41" s="867">
        <f>'Lap. Opr. Program REGULER'!G41</f>
        <v>0</v>
      </c>
      <c r="F41" s="3049">
        <f>'Lap. Opr. Program REGULER'!H41</f>
        <v>0</v>
      </c>
      <c r="G41" s="868">
        <f>E41+F41</f>
        <v>0</v>
      </c>
      <c r="H41" s="869">
        <f>D41+G41</f>
        <v>0</v>
      </c>
      <c r="I41" s="567"/>
    </row>
    <row r="42" spans="1:12" s="561" customFormat="1" ht="17.25" customHeight="1" thickBot="1">
      <c r="A42" s="559"/>
      <c r="B42" s="601"/>
      <c r="C42" s="602"/>
      <c r="D42" s="575"/>
      <c r="E42" s="576"/>
      <c r="F42" s="3052"/>
      <c r="G42" s="577"/>
      <c r="H42" s="578"/>
      <c r="I42" s="560"/>
    </row>
    <row r="43" spans="1:12" s="568" customFormat="1" ht="27.75" customHeight="1" thickBot="1">
      <c r="A43" s="562"/>
      <c r="B43" s="864" t="s">
        <v>603</v>
      </c>
      <c r="C43" s="865" t="s">
        <v>145</v>
      </c>
      <c r="D43" s="866">
        <f>SUM(D44:D52)</f>
        <v>10256826</v>
      </c>
      <c r="E43" s="867">
        <f>SUM(E44:E52)</f>
        <v>35517</v>
      </c>
      <c r="F43" s="3049">
        <f>SUM(F44:F52)</f>
        <v>60726</v>
      </c>
      <c r="G43" s="868">
        <f>SUM(G44:G52)</f>
        <v>96243</v>
      </c>
      <c r="H43" s="866">
        <f>SUM(H44:H52)</f>
        <v>10353069</v>
      </c>
      <c r="I43" s="567"/>
    </row>
    <row r="44" spans="1:12" s="561" customFormat="1" ht="28.5" customHeight="1">
      <c r="A44" s="559"/>
      <c r="B44" s="563" t="s">
        <v>604</v>
      </c>
      <c r="C44" s="564" t="s">
        <v>146</v>
      </c>
      <c r="D44" s="565">
        <f>'Lap. Opr. Program REGULER'!F46</f>
        <v>388386</v>
      </c>
      <c r="E44" s="566">
        <f>'Lap. Opr. Program REGULER'!G46</f>
        <v>0</v>
      </c>
      <c r="F44" s="3050">
        <f>'Lap. Opr. Program REGULER'!H46</f>
        <v>1936</v>
      </c>
      <c r="G44" s="862">
        <f t="shared" ref="G44:G52" si="2">E44+F44</f>
        <v>1936</v>
      </c>
      <c r="H44" s="863">
        <f t="shared" ref="H44:H52" si="3">D44+G44</f>
        <v>390322</v>
      </c>
      <c r="I44" s="560"/>
    </row>
    <row r="45" spans="1:12" s="561" customFormat="1" ht="28.5" customHeight="1">
      <c r="A45" s="559"/>
      <c r="B45" s="579" t="s">
        <v>605</v>
      </c>
      <c r="C45" s="569" t="s">
        <v>606</v>
      </c>
      <c r="D45" s="565">
        <f>'Lap. Opr. Program REGULER'!F47</f>
        <v>0</v>
      </c>
      <c r="E45" s="571">
        <f>'Lap. Opr. Program REGULER'!G47</f>
        <v>0</v>
      </c>
      <c r="F45" s="3051">
        <f>'Lap. Opr. Program REGULER'!H47</f>
        <v>0</v>
      </c>
      <c r="G45" s="862">
        <f t="shared" si="2"/>
        <v>0</v>
      </c>
      <c r="H45" s="863">
        <f t="shared" si="3"/>
        <v>0</v>
      </c>
      <c r="I45" s="560"/>
    </row>
    <row r="46" spans="1:12" s="561" customFormat="1" ht="28.5" customHeight="1">
      <c r="A46" s="559"/>
      <c r="B46" s="579" t="s">
        <v>607</v>
      </c>
      <c r="C46" s="569" t="s">
        <v>170</v>
      </c>
      <c r="D46" s="565">
        <f>'Lap. Opr. Program REGULER'!F48</f>
        <v>6424006</v>
      </c>
      <c r="E46" s="571">
        <f>'Lap. Opr. Program REGULER'!G48</f>
        <v>23517</v>
      </c>
      <c r="F46" s="3051">
        <f>'Lap. Opr. Program REGULER'!H48</f>
        <v>46790</v>
      </c>
      <c r="G46" s="862">
        <f t="shared" si="2"/>
        <v>70307</v>
      </c>
      <c r="H46" s="863">
        <f t="shared" si="3"/>
        <v>6494313</v>
      </c>
      <c r="I46" s="560"/>
    </row>
    <row r="47" spans="1:12" s="561" customFormat="1" ht="28.5" customHeight="1">
      <c r="A47" s="559"/>
      <c r="B47" s="579" t="s">
        <v>608</v>
      </c>
      <c r="C47" s="569" t="s">
        <v>951</v>
      </c>
      <c r="D47" s="565">
        <f>'Lap. Opr. Program REGULER'!F49</f>
        <v>0</v>
      </c>
      <c r="E47" s="571">
        <f>'Lap. Opr. Program REGULER'!G49</f>
        <v>0</v>
      </c>
      <c r="F47" s="3051">
        <f>'Lap. Opr. Program REGULER'!H49</f>
        <v>0</v>
      </c>
      <c r="G47" s="862">
        <f>E47+F47</f>
        <v>0</v>
      </c>
      <c r="H47" s="863">
        <f>D47+G47</f>
        <v>0</v>
      </c>
      <c r="I47" s="560"/>
    </row>
    <row r="48" spans="1:12" s="561" customFormat="1" ht="28.5" customHeight="1">
      <c r="A48" s="559"/>
      <c r="B48" s="579" t="s">
        <v>609</v>
      </c>
      <c r="C48" s="569" t="s">
        <v>147</v>
      </c>
      <c r="D48" s="570">
        <f>'Lap. Opr. Program REGULER'!F52</f>
        <v>455695</v>
      </c>
      <c r="E48" s="571">
        <f>'Lap. Opr. Program REGULER'!G52</f>
        <v>5000</v>
      </c>
      <c r="F48" s="3051">
        <f>'Lap. Opr. Program REGULER'!H52</f>
        <v>5000</v>
      </c>
      <c r="G48" s="862">
        <f t="shared" si="2"/>
        <v>10000</v>
      </c>
      <c r="H48" s="863">
        <f t="shared" si="3"/>
        <v>465695</v>
      </c>
      <c r="I48" s="560"/>
    </row>
    <row r="49" spans="1:11" s="561" customFormat="1" ht="28.5" customHeight="1">
      <c r="A49" s="559"/>
      <c r="B49" s="579" t="s">
        <v>611</v>
      </c>
      <c r="C49" s="569" t="s">
        <v>610</v>
      </c>
      <c r="D49" s="570">
        <f>'Lap. Opr. Program REGULER'!F53</f>
        <v>0</v>
      </c>
      <c r="E49" s="571">
        <f>'Lap. Opr. Program REGULER'!G53</f>
        <v>0</v>
      </c>
      <c r="F49" s="3051">
        <f>'Lap. Opr. Program REGULER'!H53</f>
        <v>0</v>
      </c>
      <c r="G49" s="862">
        <f t="shared" si="2"/>
        <v>0</v>
      </c>
      <c r="H49" s="863">
        <f t="shared" si="3"/>
        <v>0</v>
      </c>
      <c r="I49" s="560"/>
    </row>
    <row r="50" spans="1:11" s="561" customFormat="1" ht="28.5" customHeight="1">
      <c r="A50" s="559"/>
      <c r="B50" s="579" t="s">
        <v>612</v>
      </c>
      <c r="C50" s="569" t="s">
        <v>148</v>
      </c>
      <c r="D50" s="570">
        <f>'Lap. Opr. Program REGULER'!F54</f>
        <v>488739</v>
      </c>
      <c r="E50" s="571">
        <f>'Lap. Opr. Program REGULER'!G54</f>
        <v>7000</v>
      </c>
      <c r="F50" s="3051">
        <f>'Lap. Opr. Program REGULER'!H54</f>
        <v>7000</v>
      </c>
      <c r="G50" s="862">
        <f t="shared" si="2"/>
        <v>14000</v>
      </c>
      <c r="H50" s="863">
        <f t="shared" si="3"/>
        <v>502739</v>
      </c>
      <c r="I50" s="560"/>
    </row>
    <row r="51" spans="1:11" s="561" customFormat="1" ht="28.5" customHeight="1">
      <c r="A51" s="559"/>
      <c r="B51" s="579" t="s">
        <v>953</v>
      </c>
      <c r="C51" s="569" t="s">
        <v>952</v>
      </c>
      <c r="D51" s="570">
        <f>'Lap. Opr. Program REGULER'!F55</f>
        <v>0</v>
      </c>
      <c r="E51" s="571">
        <f>'Lap. Opr. Program REGULER'!G55</f>
        <v>0</v>
      </c>
      <c r="F51" s="3051">
        <f>'Lap. Opr. Program REGULER'!H55</f>
        <v>0</v>
      </c>
      <c r="G51" s="862">
        <f>E51+F51</f>
        <v>0</v>
      </c>
      <c r="H51" s="863">
        <f>D51+G51</f>
        <v>0</v>
      </c>
      <c r="I51" s="560"/>
    </row>
    <row r="52" spans="1:11" s="561" customFormat="1" ht="28.5" customHeight="1">
      <c r="A52" s="559"/>
      <c r="B52" s="579" t="s">
        <v>954</v>
      </c>
      <c r="C52" s="569" t="s">
        <v>548</v>
      </c>
      <c r="D52" s="570">
        <f>Inventaris!N73+'Kas OP-UPK'!AB11</f>
        <v>2500000</v>
      </c>
      <c r="E52" s="571">
        <f>'Kas OP-UPK'!AB12</f>
        <v>0</v>
      </c>
      <c r="F52" s="3051">
        <f>'Kas OP-UPK'!AB88</f>
        <v>0</v>
      </c>
      <c r="G52" s="862">
        <f t="shared" si="2"/>
        <v>0</v>
      </c>
      <c r="H52" s="863">
        <f t="shared" si="3"/>
        <v>2500000</v>
      </c>
      <c r="I52" s="560"/>
    </row>
    <row r="53" spans="1:11" s="615" customFormat="1" ht="16.5" customHeight="1" thickBot="1">
      <c r="A53" s="607"/>
      <c r="B53" s="608"/>
      <c r="C53" s="609"/>
      <c r="D53" s="610"/>
      <c r="E53" s="611"/>
      <c r="F53" s="3059"/>
      <c r="G53" s="612"/>
      <c r="H53" s="613"/>
      <c r="I53" s="614"/>
    </row>
    <row r="54" spans="1:11" s="568" customFormat="1" ht="36" customHeight="1" thickBot="1">
      <c r="A54" s="562"/>
      <c r="B54" s="616"/>
      <c r="C54" s="586" t="s">
        <v>149</v>
      </c>
      <c r="D54" s="861">
        <f>D29+D33+D41+D43</f>
        <v>1140759573.6111112</v>
      </c>
      <c r="E54" s="858">
        <f>E29+E33+E41+E43</f>
        <v>25450617</v>
      </c>
      <c r="F54" s="3055">
        <f>F29+F33+F41+F43</f>
        <v>8126381</v>
      </c>
      <c r="G54" s="860">
        <f>G29+G33+G41+G43</f>
        <v>33576998</v>
      </c>
      <c r="H54" s="861">
        <f>H29+H33+H41+H43</f>
        <v>1138792280.6388888</v>
      </c>
      <c r="I54" s="567"/>
    </row>
    <row r="55" spans="1:11" ht="17.25" customHeight="1" thickBot="1">
      <c r="A55" s="547"/>
      <c r="B55" s="596"/>
      <c r="C55" s="617"/>
      <c r="D55" s="618"/>
      <c r="E55" s="619"/>
      <c r="F55" s="3060"/>
      <c r="G55" s="620"/>
      <c r="H55" s="621"/>
      <c r="I55" s="548"/>
    </row>
    <row r="56" spans="1:11" s="568" customFormat="1" ht="36" customHeight="1" thickBot="1">
      <c r="A56" s="562"/>
      <c r="B56" s="3641" t="s">
        <v>391</v>
      </c>
      <c r="C56" s="3642"/>
      <c r="D56" s="2541">
        <f>D26-D54</f>
        <v>3219939872.2488885</v>
      </c>
      <c r="E56" s="858">
        <f>E26-E54</f>
        <v>77071781</v>
      </c>
      <c r="F56" s="3055">
        <f>F26-F54</f>
        <v>89540254</v>
      </c>
      <c r="G56" s="859">
        <f>G26-G54</f>
        <v>166612035</v>
      </c>
      <c r="H56" s="857">
        <f>H26-H54</f>
        <v>3422096198.2211108</v>
      </c>
      <c r="I56" s="567"/>
    </row>
    <row r="57" spans="1:11" ht="36" customHeight="1">
      <c r="A57" s="547"/>
      <c r="B57" s="3643" t="s">
        <v>549</v>
      </c>
      <c r="C57" s="3644"/>
      <c r="D57" s="2937">
        <f>'Tutup Buku'!F31</f>
        <v>545733500</v>
      </c>
      <c r="E57" s="622"/>
      <c r="F57" s="3061"/>
      <c r="G57" s="622"/>
      <c r="H57" s="622"/>
      <c r="I57" s="548"/>
    </row>
    <row r="58" spans="1:11" ht="36" customHeight="1" thickBot="1">
      <c r="A58" s="547"/>
      <c r="B58" s="3645" t="s">
        <v>550</v>
      </c>
      <c r="C58" s="3646"/>
      <c r="D58" s="2542">
        <f>D56-D57</f>
        <v>2674206372.2488885</v>
      </c>
      <c r="E58" s="623"/>
      <c r="F58" s="3062"/>
      <c r="G58" s="623"/>
      <c r="H58" s="623"/>
      <c r="I58" s="548"/>
    </row>
    <row r="59" spans="1:11" ht="18" customHeight="1">
      <c r="A59" s="547"/>
      <c r="B59" s="855"/>
      <c r="C59" s="855"/>
      <c r="D59" s="856"/>
      <c r="E59" s="623"/>
      <c r="F59" s="3062"/>
      <c r="G59" s="623"/>
      <c r="H59" s="623"/>
      <c r="I59" s="548"/>
    </row>
    <row r="60" spans="1:11" s="627" customFormat="1" ht="19.5" customHeight="1" thickBot="1">
      <c r="A60" s="624"/>
      <c r="B60" s="625"/>
      <c r="C60" s="625"/>
      <c r="D60" s="625"/>
      <c r="E60" s="625"/>
      <c r="F60" s="3063"/>
      <c r="G60" s="625"/>
      <c r="H60" s="625"/>
      <c r="I60" s="626"/>
      <c r="K60" s="628"/>
    </row>
    <row r="61" spans="1:11" ht="17.25" customHeight="1" thickTop="1"/>
  </sheetData>
  <sheetProtection formatColumns="0" formatRows="0"/>
  <mergeCells count="11">
    <mergeCell ref="B56:C56"/>
    <mergeCell ref="B57:C57"/>
    <mergeCell ref="B58:C58"/>
    <mergeCell ref="B2:H2"/>
    <mergeCell ref="B3:H3"/>
    <mergeCell ref="B4:H4"/>
    <mergeCell ref="B10:B11"/>
    <mergeCell ref="C10:C11"/>
    <mergeCell ref="D10:D11"/>
    <mergeCell ref="E10:G10"/>
    <mergeCell ref="H10:H11"/>
  </mergeCells>
  <printOptions horizontalCentered="1" verticalCentered="1"/>
  <pageMargins left="0.18" right="0.23622047244094499" top="0.23622047244094499" bottom="0.23622047244094499" header="0.511811023622047" footer="0.511811023622047"/>
  <pageSetup paperSize="9" scale="50" orientation="portrait" horizontalDpi="4294967294" verticalDpi="4294967294" r:id="rId1"/>
  <headerFooter alignWithMargins="0"/>
  <drawing r:id="rId2"/>
  <legacyDrawing r:id="rId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rgb="FFFF0000"/>
  </sheetPr>
  <dimension ref="A1:P51"/>
  <sheetViews>
    <sheetView zoomScale="70" zoomScaleNormal="70" workbookViewId="0">
      <selection activeCell="D15" sqref="D15"/>
    </sheetView>
  </sheetViews>
  <sheetFormatPr defaultColWidth="9.140625" defaultRowHeight="21.75" customHeight="1"/>
  <cols>
    <col min="1" max="1" width="4" style="633" customWidth="1"/>
    <col min="2" max="2" width="8.140625" style="633" customWidth="1"/>
    <col min="3" max="3" width="38.42578125" style="633" customWidth="1"/>
    <col min="4" max="4" width="18.140625" style="702" customWidth="1"/>
    <col min="5" max="5" width="19.85546875" style="702" customWidth="1"/>
    <col min="6" max="6" width="9.140625" style="633"/>
    <col min="7" max="7" width="41.28515625" style="633" customWidth="1"/>
    <col min="8" max="8" width="19.140625" style="702" customWidth="1"/>
    <col min="9" max="9" width="4" style="633" customWidth="1"/>
    <col min="10" max="10" width="9.140625" style="633" customWidth="1"/>
    <col min="11" max="11" width="9.28515625" style="633" customWidth="1"/>
    <col min="12" max="12" width="26.28515625" style="633" customWidth="1"/>
    <col min="13" max="15" width="9.28515625" style="633" customWidth="1"/>
    <col min="16" max="16384" width="9.140625" style="633"/>
  </cols>
  <sheetData>
    <row r="1" spans="1:16" ht="21" customHeight="1" thickTop="1" thickBot="1">
      <c r="A1" s="629"/>
      <c r="B1" s="630"/>
      <c r="C1" s="630"/>
      <c r="D1" s="631"/>
      <c r="E1" s="631"/>
      <c r="F1" s="630"/>
      <c r="G1" s="630"/>
      <c r="H1" s="631"/>
      <c r="I1" s="632"/>
    </row>
    <row r="2" spans="1:16" s="636" customFormat="1" ht="27.75" customHeight="1" thickTop="1">
      <c r="A2" s="634"/>
      <c r="B2" s="3525" t="s">
        <v>0</v>
      </c>
      <c r="C2" s="3525"/>
      <c r="D2" s="3525"/>
      <c r="E2" s="3525"/>
      <c r="F2" s="3525"/>
      <c r="G2" s="3525"/>
      <c r="H2" s="3525"/>
      <c r="I2" s="635"/>
    </row>
    <row r="3" spans="1:16" s="636" customFormat="1" ht="27.75" customHeight="1">
      <c r="A3" s="634"/>
      <c r="B3" s="3525" t="s">
        <v>387</v>
      </c>
      <c r="C3" s="3525"/>
      <c r="D3" s="3525"/>
      <c r="E3" s="3525"/>
      <c r="F3" s="3525"/>
      <c r="G3" s="3525"/>
      <c r="H3" s="3525"/>
      <c r="I3" s="635"/>
      <c r="L3" s="637"/>
      <c r="M3" s="637"/>
      <c r="N3" s="637"/>
      <c r="O3" s="637"/>
      <c r="P3" s="637"/>
    </row>
    <row r="4" spans="1:16" s="636" customFormat="1" ht="27.75" customHeight="1" thickBot="1">
      <c r="A4" s="634"/>
      <c r="B4" s="3525" t="str">
        <f>"Per - "&amp;DT!D25</f>
        <v>Per - Februari 2016</v>
      </c>
      <c r="C4" s="3525"/>
      <c r="D4" s="3525"/>
      <c r="E4" s="3525"/>
      <c r="F4" s="3525"/>
      <c r="G4" s="3525"/>
      <c r="H4" s="3525"/>
      <c r="I4" s="635"/>
      <c r="L4" s="637"/>
      <c r="M4" s="637"/>
      <c r="N4" s="637"/>
      <c r="O4" s="637"/>
      <c r="P4" s="637"/>
    </row>
    <row r="5" spans="1:16" ht="21.75" customHeight="1" thickTop="1">
      <c r="A5" s="638"/>
      <c r="B5" s="639"/>
      <c r="C5" s="639"/>
      <c r="D5" s="640"/>
      <c r="E5" s="640"/>
      <c r="F5" s="639"/>
      <c r="G5" s="639"/>
      <c r="H5" s="640"/>
      <c r="I5" s="641"/>
      <c r="J5" s="642"/>
      <c r="K5" s="642"/>
      <c r="L5" s="643"/>
      <c r="M5" s="643"/>
      <c r="N5" s="643"/>
      <c r="O5" s="643"/>
      <c r="P5" s="643"/>
    </row>
    <row r="6" spans="1:16" ht="21.75" customHeight="1">
      <c r="A6" s="638"/>
      <c r="B6" s="644"/>
      <c r="C6" s="645" t="s">
        <v>86</v>
      </c>
      <c r="D6" s="916" t="str">
        <f>": "&amp;DT!D3</f>
        <v>: Nagrak</v>
      </c>
      <c r="E6" s="646"/>
      <c r="F6" s="647"/>
      <c r="G6" s="647"/>
      <c r="H6" s="646"/>
      <c r="I6" s="648"/>
      <c r="J6" s="649"/>
      <c r="K6" s="649"/>
      <c r="L6" s="650"/>
      <c r="M6" s="650"/>
      <c r="N6" s="643"/>
      <c r="O6" s="643"/>
      <c r="P6" s="643"/>
    </row>
    <row r="7" spans="1:16" ht="21.75" customHeight="1">
      <c r="A7" s="638"/>
      <c r="B7" s="644"/>
      <c r="C7" s="645" t="s">
        <v>87</v>
      </c>
      <c r="D7" s="916" t="str">
        <f>": "&amp;DT!D4</f>
        <v>: Sukabumi</v>
      </c>
      <c r="E7" s="646"/>
      <c r="F7" s="647"/>
      <c r="G7" s="647"/>
      <c r="H7" s="646"/>
      <c r="I7" s="648"/>
      <c r="J7" s="649"/>
      <c r="K7" s="649"/>
      <c r="L7" s="650"/>
      <c r="M7" s="650"/>
      <c r="N7" s="643"/>
      <c r="O7" s="643"/>
      <c r="P7" s="643"/>
    </row>
    <row r="8" spans="1:16" ht="21.75" customHeight="1">
      <c r="A8" s="638"/>
      <c r="B8" s="644"/>
      <c r="C8" s="645" t="s">
        <v>88</v>
      </c>
      <c r="D8" s="916" t="str">
        <f>": "&amp;DT!D5</f>
        <v>: Jawa Barat</v>
      </c>
      <c r="E8" s="646"/>
      <c r="F8" s="647"/>
      <c r="G8" s="647"/>
      <c r="H8" s="646"/>
      <c r="I8" s="648"/>
      <c r="J8" s="649"/>
      <c r="K8" s="649"/>
      <c r="L8" s="650"/>
      <c r="M8" s="650"/>
      <c r="N8" s="643"/>
      <c r="O8" s="643"/>
      <c r="P8" s="643"/>
    </row>
    <row r="9" spans="1:16" ht="21.75" customHeight="1" thickBot="1">
      <c r="A9" s="638"/>
      <c r="B9" s="647"/>
      <c r="C9" s="647"/>
      <c r="D9" s="646"/>
      <c r="E9" s="646"/>
      <c r="F9" s="647"/>
      <c r="G9" s="647"/>
      <c r="H9" s="646"/>
      <c r="I9" s="648"/>
      <c r="J9" s="649"/>
      <c r="K9" s="649"/>
      <c r="L9" s="650"/>
      <c r="M9" s="650"/>
      <c r="N9" s="643"/>
      <c r="O9" s="643"/>
      <c r="P9" s="643"/>
    </row>
    <row r="10" spans="1:16" s="653" customFormat="1" ht="33.75" customHeight="1" thickBot="1">
      <c r="A10" s="651"/>
      <c r="B10" s="3651" t="s">
        <v>89</v>
      </c>
      <c r="C10" s="3651"/>
      <c r="D10" s="3651"/>
      <c r="E10" s="3651"/>
      <c r="F10" s="3651" t="s">
        <v>90</v>
      </c>
      <c r="G10" s="3651"/>
      <c r="H10" s="3651"/>
      <c r="I10" s="652"/>
      <c r="L10" s="654"/>
      <c r="M10" s="654"/>
      <c r="N10" s="654"/>
      <c r="O10" s="654"/>
      <c r="P10" s="654"/>
    </row>
    <row r="11" spans="1:16" s="663" customFormat="1" ht="21.75" customHeight="1" thickTop="1">
      <c r="A11" s="655"/>
      <c r="B11" s="656" t="s">
        <v>177</v>
      </c>
      <c r="C11" s="657" t="s">
        <v>91</v>
      </c>
      <c r="D11" s="658"/>
      <c r="E11" s="659"/>
      <c r="F11" s="660" t="s">
        <v>178</v>
      </c>
      <c r="G11" s="657" t="s">
        <v>92</v>
      </c>
      <c r="H11" s="661"/>
      <c r="I11" s="662"/>
      <c r="L11" s="664"/>
      <c r="M11" s="664"/>
      <c r="N11" s="664"/>
      <c r="O11" s="664"/>
      <c r="P11" s="664"/>
    </row>
    <row r="12" spans="1:16" s="663" customFormat="1" ht="21.75" customHeight="1">
      <c r="A12" s="655"/>
      <c r="B12" s="665" t="s">
        <v>93</v>
      </c>
      <c r="C12" s="666" t="s">
        <v>15</v>
      </c>
      <c r="D12" s="667"/>
      <c r="E12" s="668"/>
      <c r="F12" s="669" t="s">
        <v>230</v>
      </c>
      <c r="G12" s="670" t="s">
        <v>543</v>
      </c>
      <c r="H12" s="875">
        <f>'Neraca Program REGULER'!G11</f>
        <v>33010000</v>
      </c>
      <c r="I12" s="662"/>
      <c r="L12" s="664"/>
      <c r="M12" s="664"/>
      <c r="N12" s="664"/>
      <c r="O12" s="664"/>
      <c r="P12" s="664"/>
    </row>
    <row r="13" spans="1:16" s="663" customFormat="1" ht="21.75" customHeight="1">
      <c r="A13" s="655"/>
      <c r="B13" s="665" t="s">
        <v>973</v>
      </c>
      <c r="C13" s="670" t="s">
        <v>95</v>
      </c>
      <c r="D13" s="873">
        <f>'Neraca Program REGULER'!D14</f>
        <v>129250</v>
      </c>
      <c r="E13" s="668"/>
      <c r="F13" s="669" t="s">
        <v>231</v>
      </c>
      <c r="G13" s="670" t="s">
        <v>545</v>
      </c>
      <c r="H13" s="875">
        <f>'Neraca Program REGULER'!G12</f>
        <v>43000000</v>
      </c>
      <c r="I13" s="662"/>
      <c r="L13" s="664"/>
      <c r="M13" s="664"/>
      <c r="N13" s="664"/>
      <c r="O13" s="664"/>
      <c r="P13" s="664"/>
    </row>
    <row r="14" spans="1:16" s="663" customFormat="1" ht="21.75" customHeight="1">
      <c r="A14" s="655"/>
      <c r="B14" s="665" t="s">
        <v>94</v>
      </c>
      <c r="C14" s="670" t="s">
        <v>613</v>
      </c>
      <c r="D14" s="873">
        <f>'Neraca Program REGULER'!D15</f>
        <v>0</v>
      </c>
      <c r="E14" s="668"/>
      <c r="F14" s="669" t="s">
        <v>232</v>
      </c>
      <c r="G14" s="670" t="s">
        <v>544</v>
      </c>
      <c r="H14" s="875">
        <f>('Kas OP-UPK'!I90+'Kas UEP'!G42+'Kas SPP'!G367+'Kas SPP Pihak ke-3'!G42)-('Kas OP-UPK'!X90+'Kas UEP'!K42+'Kas SPP'!K367+'Kas SPP Pihak ke-3'!K42)</f>
        <v>-25000000</v>
      </c>
      <c r="I14" s="662"/>
      <c r="L14" s="664"/>
      <c r="M14" s="664"/>
      <c r="N14" s="664"/>
      <c r="O14" s="664"/>
      <c r="P14" s="664"/>
    </row>
    <row r="15" spans="1:16" s="663" customFormat="1" ht="21.75" customHeight="1">
      <c r="A15" s="655"/>
      <c r="B15" s="665" t="s">
        <v>96</v>
      </c>
      <c r="C15" s="670" t="s">
        <v>97</v>
      </c>
      <c r="D15" s="873">
        <f>'Neraca Program REGULER'!D16</f>
        <v>0</v>
      </c>
      <c r="E15" s="668"/>
      <c r="F15" s="669" t="s">
        <v>2346</v>
      </c>
      <c r="G15" s="670" t="s">
        <v>2347</v>
      </c>
      <c r="H15" s="671">
        <f>'BUKU HUTANG &amp; HIBAH'!E284</f>
        <v>19980000</v>
      </c>
      <c r="I15" s="662"/>
      <c r="L15" s="664"/>
      <c r="M15" s="664"/>
      <c r="N15" s="664"/>
      <c r="O15" s="664"/>
      <c r="P15" s="664"/>
    </row>
    <row r="16" spans="1:16" s="663" customFormat="1" ht="21.75" customHeight="1">
      <c r="A16" s="655"/>
      <c r="B16" s="665" t="s">
        <v>614</v>
      </c>
      <c r="C16" s="670" t="s">
        <v>972</v>
      </c>
      <c r="D16" s="873">
        <f>'Neraca Program REGULER'!D17</f>
        <v>0</v>
      </c>
      <c r="E16" s="668"/>
      <c r="F16" s="669"/>
      <c r="G16" s="670"/>
      <c r="H16" s="671"/>
      <c r="I16" s="662"/>
      <c r="L16" s="664"/>
      <c r="M16" s="664"/>
      <c r="N16" s="664"/>
      <c r="O16" s="664"/>
      <c r="P16" s="664"/>
    </row>
    <row r="17" spans="1:16" s="663" customFormat="1" ht="21.75" customHeight="1">
      <c r="A17" s="655"/>
      <c r="B17" s="665"/>
      <c r="C17" s="672" t="s">
        <v>98</v>
      </c>
      <c r="D17" s="667"/>
      <c r="E17" s="874">
        <f>SUM(D13:D16)</f>
        <v>129250</v>
      </c>
      <c r="F17" s="673"/>
      <c r="G17" s="674"/>
      <c r="H17" s="671"/>
      <c r="I17" s="662"/>
      <c r="L17" s="664"/>
      <c r="M17" s="664"/>
      <c r="N17" s="664"/>
      <c r="O17" s="664"/>
      <c r="P17" s="664"/>
    </row>
    <row r="18" spans="1:16" s="663" customFormat="1" ht="21.75" customHeight="1">
      <c r="A18" s="655"/>
      <c r="B18" s="665"/>
      <c r="C18" s="670"/>
      <c r="D18" s="667"/>
      <c r="E18" s="668"/>
      <c r="F18" s="675"/>
      <c r="G18" s="676"/>
      <c r="H18" s="671"/>
      <c r="I18" s="662"/>
      <c r="L18" s="664"/>
      <c r="M18" s="664"/>
      <c r="N18" s="664"/>
      <c r="O18" s="664"/>
      <c r="P18" s="664"/>
    </row>
    <row r="19" spans="1:16" s="663" customFormat="1" ht="21.75" customHeight="1">
      <c r="A19" s="655"/>
      <c r="B19" s="665" t="s">
        <v>99</v>
      </c>
      <c r="C19" s="666" t="s">
        <v>100</v>
      </c>
      <c r="D19" s="667"/>
      <c r="E19" s="677"/>
      <c r="F19" s="675"/>
      <c r="G19" s="676"/>
      <c r="H19" s="671"/>
      <c r="I19" s="662"/>
      <c r="L19" s="664"/>
      <c r="M19" s="664"/>
      <c r="N19" s="664"/>
      <c r="O19" s="664"/>
      <c r="P19" s="664"/>
    </row>
    <row r="20" spans="1:16" s="663" customFormat="1" ht="21.75" customHeight="1">
      <c r="A20" s="655"/>
      <c r="B20" s="665" t="s">
        <v>102</v>
      </c>
      <c r="C20" s="670" t="s">
        <v>104</v>
      </c>
      <c r="D20" s="873">
        <f>'Neraca Program REGULER'!D23</f>
        <v>35096029.859999895</v>
      </c>
      <c r="E20" s="668"/>
      <c r="F20" s="678"/>
      <c r="G20" s="679"/>
      <c r="H20" s="680"/>
      <c r="I20" s="662"/>
      <c r="K20" s="664"/>
      <c r="L20" s="664"/>
      <c r="M20" s="664"/>
      <c r="N20" s="664"/>
      <c r="O20" s="664"/>
    </row>
    <row r="21" spans="1:16" s="663" customFormat="1" ht="21.75" customHeight="1">
      <c r="A21" s="655"/>
      <c r="B21" s="665" t="s">
        <v>103</v>
      </c>
      <c r="C21" s="670" t="s">
        <v>615</v>
      </c>
      <c r="D21" s="873">
        <f>'Neraca Program REGULER'!D24</f>
        <v>0</v>
      </c>
      <c r="E21" s="668"/>
      <c r="F21" s="678"/>
      <c r="G21" s="679"/>
      <c r="H21" s="680"/>
      <c r="I21" s="662"/>
      <c r="K21" s="664"/>
      <c r="L21" s="664"/>
      <c r="M21" s="664"/>
      <c r="N21" s="664"/>
      <c r="O21" s="664"/>
    </row>
    <row r="22" spans="1:16" s="663" customFormat="1" ht="21.75" customHeight="1">
      <c r="A22" s="655"/>
      <c r="B22" s="665" t="s">
        <v>616</v>
      </c>
      <c r="C22" s="670" t="s">
        <v>105</v>
      </c>
      <c r="D22" s="873">
        <f>'Neraca Program REGULER'!D25</f>
        <v>13002776</v>
      </c>
      <c r="E22" s="668"/>
      <c r="F22" s="678" t="s">
        <v>179</v>
      </c>
      <c r="G22" s="679" t="s">
        <v>101</v>
      </c>
      <c r="H22" s="671"/>
      <c r="I22" s="662"/>
      <c r="K22" s="664"/>
      <c r="L22" s="664"/>
      <c r="M22" s="664"/>
      <c r="N22" s="664"/>
      <c r="O22" s="664"/>
    </row>
    <row r="23" spans="1:16" s="663" customFormat="1" ht="21.75" customHeight="1">
      <c r="A23" s="655"/>
      <c r="B23" s="665" t="s">
        <v>971</v>
      </c>
      <c r="C23" s="670" t="s">
        <v>970</v>
      </c>
      <c r="D23" s="873">
        <f>'Neraca Program REGULER'!D26</f>
        <v>0</v>
      </c>
      <c r="E23" s="668"/>
      <c r="F23" s="681" t="s">
        <v>173</v>
      </c>
      <c r="G23" s="670" t="s">
        <v>617</v>
      </c>
      <c r="H23" s="875">
        <f>'Arus Dana'!F56+'Arus Dana'!F83+'Arus Dana'!F93</f>
        <v>0</v>
      </c>
      <c r="I23" s="662"/>
      <c r="K23" s="664"/>
      <c r="L23" s="664"/>
      <c r="M23" s="664"/>
      <c r="N23" s="664"/>
      <c r="O23" s="664"/>
    </row>
    <row r="24" spans="1:16" s="663" customFormat="1" ht="21.75" customHeight="1">
      <c r="A24" s="655"/>
      <c r="B24" s="682"/>
      <c r="C24" s="672" t="s">
        <v>107</v>
      </c>
      <c r="D24" s="667"/>
      <c r="E24" s="874">
        <f>SUM(D20:D23)</f>
        <v>48098805.859999895</v>
      </c>
      <c r="F24" s="681" t="s">
        <v>174</v>
      </c>
      <c r="G24" s="670" t="s">
        <v>388</v>
      </c>
      <c r="H24" s="875">
        <f>'Arus Dana'!F57+'Arus Dana'!F67+'Arus Dana'!F84+'Arus Dana'!F94</f>
        <v>1856350000</v>
      </c>
      <c r="I24" s="662"/>
    </row>
    <row r="25" spans="1:16" s="663" customFormat="1" ht="21.75" customHeight="1">
      <c r="A25" s="655"/>
      <c r="B25" s="665"/>
      <c r="C25" s="670"/>
      <c r="D25" s="667"/>
      <c r="E25" s="668"/>
      <c r="F25" s="681" t="s">
        <v>237</v>
      </c>
      <c r="G25" s="670" t="s">
        <v>848</v>
      </c>
      <c r="H25" s="875">
        <f>'Kas OP-UPK'!D90</f>
        <v>34271800</v>
      </c>
      <c r="I25" s="662"/>
    </row>
    <row r="26" spans="1:16" s="663" customFormat="1" ht="21.75" customHeight="1">
      <c r="A26" s="655"/>
      <c r="B26" s="665" t="s">
        <v>108</v>
      </c>
      <c r="C26" s="679" t="s">
        <v>49</v>
      </c>
      <c r="D26" s="683"/>
      <c r="E26" s="668"/>
      <c r="F26" s="681" t="s">
        <v>175</v>
      </c>
      <c r="G26" s="670" t="s">
        <v>551</v>
      </c>
      <c r="H26" s="875">
        <f>'Neraca Program REGULER'!G31</f>
        <v>47750000</v>
      </c>
      <c r="I26" s="662"/>
    </row>
    <row r="27" spans="1:16" s="663" customFormat="1" ht="21.75" customHeight="1">
      <c r="A27" s="655"/>
      <c r="B27" s="665" t="s">
        <v>618</v>
      </c>
      <c r="C27" s="670" t="s">
        <v>619</v>
      </c>
      <c r="D27" s="683"/>
      <c r="E27" s="874">
        <f>'Neraca Program REGULER'!D30</f>
        <v>0</v>
      </c>
      <c r="F27" s="681" t="s">
        <v>176</v>
      </c>
      <c r="G27" s="670" t="s">
        <v>389</v>
      </c>
      <c r="H27" s="875">
        <f>'R-L Microfinance'!D58</f>
        <v>2674206372.2488885</v>
      </c>
      <c r="I27" s="662"/>
    </row>
    <row r="28" spans="1:16" s="663" customFormat="1" ht="21.75" customHeight="1">
      <c r="A28" s="655"/>
      <c r="B28" s="665" t="s">
        <v>109</v>
      </c>
      <c r="C28" s="670" t="s">
        <v>25</v>
      </c>
      <c r="D28" s="683"/>
      <c r="E28" s="874">
        <f>'Neraca Program REGULER'!D31</f>
        <v>4481090600</v>
      </c>
      <c r="F28" s="681"/>
      <c r="G28" s="670"/>
      <c r="H28" s="671"/>
      <c r="I28" s="662"/>
    </row>
    <row r="29" spans="1:16" s="663" customFormat="1" ht="21.75" customHeight="1">
      <c r="A29" s="655"/>
      <c r="B29" s="665" t="s">
        <v>540</v>
      </c>
      <c r="C29" s="670" t="s">
        <v>945</v>
      </c>
      <c r="D29" s="683"/>
      <c r="E29" s="874">
        <f>'Neraca Program REGULER'!D32</f>
        <v>0</v>
      </c>
      <c r="F29" s="681"/>
      <c r="G29" s="670"/>
      <c r="H29" s="671"/>
      <c r="I29" s="662"/>
    </row>
    <row r="30" spans="1:16" s="663" customFormat="1" ht="21.75" customHeight="1">
      <c r="A30" s="655"/>
      <c r="B30" s="665" t="s">
        <v>946</v>
      </c>
      <c r="C30" s="670" t="s">
        <v>541</v>
      </c>
      <c r="D30" s="683"/>
      <c r="E30" s="874">
        <f>'Neraca Program REGULER'!D33</f>
        <v>0</v>
      </c>
      <c r="F30" s="681"/>
      <c r="G30" s="670"/>
      <c r="H30" s="671"/>
      <c r="I30" s="662"/>
      <c r="K30" s="664"/>
      <c r="L30" s="664"/>
      <c r="M30" s="664"/>
      <c r="N30" s="664"/>
      <c r="O30" s="664"/>
    </row>
    <row r="31" spans="1:16" s="663" customFormat="1" ht="21.75" customHeight="1">
      <c r="A31" s="655"/>
      <c r="B31" s="665"/>
      <c r="C31" s="670"/>
      <c r="D31" s="667"/>
      <c r="E31" s="668"/>
      <c r="F31" s="684"/>
      <c r="G31" s="670"/>
      <c r="H31" s="685"/>
      <c r="I31" s="662"/>
      <c r="K31" s="664"/>
      <c r="L31" s="664"/>
      <c r="M31" s="664"/>
      <c r="N31" s="664"/>
      <c r="O31" s="664"/>
    </row>
    <row r="32" spans="1:16" s="663" customFormat="1" ht="21.75" customHeight="1">
      <c r="A32" s="655"/>
      <c r="B32" s="665" t="s">
        <v>110</v>
      </c>
      <c r="C32" s="679" t="s">
        <v>111</v>
      </c>
      <c r="D32" s="873">
        <f>'Neraca Program REGULER'!D35</f>
        <v>5400000</v>
      </c>
      <c r="E32" s="668"/>
      <c r="F32" s="686" t="s">
        <v>180</v>
      </c>
      <c r="G32" s="679" t="s">
        <v>390</v>
      </c>
      <c r="H32" s="875">
        <f>'R-L Microfinance'!G56</f>
        <v>166612035</v>
      </c>
      <c r="I32" s="662"/>
      <c r="K32" s="664"/>
      <c r="L32" s="664"/>
      <c r="M32" s="664"/>
      <c r="N32" s="664"/>
      <c r="O32" s="664"/>
    </row>
    <row r="33" spans="1:16" s="663" customFormat="1" ht="21.75" customHeight="1">
      <c r="A33" s="655"/>
      <c r="B33" s="665"/>
      <c r="C33" s="670" t="s">
        <v>112</v>
      </c>
      <c r="D33" s="873">
        <f>'Neraca Program REGULER'!D36</f>
        <v>3600000</v>
      </c>
      <c r="E33" s="668"/>
      <c r="F33" s="684"/>
      <c r="G33" s="670"/>
      <c r="H33" s="680"/>
      <c r="I33" s="662"/>
      <c r="K33" s="664"/>
      <c r="L33" s="664"/>
      <c r="M33" s="664"/>
      <c r="N33" s="664"/>
      <c r="O33" s="664"/>
    </row>
    <row r="34" spans="1:16" s="663" customFormat="1" ht="21.75" customHeight="1">
      <c r="A34" s="655"/>
      <c r="B34" s="665"/>
      <c r="C34" s="670" t="s">
        <v>113</v>
      </c>
      <c r="D34" s="667"/>
      <c r="E34" s="874">
        <f>D32-D33</f>
        <v>1800000</v>
      </c>
      <c r="F34" s="684"/>
      <c r="G34" s="670"/>
      <c r="H34" s="680"/>
      <c r="I34" s="662"/>
      <c r="L34" s="664"/>
      <c r="M34" s="664"/>
      <c r="N34" s="664"/>
      <c r="O34" s="664"/>
      <c r="P34" s="664"/>
    </row>
    <row r="35" spans="1:16" s="663" customFormat="1" ht="21.75" customHeight="1">
      <c r="A35" s="655"/>
      <c r="B35" s="665"/>
      <c r="C35" s="670"/>
      <c r="D35" s="667"/>
      <c r="E35" s="668"/>
      <c r="F35" s="684"/>
      <c r="G35" s="670"/>
      <c r="H35" s="680"/>
      <c r="I35" s="662"/>
      <c r="L35" s="664"/>
      <c r="M35" s="664"/>
      <c r="N35" s="664"/>
      <c r="O35" s="664"/>
      <c r="P35" s="664"/>
    </row>
    <row r="36" spans="1:16" s="663" customFormat="1" ht="21.75" customHeight="1">
      <c r="A36" s="655"/>
      <c r="B36" s="665" t="s">
        <v>114</v>
      </c>
      <c r="C36" s="679" t="s">
        <v>34</v>
      </c>
      <c r="D36" s="873">
        <f>'Neraca Program REGULER'!D39</f>
        <v>119068400</v>
      </c>
      <c r="E36" s="668"/>
      <c r="F36" s="684"/>
      <c r="G36" s="670"/>
      <c r="H36" s="680"/>
      <c r="I36" s="662"/>
      <c r="L36" s="664"/>
      <c r="M36" s="664"/>
      <c r="N36" s="664"/>
      <c r="O36" s="664"/>
      <c r="P36" s="664"/>
    </row>
    <row r="37" spans="1:16" s="663" customFormat="1" ht="21.75" customHeight="1">
      <c r="A37" s="655"/>
      <c r="B37" s="665"/>
      <c r="C37" s="670" t="s">
        <v>552</v>
      </c>
      <c r="D37" s="873">
        <f>'Neraca Program REGULER'!D40</f>
        <v>80006848.61111109</v>
      </c>
      <c r="E37" s="668"/>
      <c r="F37" s="687"/>
      <c r="G37" s="670"/>
      <c r="H37" s="680"/>
      <c r="I37" s="662"/>
      <c r="L37" s="664"/>
      <c r="M37" s="664"/>
      <c r="N37" s="664"/>
      <c r="O37" s="664"/>
      <c r="P37" s="664"/>
    </row>
    <row r="38" spans="1:16" s="663" customFormat="1" ht="21.75" customHeight="1">
      <c r="A38" s="655"/>
      <c r="B38" s="665"/>
      <c r="C38" s="670" t="s">
        <v>115</v>
      </c>
      <c r="D38" s="667"/>
      <c r="E38" s="874">
        <f>D36-D37</f>
        <v>39061551.38888891</v>
      </c>
      <c r="F38" s="687"/>
      <c r="G38" s="670"/>
      <c r="H38" s="688"/>
      <c r="I38" s="662"/>
      <c r="L38" s="664"/>
      <c r="M38" s="664"/>
      <c r="N38" s="664"/>
      <c r="O38" s="664"/>
      <c r="P38" s="664"/>
    </row>
    <row r="39" spans="1:16" s="663" customFormat="1" ht="21.75" customHeight="1">
      <c r="A39" s="655"/>
      <c r="B39" s="665"/>
      <c r="C39" s="670"/>
      <c r="D39" s="667"/>
      <c r="E39" s="668"/>
      <c r="F39" s="687"/>
      <c r="G39" s="670"/>
      <c r="H39" s="680"/>
      <c r="I39" s="662"/>
      <c r="L39" s="664"/>
      <c r="M39" s="664"/>
      <c r="N39" s="664"/>
      <c r="O39" s="664"/>
      <c r="P39" s="664"/>
    </row>
    <row r="40" spans="1:16" s="663" customFormat="1" ht="21.75" customHeight="1">
      <c r="A40" s="655"/>
      <c r="B40" s="665" t="s">
        <v>116</v>
      </c>
      <c r="C40" s="679" t="s">
        <v>516</v>
      </c>
      <c r="D40" s="873">
        <f>'Neraca Program REGULER'!D44</f>
        <v>250000000</v>
      </c>
      <c r="E40" s="668"/>
      <c r="F40" s="687"/>
      <c r="G40" s="670"/>
      <c r="H40" s="680"/>
      <c r="I40" s="662"/>
      <c r="L40" s="664"/>
      <c r="M40" s="664"/>
      <c r="N40" s="664"/>
      <c r="O40" s="664"/>
      <c r="P40" s="664"/>
    </row>
    <row r="41" spans="1:16" s="663" customFormat="1" ht="21.75" customHeight="1">
      <c r="A41" s="655"/>
      <c r="B41" s="665"/>
      <c r="C41" s="670" t="s">
        <v>542</v>
      </c>
      <c r="D41" s="667"/>
      <c r="E41" s="874">
        <f>D40</f>
        <v>250000000</v>
      </c>
      <c r="F41" s="687"/>
      <c r="G41" s="670"/>
      <c r="H41" s="680"/>
      <c r="I41" s="662"/>
      <c r="L41" s="664"/>
      <c r="M41" s="664"/>
      <c r="N41" s="664"/>
      <c r="O41" s="664"/>
      <c r="P41" s="664"/>
    </row>
    <row r="42" spans="1:16" s="663" customFormat="1" ht="21.75" customHeight="1">
      <c r="A42" s="655"/>
      <c r="B42" s="665"/>
      <c r="C42" s="670"/>
      <c r="D42" s="667"/>
      <c r="E42" s="1429"/>
      <c r="F42" s="687"/>
      <c r="G42" s="670"/>
      <c r="H42" s="680"/>
      <c r="I42" s="662"/>
      <c r="L42" s="664"/>
      <c r="M42" s="664"/>
      <c r="N42" s="664"/>
      <c r="O42" s="664"/>
      <c r="P42" s="664"/>
    </row>
    <row r="43" spans="1:16" s="663" customFormat="1" ht="21.75" customHeight="1">
      <c r="A43" s="655"/>
      <c r="B43" s="1428" t="s">
        <v>1296</v>
      </c>
      <c r="C43" s="679" t="s">
        <v>1232</v>
      </c>
      <c r="D43" s="873">
        <f>'Aktiva Tetap &amp; Aktv Lain2'!G31</f>
        <v>0</v>
      </c>
      <c r="E43" s="668"/>
      <c r="F43" s="687"/>
      <c r="G43" s="670"/>
      <c r="H43" s="680"/>
      <c r="I43" s="662"/>
      <c r="L43" s="664"/>
      <c r="M43" s="664"/>
      <c r="N43" s="664"/>
      <c r="O43" s="664"/>
      <c r="P43" s="664"/>
    </row>
    <row r="44" spans="1:16" s="663" customFormat="1" ht="21.75" customHeight="1">
      <c r="A44" s="655"/>
      <c r="B44" s="1428"/>
      <c r="C44" s="670" t="s">
        <v>1297</v>
      </c>
      <c r="D44" s="667"/>
      <c r="E44" s="874">
        <f>D43</f>
        <v>0</v>
      </c>
      <c r="F44" s="687"/>
      <c r="G44" s="670"/>
      <c r="H44" s="680"/>
      <c r="I44" s="662"/>
      <c r="L44" s="664"/>
      <c r="M44" s="664"/>
      <c r="N44" s="664"/>
      <c r="O44" s="664"/>
      <c r="P44" s="664"/>
    </row>
    <row r="45" spans="1:16" s="663" customFormat="1" ht="21.75" customHeight="1">
      <c r="A45" s="655"/>
      <c r="B45" s="665"/>
      <c r="C45" s="670"/>
      <c r="D45" s="667"/>
      <c r="E45" s="668"/>
      <c r="F45" s="687"/>
      <c r="G45" s="670"/>
      <c r="H45" s="680"/>
      <c r="I45" s="662"/>
      <c r="L45" s="664"/>
      <c r="M45" s="664"/>
      <c r="N45" s="664"/>
      <c r="O45" s="664"/>
      <c r="P45" s="664"/>
    </row>
    <row r="46" spans="1:16" s="663" customFormat="1" ht="21.75" customHeight="1">
      <c r="A46" s="655"/>
      <c r="B46" s="689" t="s">
        <v>171</v>
      </c>
      <c r="C46" s="690" t="s">
        <v>553</v>
      </c>
      <c r="D46" s="691"/>
      <c r="E46" s="876">
        <f>H48-SUM(E17:E44)</f>
        <v>29999999.999999046</v>
      </c>
      <c r="F46" s="687"/>
      <c r="G46" s="670"/>
      <c r="H46" s="680"/>
      <c r="I46" s="662"/>
      <c r="L46" s="664"/>
      <c r="M46" s="664"/>
      <c r="N46" s="664"/>
    </row>
    <row r="47" spans="1:16" s="663" customFormat="1" ht="21.75" customHeight="1" thickBot="1">
      <c r="A47" s="655"/>
      <c r="B47" s="692"/>
      <c r="C47" s="693"/>
      <c r="D47" s="694"/>
      <c r="E47" s="695"/>
      <c r="F47" s="696"/>
      <c r="G47" s="693"/>
      <c r="H47" s="697"/>
      <c r="I47" s="662"/>
      <c r="L47" s="664"/>
      <c r="M47" s="664"/>
      <c r="N47" s="664"/>
    </row>
    <row r="48" spans="1:16" s="663" customFormat="1" ht="33.75" customHeight="1" thickTop="1" thickBot="1">
      <c r="A48" s="655"/>
      <c r="B48" s="3648" t="s">
        <v>118</v>
      </c>
      <c r="C48" s="3649"/>
      <c r="D48" s="2477"/>
      <c r="E48" s="2478">
        <f>SUM(E17:E46)</f>
        <v>4850180207.248888</v>
      </c>
      <c r="F48" s="3649" t="s">
        <v>119</v>
      </c>
      <c r="G48" s="3650"/>
      <c r="H48" s="2479">
        <f>SUM(H12:H32)</f>
        <v>4850180207.248888</v>
      </c>
      <c r="I48" s="662"/>
      <c r="L48" s="3042"/>
      <c r="M48" s="664"/>
      <c r="N48" s="664"/>
    </row>
    <row r="49" spans="1:14" ht="17.25" customHeight="1" thickBot="1">
      <c r="A49" s="698"/>
      <c r="B49" s="699"/>
      <c r="C49" s="699"/>
      <c r="D49" s="700"/>
      <c r="E49" s="700"/>
      <c r="F49" s="699"/>
      <c r="G49" s="699"/>
      <c r="H49" s="700"/>
      <c r="I49" s="701"/>
    </row>
    <row r="50" spans="1:14" ht="21.75" customHeight="1" thickTop="1">
      <c r="I50" s="643"/>
      <c r="J50" s="643"/>
      <c r="K50" s="643"/>
      <c r="L50" s="643"/>
      <c r="M50" s="643"/>
      <c r="N50" s="643"/>
    </row>
    <row r="51" spans="1:14" ht="21.75" customHeight="1">
      <c r="I51" s="643"/>
      <c r="J51" s="643"/>
      <c r="K51" s="643"/>
      <c r="L51" s="643"/>
      <c r="M51" s="643"/>
      <c r="N51" s="643"/>
    </row>
  </sheetData>
  <sheetProtection formatColumns="0" formatRows="0"/>
  <mergeCells count="7">
    <mergeCell ref="B48:C48"/>
    <mergeCell ref="F48:G48"/>
    <mergeCell ref="B2:H2"/>
    <mergeCell ref="B3:H3"/>
    <mergeCell ref="B4:H4"/>
    <mergeCell ref="B10:E10"/>
    <mergeCell ref="F10:H10"/>
  </mergeCells>
  <printOptions horizontalCentered="1"/>
  <pageMargins left="0.51181102362204722" right="0.23622047244094491" top="0.86" bottom="0.23622047244094491" header="0.9055118110236221" footer="0.27559055118110237"/>
  <pageSetup paperSize="9" scale="59" orientation="portrait" cellComments="asDisplayed" horizontalDpi="4294967294" verticalDpi="4294967294" r:id="rId1"/>
  <headerFooter alignWithMargins="0"/>
  <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tabColor rgb="FF00B050"/>
  </sheetPr>
  <dimension ref="A1:K187"/>
  <sheetViews>
    <sheetView topLeftCell="A85" workbookViewId="0"/>
  </sheetViews>
  <sheetFormatPr defaultColWidth="9.140625" defaultRowHeight="12.75"/>
  <cols>
    <col min="1" max="1" width="2.140625" style="704" customWidth="1"/>
    <col min="2" max="2" width="45.42578125" style="704" customWidth="1"/>
    <col min="3" max="3" width="24.7109375" style="1036" customWidth="1"/>
    <col min="4" max="4" width="18.85546875" style="1036" customWidth="1"/>
    <col min="5" max="5" width="6.7109375" style="1036" hidden="1" customWidth="1"/>
    <col min="6" max="6" width="19.85546875" style="1036" customWidth="1"/>
    <col min="7" max="7" width="5.7109375" style="704" customWidth="1"/>
    <col min="8" max="8" width="17" style="1036" bestFit="1" customWidth="1"/>
    <col min="9" max="9" width="25.28515625" style="704" customWidth="1"/>
    <col min="10" max="10" width="9.140625" style="704"/>
    <col min="11" max="11" width="16.5703125" style="720" bestFit="1" customWidth="1"/>
    <col min="12" max="16384" width="9.140625" style="704"/>
  </cols>
  <sheetData>
    <row r="1" spans="1:9">
      <c r="A1" s="703" t="s">
        <v>620</v>
      </c>
      <c r="F1" s="1037" t="s">
        <v>621</v>
      </c>
    </row>
    <row r="2" spans="1:9">
      <c r="A2" s="3410" t="s">
        <v>622</v>
      </c>
      <c r="B2" s="3410"/>
      <c r="F2" s="1038"/>
    </row>
    <row r="4" spans="1:9" ht="15.75">
      <c r="A4" s="3599" t="s">
        <v>822</v>
      </c>
      <c r="B4" s="3599"/>
      <c r="C4" s="3599"/>
      <c r="D4" s="3599"/>
      <c r="E4" s="3599"/>
      <c r="F4" s="3599"/>
      <c r="G4" s="705"/>
    </row>
    <row r="5" spans="1:9" ht="15.75">
      <c r="A5" s="3599" t="str">
        <f>"Periode Bulan  "&amp;DT!D25</f>
        <v>Periode Bulan  Februari 2016</v>
      </c>
      <c r="B5" s="3599"/>
      <c r="C5" s="3599"/>
      <c r="D5" s="3599"/>
      <c r="E5" s="3599"/>
      <c r="F5" s="3599"/>
      <c r="G5" s="706"/>
    </row>
    <row r="6" spans="1:9" ht="15.75">
      <c r="A6" s="3599" t="str">
        <f>"KECAMATAN  "&amp;DT!D3 &amp;" - KABUPATEN SUKABUMI"</f>
        <v>KECAMATAN  Nagrak - KABUPATEN SUKABUMI</v>
      </c>
      <c r="B6" s="3599"/>
      <c r="C6" s="3599"/>
      <c r="D6" s="3599"/>
      <c r="E6" s="3599"/>
      <c r="F6" s="3599"/>
      <c r="G6" s="707"/>
    </row>
    <row r="7" spans="1:9" ht="10.5" customHeight="1">
      <c r="A7" s="708"/>
      <c r="B7" s="711"/>
      <c r="C7" s="1041"/>
      <c r="D7" s="1041"/>
      <c r="E7" s="1041"/>
      <c r="F7" s="1041"/>
    </row>
    <row r="8" spans="1:9" ht="25.5">
      <c r="A8" s="3652" t="s">
        <v>369</v>
      </c>
      <c r="B8" s="3652"/>
      <c r="C8" s="2463" t="s">
        <v>623</v>
      </c>
      <c r="D8" s="2463" t="s">
        <v>370</v>
      </c>
      <c r="E8" s="2463" t="s">
        <v>372</v>
      </c>
      <c r="F8" s="2463" t="s">
        <v>371</v>
      </c>
    </row>
    <row r="9" spans="1:9" ht="16.5" customHeight="1">
      <c r="A9" s="709" t="s">
        <v>373</v>
      </c>
      <c r="B9" s="710"/>
      <c r="C9" s="1039">
        <f>'BUKU HUTANG &amp; HIBAH'!E203-(SUM('BUKU HUTANG &amp; HIBAH'!D166:D169))+(SUM('BUKU HUTANG &amp; HIBAH'!C186:C189))</f>
        <v>5400000</v>
      </c>
      <c r="D9" s="1040">
        <f>C139</f>
        <v>16743681</v>
      </c>
      <c r="E9" s="1040"/>
      <c r="F9" s="1040">
        <f>C9</f>
        <v>5400000</v>
      </c>
      <c r="H9" s="3410" t="s">
        <v>624</v>
      </c>
      <c r="I9" s="3410"/>
    </row>
    <row r="10" spans="1:9" ht="3.2" customHeight="1">
      <c r="A10" s="708"/>
      <c r="B10" s="711"/>
      <c r="C10" s="1041"/>
      <c r="D10" s="1041"/>
      <c r="E10" s="1041"/>
      <c r="F10" s="1041"/>
    </row>
    <row r="11" spans="1:9">
      <c r="A11" s="3410" t="s">
        <v>374</v>
      </c>
      <c r="B11" s="3410"/>
      <c r="C11" s="3410"/>
      <c r="D11" s="3410"/>
      <c r="E11" s="3410"/>
      <c r="F11" s="3410"/>
      <c r="G11" s="712"/>
      <c r="H11" s="1074"/>
    </row>
    <row r="12" spans="1:9" ht="3.2" customHeight="1">
      <c r="A12" s="714"/>
      <c r="B12" s="714"/>
      <c r="C12" s="1042"/>
      <c r="D12" s="1043"/>
      <c r="E12" s="1044"/>
      <c r="F12" s="1044"/>
      <c r="G12" s="713"/>
      <c r="H12" s="1074"/>
    </row>
    <row r="13" spans="1:9" ht="14.25" customHeight="1">
      <c r="A13" s="919"/>
      <c r="B13" s="920" t="s">
        <v>625</v>
      </c>
      <c r="C13" s="1045">
        <f>SUM(C14:C30)</f>
        <v>11742364700</v>
      </c>
      <c r="D13" s="1045">
        <f>SUM(D14:D30)</f>
        <v>0</v>
      </c>
      <c r="E13" s="1046"/>
      <c r="F13" s="1045">
        <f>C13+D13</f>
        <v>11742364700</v>
      </c>
      <c r="G13" s="713"/>
      <c r="H13" s="3410" t="s">
        <v>626</v>
      </c>
      <c r="I13" s="3410"/>
    </row>
    <row r="14" spans="1:9">
      <c r="A14" s="716"/>
      <c r="B14" s="717" t="s">
        <v>823</v>
      </c>
      <c r="C14" s="1047">
        <f>'Bank B PPK'!E11+'Bank B PPK'!E12</f>
        <v>0</v>
      </c>
      <c r="D14" s="1047">
        <f>'Bank B PPK'!E28</f>
        <v>0</v>
      </c>
      <c r="E14" s="1047"/>
      <c r="F14" s="1048">
        <f>C14+D14</f>
        <v>0</v>
      </c>
      <c r="G14" s="713"/>
      <c r="H14" s="1075">
        <f>F14+F15+F33</f>
        <v>0</v>
      </c>
      <c r="I14" s="718" t="s">
        <v>845</v>
      </c>
    </row>
    <row r="15" spans="1:9">
      <c r="A15" s="716"/>
      <c r="B15" s="717" t="s">
        <v>824</v>
      </c>
      <c r="C15" s="1047">
        <f>'Bank B PPK'!F11+'Bank B PPK'!F12</f>
        <v>0</v>
      </c>
      <c r="D15" s="1047">
        <f>'Bank B PPK'!F28</f>
        <v>0</v>
      </c>
      <c r="E15" s="1047"/>
      <c r="F15" s="1048">
        <f t="shared" ref="F15:F46" si="0">C15+D15</f>
        <v>0</v>
      </c>
      <c r="G15" s="713"/>
      <c r="H15" s="2966">
        <f>F16+F17+F34</f>
        <v>10665308952</v>
      </c>
      <c r="I15" s="719" t="s">
        <v>846</v>
      </c>
    </row>
    <row r="16" spans="1:9">
      <c r="A16" s="716"/>
      <c r="B16" s="717" t="s">
        <v>825</v>
      </c>
      <c r="C16" s="1047">
        <f>'Bank B PNPM-MPd'!E11+'Bank B PNPM-MPd'!E12+'Kas B PNPM-MPd'!F27</f>
        <v>9082565000</v>
      </c>
      <c r="D16" s="1047">
        <f>'Bank B PNPM-MPd'!E34</f>
        <v>0</v>
      </c>
      <c r="E16" s="1047"/>
      <c r="F16" s="1048">
        <f t="shared" si="0"/>
        <v>9082565000</v>
      </c>
      <c r="G16" s="713"/>
      <c r="H16" s="1076">
        <f>F18+F19+F35</f>
        <v>0</v>
      </c>
      <c r="I16" s="719" t="s">
        <v>627</v>
      </c>
    </row>
    <row r="17" spans="1:11">
      <c r="A17" s="716"/>
      <c r="B17" s="717" t="s">
        <v>826</v>
      </c>
      <c r="C17" s="1047">
        <f>'Bank B PNPM-MPd'!F11+'Bank B PNPM-MPd'!F12</f>
        <v>1567500000</v>
      </c>
      <c r="D17" s="1047">
        <f>'Bank B PNPM-MPd'!F34</f>
        <v>0</v>
      </c>
      <c r="E17" s="1047"/>
      <c r="F17" s="1048">
        <f t="shared" si="0"/>
        <v>1567500000</v>
      </c>
      <c r="G17" s="713"/>
      <c r="H17" s="1076">
        <f t="shared" ref="H17:H27" si="1">F20+F36</f>
        <v>500312232</v>
      </c>
      <c r="I17" s="719" t="s">
        <v>629</v>
      </c>
    </row>
    <row r="18" spans="1:11">
      <c r="A18" s="716"/>
      <c r="B18" s="717" t="s">
        <v>628</v>
      </c>
      <c r="C18" s="1047">
        <f>'Bank B GSC'!E11+'Bank B GSC'!E12</f>
        <v>0</v>
      </c>
      <c r="D18" s="1047">
        <f>'Bank B GSC'!E28</f>
        <v>0</v>
      </c>
      <c r="E18" s="1047"/>
      <c r="F18" s="1048">
        <f t="shared" si="0"/>
        <v>0</v>
      </c>
      <c r="G18" s="713"/>
      <c r="H18" s="1076">
        <f t="shared" si="1"/>
        <v>0</v>
      </c>
      <c r="I18" s="719" t="s">
        <v>631</v>
      </c>
    </row>
    <row r="19" spans="1:11">
      <c r="A19" s="716"/>
      <c r="B19" s="717" t="s">
        <v>630</v>
      </c>
      <c r="C19" s="1047">
        <f>'Bank B GSC'!F11+'Bank B GSC'!F12</f>
        <v>0</v>
      </c>
      <c r="D19" s="1047">
        <f>'Bank B GSC'!F28</f>
        <v>0</v>
      </c>
      <c r="E19" s="1047"/>
      <c r="F19" s="1048">
        <f t="shared" si="0"/>
        <v>0</v>
      </c>
      <c r="G19" s="713"/>
      <c r="H19" s="1201">
        <f t="shared" si="1"/>
        <v>0</v>
      </c>
      <c r="I19" s="1198" t="s">
        <v>633</v>
      </c>
    </row>
    <row r="20" spans="1:11">
      <c r="A20" s="716"/>
      <c r="B20" s="721" t="s">
        <v>632</v>
      </c>
      <c r="C20" s="1047">
        <f>'Bank B PNPM-TP GEMPA'!E11+'Bank B PNPM-TP GEMPA'!E12</f>
        <v>500000000</v>
      </c>
      <c r="D20" s="1047">
        <f>'Bank B PNPM-TP GEMPA'!E28</f>
        <v>0</v>
      </c>
      <c r="E20" s="1047"/>
      <c r="F20" s="1048">
        <f t="shared" si="0"/>
        <v>500000000</v>
      </c>
      <c r="G20" s="713"/>
      <c r="H20" s="2961">
        <f t="shared" si="1"/>
        <v>212398143</v>
      </c>
      <c r="I20" s="718" t="s">
        <v>635</v>
      </c>
    </row>
    <row r="21" spans="1:11">
      <c r="A21" s="716"/>
      <c r="B21" s="721" t="s">
        <v>634</v>
      </c>
      <c r="C21" s="1047">
        <f>'Bank B PASCA KRISIS'!E11+'Bank B PASCA KRISIS'!E12</f>
        <v>0</v>
      </c>
      <c r="D21" s="1047">
        <f>'Bank B PASCA KRISIS'!E28</f>
        <v>0</v>
      </c>
      <c r="E21" s="1047"/>
      <c r="F21" s="1048">
        <f t="shared" si="0"/>
        <v>0</v>
      </c>
      <c r="G21" s="713"/>
      <c r="H21" s="1076">
        <f t="shared" si="1"/>
        <v>0</v>
      </c>
      <c r="I21" s="719" t="s">
        <v>637</v>
      </c>
    </row>
    <row r="22" spans="1:11">
      <c r="A22" s="716"/>
      <c r="B22" s="1193" t="s">
        <v>636</v>
      </c>
      <c r="C22" s="1191"/>
      <c r="D22" s="1191"/>
      <c r="E22" s="1191"/>
      <c r="F22" s="1192">
        <f t="shared" si="0"/>
        <v>0</v>
      </c>
      <c r="G22" s="713"/>
      <c r="H22" s="1076">
        <f>F25+F41</f>
        <v>115763102</v>
      </c>
      <c r="I22" s="718" t="s">
        <v>639</v>
      </c>
    </row>
    <row r="23" spans="1:11">
      <c r="A23" s="716"/>
      <c r="B23" s="717" t="s">
        <v>638</v>
      </c>
      <c r="C23" s="1047">
        <f>'Bank DOK PERNC'!E11+'Bank DOK PERNC'!E12+'Kas DOK Pernc.'!F13+'Bank DOK PERNC'!G11</f>
        <v>210920000</v>
      </c>
      <c r="D23" s="1047">
        <f>'Bank DOK PERNC'!E28</f>
        <v>0</v>
      </c>
      <c r="E23" s="1047"/>
      <c r="F23" s="1048">
        <f t="shared" si="0"/>
        <v>210920000</v>
      </c>
      <c r="G23" s="713"/>
      <c r="H23" s="1076">
        <f t="shared" si="1"/>
        <v>0</v>
      </c>
      <c r="I23" s="719" t="s">
        <v>641</v>
      </c>
      <c r="K23" s="704"/>
    </row>
    <row r="24" spans="1:11">
      <c r="A24" s="716"/>
      <c r="B24" s="717" t="s">
        <v>640</v>
      </c>
      <c r="C24" s="1047">
        <f>'Bank DOK PERNC-GSC'!E11+'Bank DOK PERNC-GSC'!E12</f>
        <v>0</v>
      </c>
      <c r="D24" s="1047">
        <f>'Bank DOK PERNC-GSC'!E28</f>
        <v>0</v>
      </c>
      <c r="E24" s="1047"/>
      <c r="F24" s="1048">
        <f t="shared" si="0"/>
        <v>0</v>
      </c>
      <c r="G24" s="713"/>
      <c r="H24" s="1076">
        <f t="shared" si="1"/>
        <v>12042837</v>
      </c>
      <c r="I24" s="719" t="s">
        <v>2452</v>
      </c>
      <c r="K24" s="704"/>
    </row>
    <row r="25" spans="1:11">
      <c r="A25" s="716"/>
      <c r="B25" s="717" t="s">
        <v>642</v>
      </c>
      <c r="C25" s="1047">
        <f>'Bank DOK PELTH'!E11+'Bank DOK PELTH'!E12+'Kas DOK Pelth.'!G47</f>
        <v>113930000</v>
      </c>
      <c r="D25" s="1047">
        <f>'Bank DOK PELTH'!E28</f>
        <v>0</v>
      </c>
      <c r="E25" s="1047"/>
      <c r="F25" s="1048">
        <f t="shared" si="0"/>
        <v>113930000</v>
      </c>
      <c r="G25" s="713"/>
      <c r="H25" s="1076">
        <f t="shared" si="1"/>
        <v>50666121</v>
      </c>
      <c r="I25" s="719" t="s">
        <v>644</v>
      </c>
      <c r="K25" s="704"/>
    </row>
    <row r="26" spans="1:11">
      <c r="A26" s="716"/>
      <c r="B26" s="717" t="s">
        <v>643</v>
      </c>
      <c r="C26" s="1047">
        <f>'Bank DOK PELTH-GSC'!E11+'Bank DOK PELTH-GSC'!E12</f>
        <v>0</v>
      </c>
      <c r="D26" s="1047">
        <f>'Bank DOK PELTH-GSC'!E28</f>
        <v>0</v>
      </c>
      <c r="E26" s="1047"/>
      <c r="F26" s="1048">
        <f t="shared" si="0"/>
        <v>0</v>
      </c>
      <c r="G26" s="713"/>
      <c r="H26" s="1076">
        <f t="shared" si="1"/>
        <v>18664350</v>
      </c>
      <c r="I26" s="719" t="s">
        <v>559</v>
      </c>
    </row>
    <row r="27" spans="1:11">
      <c r="A27" s="716"/>
      <c r="B27" s="717" t="s">
        <v>2447</v>
      </c>
      <c r="C27" s="1047">
        <f>'Bank DOK PLUPK'!E11+'Bank DOK PLUPK'!E12</f>
        <v>12000000</v>
      </c>
      <c r="D27" s="1047">
        <f>'Bank DOK PLUPK'!E28</f>
        <v>0</v>
      </c>
      <c r="E27" s="1047"/>
      <c r="F27" s="1048">
        <f t="shared" si="0"/>
        <v>12000000</v>
      </c>
      <c r="G27" s="713"/>
      <c r="H27" s="1201">
        <f t="shared" si="1"/>
        <v>187295678</v>
      </c>
      <c r="I27" s="1198" t="s">
        <v>645</v>
      </c>
    </row>
    <row r="28" spans="1:11">
      <c r="A28" s="716"/>
      <c r="B28" s="717" t="s">
        <v>646</v>
      </c>
      <c r="C28" s="1047">
        <f>'Bank DOK GEMPA'!E11+'Bank DOK GEMPA'!E12</f>
        <v>50000000</v>
      </c>
      <c r="D28" s="1047">
        <f>'Bank DOK GEMPA'!E28</f>
        <v>0</v>
      </c>
      <c r="E28" s="1047"/>
      <c r="F28" s="1048">
        <f t="shared" si="0"/>
        <v>50000000</v>
      </c>
      <c r="G28" s="713"/>
      <c r="H28" s="1075"/>
      <c r="I28" s="719"/>
    </row>
    <row r="29" spans="1:11">
      <c r="A29" s="716"/>
      <c r="B29" s="717" t="s">
        <v>827</v>
      </c>
      <c r="C29" s="1047">
        <f>'Bank DOK RPJMDES'!E11+'Bank DOK RPJMDES'!E12</f>
        <v>18525000</v>
      </c>
      <c r="D29" s="1047">
        <f>'Bank DOK RPJMDES'!E28</f>
        <v>0</v>
      </c>
      <c r="E29" s="1047"/>
      <c r="F29" s="1048">
        <f t="shared" si="0"/>
        <v>18525000</v>
      </c>
      <c r="G29" s="713"/>
      <c r="H29" s="1076">
        <f>C9</f>
        <v>5400000</v>
      </c>
      <c r="I29" s="719" t="s">
        <v>647</v>
      </c>
    </row>
    <row r="30" spans="1:11">
      <c r="A30" s="716"/>
      <c r="B30" s="2784" t="s">
        <v>2302</v>
      </c>
      <c r="C30" s="2682">
        <f>SUM('Bank DOK PNPM MP 2012'!E11:F12)+'Kas DOK PNPM MP 2012'!F43</f>
        <v>186924700</v>
      </c>
      <c r="D30" s="2682">
        <f>SUM('Bank DOK PNPM MP 2012'!E28:F28)</f>
        <v>0</v>
      </c>
      <c r="E30" s="2682"/>
      <c r="F30" s="2785">
        <f t="shared" si="0"/>
        <v>186924700</v>
      </c>
      <c r="G30" s="713"/>
    </row>
    <row r="31" spans="1:11" ht="3.2" customHeight="1">
      <c r="A31" s="716"/>
      <c r="B31" s="717"/>
      <c r="C31" s="1047"/>
      <c r="D31" s="1047"/>
      <c r="E31" s="1047"/>
      <c r="F31" s="1047"/>
      <c r="G31" s="713"/>
      <c r="H31" s="1074"/>
    </row>
    <row r="32" spans="1:11" ht="14.25" customHeight="1">
      <c r="A32" s="921"/>
      <c r="B32" s="922" t="s">
        <v>648</v>
      </c>
      <c r="C32" s="1049">
        <f>SUM(C33:C46)</f>
        <v>20086715</v>
      </c>
      <c r="D32" s="1049">
        <f>SUM(D33:D46)</f>
        <v>0</v>
      </c>
      <c r="E32" s="1049"/>
      <c r="F32" s="1049">
        <f>C32+D32</f>
        <v>20086715</v>
      </c>
      <c r="G32" s="713"/>
      <c r="H32" s="3410" t="s">
        <v>382</v>
      </c>
      <c r="I32" s="3410"/>
    </row>
    <row r="33" spans="1:9">
      <c r="A33" s="716"/>
      <c r="B33" s="717" t="s">
        <v>836</v>
      </c>
      <c r="C33" s="1047">
        <f>'Bank B PPK'!H11+'Bank B PPK'!H12</f>
        <v>0</v>
      </c>
      <c r="D33" s="1047">
        <f>'Bank B PPK'!H28</f>
        <v>0</v>
      </c>
      <c r="E33" s="1047"/>
      <c r="F33" s="1048">
        <f t="shared" si="0"/>
        <v>0</v>
      </c>
      <c r="G33" s="713"/>
      <c r="H33" s="1077">
        <f>F52+F120</f>
        <v>0</v>
      </c>
      <c r="I33" s="722" t="s">
        <v>845</v>
      </c>
    </row>
    <row r="34" spans="1:9">
      <c r="A34" s="716"/>
      <c r="B34" s="717" t="s">
        <v>837</v>
      </c>
      <c r="C34" s="1047">
        <f>'Bank B PNPM-MPd'!H11+'Bank B PNPM-MPd'!H12</f>
        <v>15243952</v>
      </c>
      <c r="D34" s="1047">
        <f>'Bank B PNPM-MPd'!H34</f>
        <v>0</v>
      </c>
      <c r="E34" s="1047"/>
      <c r="F34" s="1048">
        <f t="shared" si="0"/>
        <v>15243952</v>
      </c>
      <c r="G34" s="713"/>
      <c r="H34" s="2967">
        <f>F62+F121</f>
        <v>10655389627</v>
      </c>
      <c r="I34" s="722" t="s">
        <v>846</v>
      </c>
    </row>
    <row r="35" spans="1:9">
      <c r="A35" s="716"/>
      <c r="B35" s="717" t="s">
        <v>649</v>
      </c>
      <c r="C35" s="1047">
        <f>'Bank B GSC'!H11+'Bank B GSC'!H12</f>
        <v>0</v>
      </c>
      <c r="D35" s="1047">
        <f>'Bank B GSC'!H28</f>
        <v>0</v>
      </c>
      <c r="E35" s="1047"/>
      <c r="F35" s="1048">
        <f t="shared" si="0"/>
        <v>0</v>
      </c>
      <c r="G35" s="713"/>
      <c r="H35" s="1077">
        <f>F72+F122</f>
        <v>0</v>
      </c>
      <c r="I35" s="723" t="s">
        <v>627</v>
      </c>
    </row>
    <row r="36" spans="1:9">
      <c r="A36" s="716"/>
      <c r="B36" s="717" t="s">
        <v>650</v>
      </c>
      <c r="C36" s="1047">
        <f>'Bank B PNPM-TP GEMPA'!G11+'Bank B PNPM-TP GEMPA'!G12</f>
        <v>312232</v>
      </c>
      <c r="D36" s="1047">
        <f>'Bank B PNPM-TP GEMPA'!G28</f>
        <v>0</v>
      </c>
      <c r="E36" s="1047"/>
      <c r="F36" s="1048">
        <f t="shared" si="0"/>
        <v>312232</v>
      </c>
      <c r="G36" s="713"/>
      <c r="H36" s="1077">
        <f>F79+F123</f>
        <v>500303947</v>
      </c>
      <c r="I36" s="723" t="s">
        <v>629</v>
      </c>
    </row>
    <row r="37" spans="1:9">
      <c r="A37" s="716"/>
      <c r="B37" s="717" t="s">
        <v>651</v>
      </c>
      <c r="C37" s="1047">
        <f>'Bank B PASCA KRISIS'!G11+'Bank B PASCA KRISIS'!G12</f>
        <v>0</v>
      </c>
      <c r="D37" s="1047">
        <f>'Bank B PASCA KRISIS'!G28</f>
        <v>0</v>
      </c>
      <c r="E37" s="1047"/>
      <c r="F37" s="1048">
        <f t="shared" si="0"/>
        <v>0</v>
      </c>
      <c r="G37" s="713"/>
      <c r="H37" s="1077">
        <f>F89+F124</f>
        <v>0</v>
      </c>
      <c r="I37" s="723" t="s">
        <v>631</v>
      </c>
    </row>
    <row r="38" spans="1:9">
      <c r="A38" s="716"/>
      <c r="B38" s="1194" t="s">
        <v>652</v>
      </c>
      <c r="C38" s="1191"/>
      <c r="D38" s="1191"/>
      <c r="E38" s="1191"/>
      <c r="F38" s="1192">
        <f t="shared" si="0"/>
        <v>0</v>
      </c>
      <c r="G38" s="713"/>
      <c r="H38" s="1200">
        <f>F99+F125</f>
        <v>0</v>
      </c>
      <c r="I38" s="1198" t="s">
        <v>633</v>
      </c>
    </row>
    <row r="39" spans="1:9">
      <c r="A39" s="716"/>
      <c r="B39" s="721" t="s">
        <v>653</v>
      </c>
      <c r="C39" s="1047">
        <f>'Bank DOK PERNC'!H11+'Bank DOK PERNC'!H12</f>
        <v>1478143</v>
      </c>
      <c r="D39" s="1047">
        <f>'Bank DOK PERNC'!H28</f>
        <v>0</v>
      </c>
      <c r="E39" s="1047"/>
      <c r="F39" s="1048">
        <f t="shared" si="0"/>
        <v>1478143</v>
      </c>
      <c r="G39" s="713"/>
      <c r="H39" s="2960">
        <f t="shared" ref="H39:H46" si="2">F110+F126</f>
        <v>212398143</v>
      </c>
      <c r="I39" s="722" t="s">
        <v>635</v>
      </c>
    </row>
    <row r="40" spans="1:9">
      <c r="A40" s="716"/>
      <c r="B40" s="721" t="s">
        <v>654</v>
      </c>
      <c r="C40" s="1047">
        <f>'Bank DOK PERNC-GSC'!H11+'Bank DOK PERNC-GSC'!H12</f>
        <v>0</v>
      </c>
      <c r="D40" s="1047">
        <f>'Bank DOK PERNC-GSC'!H28</f>
        <v>0</v>
      </c>
      <c r="E40" s="1047"/>
      <c r="F40" s="1048">
        <f t="shared" si="0"/>
        <v>0</v>
      </c>
      <c r="G40" s="713"/>
      <c r="H40" s="1077">
        <f t="shared" si="2"/>
        <v>0</v>
      </c>
      <c r="I40" s="723" t="s">
        <v>637</v>
      </c>
    </row>
    <row r="41" spans="1:9">
      <c r="A41" s="716"/>
      <c r="B41" s="721" t="s">
        <v>655</v>
      </c>
      <c r="C41" s="1047">
        <f>'Bank DOK PELTH'!H11+'Bank DOK PELTH'!H12</f>
        <v>1833102</v>
      </c>
      <c r="D41" s="1047">
        <f>'Bank DOK PELTH'!H28</f>
        <v>0</v>
      </c>
      <c r="E41" s="1047"/>
      <c r="F41" s="1048">
        <f t="shared" si="0"/>
        <v>1833102</v>
      </c>
      <c r="G41" s="713"/>
      <c r="H41" s="1077">
        <f t="shared" si="2"/>
        <v>115763102</v>
      </c>
      <c r="I41" s="722" t="s">
        <v>639</v>
      </c>
    </row>
    <row r="42" spans="1:9">
      <c r="A42" s="716"/>
      <c r="B42" s="721" t="s">
        <v>656</v>
      </c>
      <c r="C42" s="1047">
        <f>'Bank DOK PELTH-GSC'!H11+'Bank DOK PELTH-GSC'!H12</f>
        <v>0</v>
      </c>
      <c r="D42" s="1047">
        <f>'Bank DOK PELTH-GSC'!H28</f>
        <v>0</v>
      </c>
      <c r="E42" s="1047"/>
      <c r="F42" s="1048">
        <f t="shared" si="0"/>
        <v>0</v>
      </c>
      <c r="G42" s="713"/>
      <c r="H42" s="1077">
        <f t="shared" si="2"/>
        <v>0</v>
      </c>
      <c r="I42" s="723" t="s">
        <v>641</v>
      </c>
    </row>
    <row r="43" spans="1:9">
      <c r="A43" s="716"/>
      <c r="B43" s="721" t="s">
        <v>2446</v>
      </c>
      <c r="C43" s="1047">
        <f>'Bank DOK PLUPK'!G11+'Bank DOK PLUPK'!G12</f>
        <v>42837</v>
      </c>
      <c r="D43" s="1047">
        <f>'Bank DOK PLUPK'!G28</f>
        <v>0</v>
      </c>
      <c r="E43" s="1047"/>
      <c r="F43" s="1048">
        <f t="shared" si="0"/>
        <v>42837</v>
      </c>
      <c r="G43" s="713"/>
      <c r="H43" s="1077">
        <f t="shared" si="2"/>
        <v>11113894</v>
      </c>
      <c r="I43" s="723" t="s">
        <v>2452</v>
      </c>
    </row>
    <row r="44" spans="1:9">
      <c r="A44" s="716"/>
      <c r="B44" s="721" t="s">
        <v>657</v>
      </c>
      <c r="C44" s="1047">
        <f>'Bank DOK GEMPA'!G11+'Bank DOK GEMPA'!G12</f>
        <v>666121</v>
      </c>
      <c r="D44" s="1047">
        <f>'Bank DOK GEMPA'!G28</f>
        <v>0</v>
      </c>
      <c r="E44" s="1047"/>
      <c r="F44" s="1048">
        <f t="shared" si="0"/>
        <v>666121</v>
      </c>
      <c r="G44" s="713"/>
      <c r="H44" s="1077">
        <f t="shared" si="2"/>
        <v>50358745</v>
      </c>
      <c r="I44" s="723" t="s">
        <v>644</v>
      </c>
    </row>
    <row r="45" spans="1:9">
      <c r="A45" s="716"/>
      <c r="B45" s="721" t="s">
        <v>838</v>
      </c>
      <c r="C45" s="1047">
        <f>'Bank DOK RPJMDES'!G11+'Bank DOK RPJMDES'!G12</f>
        <v>139350</v>
      </c>
      <c r="D45" s="1047">
        <f>'Bank DOK RPJMDES'!G28</f>
        <v>0</v>
      </c>
      <c r="E45" s="1047"/>
      <c r="F45" s="1048">
        <f t="shared" si="0"/>
        <v>139350</v>
      </c>
      <c r="G45" s="713"/>
      <c r="H45" s="1077">
        <f t="shared" si="2"/>
        <v>18573598</v>
      </c>
      <c r="I45" s="723" t="s">
        <v>559</v>
      </c>
    </row>
    <row r="46" spans="1:9">
      <c r="A46" s="716"/>
      <c r="B46" s="2786" t="s">
        <v>2303</v>
      </c>
      <c r="C46" s="2682">
        <f>SUM('Bank DOK PNPM MP 2012'!G11:G12)</f>
        <v>370978</v>
      </c>
      <c r="D46" s="2682">
        <f>SUM('Bank DOK PNPM MP 2012'!G28)</f>
        <v>0</v>
      </c>
      <c r="E46" s="2682"/>
      <c r="F46" s="2785">
        <f t="shared" si="0"/>
        <v>370978</v>
      </c>
      <c r="G46" s="713"/>
      <c r="H46" s="1200">
        <f t="shared" si="2"/>
        <v>187206678</v>
      </c>
      <c r="I46" s="1198" t="s">
        <v>645</v>
      </c>
    </row>
    <row r="47" spans="1:9" ht="6.75" customHeight="1">
      <c r="A47" s="724"/>
      <c r="B47" s="725"/>
      <c r="C47" s="1050"/>
      <c r="D47" s="1050"/>
      <c r="E47" s="1051"/>
      <c r="F47" s="1052"/>
      <c r="G47" s="713"/>
      <c r="H47" s="1078"/>
      <c r="I47" s="723"/>
    </row>
    <row r="48" spans="1:9">
      <c r="A48" s="923"/>
      <c r="B48" s="924" t="s">
        <v>375</v>
      </c>
      <c r="C48" s="1053">
        <f>C13+C32</f>
        <v>11762451415</v>
      </c>
      <c r="D48" s="1053">
        <f>D13+D32</f>
        <v>0</v>
      </c>
      <c r="E48" s="1053">
        <f>E13+E32</f>
        <v>0</v>
      </c>
      <c r="F48" s="1053">
        <f>F13+F32</f>
        <v>11762451415</v>
      </c>
      <c r="G48" s="713"/>
      <c r="H48" s="1078">
        <f>F135</f>
        <v>0</v>
      </c>
      <c r="I48" s="723" t="s">
        <v>658</v>
      </c>
    </row>
    <row r="49" spans="1:9" ht="3.2" customHeight="1">
      <c r="A49" s="726"/>
      <c r="B49" s="726"/>
      <c r="C49" s="1054"/>
      <c r="D49" s="1054"/>
      <c r="E49" s="1054"/>
      <c r="F49" s="1054"/>
      <c r="G49" s="713"/>
      <c r="H49" s="1074"/>
    </row>
    <row r="50" spans="1:9">
      <c r="A50" s="3410" t="s">
        <v>659</v>
      </c>
      <c r="B50" s="3410"/>
      <c r="C50" s="3410"/>
      <c r="D50" s="3410"/>
      <c r="E50" s="3410"/>
      <c r="F50" s="3410"/>
      <c r="G50" s="727"/>
      <c r="H50" s="1074"/>
    </row>
    <row r="51" spans="1:9" ht="3.2" customHeight="1">
      <c r="A51" s="715"/>
      <c r="B51" s="715"/>
      <c r="C51" s="1044"/>
      <c r="D51" s="1044"/>
      <c r="E51" s="1044"/>
      <c r="F51" s="1044"/>
      <c r="G51" s="713"/>
      <c r="H51" s="1074"/>
    </row>
    <row r="52" spans="1:9" ht="14.25" customHeight="1">
      <c r="A52" s="925"/>
      <c r="B52" s="926" t="s">
        <v>828</v>
      </c>
      <c r="C52" s="1055">
        <f>SUM(C53:C60)</f>
        <v>0</v>
      </c>
      <c r="D52" s="1055">
        <f>SUM(D53:D60)</f>
        <v>0</v>
      </c>
      <c r="E52" s="1056"/>
      <c r="F52" s="1055">
        <f t="shared" ref="F52:F60" si="3">C52+D52</f>
        <v>0</v>
      </c>
      <c r="G52" s="713"/>
      <c r="H52" s="3410" t="s">
        <v>2264</v>
      </c>
      <c r="I52" s="3410"/>
    </row>
    <row r="53" spans="1:9">
      <c r="A53" s="716"/>
      <c r="B53" s="728" t="s">
        <v>376</v>
      </c>
      <c r="C53" s="1047">
        <f>SUM('Kas B PPK'!N12:N13)</f>
        <v>0</v>
      </c>
      <c r="D53" s="1047">
        <f>'Kas B PPK'!N44</f>
        <v>0</v>
      </c>
      <c r="E53" s="1047"/>
      <c r="F53" s="1048">
        <f t="shared" si="3"/>
        <v>0</v>
      </c>
      <c r="G53" s="713"/>
      <c r="H53" s="1079">
        <f t="shared" ref="H53:H60" si="4">H14-H33</f>
        <v>0</v>
      </c>
      <c r="I53" s="729" t="s">
        <v>845</v>
      </c>
    </row>
    <row r="54" spans="1:9">
      <c r="A54" s="716"/>
      <c r="B54" s="728" t="s">
        <v>377</v>
      </c>
      <c r="C54" s="1047">
        <f>SUM('Kas B PPK'!M12:M13)</f>
        <v>0</v>
      </c>
      <c r="D54" s="1047">
        <f>'Kas B PPK'!M44</f>
        <v>0</v>
      </c>
      <c r="E54" s="1047"/>
      <c r="F54" s="1048">
        <f t="shared" si="3"/>
        <v>0</v>
      </c>
      <c r="G54" s="713"/>
      <c r="H54" s="2964">
        <f t="shared" si="4"/>
        <v>9919325</v>
      </c>
      <c r="I54" s="730" t="s">
        <v>846</v>
      </c>
    </row>
    <row r="55" spans="1:9">
      <c r="A55" s="716"/>
      <c r="B55" s="728" t="s">
        <v>378</v>
      </c>
      <c r="C55" s="1047">
        <f>SUM('Kas B PPK'!G12:G13)</f>
        <v>0</v>
      </c>
      <c r="D55" s="1047">
        <f>'Kas B PPK'!G44</f>
        <v>0</v>
      </c>
      <c r="E55" s="1047"/>
      <c r="F55" s="1048">
        <f t="shared" si="3"/>
        <v>0</v>
      </c>
      <c r="G55" s="713"/>
      <c r="H55" s="1079">
        <f t="shared" si="4"/>
        <v>0</v>
      </c>
      <c r="I55" s="730" t="s">
        <v>627</v>
      </c>
    </row>
    <row r="56" spans="1:9">
      <c r="A56" s="716"/>
      <c r="B56" s="728" t="s">
        <v>660</v>
      </c>
      <c r="C56" s="1047">
        <f>SUM('Kas B PPK'!K12:K13)</f>
        <v>0</v>
      </c>
      <c r="D56" s="1047">
        <f>'Kas B PPK'!K44</f>
        <v>0</v>
      </c>
      <c r="E56" s="1047"/>
      <c r="F56" s="1048">
        <f t="shared" si="3"/>
        <v>0</v>
      </c>
      <c r="G56" s="713"/>
      <c r="H56" s="1079">
        <f t="shared" si="4"/>
        <v>8285</v>
      </c>
      <c r="I56" s="730" t="s">
        <v>629</v>
      </c>
    </row>
    <row r="57" spans="1:9">
      <c r="A57" s="716"/>
      <c r="B57" s="728" t="s">
        <v>379</v>
      </c>
      <c r="C57" s="1047">
        <f>SUM('Kas B PPK'!J12:J13)</f>
        <v>0</v>
      </c>
      <c r="D57" s="1047">
        <f>'Kas B PPK'!J44</f>
        <v>0</v>
      </c>
      <c r="E57" s="1047"/>
      <c r="F57" s="1048">
        <f t="shared" si="3"/>
        <v>0</v>
      </c>
      <c r="G57" s="713"/>
      <c r="H57" s="1079">
        <f t="shared" si="4"/>
        <v>0</v>
      </c>
      <c r="I57" s="730" t="s">
        <v>631</v>
      </c>
    </row>
    <row r="58" spans="1:9">
      <c r="A58" s="716"/>
      <c r="B58" s="728" t="s">
        <v>380</v>
      </c>
      <c r="C58" s="1047">
        <f>SUM('Kas B PPK'!H12:H13)</f>
        <v>0</v>
      </c>
      <c r="D58" s="1047">
        <f>'Kas B PPK'!H44</f>
        <v>0</v>
      </c>
      <c r="E58" s="1047"/>
      <c r="F58" s="1048">
        <f t="shared" si="3"/>
        <v>0</v>
      </c>
      <c r="G58" s="713"/>
      <c r="H58" s="1197">
        <f t="shared" si="4"/>
        <v>0</v>
      </c>
      <c r="I58" s="1199" t="s">
        <v>633</v>
      </c>
    </row>
    <row r="59" spans="1:9">
      <c r="A59" s="716"/>
      <c r="B59" s="728" t="s">
        <v>381</v>
      </c>
      <c r="C59" s="1047">
        <f>SUM('Kas B PPK'!I12:I13)</f>
        <v>0</v>
      </c>
      <c r="D59" s="1047">
        <f>'Kas B PPK'!I44</f>
        <v>0</v>
      </c>
      <c r="E59" s="1047"/>
      <c r="F59" s="1048">
        <f t="shared" si="3"/>
        <v>0</v>
      </c>
      <c r="G59" s="713"/>
      <c r="H59" s="2959">
        <f>H20-H39</f>
        <v>0</v>
      </c>
      <c r="I59" s="730" t="s">
        <v>635</v>
      </c>
    </row>
    <row r="60" spans="1:9">
      <c r="A60" s="716"/>
      <c r="B60" s="728" t="s">
        <v>661</v>
      </c>
      <c r="C60" s="1047">
        <f>SUM('Kas B PPK'!L12:L13)</f>
        <v>0</v>
      </c>
      <c r="D60" s="1047">
        <f>'Kas B PPK'!L44</f>
        <v>0</v>
      </c>
      <c r="E60" s="1047"/>
      <c r="F60" s="1048">
        <f t="shared" si="3"/>
        <v>0</v>
      </c>
      <c r="G60" s="713"/>
      <c r="H60" s="1079">
        <f t="shared" si="4"/>
        <v>0</v>
      </c>
      <c r="I60" s="729" t="s">
        <v>637</v>
      </c>
    </row>
    <row r="61" spans="1:9" ht="3.2" customHeight="1">
      <c r="A61" s="716"/>
      <c r="B61" s="728"/>
      <c r="C61" s="1047"/>
      <c r="D61" s="1047"/>
      <c r="E61" s="1047"/>
      <c r="F61" s="1057"/>
      <c r="G61" s="713"/>
      <c r="H61" s="1079"/>
      <c r="I61" s="729"/>
    </row>
    <row r="62" spans="1:9" ht="14.25" customHeight="1">
      <c r="A62" s="925"/>
      <c r="B62" s="926" t="s">
        <v>829</v>
      </c>
      <c r="C62" s="1055">
        <f>SUM(C63:C70)</f>
        <v>10651835917</v>
      </c>
      <c r="D62" s="1055">
        <f>SUM(D63:D70)</f>
        <v>0</v>
      </c>
      <c r="E62" s="1056"/>
      <c r="F62" s="1055">
        <f t="shared" ref="F62:F70" si="5">C62+D62</f>
        <v>10651835917</v>
      </c>
      <c r="G62" s="713"/>
      <c r="H62" s="1079">
        <f t="shared" ref="H62:H67" si="6">H22-H41</f>
        <v>0</v>
      </c>
      <c r="I62" s="729" t="s">
        <v>639</v>
      </c>
    </row>
    <row r="63" spans="1:9">
      <c r="A63" s="716"/>
      <c r="B63" s="728" t="s">
        <v>376</v>
      </c>
      <c r="C63" s="1047">
        <f>SUM('Kas B PNPM-MPd'!M12:M13)</f>
        <v>212970600</v>
      </c>
      <c r="D63" s="1047">
        <f>'Kas B PNPM-MPd'!M25</f>
        <v>0</v>
      </c>
      <c r="E63" s="1047"/>
      <c r="F63" s="1048">
        <f t="shared" si="5"/>
        <v>212970600</v>
      </c>
      <c r="G63" s="713"/>
      <c r="H63" s="1079">
        <f t="shared" si="6"/>
        <v>0</v>
      </c>
      <c r="I63" s="730" t="s">
        <v>641</v>
      </c>
    </row>
    <row r="64" spans="1:9">
      <c r="A64" s="716"/>
      <c r="B64" s="728" t="s">
        <v>377</v>
      </c>
      <c r="C64" s="1047">
        <f>SUM('Kas B PNPM-MPd'!L12:L13)</f>
        <v>319454200</v>
      </c>
      <c r="D64" s="1047">
        <f>'Kas B PNPM-MPd'!L25</f>
        <v>0</v>
      </c>
      <c r="E64" s="1047"/>
      <c r="F64" s="1048">
        <f t="shared" si="5"/>
        <v>319454200</v>
      </c>
      <c r="G64" s="713"/>
      <c r="H64" s="1079">
        <f t="shared" si="6"/>
        <v>928943</v>
      </c>
      <c r="I64" s="730" t="s">
        <v>2452</v>
      </c>
    </row>
    <row r="65" spans="1:9">
      <c r="A65" s="716"/>
      <c r="B65" s="728" t="s">
        <v>378</v>
      </c>
      <c r="C65" s="1047">
        <f>SUM('Kas B PNPM-MPd'!G12:G13)</f>
        <v>5207955700</v>
      </c>
      <c r="D65" s="1047">
        <f>'Kas B PNPM-MPd'!G25</f>
        <v>0</v>
      </c>
      <c r="E65" s="1047"/>
      <c r="F65" s="1048">
        <f t="shared" si="5"/>
        <v>5207955700</v>
      </c>
      <c r="G65" s="713"/>
      <c r="H65" s="1079">
        <f t="shared" si="6"/>
        <v>307376</v>
      </c>
      <c r="I65" s="730" t="s">
        <v>644</v>
      </c>
    </row>
    <row r="66" spans="1:9">
      <c r="A66" s="716"/>
      <c r="B66" s="1190" t="s">
        <v>660</v>
      </c>
      <c r="C66" s="1191"/>
      <c r="D66" s="1191"/>
      <c r="E66" s="1191"/>
      <c r="F66" s="1192">
        <f t="shared" si="5"/>
        <v>0</v>
      </c>
      <c r="G66" s="713"/>
      <c r="H66" s="1079">
        <f t="shared" si="6"/>
        <v>90752</v>
      </c>
      <c r="I66" s="730" t="s">
        <v>559</v>
      </c>
    </row>
    <row r="67" spans="1:9">
      <c r="A67" s="716"/>
      <c r="B67" s="728" t="s">
        <v>379</v>
      </c>
      <c r="C67" s="1047">
        <f>SUM('Kas B PNPM-MPd'!J12:J13)</f>
        <v>1747300000</v>
      </c>
      <c r="D67" s="1047">
        <f>'Kas B PNPM-MPd'!J25</f>
        <v>0</v>
      </c>
      <c r="E67" s="1047"/>
      <c r="F67" s="1048">
        <f t="shared" si="5"/>
        <v>1747300000</v>
      </c>
      <c r="G67" s="713"/>
      <c r="H67" s="1197">
        <f t="shared" si="6"/>
        <v>89000</v>
      </c>
      <c r="I67" s="1199" t="s">
        <v>645</v>
      </c>
    </row>
    <row r="68" spans="1:9">
      <c r="A68" s="716"/>
      <c r="B68" s="728" t="s">
        <v>380</v>
      </c>
      <c r="C68" s="1047">
        <f>SUM('Kas B PNPM-MPd'!H12:H13)</f>
        <v>1857930500</v>
      </c>
      <c r="D68" s="1047">
        <f>'Kas B PNPM-MPd'!H25</f>
        <v>0</v>
      </c>
      <c r="E68" s="1047"/>
      <c r="F68" s="1048">
        <f t="shared" si="5"/>
        <v>1857930500</v>
      </c>
      <c r="G68" s="713"/>
      <c r="H68" s="1079"/>
      <c r="I68" s="729"/>
    </row>
    <row r="69" spans="1:9">
      <c r="A69" s="716"/>
      <c r="B69" s="728" t="s">
        <v>381</v>
      </c>
      <c r="C69" s="1047">
        <f>SUM('Kas B PNPM-MPd'!I12:I13)</f>
        <v>1000449500</v>
      </c>
      <c r="D69" s="1047">
        <f>'Kas B PNPM-MPd'!I25</f>
        <v>0</v>
      </c>
      <c r="E69" s="1047"/>
      <c r="F69" s="1048">
        <f t="shared" si="5"/>
        <v>1000449500</v>
      </c>
      <c r="G69" s="713"/>
      <c r="H69" s="1079">
        <f>H29-H48</f>
        <v>5400000</v>
      </c>
      <c r="I69" s="729" t="s">
        <v>692</v>
      </c>
    </row>
    <row r="70" spans="1:9">
      <c r="A70" s="716"/>
      <c r="B70" s="728" t="s">
        <v>661</v>
      </c>
      <c r="C70" s="1047">
        <f>SUM('Kas B PNPM-MPd'!K12:K13)</f>
        <v>305775417</v>
      </c>
      <c r="D70" s="1047">
        <f>'Kas B PNPM-MPd'!K25</f>
        <v>0</v>
      </c>
      <c r="E70" s="1047"/>
      <c r="F70" s="1048">
        <f t="shared" si="5"/>
        <v>305775417</v>
      </c>
      <c r="G70" s="713"/>
      <c r="H70" s="1079"/>
      <c r="I70" s="729"/>
    </row>
    <row r="71" spans="1:9" ht="3.2" customHeight="1">
      <c r="A71" s="716"/>
      <c r="B71" s="728"/>
      <c r="C71" s="1047"/>
      <c r="D71" s="1047"/>
      <c r="E71" s="1047"/>
      <c r="F71" s="1057"/>
      <c r="G71" s="713"/>
      <c r="H71" s="1080"/>
      <c r="I71" s="731"/>
    </row>
    <row r="72" spans="1:9" ht="14.25" customHeight="1">
      <c r="A72" s="921"/>
      <c r="B72" s="922" t="s">
        <v>662</v>
      </c>
      <c r="C72" s="1049">
        <f>SUM(C73:C77)</f>
        <v>0</v>
      </c>
      <c r="D72" s="1049">
        <f>SUM(D73:D77)</f>
        <v>0</v>
      </c>
      <c r="E72" s="1058"/>
      <c r="F72" s="1049">
        <f t="shared" ref="F72:F77" si="7">C72+D72</f>
        <v>0</v>
      </c>
      <c r="G72" s="713"/>
      <c r="H72" s="1081">
        <f>SUM(H53:H70)</f>
        <v>16743681</v>
      </c>
      <c r="I72" s="732" t="s">
        <v>666</v>
      </c>
    </row>
    <row r="73" spans="1:9">
      <c r="A73" s="716"/>
      <c r="B73" s="728" t="s">
        <v>376</v>
      </c>
      <c r="C73" s="1047">
        <f>SUM('Kas B GSC'!K12:K13)</f>
        <v>0</v>
      </c>
      <c r="D73" s="1047">
        <f>'Kas B GSC'!K44</f>
        <v>0</v>
      </c>
      <c r="E73" s="1047"/>
      <c r="F73" s="1048">
        <f t="shared" si="7"/>
        <v>0</v>
      </c>
      <c r="G73" s="713"/>
      <c r="H73" s="1074"/>
    </row>
    <row r="74" spans="1:9">
      <c r="A74" s="716"/>
      <c r="B74" s="728" t="s">
        <v>663</v>
      </c>
      <c r="C74" s="1047">
        <f>SUM('Kas B GSC'!J12:J13)</f>
        <v>0</v>
      </c>
      <c r="D74" s="1047">
        <f>'Kas B GSC'!J44</f>
        <v>0</v>
      </c>
      <c r="E74" s="1047"/>
      <c r="F74" s="1048">
        <f t="shared" si="7"/>
        <v>0</v>
      </c>
      <c r="G74" s="713"/>
    </row>
    <row r="75" spans="1:9">
      <c r="A75" s="716"/>
      <c r="B75" s="728" t="s">
        <v>378</v>
      </c>
      <c r="C75" s="1047">
        <f>SUM('Kas B GSC'!G12:G13)</f>
        <v>0</v>
      </c>
      <c r="D75" s="1047">
        <f>'Kas B GSC'!G44</f>
        <v>0</v>
      </c>
      <c r="E75" s="1047"/>
      <c r="F75" s="1048">
        <f t="shared" si="7"/>
        <v>0</v>
      </c>
      <c r="G75" s="713"/>
    </row>
    <row r="76" spans="1:9">
      <c r="A76" s="716"/>
      <c r="B76" s="728" t="s">
        <v>380</v>
      </c>
      <c r="C76" s="1047">
        <f>SUM('Kas B GSC'!H12:H13)</f>
        <v>0</v>
      </c>
      <c r="D76" s="1047">
        <f>'Kas B GSC'!H44</f>
        <v>0</v>
      </c>
      <c r="E76" s="1047"/>
      <c r="F76" s="1048">
        <f t="shared" si="7"/>
        <v>0</v>
      </c>
      <c r="G76" s="713"/>
    </row>
    <row r="77" spans="1:9">
      <c r="A77" s="716"/>
      <c r="B77" s="728" t="s">
        <v>381</v>
      </c>
      <c r="C77" s="1047">
        <f>SUM('Kas B GSC'!I12:I13)</f>
        <v>0</v>
      </c>
      <c r="D77" s="1047">
        <f>'Kas B GSC'!I44</f>
        <v>0</v>
      </c>
      <c r="E77" s="1047"/>
      <c r="F77" s="1048">
        <f t="shared" si="7"/>
        <v>0</v>
      </c>
      <c r="G77" s="713"/>
    </row>
    <row r="78" spans="1:9" ht="3.2" customHeight="1">
      <c r="A78" s="921"/>
      <c r="B78" s="927"/>
      <c r="C78" s="1058"/>
      <c r="D78" s="1058"/>
      <c r="E78" s="1058"/>
      <c r="F78" s="1049"/>
      <c r="G78" s="713"/>
    </row>
    <row r="79" spans="1:9" ht="14.25" customHeight="1">
      <c r="A79" s="925"/>
      <c r="B79" s="926" t="s">
        <v>830</v>
      </c>
      <c r="C79" s="1055">
        <f>SUM(C80:C87)</f>
        <v>500000000</v>
      </c>
      <c r="D79" s="1055">
        <f>SUM(D80:D87)</f>
        <v>0</v>
      </c>
      <c r="E79" s="1056"/>
      <c r="F79" s="1055">
        <f t="shared" ref="F79:F87" si="8">C79+D79</f>
        <v>500000000</v>
      </c>
      <c r="G79" s="713"/>
    </row>
    <row r="80" spans="1:9">
      <c r="A80" s="716"/>
      <c r="B80" s="728" t="s">
        <v>376</v>
      </c>
      <c r="C80" s="1047">
        <f>SUM('Kas B PNPM-TP GEMPA'!N12:N13)</f>
        <v>10000000</v>
      </c>
      <c r="D80" s="1047">
        <f>'Kas B PNPM-TP GEMPA'!N44</f>
        <v>0</v>
      </c>
      <c r="E80" s="1047"/>
      <c r="F80" s="1048">
        <f t="shared" si="8"/>
        <v>10000000</v>
      </c>
      <c r="G80" s="713"/>
    </row>
    <row r="81" spans="1:7">
      <c r="A81" s="716"/>
      <c r="B81" s="728" t="s">
        <v>377</v>
      </c>
      <c r="C81" s="1047">
        <f>SUM('Kas B PNPM-TP GEMPA'!M12:M13)</f>
        <v>15000000</v>
      </c>
      <c r="D81" s="1047">
        <f>'Kas B PNPM-TP GEMPA'!M44</f>
        <v>0</v>
      </c>
      <c r="E81" s="1047"/>
      <c r="F81" s="1048">
        <f t="shared" si="8"/>
        <v>15000000</v>
      </c>
      <c r="G81" s="713"/>
    </row>
    <row r="82" spans="1:7">
      <c r="A82" s="716"/>
      <c r="B82" s="728" t="s">
        <v>378</v>
      </c>
      <c r="C82" s="1047">
        <f>SUM('Kas B PNPM-TP GEMPA'!G12:G13)</f>
        <v>207480400</v>
      </c>
      <c r="D82" s="1047">
        <f>'Kas B PNPM-TP GEMPA'!G44</f>
        <v>0</v>
      </c>
      <c r="E82" s="1047"/>
      <c r="F82" s="1048">
        <f t="shared" si="8"/>
        <v>207480400</v>
      </c>
      <c r="G82" s="713"/>
    </row>
    <row r="83" spans="1:7">
      <c r="A83" s="716"/>
      <c r="B83" s="728" t="s">
        <v>660</v>
      </c>
      <c r="C83" s="1047">
        <f>SUM('Kas B PNPM-TP GEMPA'!K12:K13)</f>
        <v>0</v>
      </c>
      <c r="D83" s="1047">
        <f>'Kas B PNPM-TP GEMPA'!K44</f>
        <v>0</v>
      </c>
      <c r="E83" s="1047"/>
      <c r="F83" s="1048">
        <f t="shared" si="8"/>
        <v>0</v>
      </c>
      <c r="G83" s="713"/>
    </row>
    <row r="84" spans="1:7">
      <c r="A84" s="716"/>
      <c r="B84" s="728" t="s">
        <v>379</v>
      </c>
      <c r="C84" s="1047">
        <f>SUM('Kas B PNPM-TP GEMPA'!J12:J13)</f>
        <v>109050000</v>
      </c>
      <c r="D84" s="1047">
        <f>'Kas B PNPM-TP GEMPA'!J44</f>
        <v>0</v>
      </c>
      <c r="E84" s="1047"/>
      <c r="F84" s="1048">
        <f t="shared" si="8"/>
        <v>109050000</v>
      </c>
      <c r="G84" s="713"/>
    </row>
    <row r="85" spans="1:7">
      <c r="A85" s="716"/>
      <c r="B85" s="728" t="s">
        <v>380</v>
      </c>
      <c r="C85" s="1047">
        <f>SUM('Kas B PNPM-TP GEMPA'!H12:H13)</f>
        <v>158469600</v>
      </c>
      <c r="D85" s="1047">
        <f>'Kas B PNPM-TP GEMPA'!H44</f>
        <v>0</v>
      </c>
      <c r="E85" s="1047"/>
      <c r="F85" s="1048">
        <f t="shared" si="8"/>
        <v>158469600</v>
      </c>
      <c r="G85" s="713"/>
    </row>
    <row r="86" spans="1:7">
      <c r="A86" s="716"/>
      <c r="B86" s="728" t="s">
        <v>381</v>
      </c>
      <c r="C86" s="1047">
        <f>SUM('Kas B PNPM-TP GEMPA'!I12:I13)</f>
        <v>0</v>
      </c>
      <c r="D86" s="1047">
        <f>'Kas B PNPM-TP GEMPA'!I44</f>
        <v>0</v>
      </c>
      <c r="E86" s="1047"/>
      <c r="F86" s="1048">
        <f t="shared" si="8"/>
        <v>0</v>
      </c>
      <c r="G86" s="713"/>
    </row>
    <row r="87" spans="1:7">
      <c r="A87" s="716"/>
      <c r="B87" s="728" t="s">
        <v>661</v>
      </c>
      <c r="C87" s="1047">
        <f>SUM('Kas B PNPM-TP GEMPA'!L12:L13)</f>
        <v>0</v>
      </c>
      <c r="D87" s="1047">
        <f>'Kas B PNPM-TP GEMPA'!L44</f>
        <v>0</v>
      </c>
      <c r="E87" s="1047"/>
      <c r="F87" s="1048">
        <f t="shared" si="8"/>
        <v>0</v>
      </c>
      <c r="G87" s="713"/>
    </row>
    <row r="88" spans="1:7" ht="3.2" customHeight="1">
      <c r="A88" s="716"/>
      <c r="B88" s="728"/>
      <c r="C88" s="1047"/>
      <c r="D88" s="1047"/>
      <c r="E88" s="1047"/>
      <c r="F88" s="1057"/>
      <c r="G88" s="713"/>
    </row>
    <row r="89" spans="1:7" ht="14.25" customHeight="1">
      <c r="A89" s="925"/>
      <c r="B89" s="926" t="s">
        <v>831</v>
      </c>
      <c r="C89" s="1055">
        <f>SUM(C90:C97)</f>
        <v>0</v>
      </c>
      <c r="D89" s="1055">
        <f>SUM(D90:D97)</f>
        <v>0</v>
      </c>
      <c r="E89" s="1056"/>
      <c r="F89" s="1055">
        <f t="shared" ref="F89:F97" si="9">C89+D89</f>
        <v>0</v>
      </c>
      <c r="G89" s="713"/>
    </row>
    <row r="90" spans="1:7">
      <c r="A90" s="716"/>
      <c r="B90" s="728" t="s">
        <v>376</v>
      </c>
      <c r="C90" s="1047">
        <f>SUM('Kas B PASCA KRISIS'!N12:N13)</f>
        <v>0</v>
      </c>
      <c r="D90" s="1047">
        <f>'Kas B PASCA KRISIS'!N44</f>
        <v>0</v>
      </c>
      <c r="E90" s="1047"/>
      <c r="F90" s="1048">
        <f t="shared" si="9"/>
        <v>0</v>
      </c>
      <c r="G90" s="713"/>
    </row>
    <row r="91" spans="1:7">
      <c r="A91" s="716"/>
      <c r="B91" s="728" t="s">
        <v>377</v>
      </c>
      <c r="C91" s="1047">
        <f>SUM('Kas B PASCA KRISIS'!M12:M13)</f>
        <v>0</v>
      </c>
      <c r="D91" s="1047">
        <f>'Kas B PASCA KRISIS'!M44</f>
        <v>0</v>
      </c>
      <c r="E91" s="1047"/>
      <c r="F91" s="1048">
        <f t="shared" si="9"/>
        <v>0</v>
      </c>
      <c r="G91" s="713"/>
    </row>
    <row r="92" spans="1:7">
      <c r="A92" s="716"/>
      <c r="B92" s="728" t="s">
        <v>378</v>
      </c>
      <c r="C92" s="1047">
        <f>SUM('Kas B PASCA KRISIS'!G12:G13)</f>
        <v>0</v>
      </c>
      <c r="D92" s="1047">
        <f>'Kas B PASCA KRISIS'!G44</f>
        <v>0</v>
      </c>
      <c r="E92" s="1047"/>
      <c r="F92" s="1048">
        <f t="shared" si="9"/>
        <v>0</v>
      </c>
      <c r="G92" s="713"/>
    </row>
    <row r="93" spans="1:7">
      <c r="A93" s="716"/>
      <c r="B93" s="728" t="s">
        <v>660</v>
      </c>
      <c r="C93" s="1047">
        <f>SUM('Kas B PASCA KRISIS'!K12:K13)</f>
        <v>0</v>
      </c>
      <c r="D93" s="1047">
        <f>'Kas B PASCA KRISIS'!K44</f>
        <v>0</v>
      </c>
      <c r="E93" s="1047"/>
      <c r="F93" s="1048">
        <f t="shared" si="9"/>
        <v>0</v>
      </c>
      <c r="G93" s="713"/>
    </row>
    <row r="94" spans="1:7">
      <c r="A94" s="716"/>
      <c r="B94" s="728" t="s">
        <v>379</v>
      </c>
      <c r="C94" s="1047">
        <f>SUM('Kas B PASCA KRISIS'!J12:J13)</f>
        <v>0</v>
      </c>
      <c r="D94" s="1047">
        <f>'Kas B PASCA KRISIS'!J44</f>
        <v>0</v>
      </c>
      <c r="E94" s="1047"/>
      <c r="F94" s="1048">
        <f t="shared" si="9"/>
        <v>0</v>
      </c>
      <c r="G94" s="713"/>
    </row>
    <row r="95" spans="1:7">
      <c r="A95" s="716"/>
      <c r="B95" s="728" t="s">
        <v>380</v>
      </c>
      <c r="C95" s="1047">
        <f>SUM('Kas B PASCA KRISIS'!H12:H13)</f>
        <v>0</v>
      </c>
      <c r="D95" s="1047">
        <f>'Kas B PASCA KRISIS'!H44</f>
        <v>0</v>
      </c>
      <c r="E95" s="1047"/>
      <c r="F95" s="1048">
        <f t="shared" si="9"/>
        <v>0</v>
      </c>
      <c r="G95" s="713"/>
    </row>
    <row r="96" spans="1:7">
      <c r="A96" s="716"/>
      <c r="B96" s="728" t="s">
        <v>381</v>
      </c>
      <c r="C96" s="1047">
        <f>SUM('Kas B PASCA KRISIS'!I12:I13)</f>
        <v>0</v>
      </c>
      <c r="D96" s="1047">
        <f>'Kas B PASCA KRISIS'!I44</f>
        <v>0</v>
      </c>
      <c r="E96" s="1047"/>
      <c r="F96" s="1048">
        <f t="shared" si="9"/>
        <v>0</v>
      </c>
      <c r="G96" s="713"/>
    </row>
    <row r="97" spans="1:7">
      <c r="A97" s="716"/>
      <c r="B97" s="728" t="s">
        <v>661</v>
      </c>
      <c r="C97" s="1047">
        <f>SUM('Kas B PASCA KRISIS'!L12:L13)</f>
        <v>0</v>
      </c>
      <c r="D97" s="1047">
        <f>'Kas B PASCA KRISIS'!L44</f>
        <v>0</v>
      </c>
      <c r="E97" s="1047"/>
      <c r="F97" s="1048">
        <f t="shared" si="9"/>
        <v>0</v>
      </c>
      <c r="G97" s="713"/>
    </row>
    <row r="98" spans="1:7" ht="3.2" customHeight="1">
      <c r="A98" s="716"/>
      <c r="B98" s="728"/>
      <c r="C98" s="1047"/>
      <c r="D98" s="1047"/>
      <c r="E98" s="1047"/>
      <c r="F98" s="1057"/>
      <c r="G98" s="713"/>
    </row>
    <row r="99" spans="1:7" ht="14.25" customHeight="1">
      <c r="A99" s="925"/>
      <c r="B99" s="926" t="s">
        <v>847</v>
      </c>
      <c r="C99" s="1055">
        <f>SUM(C100:C107)</f>
        <v>0</v>
      </c>
      <c r="D99" s="1055">
        <f>SUM(D100:D107)</f>
        <v>0</v>
      </c>
      <c r="E99" s="1056"/>
      <c r="F99" s="1055">
        <f t="shared" ref="F99:F107" si="10">C99+D99</f>
        <v>0</v>
      </c>
      <c r="G99" s="713"/>
    </row>
    <row r="100" spans="1:7">
      <c r="A100" s="716"/>
      <c r="B100" s="1190" t="s">
        <v>376</v>
      </c>
      <c r="C100" s="1191"/>
      <c r="D100" s="1191"/>
      <c r="E100" s="1191"/>
      <c r="F100" s="1192">
        <f t="shared" si="10"/>
        <v>0</v>
      </c>
      <c r="G100" s="713"/>
    </row>
    <row r="101" spans="1:7">
      <c r="A101" s="716"/>
      <c r="B101" s="1190" t="s">
        <v>377</v>
      </c>
      <c r="C101" s="1191"/>
      <c r="D101" s="1191"/>
      <c r="E101" s="1191"/>
      <c r="F101" s="1192">
        <f t="shared" si="10"/>
        <v>0</v>
      </c>
      <c r="G101" s="713"/>
    </row>
    <row r="102" spans="1:7">
      <c r="A102" s="716"/>
      <c r="B102" s="1190" t="s">
        <v>378</v>
      </c>
      <c r="C102" s="1191"/>
      <c r="D102" s="1191"/>
      <c r="E102" s="1191"/>
      <c r="F102" s="1192">
        <f t="shared" si="10"/>
        <v>0</v>
      </c>
      <c r="G102" s="713"/>
    </row>
    <row r="103" spans="1:7">
      <c r="A103" s="716"/>
      <c r="B103" s="1190" t="s">
        <v>660</v>
      </c>
      <c r="C103" s="1191"/>
      <c r="D103" s="1191"/>
      <c r="E103" s="1191"/>
      <c r="F103" s="1192">
        <f t="shared" si="10"/>
        <v>0</v>
      </c>
      <c r="G103" s="713"/>
    </row>
    <row r="104" spans="1:7">
      <c r="A104" s="716"/>
      <c r="B104" s="1190" t="s">
        <v>379</v>
      </c>
      <c r="C104" s="1191"/>
      <c r="D104" s="1191"/>
      <c r="E104" s="1191"/>
      <c r="F104" s="1192">
        <f t="shared" si="10"/>
        <v>0</v>
      </c>
      <c r="G104" s="713"/>
    </row>
    <row r="105" spans="1:7">
      <c r="A105" s="716"/>
      <c r="B105" s="1190" t="s">
        <v>380</v>
      </c>
      <c r="C105" s="1191"/>
      <c r="D105" s="1191"/>
      <c r="E105" s="1191"/>
      <c r="F105" s="1192">
        <f t="shared" si="10"/>
        <v>0</v>
      </c>
      <c r="G105" s="713"/>
    </row>
    <row r="106" spans="1:7">
      <c r="A106" s="716"/>
      <c r="B106" s="1190" t="s">
        <v>381</v>
      </c>
      <c r="C106" s="1191"/>
      <c r="D106" s="1191"/>
      <c r="E106" s="1191"/>
      <c r="F106" s="1192">
        <f t="shared" si="10"/>
        <v>0</v>
      </c>
      <c r="G106" s="713"/>
    </row>
    <row r="107" spans="1:7">
      <c r="A107" s="716"/>
      <c r="B107" s="1190" t="s">
        <v>661</v>
      </c>
      <c r="C107" s="1191"/>
      <c r="D107" s="1191"/>
      <c r="E107" s="1191"/>
      <c r="F107" s="1192">
        <f t="shared" si="10"/>
        <v>0</v>
      </c>
      <c r="G107" s="713"/>
    </row>
    <row r="108" spans="1:7" ht="3.2" customHeight="1">
      <c r="A108" s="716"/>
      <c r="B108" s="728"/>
      <c r="C108" s="1047"/>
      <c r="D108" s="1047"/>
      <c r="E108" s="1047"/>
      <c r="F108" s="1057"/>
      <c r="G108" s="713"/>
    </row>
    <row r="109" spans="1:7" ht="14.25" customHeight="1">
      <c r="A109" s="921"/>
      <c r="B109" s="922" t="s">
        <v>664</v>
      </c>
      <c r="C109" s="1049">
        <f>SUM(C110:C117)</f>
        <v>593072227</v>
      </c>
      <c r="D109" s="1049">
        <f>SUM(D110:D117)</f>
        <v>0</v>
      </c>
      <c r="E109" s="1058"/>
      <c r="F109" s="1049">
        <f t="shared" ref="F109:F117" si="11">C109+D109</f>
        <v>593072227</v>
      </c>
      <c r="G109" s="713"/>
    </row>
    <row r="110" spans="1:7">
      <c r="A110" s="716"/>
      <c r="B110" s="1330" t="s">
        <v>665</v>
      </c>
      <c r="C110" s="1331">
        <f>SUM('Kas DOK Pernc.'!H13:T14)</f>
        <v>211690761</v>
      </c>
      <c r="D110" s="1331">
        <f>SUM('Kas DOK Pernc.'!H44:Q44)</f>
        <v>0</v>
      </c>
      <c r="E110" s="1331"/>
      <c r="F110" s="1332">
        <f t="shared" si="11"/>
        <v>211690761</v>
      </c>
      <c r="G110" s="713"/>
    </row>
    <row r="111" spans="1:7">
      <c r="A111" s="716"/>
      <c r="B111" s="1330" t="s">
        <v>667</v>
      </c>
      <c r="C111" s="1331">
        <f>SUM('Kas DOK Pernc.GSC'!H11:S12)</f>
        <v>0</v>
      </c>
      <c r="D111" s="1331">
        <f>SUM('Kas DOK Pernc.GSC'!H43:S43)</f>
        <v>0</v>
      </c>
      <c r="E111" s="1331"/>
      <c r="F111" s="1332">
        <f t="shared" si="11"/>
        <v>0</v>
      </c>
      <c r="G111" s="713"/>
    </row>
    <row r="112" spans="1:7">
      <c r="A112" s="716"/>
      <c r="B112" s="1330" t="s">
        <v>668</v>
      </c>
      <c r="C112" s="2682">
        <f>SUM('Kas DOK Pelth.'!H11:S12)</f>
        <v>114968582</v>
      </c>
      <c r="D112" s="1331">
        <f>SUM('Kas DOK Pelth.'!H45:S45)</f>
        <v>0</v>
      </c>
      <c r="E112" s="1331"/>
      <c r="F112" s="1332">
        <f t="shared" si="11"/>
        <v>114968582</v>
      </c>
      <c r="G112" s="713"/>
    </row>
    <row r="113" spans="1:9">
      <c r="A113" s="716"/>
      <c r="B113" s="1330" t="s">
        <v>669</v>
      </c>
      <c r="C113" s="1331">
        <f>SUM('Kas DOK Pelth.GSC'!H11:S12)</f>
        <v>0</v>
      </c>
      <c r="D113" s="1331">
        <f>SUM('Kas DOK Pelth.GSC'!H43:S43)</f>
        <v>0</v>
      </c>
      <c r="E113" s="1331"/>
      <c r="F113" s="1332">
        <f t="shared" si="11"/>
        <v>0</v>
      </c>
      <c r="G113" s="713"/>
    </row>
    <row r="114" spans="1:9">
      <c r="A114" s="716"/>
      <c r="B114" s="1330" t="s">
        <v>2448</v>
      </c>
      <c r="C114" s="1331">
        <f>SUM('Kas DOK PLUPK'!H11:O12)</f>
        <v>11000000</v>
      </c>
      <c r="D114" s="1331">
        <f>SUM('Kas DOK PLUPK'!H43:O43)</f>
        <v>0</v>
      </c>
      <c r="E114" s="1331"/>
      <c r="F114" s="1332">
        <f t="shared" si="11"/>
        <v>11000000</v>
      </c>
      <c r="G114" s="713"/>
    </row>
    <row r="115" spans="1:9">
      <c r="A115" s="716"/>
      <c r="B115" s="1330" t="s">
        <v>670</v>
      </c>
      <c r="C115" s="1331">
        <f>SUM('Kas DOK GEMPA'!H11:S12)</f>
        <v>50000000</v>
      </c>
      <c r="D115" s="1331">
        <f>SUM('Kas DOK GEMPA'!H43:S43)</f>
        <v>0</v>
      </c>
      <c r="E115" s="1331"/>
      <c r="F115" s="1332">
        <f t="shared" si="11"/>
        <v>50000000</v>
      </c>
      <c r="G115" s="713"/>
    </row>
    <row r="116" spans="1:9">
      <c r="A116" s="716"/>
      <c r="B116" s="1330" t="s">
        <v>832</v>
      </c>
      <c r="C116" s="1331">
        <f>SUM('Kas DOK RPJMDES'!H11:S12)</f>
        <v>18460300</v>
      </c>
      <c r="D116" s="1331">
        <f>SUM('Kas DOK RPJMDES'!H43:S43)</f>
        <v>0</v>
      </c>
      <c r="E116" s="1331"/>
      <c r="F116" s="1332">
        <f t="shared" si="11"/>
        <v>18460300</v>
      </c>
      <c r="G116" s="713"/>
    </row>
    <row r="117" spans="1:9">
      <c r="A117" s="716"/>
      <c r="B117" s="2784" t="s">
        <v>2304</v>
      </c>
      <c r="C117" s="2682">
        <f>SUM('Kas DOK PNPM MP 2012'!H12:N13)</f>
        <v>186952584</v>
      </c>
      <c r="D117" s="2682">
        <f>SUM('Kas DOK PNPM MP 2012'!H41:N41)</f>
        <v>0</v>
      </c>
      <c r="E117" s="2682"/>
      <c r="F117" s="2785">
        <f t="shared" si="11"/>
        <v>186952584</v>
      </c>
      <c r="G117" s="713"/>
    </row>
    <row r="118" spans="1:9" ht="3.2" customHeight="1">
      <c r="A118" s="716"/>
      <c r="B118" s="717"/>
      <c r="C118" s="1047"/>
      <c r="D118" s="1047"/>
      <c r="E118" s="1047"/>
      <c r="F118" s="1057"/>
      <c r="G118" s="713"/>
    </row>
    <row r="119" spans="1:9" ht="14.25" customHeight="1">
      <c r="A119" s="921"/>
      <c r="B119" s="922" t="s">
        <v>671</v>
      </c>
      <c r="C119" s="1049">
        <f>SUM(C120:C133)</f>
        <v>6199590</v>
      </c>
      <c r="D119" s="1049">
        <f>SUM(D120:D133)</f>
        <v>0</v>
      </c>
      <c r="E119" s="1058"/>
      <c r="F119" s="1049">
        <f t="shared" ref="F119:F133" si="12">C119+D119</f>
        <v>6199590</v>
      </c>
      <c r="G119" s="713"/>
      <c r="H119" s="3410" t="s">
        <v>2263</v>
      </c>
      <c r="I119" s="3410"/>
    </row>
    <row r="120" spans="1:9">
      <c r="A120" s="716"/>
      <c r="B120" s="717" t="s">
        <v>833</v>
      </c>
      <c r="C120" s="1047">
        <f>'Bank B PPK'!J11+'Bank B PPK'!J12+'Bank B PPK'!K11+'Bank B PPK'!K12</f>
        <v>0</v>
      </c>
      <c r="D120" s="1047">
        <f>'Bank B PPK'!J28+'Bank B PPK'!K28</f>
        <v>0</v>
      </c>
      <c r="E120" s="1047"/>
      <c r="F120" s="1048">
        <f t="shared" si="12"/>
        <v>0</v>
      </c>
      <c r="G120" s="713"/>
      <c r="H120" s="2951">
        <f t="shared" ref="H120:H133" si="13">F142+F156</f>
        <v>0</v>
      </c>
      <c r="I120" s="2952" t="s">
        <v>845</v>
      </c>
    </row>
    <row r="121" spans="1:9">
      <c r="A121" s="716"/>
      <c r="B121" s="717" t="s">
        <v>834</v>
      </c>
      <c r="C121" s="1047">
        <f>'Bank B PNPM-MPd'!J11+'Bank B PNPM-MPd'!J12+'Bank B PNPM-MPd'!K11+'Bank B PNPM-MPd'!K12</f>
        <v>3553710</v>
      </c>
      <c r="D121" s="1047">
        <f>'Bank B PNPM-MPd'!J34+'Bank B PNPM-MPd'!K34</f>
        <v>0</v>
      </c>
      <c r="E121" s="1047"/>
      <c r="F121" s="1048">
        <f t="shared" si="12"/>
        <v>3553710</v>
      </c>
      <c r="G121" s="713"/>
      <c r="H121" s="2965">
        <f t="shared" si="13"/>
        <v>0</v>
      </c>
      <c r="I121" s="2952" t="s">
        <v>846</v>
      </c>
    </row>
    <row r="122" spans="1:9">
      <c r="A122" s="716"/>
      <c r="B122" s="717" t="s">
        <v>672</v>
      </c>
      <c r="C122" s="1047">
        <f>'Bank B GSC'!J11+'Bank B GSC'!J12+'Bank B GSC'!K11+'Bank B GSC'!K12</f>
        <v>0</v>
      </c>
      <c r="D122" s="1047">
        <f>'Bank B GSC'!J28+'Bank B GSC'!K28</f>
        <v>0</v>
      </c>
      <c r="E122" s="1047"/>
      <c r="F122" s="1048">
        <f t="shared" si="12"/>
        <v>0</v>
      </c>
      <c r="G122" s="713"/>
      <c r="H122" s="2951">
        <f t="shared" si="13"/>
        <v>0</v>
      </c>
      <c r="I122" s="2953" t="s">
        <v>627</v>
      </c>
    </row>
    <row r="123" spans="1:9">
      <c r="A123" s="716"/>
      <c r="B123" s="717" t="s">
        <v>673</v>
      </c>
      <c r="C123" s="1047">
        <f>'Bank B PNPM-TP GEMPA'!I11+'Bank B PNPM-TP GEMPA'!I12+'Bank B PNPM-TP GEMPA'!J11+'Bank B PNPM-TP GEMPA'!J12</f>
        <v>303947</v>
      </c>
      <c r="D123" s="1047">
        <f>'Bank B PNPM-TP GEMPA'!I28+'Bank B PNPM-TP GEMPA'!J28</f>
        <v>0</v>
      </c>
      <c r="E123" s="1047"/>
      <c r="F123" s="1048">
        <f t="shared" si="12"/>
        <v>303947</v>
      </c>
      <c r="G123" s="713"/>
      <c r="H123" s="2951">
        <f t="shared" si="13"/>
        <v>8285</v>
      </c>
      <c r="I123" s="2953" t="s">
        <v>629</v>
      </c>
    </row>
    <row r="124" spans="1:9">
      <c r="A124" s="716"/>
      <c r="B124" s="717" t="s">
        <v>674</v>
      </c>
      <c r="C124" s="1047">
        <f>'Bank B PASCA KRISIS'!I11+'Bank B PASCA KRISIS'!I12+'Bank B PASCA KRISIS'!J11+'Bank B PASCA KRISIS'!J12</f>
        <v>0</v>
      </c>
      <c r="D124" s="1047">
        <f>'Bank B PASCA KRISIS'!I28+'Bank B PASCA KRISIS'!J28</f>
        <v>0</v>
      </c>
      <c r="E124" s="1047"/>
      <c r="F124" s="1048">
        <f t="shared" si="12"/>
        <v>0</v>
      </c>
      <c r="G124" s="713"/>
      <c r="H124" s="2951">
        <f t="shared" si="13"/>
        <v>0</v>
      </c>
      <c r="I124" s="2953" t="s">
        <v>631</v>
      </c>
    </row>
    <row r="125" spans="1:9">
      <c r="A125" s="716"/>
      <c r="B125" s="1194" t="s">
        <v>675</v>
      </c>
      <c r="C125" s="1191"/>
      <c r="D125" s="1191"/>
      <c r="E125" s="1191"/>
      <c r="F125" s="1192">
        <f t="shared" si="12"/>
        <v>0</v>
      </c>
      <c r="G125" s="713"/>
      <c r="H125" s="2951">
        <f t="shared" si="13"/>
        <v>0</v>
      </c>
      <c r="I125" s="2953" t="s">
        <v>633</v>
      </c>
    </row>
    <row r="126" spans="1:9">
      <c r="A126" s="716"/>
      <c r="B126" s="717" t="s">
        <v>676</v>
      </c>
      <c r="C126" s="1047">
        <f>'Bank DOK PERNC'!J11+'Bank DOK PERNC'!J12+'Bank DOK PERNC'!K11+'Bank DOK PERNC'!K12</f>
        <v>707382</v>
      </c>
      <c r="D126" s="1047">
        <f>'Bank DOK PERNC'!J28+'Bank DOK PERNC'!K28</f>
        <v>0</v>
      </c>
      <c r="E126" s="1047"/>
      <c r="F126" s="1048">
        <f t="shared" si="12"/>
        <v>707382</v>
      </c>
      <c r="G126" s="713"/>
      <c r="H126" s="2958">
        <f t="shared" si="13"/>
        <v>0</v>
      </c>
      <c r="I126" s="2952" t="s">
        <v>635</v>
      </c>
    </row>
    <row r="127" spans="1:9">
      <c r="A127" s="716"/>
      <c r="B127" s="717" t="s">
        <v>677</v>
      </c>
      <c r="C127" s="1047">
        <f>'Bank DOK PERNC-GSC'!J11+'Bank DOK PERNC-GSC'!J12+'Bank DOK PERNC-GSC'!K11+'Bank DOK PERNC-GSC'!K12</f>
        <v>0</v>
      </c>
      <c r="D127" s="1047">
        <f>'Bank DOK PERNC-GSC'!J28+'Bank DOK PERNC-GSC'!K28</f>
        <v>0</v>
      </c>
      <c r="E127" s="1047"/>
      <c r="F127" s="1048">
        <f t="shared" si="12"/>
        <v>0</v>
      </c>
      <c r="G127" s="713"/>
      <c r="H127" s="2951">
        <f t="shared" si="13"/>
        <v>0</v>
      </c>
      <c r="I127" s="2953" t="s">
        <v>637</v>
      </c>
    </row>
    <row r="128" spans="1:9">
      <c r="A128" s="716"/>
      <c r="B128" s="717" t="s">
        <v>678</v>
      </c>
      <c r="C128" s="1047">
        <f>'Bank DOK PELTH'!J11+'Bank DOK PELTH'!J12+'Bank DOK PELTH'!K11+'Bank DOK PELTH'!K12</f>
        <v>794520</v>
      </c>
      <c r="D128" s="1047">
        <f>'Bank DOK PELTH'!J28+'Bank DOK PELTH'!K28</f>
        <v>0</v>
      </c>
      <c r="E128" s="1047"/>
      <c r="F128" s="1048">
        <f t="shared" si="12"/>
        <v>794520</v>
      </c>
      <c r="G128" s="713"/>
      <c r="H128" s="2951">
        <f t="shared" si="13"/>
        <v>0</v>
      </c>
      <c r="I128" s="2952" t="s">
        <v>639</v>
      </c>
    </row>
    <row r="129" spans="1:9">
      <c r="A129" s="716"/>
      <c r="B129" s="717" t="s">
        <v>679</v>
      </c>
      <c r="C129" s="1047">
        <f>'Bank DOK PELTH-GSC'!J11+'Bank DOK PELTH-GSC'!J12+'Bank DOK PELTH-GSC'!K11+'Bank DOK PELTH-GSC'!K12</f>
        <v>0</v>
      </c>
      <c r="D129" s="1047">
        <f>'Bank DOK PELTH-GSC'!J28+'Bank DOK PELTH-GSC'!K28</f>
        <v>0</v>
      </c>
      <c r="E129" s="1047"/>
      <c r="F129" s="1048">
        <f t="shared" si="12"/>
        <v>0</v>
      </c>
      <c r="G129" s="713"/>
      <c r="H129" s="2951">
        <f t="shared" si="13"/>
        <v>0</v>
      </c>
      <c r="I129" s="2953" t="s">
        <v>641</v>
      </c>
    </row>
    <row r="130" spans="1:9">
      <c r="A130" s="716"/>
      <c r="B130" s="717" t="s">
        <v>2449</v>
      </c>
      <c r="C130" s="1047">
        <f>'Bank DOK PLUPK'!I11+'Bank DOK PLUPK'!I12+'Bank DOK PLUPK'!J11+'Bank DOK PLUPK'!J12</f>
        <v>113894</v>
      </c>
      <c r="D130" s="1047">
        <f>'Bank DOK PLUPK'!I28+'Bank DOK PLUPK'!J28</f>
        <v>0</v>
      </c>
      <c r="E130" s="1047"/>
      <c r="F130" s="1048">
        <f t="shared" si="12"/>
        <v>113894</v>
      </c>
      <c r="G130" s="713"/>
      <c r="H130" s="2951">
        <f t="shared" si="13"/>
        <v>89000</v>
      </c>
      <c r="I130" s="2953" t="s">
        <v>2452</v>
      </c>
    </row>
    <row r="131" spans="1:9">
      <c r="A131" s="716"/>
      <c r="B131" s="717" t="s">
        <v>680</v>
      </c>
      <c r="C131" s="1047">
        <f>'Bank DOK GEMPA'!I11+'Bank DOK GEMPA'!I12+'Bank DOK GEMPA'!J11+'Bank DOK GEMPA'!J12</f>
        <v>358745</v>
      </c>
      <c r="D131" s="1047">
        <f>'Bank DOK GEMPA'!I28+'Bank DOK GEMPA'!J28</f>
        <v>0</v>
      </c>
      <c r="E131" s="1047"/>
      <c r="F131" s="1048">
        <f t="shared" si="12"/>
        <v>358745</v>
      </c>
      <c r="G131" s="713"/>
      <c r="H131" s="2951">
        <f t="shared" si="13"/>
        <v>307376</v>
      </c>
      <c r="I131" s="2953" t="s">
        <v>644</v>
      </c>
    </row>
    <row r="132" spans="1:9">
      <c r="A132" s="716"/>
      <c r="B132" s="717" t="s">
        <v>835</v>
      </c>
      <c r="C132" s="1047">
        <f>'Bank DOK RPJMDES'!I11+'Bank DOK RPJMDES'!I12+'Bank DOK RPJMDES'!J11+'Bank DOK RPJMDES'!J12</f>
        <v>113298</v>
      </c>
      <c r="D132" s="1047">
        <f>'Bank DOK RPJMDES'!I28+'Bank DOK RPJMDES'!J28</f>
        <v>0</v>
      </c>
      <c r="E132" s="1047"/>
      <c r="F132" s="1048">
        <f t="shared" si="12"/>
        <v>113298</v>
      </c>
      <c r="G132" s="713"/>
      <c r="H132" s="2951">
        <f t="shared" si="13"/>
        <v>190752</v>
      </c>
      <c r="I132" s="2953" t="s">
        <v>559</v>
      </c>
    </row>
    <row r="133" spans="1:9">
      <c r="A133" s="716"/>
      <c r="B133" s="2784" t="s">
        <v>2305</v>
      </c>
      <c r="C133" s="2682">
        <f>SUM('Bank DOK PNPM MP 2012'!I11:J12)</f>
        <v>254094</v>
      </c>
      <c r="D133" s="2682">
        <f>SUM('Bank DOK PNPM MP 2012'!I28:J28)</f>
        <v>0</v>
      </c>
      <c r="E133" s="2682"/>
      <c r="F133" s="2785">
        <f t="shared" si="12"/>
        <v>254094</v>
      </c>
      <c r="G133" s="713"/>
      <c r="H133" s="2951">
        <f t="shared" si="13"/>
        <v>89000</v>
      </c>
      <c r="I133" s="2953" t="s">
        <v>645</v>
      </c>
    </row>
    <row r="134" spans="1:9" ht="4.5" customHeight="1">
      <c r="A134" s="716"/>
      <c r="B134" s="721"/>
      <c r="C134" s="1047"/>
      <c r="D134" s="1047"/>
      <c r="E134" s="1047"/>
      <c r="F134" s="1057"/>
      <c r="G134" s="713"/>
      <c r="H134" s="2954"/>
      <c r="I134" s="2955"/>
    </row>
    <row r="135" spans="1:9">
      <c r="A135" s="716"/>
      <c r="B135" s="721"/>
      <c r="C135" s="1047"/>
      <c r="D135" s="1047"/>
      <c r="E135" s="1047"/>
      <c r="F135" s="1332"/>
      <c r="G135" s="713"/>
      <c r="H135" s="2956">
        <f>SUM(H120:H133)</f>
        <v>684413</v>
      </c>
      <c r="I135" s="2957" t="s">
        <v>681</v>
      </c>
    </row>
    <row r="136" spans="1:9" ht="3.2" customHeight="1">
      <c r="A136" s="733"/>
      <c r="B136" s="734"/>
      <c r="C136" s="1059"/>
      <c r="D136" s="1059"/>
      <c r="E136" s="1059"/>
      <c r="F136" s="1059"/>
      <c r="G136" s="713"/>
    </row>
    <row r="137" spans="1:9" ht="14.25" customHeight="1">
      <c r="A137" s="923"/>
      <c r="B137" s="924" t="s">
        <v>382</v>
      </c>
      <c r="C137" s="1053">
        <f>C52+C62+C72+C79+C89+C109+C119+C135</f>
        <v>11751107734</v>
      </c>
      <c r="D137" s="1053">
        <f>D52+D62+D72+D79+D89+D109+D119+D135</f>
        <v>0</v>
      </c>
      <c r="E137" s="1053">
        <f>E52+E62+E72+E79+E89+E109+E119+E135</f>
        <v>0</v>
      </c>
      <c r="F137" s="1053">
        <f>F52+F62+F72+F79+F89+F109+F119+F135</f>
        <v>11751107734</v>
      </c>
      <c r="G137" s="713"/>
    </row>
    <row r="138" spans="1:9" ht="3.2" customHeight="1">
      <c r="A138" s="735"/>
      <c r="B138" s="726"/>
      <c r="C138" s="1060"/>
      <c r="D138" s="1060"/>
      <c r="E138" s="1060"/>
      <c r="F138" s="1060"/>
      <c r="G138" s="713"/>
    </row>
    <row r="139" spans="1:9" ht="14.25" customHeight="1">
      <c r="A139" s="928" t="s">
        <v>383</v>
      </c>
      <c r="B139" s="929"/>
      <c r="C139" s="1053">
        <f>(C9+C48)-C137</f>
        <v>16743681</v>
      </c>
      <c r="D139" s="1053">
        <f>(D9+D48)-D137</f>
        <v>16743681</v>
      </c>
      <c r="E139" s="1053">
        <f>(E9+E48)-E137</f>
        <v>0</v>
      </c>
      <c r="F139" s="1053">
        <f>(F9+F48)-F137</f>
        <v>16743681</v>
      </c>
      <c r="G139" s="713"/>
    </row>
    <row r="140" spans="1:9" ht="3.2" customHeight="1">
      <c r="A140" s="736"/>
      <c r="B140" s="737"/>
      <c r="C140" s="1044"/>
      <c r="D140" s="1043"/>
      <c r="E140" s="1044"/>
      <c r="F140" s="1044"/>
      <c r="G140" s="713"/>
    </row>
    <row r="141" spans="1:9" ht="13.5" thickBot="1">
      <c r="A141" s="3410" t="s">
        <v>384</v>
      </c>
      <c r="B141" s="3410"/>
      <c r="C141" s="3410"/>
      <c r="D141" s="3410"/>
      <c r="E141" s="3410"/>
      <c r="F141" s="3410"/>
      <c r="G141" s="738"/>
      <c r="H141" s="3410" t="s">
        <v>682</v>
      </c>
      <c r="I141" s="3410"/>
    </row>
    <row r="142" spans="1:9" ht="13.5" thickTop="1">
      <c r="A142" s="724"/>
      <c r="B142" s="918" t="s">
        <v>840</v>
      </c>
      <c r="C142" s="1061"/>
      <c r="D142" s="1062"/>
      <c r="E142" s="1061"/>
      <c r="F142" s="1062">
        <f>'Kas B PPK'!R46</f>
        <v>0</v>
      </c>
      <c r="G142" s="713"/>
      <c r="H142" s="1082">
        <f t="shared" ref="H142:H149" si="14">H53-H120</f>
        <v>0</v>
      </c>
      <c r="I142" s="739" t="s">
        <v>845</v>
      </c>
    </row>
    <row r="143" spans="1:9">
      <c r="A143" s="724"/>
      <c r="B143" s="721" t="s">
        <v>839</v>
      </c>
      <c r="C143" s="1063"/>
      <c r="D143" s="1064"/>
      <c r="E143" s="1063"/>
      <c r="F143" s="1064">
        <f>'Kas B PNPM-MPd'!Q27</f>
        <v>0</v>
      </c>
      <c r="G143" s="713"/>
      <c r="H143" s="2964">
        <f t="shared" si="14"/>
        <v>9919325</v>
      </c>
      <c r="I143" s="739" t="s">
        <v>846</v>
      </c>
    </row>
    <row r="144" spans="1:9">
      <c r="A144" s="724"/>
      <c r="B144" s="721" t="s">
        <v>683</v>
      </c>
      <c r="C144" s="1063"/>
      <c r="D144" s="1064"/>
      <c r="E144" s="1063"/>
      <c r="F144" s="1064">
        <f>'Kas B GSC'!O46</f>
        <v>0</v>
      </c>
      <c r="G144" s="713"/>
      <c r="H144" s="1082">
        <f t="shared" si="14"/>
        <v>0</v>
      </c>
      <c r="I144" s="740" t="s">
        <v>627</v>
      </c>
    </row>
    <row r="145" spans="1:9">
      <c r="A145" s="724"/>
      <c r="B145" s="721" t="s">
        <v>684</v>
      </c>
      <c r="C145" s="1063"/>
      <c r="D145" s="1064"/>
      <c r="E145" s="1063"/>
      <c r="F145" s="1064">
        <f>'Kas B PNPM-TP GEMPA'!R46</f>
        <v>0</v>
      </c>
      <c r="G145" s="713"/>
      <c r="H145" s="1082">
        <f t="shared" si="14"/>
        <v>0</v>
      </c>
      <c r="I145" s="740" t="s">
        <v>629</v>
      </c>
    </row>
    <row r="146" spans="1:9">
      <c r="A146" s="724"/>
      <c r="B146" s="721" t="s">
        <v>685</v>
      </c>
      <c r="C146" s="1063"/>
      <c r="D146" s="1064"/>
      <c r="E146" s="1063"/>
      <c r="F146" s="1064">
        <f>'Kas B PASCA KRISIS'!R46</f>
        <v>0</v>
      </c>
      <c r="G146" s="713"/>
      <c r="H146" s="1082">
        <f t="shared" si="14"/>
        <v>0</v>
      </c>
      <c r="I146" s="740" t="s">
        <v>631</v>
      </c>
    </row>
    <row r="147" spans="1:9">
      <c r="A147" s="724"/>
      <c r="B147" s="1193" t="s">
        <v>686</v>
      </c>
      <c r="C147" s="1195"/>
      <c r="D147" s="1196"/>
      <c r="E147" s="1195"/>
      <c r="F147" s="1196"/>
      <c r="G147" s="713"/>
      <c r="H147" s="1197">
        <f t="shared" si="14"/>
        <v>0</v>
      </c>
      <c r="I147" s="1198" t="s">
        <v>633</v>
      </c>
    </row>
    <row r="148" spans="1:9">
      <c r="A148" s="716"/>
      <c r="B148" s="721" t="s">
        <v>687</v>
      </c>
      <c r="C148" s="1063"/>
      <c r="D148" s="1064"/>
      <c r="E148" s="1063"/>
      <c r="F148" s="1064">
        <f>'Kas DOK Pernc.'!U46</f>
        <v>0</v>
      </c>
      <c r="G148" s="713"/>
      <c r="H148" s="1082">
        <f t="shared" si="14"/>
        <v>0</v>
      </c>
      <c r="I148" s="739" t="s">
        <v>635</v>
      </c>
    </row>
    <row r="149" spans="1:9">
      <c r="A149" s="716"/>
      <c r="B149" s="721" t="s">
        <v>688</v>
      </c>
      <c r="C149" s="1063"/>
      <c r="D149" s="1064"/>
      <c r="E149" s="1063"/>
      <c r="F149" s="1064">
        <f>'Kas DOK Pernc.GSC'!W45</f>
        <v>0</v>
      </c>
      <c r="G149" s="713"/>
      <c r="H149" s="1082">
        <f t="shared" si="14"/>
        <v>0</v>
      </c>
      <c r="I149" s="740" t="s">
        <v>637</v>
      </c>
    </row>
    <row r="150" spans="1:9">
      <c r="A150" s="716"/>
      <c r="B150" s="721" t="s">
        <v>689</v>
      </c>
      <c r="C150" s="1063"/>
      <c r="D150" s="1064"/>
      <c r="E150" s="1063"/>
      <c r="F150" s="1064">
        <f>'Kas DOK Pelth.'!W47</f>
        <v>0</v>
      </c>
      <c r="G150" s="713"/>
      <c r="H150" s="1082">
        <f t="shared" ref="H150:H155" si="15">H62-H128</f>
        <v>0</v>
      </c>
      <c r="I150" s="739" t="s">
        <v>639</v>
      </c>
    </row>
    <row r="151" spans="1:9">
      <c r="A151" s="716"/>
      <c r="B151" s="721" t="s">
        <v>690</v>
      </c>
      <c r="C151" s="1063"/>
      <c r="D151" s="1064"/>
      <c r="E151" s="1063"/>
      <c r="F151" s="1064">
        <f>'Kas DOK Pelth.GSC'!W45</f>
        <v>0</v>
      </c>
      <c r="G151" s="713"/>
      <c r="H151" s="1082">
        <f t="shared" si="15"/>
        <v>0</v>
      </c>
      <c r="I151" s="740" t="s">
        <v>641</v>
      </c>
    </row>
    <row r="152" spans="1:9">
      <c r="A152" s="716"/>
      <c r="B152" s="721" t="s">
        <v>2450</v>
      </c>
      <c r="C152" s="1063"/>
      <c r="D152" s="1064"/>
      <c r="E152" s="1063"/>
      <c r="F152" s="1064">
        <f>'Kas DOK PLUPK'!S45</f>
        <v>0</v>
      </c>
      <c r="G152" s="713"/>
      <c r="H152" s="1082">
        <f t="shared" si="15"/>
        <v>839943</v>
      </c>
      <c r="I152" s="740" t="s">
        <v>2452</v>
      </c>
    </row>
    <row r="153" spans="1:9">
      <c r="A153" s="716"/>
      <c r="B153" s="721" t="s">
        <v>691</v>
      </c>
      <c r="C153" s="1063"/>
      <c r="D153" s="1064"/>
      <c r="E153" s="1063"/>
      <c r="F153" s="1064">
        <f>'Kas DOK GEMPA'!W45</f>
        <v>0</v>
      </c>
      <c r="G153" s="713"/>
      <c r="H153" s="1082">
        <f t="shared" si="15"/>
        <v>0</v>
      </c>
      <c r="I153" s="740" t="s">
        <v>644</v>
      </c>
    </row>
    <row r="154" spans="1:9">
      <c r="A154" s="716"/>
      <c r="B154" s="721" t="s">
        <v>841</v>
      </c>
      <c r="C154" s="1063"/>
      <c r="D154" s="1064"/>
      <c r="E154" s="1063"/>
      <c r="F154" s="1064">
        <f>'Kas DOK RPJMDES'!W45</f>
        <v>64700</v>
      </c>
      <c r="G154" s="713"/>
      <c r="H154" s="1082">
        <f t="shared" si="15"/>
        <v>-100000</v>
      </c>
      <c r="I154" s="740" t="s">
        <v>559</v>
      </c>
    </row>
    <row r="155" spans="1:9">
      <c r="A155" s="716"/>
      <c r="B155" s="2786" t="s">
        <v>2306</v>
      </c>
      <c r="C155" s="2787"/>
      <c r="D155" s="2788"/>
      <c r="E155" s="2787"/>
      <c r="F155" s="2788">
        <f>'Kas DOK PNPM MP 2012'!O43</f>
        <v>0</v>
      </c>
      <c r="G155" s="713"/>
      <c r="H155" s="1197">
        <f t="shared" si="15"/>
        <v>0</v>
      </c>
      <c r="I155" s="1198" t="s">
        <v>645</v>
      </c>
    </row>
    <row r="156" spans="1:9">
      <c r="A156" s="716"/>
      <c r="B156" s="721" t="s">
        <v>842</v>
      </c>
      <c r="C156" s="1063" t="s">
        <v>385</v>
      </c>
      <c r="D156" s="1064"/>
      <c r="E156" s="1063"/>
      <c r="F156" s="1064">
        <f>'Bank B PPK'!L30</f>
        <v>0</v>
      </c>
      <c r="G156" s="713"/>
      <c r="H156" s="1083"/>
      <c r="I156" s="740"/>
    </row>
    <row r="157" spans="1:9">
      <c r="A157" s="716"/>
      <c r="B157" s="721" t="s">
        <v>843</v>
      </c>
      <c r="C157" s="1063" t="s">
        <v>385</v>
      </c>
      <c r="D157" s="1064"/>
      <c r="E157" s="1063"/>
      <c r="F157" s="1064">
        <f>'Bank B PNPM-MPd'!L36</f>
        <v>0</v>
      </c>
      <c r="G157" s="713"/>
      <c r="H157" s="1083">
        <f>H29-H48</f>
        <v>5400000</v>
      </c>
      <c r="I157" s="740" t="s">
        <v>692</v>
      </c>
    </row>
    <row r="158" spans="1:9">
      <c r="A158" s="716"/>
      <c r="B158" s="721" t="s">
        <v>693</v>
      </c>
      <c r="C158" s="1063" t="s">
        <v>385</v>
      </c>
      <c r="D158" s="1064"/>
      <c r="E158" s="1063"/>
      <c r="F158" s="1064">
        <f>'Bank B GSC'!L30</f>
        <v>0</v>
      </c>
      <c r="G158" s="713"/>
    </row>
    <row r="159" spans="1:9">
      <c r="A159" s="716"/>
      <c r="B159" s="721" t="s">
        <v>694</v>
      </c>
      <c r="C159" s="1063" t="s">
        <v>385</v>
      </c>
      <c r="D159" s="1064"/>
      <c r="E159" s="1063"/>
      <c r="F159" s="1064">
        <f>'Bank B PNPM-TP GEMPA'!K30</f>
        <v>8285</v>
      </c>
      <c r="G159" s="713"/>
      <c r="H159" s="1084">
        <f>H72-H135</f>
        <v>16059268</v>
      </c>
      <c r="I159" s="741" t="s">
        <v>695</v>
      </c>
    </row>
    <row r="160" spans="1:9">
      <c r="A160" s="716"/>
      <c r="B160" s="721" t="s">
        <v>696</v>
      </c>
      <c r="C160" s="1063" t="s">
        <v>385</v>
      </c>
      <c r="D160" s="1064"/>
      <c r="E160" s="1063"/>
      <c r="F160" s="1064">
        <f>'Bank B PASCA KRISIS'!K30</f>
        <v>0</v>
      </c>
      <c r="G160" s="713"/>
    </row>
    <row r="161" spans="1:8">
      <c r="A161" s="716"/>
      <c r="B161" s="1193" t="s">
        <v>697</v>
      </c>
      <c r="C161" s="1195" t="s">
        <v>385</v>
      </c>
      <c r="D161" s="1196"/>
      <c r="E161" s="1195"/>
      <c r="F161" s="1196"/>
      <c r="G161" s="713"/>
      <c r="H161" s="1074">
        <f>F172-H159</f>
        <v>0</v>
      </c>
    </row>
    <row r="162" spans="1:8">
      <c r="A162" s="716"/>
      <c r="B162" s="742" t="s">
        <v>698</v>
      </c>
      <c r="C162" s="1063" t="s">
        <v>385</v>
      </c>
      <c r="D162" s="1064"/>
      <c r="E162" s="1063"/>
      <c r="F162" s="1064">
        <f>'Bank DOK PERNC'!L30</f>
        <v>0</v>
      </c>
      <c r="G162" s="713"/>
    </row>
    <row r="163" spans="1:8">
      <c r="A163" s="716"/>
      <c r="B163" s="742" t="s">
        <v>699</v>
      </c>
      <c r="C163" s="1063" t="s">
        <v>385</v>
      </c>
      <c r="D163" s="1064"/>
      <c r="E163" s="1063"/>
      <c r="F163" s="1064">
        <f>'Bank DOK PERNC-GSC'!L30</f>
        <v>0</v>
      </c>
      <c r="G163" s="713"/>
    </row>
    <row r="164" spans="1:8">
      <c r="A164" s="716"/>
      <c r="B164" s="721" t="s">
        <v>700</v>
      </c>
      <c r="C164" s="1063" t="s">
        <v>385</v>
      </c>
      <c r="D164" s="1064"/>
      <c r="E164" s="1063"/>
      <c r="F164" s="1064">
        <f>'Bank DOK PELTH'!L30</f>
        <v>0</v>
      </c>
      <c r="G164" s="713"/>
    </row>
    <row r="165" spans="1:8">
      <c r="A165" s="716"/>
      <c r="B165" s="721" t="s">
        <v>701</v>
      </c>
      <c r="C165" s="1063" t="s">
        <v>385</v>
      </c>
      <c r="D165" s="1064"/>
      <c r="E165" s="1063"/>
      <c r="F165" s="1064">
        <f>'Bank DOK PELTH-GSC'!L30</f>
        <v>0</v>
      </c>
      <c r="G165" s="713"/>
    </row>
    <row r="166" spans="1:8">
      <c r="A166" s="716"/>
      <c r="B166" s="721" t="s">
        <v>2451</v>
      </c>
      <c r="C166" s="1063" t="s">
        <v>385</v>
      </c>
      <c r="D166" s="1064"/>
      <c r="E166" s="1063"/>
      <c r="F166" s="1064">
        <f>'Bank DOK PLUPK'!K30</f>
        <v>89000</v>
      </c>
      <c r="G166" s="713"/>
    </row>
    <row r="167" spans="1:8">
      <c r="A167" s="743"/>
      <c r="B167" s="721" t="s">
        <v>702</v>
      </c>
      <c r="C167" s="1063" t="s">
        <v>385</v>
      </c>
      <c r="D167" s="1064"/>
      <c r="E167" s="1063"/>
      <c r="F167" s="1064">
        <f>'Bank DOK GEMPA'!K30</f>
        <v>307376</v>
      </c>
      <c r="G167" s="713"/>
    </row>
    <row r="168" spans="1:8">
      <c r="A168" s="743"/>
      <c r="B168" s="721" t="s">
        <v>844</v>
      </c>
      <c r="C168" s="1063" t="s">
        <v>385</v>
      </c>
      <c r="D168" s="1064"/>
      <c r="E168" s="1063"/>
      <c r="F168" s="1064">
        <f>'Bank DOK RPJMDES'!K30</f>
        <v>126052</v>
      </c>
      <c r="G168" s="713"/>
    </row>
    <row r="169" spans="1:8">
      <c r="A169" s="743"/>
      <c r="B169" s="2786" t="s">
        <v>2307</v>
      </c>
      <c r="C169" s="2787" t="s">
        <v>385</v>
      </c>
      <c r="D169" s="2788"/>
      <c r="E169" s="2787"/>
      <c r="F169" s="2788">
        <f>'Bank DOK PNPM MP 2012'!K30</f>
        <v>89000</v>
      </c>
      <c r="G169" s="713"/>
    </row>
    <row r="170" spans="1:8" ht="3.2" customHeight="1">
      <c r="A170" s="743"/>
      <c r="B170" s="744"/>
      <c r="C170" s="1065"/>
      <c r="D170" s="1066"/>
      <c r="E170" s="1065"/>
      <c r="F170" s="1067"/>
      <c r="G170" s="713"/>
    </row>
    <row r="171" spans="1:8" ht="14.25" customHeight="1">
      <c r="A171" s="745"/>
      <c r="B171" s="746" t="s">
        <v>386</v>
      </c>
      <c r="C171" s="1068"/>
      <c r="D171" s="1069"/>
      <c r="E171" s="1068"/>
      <c r="F171" s="1070">
        <f>SUM(F142:F169)</f>
        <v>684413</v>
      </c>
      <c r="G171" s="713"/>
    </row>
    <row r="172" spans="1:8" ht="18" customHeight="1">
      <c r="A172" s="747"/>
      <c r="B172" s="747"/>
      <c r="C172" s="1071"/>
      <c r="D172" s="1072" t="s">
        <v>703</v>
      </c>
      <c r="E172" s="1068"/>
      <c r="F172" s="1070">
        <f>F139-F171</f>
        <v>16059268</v>
      </c>
      <c r="G172" s="713"/>
    </row>
    <row r="173" spans="1:8" ht="15">
      <c r="A173" s="748"/>
      <c r="B173" s="748"/>
      <c r="C173" s="1073"/>
      <c r="D173" s="1073"/>
      <c r="E173" s="1073"/>
      <c r="F173" s="1073"/>
    </row>
    <row r="174" spans="1:8" ht="15">
      <c r="A174" s="748"/>
      <c r="B174" s="748"/>
      <c r="C174" s="1073"/>
      <c r="D174" s="1073"/>
      <c r="E174" s="1073"/>
      <c r="F174" s="1073"/>
    </row>
    <row r="175" spans="1:8" ht="15">
      <c r="A175" s="748"/>
      <c r="B175" s="748"/>
      <c r="C175" s="1073"/>
      <c r="D175" s="1073"/>
      <c r="E175" s="1073"/>
      <c r="F175" s="1073"/>
    </row>
    <row r="176" spans="1:8" ht="15">
      <c r="A176" s="748"/>
      <c r="B176" s="748"/>
      <c r="C176" s="1073"/>
      <c r="D176" s="1073"/>
      <c r="E176" s="1073"/>
      <c r="F176" s="1073"/>
    </row>
    <row r="177" spans="1:6" ht="15">
      <c r="A177" s="748"/>
      <c r="B177" s="748"/>
      <c r="C177" s="1073"/>
      <c r="D177" s="1073"/>
      <c r="E177" s="1073"/>
      <c r="F177" s="1073"/>
    </row>
    <row r="178" spans="1:6" ht="15">
      <c r="A178" s="748"/>
      <c r="B178" s="748"/>
      <c r="C178" s="1073"/>
      <c r="D178" s="1073"/>
      <c r="E178" s="1073"/>
      <c r="F178" s="1073"/>
    </row>
    <row r="179" spans="1:6" ht="15">
      <c r="A179" s="748"/>
      <c r="B179" s="748"/>
      <c r="C179" s="1073"/>
      <c r="D179" s="1073"/>
      <c r="E179" s="1073"/>
      <c r="F179" s="1073"/>
    </row>
    <row r="180" spans="1:6" ht="15">
      <c r="A180" s="748"/>
      <c r="B180" s="748"/>
      <c r="C180" s="1073"/>
      <c r="D180" s="1073"/>
      <c r="E180" s="1073"/>
      <c r="F180" s="1073"/>
    </row>
    <row r="181" spans="1:6" ht="15">
      <c r="A181" s="748"/>
      <c r="B181" s="748"/>
      <c r="C181" s="1073"/>
      <c r="D181" s="1073"/>
      <c r="E181" s="1073"/>
      <c r="F181" s="1073"/>
    </row>
    <row r="182" spans="1:6" ht="15">
      <c r="A182" s="748"/>
      <c r="B182" s="748"/>
      <c r="C182" s="1073"/>
      <c r="D182" s="1073"/>
      <c r="E182" s="1073"/>
      <c r="F182" s="1073"/>
    </row>
    <row r="183" spans="1:6" ht="15">
      <c r="A183" s="748"/>
      <c r="B183" s="748"/>
      <c r="C183" s="1073"/>
      <c r="D183" s="1073"/>
      <c r="E183" s="1073"/>
      <c r="F183" s="1073"/>
    </row>
    <row r="184" spans="1:6" ht="15">
      <c r="A184" s="748"/>
      <c r="B184" s="748"/>
      <c r="C184" s="1073"/>
      <c r="D184" s="1073"/>
      <c r="E184" s="1073"/>
      <c r="F184" s="1073"/>
    </row>
    <row r="185" spans="1:6" ht="15">
      <c r="A185" s="748"/>
      <c r="B185" s="748"/>
      <c r="C185" s="1073"/>
      <c r="D185" s="1073"/>
      <c r="E185" s="1073"/>
      <c r="F185" s="1073"/>
    </row>
    <row r="186" spans="1:6" ht="15">
      <c r="A186" s="748"/>
      <c r="B186" s="748"/>
      <c r="C186" s="1073"/>
      <c r="D186" s="1073"/>
      <c r="E186" s="1073"/>
      <c r="F186" s="1073"/>
    </row>
    <row r="187" spans="1:6" ht="15">
      <c r="A187" s="748"/>
      <c r="B187" s="748"/>
      <c r="C187" s="1073"/>
      <c r="D187" s="1073"/>
      <c r="E187" s="1073"/>
      <c r="F187" s="1073"/>
    </row>
  </sheetData>
  <sheetProtection formatColumns="0" formatRows="0"/>
  <mergeCells count="14">
    <mergeCell ref="H32:I32"/>
    <mergeCell ref="A50:F50"/>
    <mergeCell ref="H52:I52"/>
    <mergeCell ref="H119:I119"/>
    <mergeCell ref="H141:I141"/>
    <mergeCell ref="A141:F141"/>
    <mergeCell ref="H13:I13"/>
    <mergeCell ref="A11:F11"/>
    <mergeCell ref="H9:I9"/>
    <mergeCell ref="A2:B2"/>
    <mergeCell ref="A4:F4"/>
    <mergeCell ref="A5:F5"/>
    <mergeCell ref="A6:F6"/>
    <mergeCell ref="A8:B8"/>
  </mergeCells>
  <printOptions horizontalCentered="1"/>
  <pageMargins left="0.23622047244094491" right="0.23622047244094491" top="0.23622047244094491" bottom="0.23622047244094491" header="0.19685039370078741" footer="0.11811023622047245"/>
  <pageSetup paperSize="9" scale="76" orientation="portrait" horizontalDpi="4294967293" verticalDpi="4294967293" r:id="rId1"/>
  <headerFooter alignWithMargins="0"/>
  <drawing r:id="rId2"/>
  <legacyDrawing r:id="rId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tabColor indexed="50"/>
  </sheetPr>
  <dimension ref="A1:O100"/>
  <sheetViews>
    <sheetView zoomScale="70" zoomScaleNormal="70" zoomScaleSheetLayoutView="70" workbookViewId="0">
      <selection sqref="A1:L1"/>
    </sheetView>
  </sheetViews>
  <sheetFormatPr defaultColWidth="9.140625" defaultRowHeight="15.75"/>
  <cols>
    <col min="1" max="1" width="38.7109375" style="772" customWidth="1"/>
    <col min="2" max="2" width="25.42578125" style="772" customWidth="1"/>
    <col min="3" max="3" width="18.140625" style="772" bestFit="1" customWidth="1"/>
    <col min="4" max="4" width="16.85546875" style="772" customWidth="1"/>
    <col min="5" max="5" width="15.5703125" style="772" customWidth="1"/>
    <col min="6" max="6" width="18.7109375" style="772" customWidth="1"/>
    <col min="7" max="7" width="17.85546875" style="772" customWidth="1"/>
    <col min="8" max="8" width="18.42578125" style="772" customWidth="1"/>
    <col min="9" max="9" width="17.28515625" style="772" customWidth="1"/>
    <col min="10" max="10" width="13.5703125" style="772" customWidth="1"/>
    <col min="11" max="11" width="16.28515625" style="772" customWidth="1"/>
    <col min="12" max="12" width="26.42578125" style="772" customWidth="1"/>
    <col min="13" max="13" width="9.140625" style="772"/>
    <col min="14" max="14" width="14.28515625" style="772" bestFit="1" customWidth="1"/>
    <col min="15" max="15" width="13.5703125" style="772" customWidth="1"/>
    <col min="16" max="16384" width="9.140625" style="772"/>
  </cols>
  <sheetData>
    <row r="1" spans="1:12" s="767" customFormat="1" ht="23.25">
      <c r="A1" s="3614" t="s">
        <v>187</v>
      </c>
      <c r="B1" s="3614"/>
      <c r="C1" s="3614"/>
      <c r="D1" s="3614"/>
      <c r="E1" s="3614"/>
      <c r="F1" s="3614"/>
      <c r="G1" s="3614"/>
      <c r="H1" s="3614"/>
      <c r="I1" s="3614"/>
      <c r="J1" s="3614"/>
      <c r="K1" s="3614"/>
      <c r="L1" s="3614"/>
    </row>
    <row r="2" spans="1:12" s="767" customFormat="1" ht="23.25">
      <c r="A2" s="3614" t="s">
        <v>515</v>
      </c>
      <c r="B2" s="3614"/>
      <c r="C2" s="3614"/>
      <c r="D2" s="3614"/>
      <c r="E2" s="3614"/>
      <c r="F2" s="3614"/>
      <c r="G2" s="3614"/>
      <c r="H2" s="3614"/>
      <c r="I2" s="3614"/>
      <c r="J2" s="3614"/>
      <c r="K2" s="3614"/>
      <c r="L2" s="3614"/>
    </row>
    <row r="3" spans="1:12" s="767" customFormat="1" ht="23.25">
      <c r="A3" s="3614" t="str">
        <f>"Bulan "&amp;DT!D25</f>
        <v>Bulan Februari 2016</v>
      </c>
      <c r="B3" s="3614"/>
      <c r="C3" s="3614"/>
      <c r="D3" s="3614"/>
      <c r="E3" s="3614"/>
      <c r="F3" s="3614"/>
      <c r="G3" s="3614"/>
      <c r="H3" s="3614"/>
      <c r="I3" s="3614"/>
      <c r="J3" s="3614"/>
      <c r="K3" s="3614"/>
      <c r="L3" s="3614"/>
    </row>
    <row r="4" spans="1:12" s="768" customFormat="1" ht="7.5" customHeight="1"/>
    <row r="5" spans="1:12" s="768" customFormat="1" ht="18.75">
      <c r="A5" s="768" t="s">
        <v>2</v>
      </c>
      <c r="B5" s="4" t="str">
        <f>": "&amp;DT!D3</f>
        <v>: Nagrak</v>
      </c>
      <c r="E5" s="769"/>
      <c r="H5" s="768" t="s">
        <v>188</v>
      </c>
      <c r="J5" s="3653" t="str">
        <f>DT!D27</f>
        <v>29 Februari 2016 2016</v>
      </c>
      <c r="K5" s="3653"/>
    </row>
    <row r="6" spans="1:12" s="768" customFormat="1" ht="18.75">
      <c r="A6" s="768" t="s">
        <v>4</v>
      </c>
      <c r="B6" s="4" t="str">
        <f>": "&amp;DT!D4</f>
        <v>: Sukabumi</v>
      </c>
      <c r="D6" s="770"/>
      <c r="E6" s="770"/>
      <c r="F6" s="770"/>
      <c r="G6" s="771"/>
      <c r="H6" s="771"/>
      <c r="I6" s="770"/>
    </row>
    <row r="7" spans="1:12" s="768" customFormat="1" ht="18.75">
      <c r="A7" s="768" t="s">
        <v>6</v>
      </c>
      <c r="B7" s="4" t="str">
        <f>": "&amp;DT!D5</f>
        <v>: Jawa Barat</v>
      </c>
      <c r="G7" s="772"/>
      <c r="H7" s="773"/>
    </row>
    <row r="8" spans="1:12" s="774" customFormat="1" ht="6.75" customHeight="1" thickBot="1"/>
    <row r="9" spans="1:12" s="775" customFormat="1">
      <c r="A9" s="3654" t="s">
        <v>189</v>
      </c>
      <c r="B9" s="2556" t="s">
        <v>190</v>
      </c>
      <c r="C9" s="2556" t="s">
        <v>152</v>
      </c>
      <c r="D9" s="2556" t="s">
        <v>191</v>
      </c>
      <c r="E9" s="2556" t="s">
        <v>192</v>
      </c>
      <c r="F9" s="2556" t="s">
        <v>191</v>
      </c>
      <c r="G9" s="2556" t="s">
        <v>193</v>
      </c>
      <c r="H9" s="2556" t="s">
        <v>77</v>
      </c>
      <c r="I9" s="2556" t="s">
        <v>194</v>
      </c>
      <c r="J9" s="2556" t="s">
        <v>195</v>
      </c>
      <c r="K9" s="2556" t="s">
        <v>196</v>
      </c>
      <c r="L9" s="3656" t="s">
        <v>169</v>
      </c>
    </row>
    <row r="10" spans="1:12" s="775" customFormat="1">
      <c r="A10" s="3655"/>
      <c r="B10" s="2553" t="s">
        <v>197</v>
      </c>
      <c r="C10" s="2553" t="s">
        <v>191</v>
      </c>
      <c r="D10" s="2553" t="s">
        <v>100</v>
      </c>
      <c r="E10" s="2553" t="s">
        <v>198</v>
      </c>
      <c r="F10" s="2553" t="s">
        <v>199</v>
      </c>
      <c r="G10" s="2553" t="s">
        <v>200</v>
      </c>
      <c r="H10" s="2553" t="s">
        <v>201</v>
      </c>
      <c r="I10" s="2553" t="s">
        <v>202</v>
      </c>
      <c r="J10" s="2553" t="s">
        <v>203</v>
      </c>
      <c r="K10" s="2553" t="s">
        <v>204</v>
      </c>
      <c r="L10" s="3657"/>
    </row>
    <row r="11" spans="1:12" s="776" customFormat="1" ht="12" thickBot="1">
      <c r="A11" s="2557">
        <v>1</v>
      </c>
      <c r="B11" s="2558">
        <v>2</v>
      </c>
      <c r="C11" s="2558">
        <v>3</v>
      </c>
      <c r="D11" s="2558">
        <v>4</v>
      </c>
      <c r="E11" s="2558">
        <v>5</v>
      </c>
      <c r="F11" s="2558" t="s">
        <v>205</v>
      </c>
      <c r="G11" s="2558">
        <v>7</v>
      </c>
      <c r="H11" s="2558">
        <v>8</v>
      </c>
      <c r="I11" s="2558" t="s">
        <v>233</v>
      </c>
      <c r="J11" s="2558">
        <v>10</v>
      </c>
      <c r="K11" s="2558" t="s">
        <v>206</v>
      </c>
      <c r="L11" s="2559">
        <v>12</v>
      </c>
    </row>
    <row r="12" spans="1:12" s="773" customFormat="1" ht="35.25" customHeight="1">
      <c r="A12" s="777" t="s">
        <v>812</v>
      </c>
      <c r="B12" s="778" t="str">
        <f>DT!D31</f>
        <v>.................................</v>
      </c>
      <c r="C12" s="779" t="str">
        <f>DT!D27</f>
        <v>29 Februari 2016 2016</v>
      </c>
      <c r="D12" s="780">
        <f>'Arus Dana'!F156</f>
        <v>0</v>
      </c>
      <c r="E12" s="780">
        <f>'Bank B PPK'!H30-'Bank B PPK'!J30-'Bank B PPK'!K30</f>
        <v>0</v>
      </c>
      <c r="F12" s="2554">
        <f>SUM(D12-E12)</f>
        <v>0</v>
      </c>
      <c r="G12" s="781">
        <f>(SUM('Bank B PPK'!E30:F30))+'Kas B PPK'!E46+'Kas B PPK'!F46</f>
        <v>0</v>
      </c>
      <c r="H12" s="780">
        <f>SUM('Kas B PPK'!G46:P46)</f>
        <v>0</v>
      </c>
      <c r="I12" s="2554">
        <f>SUM(G12-H12)</f>
        <v>0</v>
      </c>
      <c r="J12" s="780">
        <f>'Arus Dana'!F142</f>
        <v>0</v>
      </c>
      <c r="K12" s="2555">
        <f t="shared" ref="K12:K27" si="0">SUM(I12-F12-J12)</f>
        <v>0</v>
      </c>
      <c r="L12" s="783"/>
    </row>
    <row r="13" spans="1:12" s="773" customFormat="1" ht="35.25" customHeight="1">
      <c r="A13" s="777" t="s">
        <v>813</v>
      </c>
      <c r="B13" s="778" t="str">
        <f>DT!D32</f>
        <v>4097-01-003496-53-4</v>
      </c>
      <c r="C13" s="779" t="str">
        <f>DT!D27</f>
        <v>29 Februari 2016 2016</v>
      </c>
      <c r="D13" s="780">
        <f>'Arus Dana'!F157</f>
        <v>0</v>
      </c>
      <c r="E13" s="780">
        <f>'Bank B PNPM-MPd'!H36-'Bank B PNPM-MPd'!J36-'Bank B PNPM-MPd'!K36</f>
        <v>11690242</v>
      </c>
      <c r="F13" s="882">
        <f t="shared" ref="F13:F18" si="1">SUM(D13-E13)</f>
        <v>-11690242</v>
      </c>
      <c r="G13" s="781">
        <f>(SUM('Bank B PNPM-MPd'!E36:F36))+'Kas B PNPM-MPd'!E27+'Kas B PNPM-MPd'!F27</f>
        <v>10650265000</v>
      </c>
      <c r="H13" s="780">
        <f>SUM('Kas B PNPM-MPd'!G27:O27)</f>
        <v>10661955242</v>
      </c>
      <c r="I13" s="882">
        <f t="shared" ref="I13:I27" si="2">SUM(G13-H13)</f>
        <v>-11690242</v>
      </c>
      <c r="J13" s="782">
        <f>'Arus Dana'!F143</f>
        <v>0</v>
      </c>
      <c r="K13" s="1336">
        <f t="shared" ref="K13:K18" si="3">SUM(I13-F13-J13)</f>
        <v>0</v>
      </c>
      <c r="L13" s="2655"/>
    </row>
    <row r="14" spans="1:12" s="773" customFormat="1" ht="35.25" customHeight="1">
      <c r="A14" s="777" t="s">
        <v>814</v>
      </c>
      <c r="B14" s="778" t="str">
        <f>DT!D33</f>
        <v>4097-01-005388-53-3</v>
      </c>
      <c r="C14" s="779" t="str">
        <f>DT!D27</f>
        <v>29 Februari 2016 2016</v>
      </c>
      <c r="D14" s="780">
        <f>'Arus Dana'!F159</f>
        <v>8285</v>
      </c>
      <c r="E14" s="780">
        <f>'Bank B PNPM-TP GEMPA'!G30-'Bank B PNPM-TP GEMPA'!I30-'Bank B PNPM-TP GEMPA'!J30</f>
        <v>8285</v>
      </c>
      <c r="F14" s="882">
        <f t="shared" si="1"/>
        <v>0</v>
      </c>
      <c r="G14" s="781">
        <f>(SUM('Bank B PNPM-TP GEMPA'!E30))+'Kas B PNPM-TP GEMPA'!E46+'Kas B PNPM-TP GEMPA'!F46</f>
        <v>500100000</v>
      </c>
      <c r="H14" s="780">
        <f>SUM('Kas B PNPM-TP GEMPA'!G46:P46)</f>
        <v>500100000</v>
      </c>
      <c r="I14" s="882">
        <f t="shared" si="2"/>
        <v>0</v>
      </c>
      <c r="J14" s="782">
        <f>'Arus Dana'!F145</f>
        <v>0</v>
      </c>
      <c r="K14" s="1336">
        <f t="shared" si="3"/>
        <v>0</v>
      </c>
      <c r="L14" s="783"/>
    </row>
    <row r="15" spans="1:12" s="773" customFormat="1" ht="35.25" customHeight="1">
      <c r="A15" s="784" t="s">
        <v>815</v>
      </c>
      <c r="B15" s="778" t="str">
        <f>DT!D34</f>
        <v>.................................</v>
      </c>
      <c r="C15" s="785" t="str">
        <f>DT!D27</f>
        <v>29 Februari 2016 2016</v>
      </c>
      <c r="D15" s="782">
        <f>'Arus Dana'!F158</f>
        <v>0</v>
      </c>
      <c r="E15" s="782">
        <f>'Bank B GSC'!H30-'Bank B GSC'!J30-'Bank B GSC'!K30</f>
        <v>0</v>
      </c>
      <c r="F15" s="882">
        <f t="shared" si="1"/>
        <v>0</v>
      </c>
      <c r="G15" s="782">
        <f>(SUM('Bank B GSC'!E30:F30))+'Kas B GSC'!E46+'Kas B GSC'!F46</f>
        <v>0</v>
      </c>
      <c r="H15" s="782">
        <f>SUM('Kas B GSC'!G46:M46)</f>
        <v>0</v>
      </c>
      <c r="I15" s="882">
        <f t="shared" si="2"/>
        <v>0</v>
      </c>
      <c r="J15" s="782">
        <f>'Arus Dana'!F144</f>
        <v>0</v>
      </c>
      <c r="K15" s="1336">
        <f t="shared" si="3"/>
        <v>0</v>
      </c>
      <c r="L15" s="783"/>
    </row>
    <row r="16" spans="1:12" s="773" customFormat="1" ht="35.25" customHeight="1">
      <c r="A16" s="784" t="s">
        <v>816</v>
      </c>
      <c r="B16" s="778" t="str">
        <f>DT!D35</f>
        <v>.................................</v>
      </c>
      <c r="C16" s="785" t="str">
        <f>DT!D27</f>
        <v>29 Februari 2016 2016</v>
      </c>
      <c r="D16" s="782">
        <f>'Arus Dana'!F160</f>
        <v>0</v>
      </c>
      <c r="E16" s="782">
        <f>'Bank B PASCA KRISIS'!G30-'Bank B PASCA KRISIS'!I30-'Bank B PASCA KRISIS'!J30</f>
        <v>0</v>
      </c>
      <c r="F16" s="882">
        <f t="shared" si="1"/>
        <v>0</v>
      </c>
      <c r="G16" s="782">
        <f>(SUM('Bank B PASCA KRISIS'!E30))+'Kas B PASCA KRISIS'!E46+'Kas B PASCA KRISIS'!F46</f>
        <v>0</v>
      </c>
      <c r="H16" s="782">
        <f>SUM('Kas B PASCA KRISIS'!G46:P46)</f>
        <v>0</v>
      </c>
      <c r="I16" s="882">
        <f t="shared" si="2"/>
        <v>0</v>
      </c>
      <c r="J16" s="782">
        <f>'Arus Dana'!F146</f>
        <v>0</v>
      </c>
      <c r="K16" s="1336">
        <f t="shared" si="3"/>
        <v>0</v>
      </c>
      <c r="L16" s="783"/>
    </row>
    <row r="17" spans="1:15" s="787" customFormat="1" ht="35.25" customHeight="1">
      <c r="A17" s="777" t="s">
        <v>207</v>
      </c>
      <c r="B17" s="778" t="str">
        <f>DT!D36</f>
        <v>4097-01-003534-53-6</v>
      </c>
      <c r="C17" s="785" t="str">
        <f>DT!D27</f>
        <v>29 Februari 2016 2016</v>
      </c>
      <c r="D17" s="782">
        <f>'Neraca Program REGULER'!D23</f>
        <v>35096029.859999895</v>
      </c>
      <c r="E17" s="782">
        <f>'Bank OP-UPK'!G32-'Bank OP-UPK'!I32-'Bank OP-UPK'!J32</f>
        <v>1193379.8600000001</v>
      </c>
      <c r="F17" s="882">
        <f t="shared" si="1"/>
        <v>33902649.999999896</v>
      </c>
      <c r="G17" s="782">
        <f>(SUM('Bank OP-UPK'!E32))+'Kas OP-UPK'!D90+'Kas OP-UPK'!E90+'Kas OP-UPK'!F90+'Kas OP-UPK'!G90+'Kas OP-UPK'!I90+'Kas OP-UPK'!J90</f>
        <v>2013970454</v>
      </c>
      <c r="H17" s="782">
        <f>SUM('Kas OP-UPK'!L90:AA90)</f>
        <v>1977438554</v>
      </c>
      <c r="I17" s="882">
        <f t="shared" si="2"/>
        <v>36531900</v>
      </c>
      <c r="J17" s="782">
        <f>'Neraca Program REGULER'!D14</f>
        <v>129250</v>
      </c>
      <c r="K17" s="1336">
        <f t="shared" si="3"/>
        <v>2500000.0000001043</v>
      </c>
      <c r="L17" s="3125" t="s">
        <v>2614</v>
      </c>
    </row>
    <row r="18" spans="1:15" s="787" customFormat="1" ht="35.25" customHeight="1">
      <c r="A18" s="784" t="s">
        <v>52</v>
      </c>
      <c r="B18" s="778" t="str">
        <f>DT!D37</f>
        <v>.................................</v>
      </c>
      <c r="C18" s="785" t="str">
        <f>DT!D27</f>
        <v>29 Februari 2016 2016</v>
      </c>
      <c r="D18" s="782">
        <f>'Neraca Program REGULER'!D24</f>
        <v>0</v>
      </c>
      <c r="E18" s="782">
        <f>'Bank UEP'!G30-'Bank UEP'!I30-'Bank UEP'!J30</f>
        <v>0</v>
      </c>
      <c r="F18" s="882">
        <f t="shared" si="1"/>
        <v>0</v>
      </c>
      <c r="G18" s="782">
        <f>(SUM('Bank UEP'!E30))+SUM('Kas UEP'!D42:G42)</f>
        <v>0</v>
      </c>
      <c r="H18" s="782">
        <f>SUM('Kas UEP'!J42:M42)</f>
        <v>0</v>
      </c>
      <c r="I18" s="882">
        <f t="shared" si="2"/>
        <v>0</v>
      </c>
      <c r="J18" s="782">
        <f>'Neraca Program REGULER'!D15</f>
        <v>0</v>
      </c>
      <c r="K18" s="1336">
        <f t="shared" si="3"/>
        <v>0</v>
      </c>
      <c r="L18" s="786"/>
    </row>
    <row r="19" spans="1:15" s="773" customFormat="1" ht="35.25" customHeight="1">
      <c r="A19" s="784" t="s">
        <v>53</v>
      </c>
      <c r="B19" s="778">
        <f>DT!D38</f>
        <v>409701010423530</v>
      </c>
      <c r="C19" s="779" t="str">
        <f>DT!D27</f>
        <v>29 Februari 2016 2016</v>
      </c>
      <c r="D19" s="780">
        <f>'Neraca Program REGULER'!D25</f>
        <v>13002776</v>
      </c>
      <c r="E19" s="780">
        <f>'Bank SPP'!G54-'Bank SPP'!I54-'Bank SPP'!J54</f>
        <v>27420330</v>
      </c>
      <c r="F19" s="882">
        <f>SUM(D19-E19)</f>
        <v>-14417554</v>
      </c>
      <c r="G19" s="781">
        <f>(SUM('Bank SPP'!E54))+SUM('Kas SPP'!D367:G367)</f>
        <v>29165624300</v>
      </c>
      <c r="H19" s="780">
        <f>SUM('Kas SPP'!J367:M367)</f>
        <v>29180041854</v>
      </c>
      <c r="I19" s="882">
        <f t="shared" si="2"/>
        <v>-14417554</v>
      </c>
      <c r="J19" s="782">
        <f>'Neraca Program REGULER'!D16</f>
        <v>0</v>
      </c>
      <c r="K19" s="1336">
        <f t="shared" si="0"/>
        <v>0</v>
      </c>
      <c r="L19" s="783"/>
    </row>
    <row r="20" spans="1:15" s="773" customFormat="1" ht="35.25" customHeight="1">
      <c r="A20" s="784" t="s">
        <v>956</v>
      </c>
      <c r="B20" s="778" t="str">
        <f>DT!D39</f>
        <v>.................................</v>
      </c>
      <c r="C20" s="779" t="str">
        <f>DT!D27</f>
        <v>29 Februari 2016 2016</v>
      </c>
      <c r="D20" s="780">
        <f>'Neraca Program REGULER'!D26</f>
        <v>0</v>
      </c>
      <c r="E20" s="780">
        <f>'Bank SPP Pihak ke-3'!G30-'Bank SPP Pihak ke-3'!I30-'Bank SPP Pihak ke-3'!J30</f>
        <v>0</v>
      </c>
      <c r="F20" s="882">
        <f t="shared" ref="F20:F27" si="4">SUM(D20-E20)</f>
        <v>0</v>
      </c>
      <c r="G20" s="781">
        <f>(SUM('Bank SPP Pihak ke-3'!E30))+SUM('Kas SPP Pihak ke-3'!D42:G42)</f>
        <v>0</v>
      </c>
      <c r="H20" s="780">
        <f>SUM('Kas SPP Pihak ke-3'!J42:M42)</f>
        <v>0</v>
      </c>
      <c r="I20" s="882">
        <f t="shared" si="2"/>
        <v>0</v>
      </c>
      <c r="J20" s="782">
        <f>'Neraca Program REGULER'!D17</f>
        <v>0</v>
      </c>
      <c r="K20" s="1336">
        <f t="shared" si="0"/>
        <v>0</v>
      </c>
      <c r="L20" s="783"/>
    </row>
    <row r="21" spans="1:15" s="773" customFormat="1" ht="35.25" customHeight="1">
      <c r="A21" s="784" t="s">
        <v>2452</v>
      </c>
      <c r="B21" s="778" t="str">
        <f>DT!D40</f>
        <v>.................................</v>
      </c>
      <c r="C21" s="779" t="str">
        <f>DT!D27</f>
        <v>29 Februari 2016 2016</v>
      </c>
      <c r="D21" s="780">
        <f>'Arus Dana'!F166</f>
        <v>89000</v>
      </c>
      <c r="E21" s="780">
        <f>'Bank DOK PLUPK'!G30-'Bank DOK PLUPK'!I30-'Bank DOK PLUPK'!J30</f>
        <v>-71057</v>
      </c>
      <c r="F21" s="882">
        <f t="shared" si="4"/>
        <v>160057</v>
      </c>
      <c r="G21" s="781">
        <f>(SUM('Bank DOK PLUPK'!E30)+'Kas DOK PLUPK'!F45+'Kas DOK PLUPK'!G45)</f>
        <v>14200000</v>
      </c>
      <c r="H21" s="780">
        <f>(SUM('Kas DOK PLUPK'!H45:P45)+'Kas DOK PLUPK'!R45)</f>
        <v>14039943</v>
      </c>
      <c r="I21" s="882">
        <f t="shared" si="2"/>
        <v>160057</v>
      </c>
      <c r="J21" s="782">
        <f>'Arus Dana'!F152</f>
        <v>0</v>
      </c>
      <c r="K21" s="1336">
        <f t="shared" si="0"/>
        <v>0</v>
      </c>
      <c r="L21" s="783"/>
    </row>
    <row r="22" spans="1:15" s="773" customFormat="1" ht="35.25" customHeight="1">
      <c r="A22" s="784" t="s">
        <v>960</v>
      </c>
      <c r="B22" s="778" t="str">
        <f>DT!D41</f>
        <v>4097-01-002963-53-8</v>
      </c>
      <c r="C22" s="779" t="str">
        <f>DT!D27</f>
        <v>29 Februari 2016 2016</v>
      </c>
      <c r="D22" s="780">
        <f>'Arus Dana'!F162</f>
        <v>0</v>
      </c>
      <c r="E22" s="780">
        <f>'Bank DOK PERNC'!H30-'Bank DOK PERNC'!J30-'Bank DOK PERNC'!K30</f>
        <v>770761</v>
      </c>
      <c r="F22" s="882">
        <f t="shared" si="4"/>
        <v>-770761</v>
      </c>
      <c r="G22" s="2962">
        <f>(SUM('Bank DOK PERNC'!E30:F30)+'Kas DOK Pernc.'!F46+'Kas DOK Pernc.'!G46)</f>
        <v>210420000</v>
      </c>
      <c r="H22" s="2963">
        <f>(SUM('Kas DOK Pernc.'!H46:R46)+'Kas DOK Pernc.'!T46)</f>
        <v>211190761</v>
      </c>
      <c r="I22" s="882">
        <f t="shared" si="2"/>
        <v>-770761</v>
      </c>
      <c r="J22" s="782">
        <f>'Arus Dana'!F148</f>
        <v>0</v>
      </c>
      <c r="K22" s="1336">
        <f t="shared" si="0"/>
        <v>0</v>
      </c>
      <c r="L22" s="783"/>
    </row>
    <row r="23" spans="1:15" s="773" customFormat="1" ht="35.25" customHeight="1">
      <c r="A23" s="784" t="s">
        <v>961</v>
      </c>
      <c r="B23" s="778" t="str">
        <f>DT!D42</f>
        <v>4097-01-002964-53-4</v>
      </c>
      <c r="C23" s="785" t="str">
        <f>DT!D27</f>
        <v>29 Februari 2016 2016</v>
      </c>
      <c r="D23" s="782">
        <f>'Arus Dana'!F164</f>
        <v>0</v>
      </c>
      <c r="E23" s="782">
        <f>'Bank DOK PELTH'!H30-'Bank DOK PELTH'!J30-'Bank DOK PELTH'!K30</f>
        <v>1038582</v>
      </c>
      <c r="F23" s="882">
        <f t="shared" si="4"/>
        <v>-1038582</v>
      </c>
      <c r="G23" s="782">
        <f>(SUM('Bank DOK PELTH'!E30:F30)+'Kas DOK Pelth.'!F47+'Kas DOK Pelth.'!G47)</f>
        <v>127476000</v>
      </c>
      <c r="H23" s="782">
        <f>(SUM('Kas DOK Pelth.'!H47:T47)+'Kas DOK Pelth.'!V47)</f>
        <v>128514582</v>
      </c>
      <c r="I23" s="882">
        <f t="shared" si="2"/>
        <v>-1038582</v>
      </c>
      <c r="J23" s="782">
        <f>'Arus Dana'!F150</f>
        <v>0</v>
      </c>
      <c r="K23" s="1336">
        <f t="shared" si="0"/>
        <v>0</v>
      </c>
      <c r="L23" s="783"/>
    </row>
    <row r="24" spans="1:15" s="773" customFormat="1" ht="35.25" customHeight="1">
      <c r="A24" s="784" t="s">
        <v>957</v>
      </c>
      <c r="B24" s="778" t="str">
        <f>DT!D43</f>
        <v>.................................</v>
      </c>
      <c r="C24" s="785" t="str">
        <f>DT!D27</f>
        <v>29 Februari 2016 2016</v>
      </c>
      <c r="D24" s="782">
        <f>'Arus Dana'!F163</f>
        <v>0</v>
      </c>
      <c r="E24" s="782">
        <f>'Bank DOK PERNC-GSC'!H30-'Bank DOK PERNC-GSC'!J30-'Bank DOK PERNC-GSC'!K30</f>
        <v>0</v>
      </c>
      <c r="F24" s="882">
        <f t="shared" si="4"/>
        <v>0</v>
      </c>
      <c r="G24" s="782">
        <f>(SUM('Bank DOK PERNC-GSC'!E30:F30)+'Kas DOK Pernc.GSC'!F45+'Kas DOK Pernc.GSC'!G45)</f>
        <v>0</v>
      </c>
      <c r="H24" s="782">
        <f>(SUM('Kas DOK Pernc.GSC'!H45:T45)+'Kas DOK Pernc.GSC'!V45)</f>
        <v>0</v>
      </c>
      <c r="I24" s="882">
        <f t="shared" si="2"/>
        <v>0</v>
      </c>
      <c r="J24" s="782">
        <f>'Arus Dana'!F149</f>
        <v>0</v>
      </c>
      <c r="K24" s="1336">
        <f t="shared" si="0"/>
        <v>0</v>
      </c>
      <c r="L24" s="783"/>
    </row>
    <row r="25" spans="1:15" s="773" customFormat="1" ht="35.25" customHeight="1">
      <c r="A25" s="784" t="s">
        <v>958</v>
      </c>
      <c r="B25" s="778" t="str">
        <f>DT!D44</f>
        <v>.................................</v>
      </c>
      <c r="C25" s="785" t="str">
        <f>DT!D27</f>
        <v>29 Februari 2016 2016</v>
      </c>
      <c r="D25" s="782">
        <f>'Arus Dana'!F165</f>
        <v>0</v>
      </c>
      <c r="E25" s="782">
        <f>'Bank DOK PELTH-GSC'!H30-'Bank DOK PELTH-GSC'!J30-'Bank DOK PELTH-GSC'!K30</f>
        <v>0</v>
      </c>
      <c r="F25" s="882">
        <f t="shared" si="4"/>
        <v>0</v>
      </c>
      <c r="G25" s="782">
        <f>(SUM('Bank DOK PELTH-GSC'!E30:F30)+'Kas DOK Pelth.GSC'!F45+'Kas DOK Pelth.GSC'!G45)</f>
        <v>0</v>
      </c>
      <c r="H25" s="782">
        <f>(SUM('Kas DOK Pelth.GSC'!H45:T45)+'Kas DOK Pelth.GSC'!V45)</f>
        <v>0</v>
      </c>
      <c r="I25" s="882">
        <f t="shared" si="2"/>
        <v>0</v>
      </c>
      <c r="J25" s="782">
        <f>'Arus Dana'!F151</f>
        <v>0</v>
      </c>
      <c r="K25" s="882">
        <f t="shared" si="0"/>
        <v>0</v>
      </c>
      <c r="L25" s="783"/>
    </row>
    <row r="26" spans="1:15" s="787" customFormat="1" ht="35.25" customHeight="1">
      <c r="A26" s="784" t="s">
        <v>817</v>
      </c>
      <c r="B26" s="778" t="str">
        <f>DT!D45</f>
        <v>4097-01-005759-53-0</v>
      </c>
      <c r="C26" s="785" t="str">
        <f>DT!D27</f>
        <v>29 Februari 2016 2016</v>
      </c>
      <c r="D26" s="782">
        <f>'Arus Dana'!F167</f>
        <v>307376</v>
      </c>
      <c r="E26" s="782">
        <f>'Bank DOK GEMPA'!G30-'Bank DOK GEMPA'!I30-'Bank DOK GEMPA'!J30</f>
        <v>307376</v>
      </c>
      <c r="F26" s="882">
        <f t="shared" si="4"/>
        <v>0</v>
      </c>
      <c r="G26" s="782">
        <f>(SUM('Bank DOK GEMPA'!E30)+'Kas DOK GEMPA'!F45+'Kas DOK GEMPA'!G45)</f>
        <v>55000000</v>
      </c>
      <c r="H26" s="782">
        <f>(SUM('Kas DOK GEMPA'!H45:T45)+'Kas DOK GEMPA'!V45)</f>
        <v>55000000</v>
      </c>
      <c r="I26" s="882">
        <f t="shared" si="2"/>
        <v>0</v>
      </c>
      <c r="J26" s="782">
        <f>'Arus Dana'!F153</f>
        <v>0</v>
      </c>
      <c r="K26" s="882">
        <f t="shared" si="0"/>
        <v>0</v>
      </c>
      <c r="L26" s="786"/>
    </row>
    <row r="27" spans="1:15" s="787" customFormat="1" ht="35.25" customHeight="1">
      <c r="A27" s="784" t="s">
        <v>818</v>
      </c>
      <c r="B27" s="778" t="str">
        <f>DT!D46</f>
        <v>4097-01-005570-53-8</v>
      </c>
      <c r="C27" s="785" t="str">
        <f>DT!D27</f>
        <v>29 Februari 2016 2016</v>
      </c>
      <c r="D27" s="782">
        <f>'Arus Dana'!F168</f>
        <v>126052</v>
      </c>
      <c r="E27" s="782">
        <f>'Bank DOK RPJMDES'!G30-'Bank DOK RPJMDES'!I30-'Bank DOK RPJMDES'!J30</f>
        <v>26052</v>
      </c>
      <c r="F27" s="882">
        <f t="shared" si="4"/>
        <v>100000</v>
      </c>
      <c r="G27" s="782">
        <f>(SUM('Bank DOK RPJMDES'!E30))+'Kas DOK RPJMDES'!F45+'Kas DOK RPJMDES'!G45</f>
        <v>18625000</v>
      </c>
      <c r="H27" s="782">
        <f>(SUM('Kas DOK RPJMDES'!H45:T45)+'Kas DOK RPJMDES'!V45)</f>
        <v>18460300</v>
      </c>
      <c r="I27" s="882">
        <f t="shared" si="2"/>
        <v>164700</v>
      </c>
      <c r="J27" s="782">
        <f>'Arus Dana'!F154</f>
        <v>64700</v>
      </c>
      <c r="K27" s="882">
        <f t="shared" si="0"/>
        <v>0</v>
      </c>
      <c r="L27" s="786"/>
    </row>
    <row r="28" spans="1:15" s="773" customFormat="1" ht="42" customHeight="1" thickBot="1">
      <c r="A28" s="788" t="s">
        <v>2308</v>
      </c>
      <c r="B28" s="789" t="str">
        <f>'Bank DOK PNPM MP 2012'!I6</f>
        <v>: 4097-01-007361-53-7</v>
      </c>
      <c r="C28" s="790" t="str">
        <f>C27</f>
        <v>29 Februari 2016 2016</v>
      </c>
      <c r="D28" s="782">
        <f>'Arus Dana'!F169</f>
        <v>89000</v>
      </c>
      <c r="E28" s="782">
        <f>'Arus Dana'!F46-'Arus Dana'!F133</f>
        <v>116884</v>
      </c>
      <c r="F28" s="882">
        <f>SUM(D28-E28)</f>
        <v>-27884</v>
      </c>
      <c r="G28" s="782">
        <f>'Arus Dana'!F30</f>
        <v>186924700</v>
      </c>
      <c r="H28" s="782">
        <f>'Arus Dana'!F117</f>
        <v>186952584</v>
      </c>
      <c r="I28" s="882">
        <f>SUM(G28-H28)</f>
        <v>-27884</v>
      </c>
      <c r="J28" s="782">
        <f>'Arus Dana'!F155</f>
        <v>0</v>
      </c>
      <c r="K28" s="882">
        <f>SUM(I28-F28-J28)</f>
        <v>0</v>
      </c>
      <c r="L28" s="791"/>
      <c r="N28" s="773">
        <f>'Kas DOK PNPM MP 2012'!F43</f>
        <v>15542700</v>
      </c>
      <c r="O28" s="773">
        <f>N28+K28</f>
        <v>15542700</v>
      </c>
    </row>
    <row r="29" spans="1:15" s="773" customFormat="1" ht="41.25" customHeight="1" thickTop="1" thickBot="1">
      <c r="A29" s="3658" t="s">
        <v>208</v>
      </c>
      <c r="B29" s="3659"/>
      <c r="C29" s="3660"/>
      <c r="D29" s="883">
        <f t="shared" ref="D29:K29" si="5">SUM(D12:D28)</f>
        <v>48718518.859999895</v>
      </c>
      <c r="E29" s="883">
        <f t="shared" si="5"/>
        <v>42500834.859999999</v>
      </c>
      <c r="F29" s="883">
        <f t="shared" si="5"/>
        <v>6217683.9999998957</v>
      </c>
      <c r="G29" s="883">
        <f t="shared" si="5"/>
        <v>42942605454</v>
      </c>
      <c r="H29" s="883">
        <f t="shared" si="5"/>
        <v>42933693820</v>
      </c>
      <c r="I29" s="883">
        <f t="shared" si="5"/>
        <v>8911634</v>
      </c>
      <c r="J29" s="883">
        <f t="shared" si="5"/>
        <v>193950</v>
      </c>
      <c r="K29" s="883">
        <f t="shared" si="5"/>
        <v>2500000.0000001043</v>
      </c>
      <c r="L29" s="792"/>
    </row>
    <row r="30" spans="1:15" ht="16.5" thickTop="1"/>
    <row r="31" spans="1:15" s="793" customFormat="1">
      <c r="A31" s="3410"/>
      <c r="B31" s="3410"/>
      <c r="C31" s="3410"/>
      <c r="D31" s="3410"/>
      <c r="E31" s="3410"/>
      <c r="H31" s="3410"/>
      <c r="I31" s="3410"/>
      <c r="J31" s="3410"/>
      <c r="K31" s="3410"/>
    </row>
    <row r="32" spans="1:15" s="793" customFormat="1">
      <c r="A32" s="3410"/>
      <c r="B32" s="3410"/>
      <c r="C32" s="3410"/>
      <c r="D32" s="3410"/>
      <c r="E32" s="3410"/>
    </row>
    <row r="33" spans="1:11" s="793" customFormat="1"/>
    <row r="34" spans="1:11" s="793" customFormat="1"/>
    <row r="35" spans="1:11" s="793" customFormat="1"/>
    <row r="36" spans="1:11" s="793" customFormat="1"/>
    <row r="37" spans="1:11" s="793" customFormat="1"/>
    <row r="38" spans="1:11" s="793" customFormat="1">
      <c r="A38" s="3410"/>
      <c r="B38" s="3410"/>
      <c r="C38" s="3410"/>
      <c r="D38" s="3410"/>
      <c r="E38" s="3410"/>
      <c r="H38" s="794"/>
      <c r="K38" s="794"/>
    </row>
    <row r="39" spans="1:11" s="793" customFormat="1">
      <c r="A39" s="3410"/>
      <c r="B39" s="3410"/>
      <c r="C39" s="3410"/>
      <c r="D39" s="3410"/>
      <c r="E39" s="3410"/>
      <c r="H39" s="795"/>
      <c r="K39" s="795"/>
    </row>
    <row r="40" spans="1:11" s="793" customFormat="1"/>
    <row r="41" spans="1:11" s="793" customFormat="1">
      <c r="E41" s="796"/>
    </row>
    <row r="42" spans="1:11" s="793" customFormat="1"/>
    <row r="43" spans="1:11" s="793" customFormat="1">
      <c r="B43" s="796"/>
    </row>
    <row r="58" spans="2:6">
      <c r="B58" s="797"/>
      <c r="C58" s="798"/>
      <c r="D58" s="798"/>
      <c r="E58" s="773"/>
      <c r="F58" s="773"/>
    </row>
    <row r="59" spans="2:6">
      <c r="B59" s="797"/>
      <c r="C59" s="798"/>
      <c r="D59" s="798"/>
      <c r="E59" s="773"/>
      <c r="F59" s="773"/>
    </row>
    <row r="60" spans="2:6">
      <c r="B60" s="797"/>
      <c r="C60" s="798"/>
      <c r="D60" s="798"/>
      <c r="E60" s="773"/>
      <c r="F60" s="773"/>
    </row>
    <row r="61" spans="2:6">
      <c r="B61" s="799"/>
      <c r="E61" s="773"/>
      <c r="F61" s="773"/>
    </row>
    <row r="62" spans="2:6">
      <c r="B62" s="799"/>
      <c r="E62" s="773"/>
    </row>
    <row r="63" spans="2:6">
      <c r="B63" s="799"/>
      <c r="E63" s="773"/>
    </row>
    <row r="64" spans="2:6">
      <c r="B64" s="799"/>
      <c r="E64" s="773"/>
    </row>
    <row r="65" spans="2:5">
      <c r="B65" s="799"/>
      <c r="E65" s="773"/>
    </row>
    <row r="66" spans="2:5">
      <c r="B66" s="799"/>
      <c r="E66" s="773"/>
    </row>
    <row r="67" spans="2:5">
      <c r="B67" s="799"/>
      <c r="E67" s="773"/>
    </row>
    <row r="68" spans="2:5">
      <c r="B68" s="799"/>
      <c r="E68" s="773"/>
    </row>
    <row r="69" spans="2:5">
      <c r="B69" s="799"/>
      <c r="E69" s="773"/>
    </row>
    <row r="70" spans="2:5">
      <c r="B70" s="799"/>
      <c r="E70" s="773"/>
    </row>
    <row r="71" spans="2:5">
      <c r="B71" s="799"/>
      <c r="E71" s="773"/>
    </row>
    <row r="72" spans="2:5">
      <c r="E72" s="773"/>
    </row>
    <row r="73" spans="2:5">
      <c r="E73" s="773"/>
    </row>
    <row r="74" spans="2:5">
      <c r="E74" s="773"/>
    </row>
    <row r="75" spans="2:5">
      <c r="E75" s="773"/>
    </row>
    <row r="76" spans="2:5">
      <c r="E76" s="773"/>
    </row>
    <row r="77" spans="2:5">
      <c r="E77" s="773"/>
    </row>
    <row r="78" spans="2:5">
      <c r="E78" s="773"/>
    </row>
    <row r="79" spans="2:5">
      <c r="E79" s="773"/>
    </row>
    <row r="80" spans="2:5">
      <c r="E80" s="773"/>
    </row>
    <row r="81" spans="5:5">
      <c r="E81" s="773"/>
    </row>
    <row r="82" spans="5:5">
      <c r="E82" s="773"/>
    </row>
    <row r="83" spans="5:5">
      <c r="E83" s="773"/>
    </row>
    <row r="84" spans="5:5">
      <c r="E84" s="773"/>
    </row>
    <row r="85" spans="5:5">
      <c r="E85" s="773"/>
    </row>
    <row r="86" spans="5:5">
      <c r="E86" s="773"/>
    </row>
    <row r="87" spans="5:5">
      <c r="E87" s="773"/>
    </row>
    <row r="88" spans="5:5">
      <c r="E88" s="773"/>
    </row>
    <row r="89" spans="5:5">
      <c r="E89" s="773"/>
    </row>
    <row r="90" spans="5:5">
      <c r="E90" s="773"/>
    </row>
    <row r="91" spans="5:5">
      <c r="E91" s="773"/>
    </row>
    <row r="92" spans="5:5">
      <c r="E92" s="773"/>
    </row>
    <row r="93" spans="5:5">
      <c r="E93" s="773"/>
    </row>
    <row r="94" spans="5:5">
      <c r="E94" s="773"/>
    </row>
    <row r="95" spans="5:5">
      <c r="E95" s="773"/>
    </row>
    <row r="96" spans="5:5">
      <c r="E96" s="773"/>
    </row>
    <row r="97" spans="5:5">
      <c r="E97" s="773"/>
    </row>
    <row r="98" spans="5:5">
      <c r="E98" s="773"/>
    </row>
    <row r="99" spans="5:5">
      <c r="E99" s="773"/>
    </row>
    <row r="100" spans="5:5">
      <c r="E100" s="773"/>
    </row>
  </sheetData>
  <sheetProtection formatColumns="0" formatRows="0"/>
  <mergeCells count="14">
    <mergeCell ref="A39:C39"/>
    <mergeCell ref="D39:E39"/>
    <mergeCell ref="A29:C29"/>
    <mergeCell ref="A31:E31"/>
    <mergeCell ref="H31:K31"/>
    <mergeCell ref="A32:E32"/>
    <mergeCell ref="A38:C38"/>
    <mergeCell ref="D38:E38"/>
    <mergeCell ref="A1:L1"/>
    <mergeCell ref="A2:L2"/>
    <mergeCell ref="A3:L3"/>
    <mergeCell ref="J5:K5"/>
    <mergeCell ref="A9:A10"/>
    <mergeCell ref="L9:L10"/>
  </mergeCells>
  <printOptions horizontalCentered="1" verticalCentered="1"/>
  <pageMargins left="0.23622047244094491" right="0.23622047244094491" top="0.51" bottom="0.23622047244094491" header="0.51181102362204722" footer="0.51181102362204722"/>
  <pageSetup paperSize="9" scale="60" orientation="landscape" horizontalDpi="4294967294" verticalDpi="4294967294" r:id="rId1"/>
  <headerFooter alignWithMargins="0"/>
  <rowBreaks count="1" manualBreakCount="1">
    <brk id="29" max="11" man="1"/>
  </rowBreaks>
  <drawing r:id="rId2"/>
  <legacyDrawing r:id="rId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rgb="FF0070C0"/>
  </sheetPr>
  <dimension ref="A1:K680"/>
  <sheetViews>
    <sheetView topLeftCell="A376" zoomScale="70" zoomScaleNormal="70" zoomScaleSheetLayoutView="70" workbookViewId="0">
      <selection activeCell="C398" sqref="C398"/>
    </sheetView>
  </sheetViews>
  <sheetFormatPr defaultColWidth="9.140625" defaultRowHeight="15"/>
  <cols>
    <col min="1" max="1" width="2.7109375" style="346" customWidth="1"/>
    <col min="2" max="2" width="40.42578125" style="364" customWidth="1"/>
    <col min="3" max="3" width="29.5703125" style="364" customWidth="1"/>
    <col min="4" max="4" width="22.85546875" style="373" customWidth="1"/>
    <col min="5" max="5" width="24.7109375" style="373" customWidth="1"/>
    <col min="6" max="6" width="19.7109375" style="286" bestFit="1" customWidth="1"/>
    <col min="7" max="7" width="11.7109375" style="286" bestFit="1" customWidth="1"/>
    <col min="8" max="8" width="8.140625" style="286" bestFit="1" customWidth="1"/>
    <col min="9" max="9" width="8" style="286" bestFit="1" customWidth="1"/>
    <col min="10" max="10" width="11.7109375" style="286" bestFit="1" customWidth="1"/>
    <col min="11" max="11" width="3.140625" style="286" bestFit="1" customWidth="1"/>
    <col min="12" max="16384" width="9.140625" style="286"/>
  </cols>
  <sheetData>
    <row r="1" spans="1:5" ht="20.25">
      <c r="A1" s="3610" t="s">
        <v>431</v>
      </c>
      <c r="B1" s="3610"/>
      <c r="C1" s="3610"/>
      <c r="D1" s="3610"/>
      <c r="E1" s="3610"/>
    </row>
    <row r="2" spans="1:5" ht="20.25">
      <c r="A2" s="3610" t="str">
        <f>"Kecamatan "&amp;DT!D3</f>
        <v>Kecamatan Nagrak</v>
      </c>
      <c r="B2" s="3610"/>
      <c r="C2" s="3610"/>
      <c r="D2" s="3610"/>
      <c r="E2" s="3610"/>
    </row>
    <row r="3" spans="1:5" ht="20.25">
      <c r="A3" s="3610" t="str">
        <f>"Kabupaten "&amp;DT!D4&amp;" Provinsi "&amp;DT!D5</f>
        <v>Kabupaten Sukabumi Provinsi Jawa Barat</v>
      </c>
      <c r="B3" s="3610"/>
      <c r="C3" s="3610"/>
      <c r="D3" s="3610"/>
      <c r="E3" s="3610"/>
    </row>
    <row r="4" spans="1:5" ht="20.25">
      <c r="A4" s="3610" t="str">
        <f>"Sampai Dengan "&amp;DT!D27</f>
        <v>Sampai Dengan 29 Februari 2016 2016</v>
      </c>
      <c r="B4" s="3610"/>
      <c r="C4" s="3610"/>
      <c r="D4" s="3610"/>
      <c r="E4" s="3610"/>
    </row>
    <row r="5" spans="1:5">
      <c r="A5" s="288"/>
      <c r="B5" s="287"/>
      <c r="C5" s="287"/>
      <c r="D5" s="287"/>
      <c r="E5" s="287"/>
    </row>
    <row r="6" spans="1:5" s="292" customFormat="1" ht="14.1" customHeight="1">
      <c r="A6" s="289"/>
      <c r="B6" s="3682" t="s">
        <v>432</v>
      </c>
      <c r="C6" s="3683"/>
      <c r="D6" s="290"/>
      <c r="E6" s="291"/>
    </row>
    <row r="7" spans="1:5" s="292" customFormat="1" ht="14.1" customHeight="1">
      <c r="A7" s="293"/>
      <c r="B7" s="294" t="s">
        <v>433</v>
      </c>
      <c r="C7" s="295"/>
      <c r="D7" s="296"/>
      <c r="E7" s="309">
        <v>0</v>
      </c>
    </row>
    <row r="8" spans="1:5" s="292" customFormat="1" ht="14.1" customHeight="1">
      <c r="A8" s="293"/>
      <c r="B8" s="294" t="s">
        <v>368</v>
      </c>
      <c r="C8" s="295"/>
      <c r="D8" s="297"/>
      <c r="E8" s="307"/>
    </row>
    <row r="9" spans="1:5" s="292" customFormat="1" ht="14.1" customHeight="1">
      <c r="A9" s="293"/>
      <c r="B9" s="298" t="s">
        <v>434</v>
      </c>
      <c r="C9" s="299"/>
      <c r="D9" s="300">
        <f>SUM('Arus Dana'!F14:F22)</f>
        <v>11150065000</v>
      </c>
      <c r="E9" s="307"/>
    </row>
    <row r="10" spans="1:5" s="292" customFormat="1" ht="14.1" customHeight="1">
      <c r="A10" s="293"/>
      <c r="B10" s="298" t="s">
        <v>435</v>
      </c>
      <c r="C10" s="299"/>
      <c r="D10" s="300">
        <f>'Kas SPP'!D367+'Kas SPP'!E367+'Kas SPP Pihak ke-3'!D42+'Kas SPP Pihak ke-3'!E42</f>
        <v>29165024000</v>
      </c>
      <c r="E10" s="307"/>
    </row>
    <row r="11" spans="1:5" s="292" customFormat="1" ht="14.1" customHeight="1">
      <c r="A11" s="293"/>
      <c r="B11" s="298" t="s">
        <v>1301</v>
      </c>
      <c r="C11" s="299"/>
      <c r="D11" s="300">
        <f>'Kas UEP'!D42+'Kas UEP'!E42</f>
        <v>0</v>
      </c>
      <c r="E11" s="307"/>
    </row>
    <row r="12" spans="1:5" s="292" customFormat="1" ht="14.1" customHeight="1">
      <c r="A12" s="293"/>
      <c r="B12" s="298" t="s">
        <v>1820</v>
      </c>
      <c r="C12" s="299"/>
      <c r="D12" s="300">
        <f>SUM('Arus Dana'!F33:F37)</f>
        <v>15556184</v>
      </c>
      <c r="E12" s="307"/>
    </row>
    <row r="13" spans="1:5" s="292" customFormat="1" ht="14.1" customHeight="1">
      <c r="A13" s="293"/>
      <c r="B13" s="298" t="s">
        <v>436</v>
      </c>
      <c r="C13" s="299"/>
      <c r="D13" s="300">
        <f>'R-L Microfinance'!H20</f>
        <v>2049396.86</v>
      </c>
      <c r="E13" s="307"/>
    </row>
    <row r="14" spans="1:5" s="292" customFormat="1" ht="14.1" customHeight="1">
      <c r="A14" s="293"/>
      <c r="B14" s="298" t="s">
        <v>437</v>
      </c>
      <c r="C14" s="299"/>
      <c r="D14" s="300">
        <f>'R-L Microfinance'!H22+'R-L Microfinance'!H23</f>
        <v>34417382</v>
      </c>
      <c r="E14" s="307"/>
    </row>
    <row r="15" spans="1:5" s="292" customFormat="1" ht="14.1" customHeight="1">
      <c r="A15" s="293"/>
      <c r="B15" s="298" t="s">
        <v>1302</v>
      </c>
      <c r="C15" s="299"/>
      <c r="D15" s="300">
        <f>'R-L Microfinance'!H21</f>
        <v>0</v>
      </c>
      <c r="E15" s="307"/>
    </row>
    <row r="16" spans="1:5" s="292" customFormat="1" ht="14.1" customHeight="1">
      <c r="A16" s="293"/>
      <c r="B16" s="298" t="s">
        <v>438</v>
      </c>
      <c r="C16" s="299"/>
      <c r="D16" s="300">
        <f>'Kas B PPK'!E46+'Kas B PPK'!F46+'Kas B PNPM-MPd'!E27+'Kas B PNPM-MPd'!F27+'Kas B GSC'!E46+'Kas B PNPM-TP GEMPA'!F46+'Kas B PASCA KRISIS'!E46+'Kas B PASCA KRISIS'!F46+'Kas OP-UPK'!I90+'Kas OP-UPK'!J90+'Kas UEP'!F42+'Kas UEP'!G42+'Kas SPP'!F367+'Kas SPP'!G367+'Kas SPP Pihak ke-3'!F42+'Kas SPP Pihak ke-3'!G42</f>
        <v>49408300</v>
      </c>
      <c r="E16" s="307"/>
    </row>
    <row r="17" spans="1:5" s="292" customFormat="1" ht="14.1" customHeight="1">
      <c r="A17" s="293"/>
      <c r="B17" s="294" t="s">
        <v>439</v>
      </c>
      <c r="C17" s="295"/>
      <c r="D17" s="301"/>
      <c r="E17" s="302">
        <f>SUM(D9:D16)+E7</f>
        <v>40416520262.860001</v>
      </c>
    </row>
    <row r="18" spans="1:5" s="292" customFormat="1" ht="14.1" customHeight="1">
      <c r="A18" s="293"/>
      <c r="B18" s="303"/>
      <c r="C18" s="304"/>
      <c r="D18" s="305"/>
      <c r="E18" s="306"/>
    </row>
    <row r="19" spans="1:5" s="292" customFormat="1" ht="14.1" customHeight="1">
      <c r="A19" s="293"/>
      <c r="B19" s="294" t="s">
        <v>11</v>
      </c>
      <c r="C19" s="295"/>
      <c r="D19" s="290"/>
      <c r="E19" s="291"/>
    </row>
    <row r="20" spans="1:5" s="292" customFormat="1" ht="14.1" customHeight="1">
      <c r="A20" s="293"/>
      <c r="B20" s="298" t="s">
        <v>440</v>
      </c>
      <c r="C20" s="299"/>
      <c r="D20" s="300"/>
      <c r="E20" s="307"/>
    </row>
    <row r="21" spans="1:5" s="292" customFormat="1" ht="14.1" customHeight="1">
      <c r="A21" s="293"/>
      <c r="B21" s="298"/>
      <c r="C21" s="299" t="s">
        <v>74</v>
      </c>
      <c r="D21" s="300">
        <f>'Arus Dana'!F55+'Arus Dana'!F65+'Arus Dana'!F75+'Arus Dana'!F82+'Arus Dana'!F92</f>
        <v>5415436100</v>
      </c>
      <c r="E21" s="307"/>
    </row>
    <row r="22" spans="1:5" s="292" customFormat="1" ht="14.1" customHeight="1">
      <c r="A22" s="293"/>
      <c r="B22" s="298"/>
      <c r="C22" s="299" t="s">
        <v>47</v>
      </c>
      <c r="D22" s="300">
        <f>'Arus Dana'!F58+'Arus Dana'!F68+'Arus Dana'!F76+'Arus Dana'!F85+'Arus Dana'!F95</f>
        <v>2016400100</v>
      </c>
      <c r="E22" s="307"/>
    </row>
    <row r="23" spans="1:5" s="292" customFormat="1" ht="14.1" customHeight="1">
      <c r="A23" s="293"/>
      <c r="B23" s="298"/>
      <c r="C23" s="299" t="s">
        <v>48</v>
      </c>
      <c r="D23" s="300">
        <f>'Arus Dana'!F59+'Arus Dana'!F69+'Arus Dana'!F77+'Arus Dana'!F86+'Arus Dana'!F96</f>
        <v>1000449500</v>
      </c>
      <c r="E23" s="307"/>
    </row>
    <row r="24" spans="1:5" s="292" customFormat="1" ht="14.1" customHeight="1">
      <c r="A24" s="293"/>
      <c r="B24" s="298"/>
      <c r="C24" s="299" t="s">
        <v>1303</v>
      </c>
      <c r="D24" s="300">
        <f>'Arus Dana'!F60+'Arus Dana'!F70+'Arus Dana'!F87+'Arus Dana'!F97</f>
        <v>305775417</v>
      </c>
      <c r="E24" s="307"/>
    </row>
    <row r="25" spans="1:5" s="292" customFormat="1" ht="14.1" customHeight="1">
      <c r="A25" s="293"/>
      <c r="B25" s="308"/>
      <c r="C25" s="299" t="s">
        <v>53</v>
      </c>
      <c r="D25" s="300">
        <f>'Arus Dana'!F57+'Arus Dana'!F67+'Arus Dana'!F84+'Arus Dana'!F94</f>
        <v>1856350000</v>
      </c>
      <c r="E25" s="307"/>
    </row>
    <row r="26" spans="1:5" s="292" customFormat="1" ht="14.1" customHeight="1">
      <c r="A26" s="293"/>
      <c r="B26" s="308"/>
      <c r="C26" s="299" t="s">
        <v>52</v>
      </c>
      <c r="D26" s="300">
        <f>'Arus Dana'!F56+'Arus Dana'!F83+'Arus Dana'!F93</f>
        <v>0</v>
      </c>
      <c r="E26" s="307"/>
    </row>
    <row r="27" spans="1:5" s="292" customFormat="1" ht="14.1" customHeight="1">
      <c r="A27" s="293"/>
      <c r="B27" s="298" t="s">
        <v>441</v>
      </c>
      <c r="C27" s="299"/>
      <c r="D27" s="300">
        <f>'Kas SPP'!J367+'Kas SPP Pihak ke-3'!J42</f>
        <v>27484000000</v>
      </c>
      <c r="E27" s="307"/>
    </row>
    <row r="28" spans="1:5" s="292" customFormat="1" ht="14.1" customHeight="1">
      <c r="A28" s="293"/>
      <c r="B28" s="298" t="s">
        <v>573</v>
      </c>
      <c r="C28" s="299"/>
      <c r="D28" s="300">
        <f>'Kas UEP'!J42</f>
        <v>0</v>
      </c>
      <c r="E28" s="307"/>
    </row>
    <row r="29" spans="1:5" s="292" customFormat="1" ht="14.1" customHeight="1">
      <c r="A29" s="293"/>
      <c r="B29" s="298" t="s">
        <v>442</v>
      </c>
      <c r="C29" s="299"/>
      <c r="D29" s="300">
        <f>SUM('Kas OP-UPK'!L90:W90)</f>
        <v>1484845054</v>
      </c>
      <c r="E29" s="307"/>
    </row>
    <row r="30" spans="1:5" s="292" customFormat="1" ht="14.1" customHeight="1">
      <c r="A30" s="293"/>
      <c r="B30" s="298" t="s">
        <v>443</v>
      </c>
      <c r="C30" s="299"/>
      <c r="D30" s="300">
        <f>'Arus Dana'!F54+'Arus Dana'!F64+'Arus Dana'!F74+'Arus Dana'!F81+'Arus Dana'!F91</f>
        <v>334454200</v>
      </c>
      <c r="E30" s="307"/>
    </row>
    <row r="31" spans="1:5" s="292" customFormat="1" ht="14.1" customHeight="1">
      <c r="A31" s="293"/>
      <c r="B31" s="298" t="s">
        <v>1821</v>
      </c>
      <c r="C31" s="299"/>
      <c r="D31" s="300">
        <f>SUM('Arus Dana'!F120:F124)</f>
        <v>3857657</v>
      </c>
      <c r="E31" s="307"/>
    </row>
    <row r="32" spans="1:5" s="292" customFormat="1" ht="14.1" customHeight="1">
      <c r="A32" s="293"/>
      <c r="B32" s="298" t="s">
        <v>444</v>
      </c>
      <c r="C32" s="299"/>
      <c r="D32" s="300">
        <f>'R-L Microfinance'!H44+'R-L Microfinance'!H48</f>
        <v>856017</v>
      </c>
      <c r="E32" s="307"/>
    </row>
    <row r="33" spans="1:5" s="292" customFormat="1" ht="14.1" customHeight="1">
      <c r="A33" s="293"/>
      <c r="B33" s="298" t="s">
        <v>445</v>
      </c>
      <c r="C33" s="299"/>
      <c r="D33" s="300">
        <f>'R-L Microfinance'!H46+'R-L Microfinance'!H50</f>
        <v>6997052</v>
      </c>
      <c r="E33" s="307"/>
    </row>
    <row r="34" spans="1:5" s="292" customFormat="1" ht="14.1" customHeight="1">
      <c r="A34" s="293"/>
      <c r="B34" s="298" t="s">
        <v>1304</v>
      </c>
      <c r="C34" s="299"/>
      <c r="D34" s="300">
        <f>'R-L Microfinance'!H45+'R-L Microfinance'!H49</f>
        <v>0</v>
      </c>
      <c r="E34" s="307"/>
    </row>
    <row r="35" spans="1:5" s="292" customFormat="1" ht="14.1" customHeight="1">
      <c r="A35" s="293"/>
      <c r="B35" s="298" t="s">
        <v>446</v>
      </c>
      <c r="C35" s="299"/>
      <c r="D35" s="300">
        <f>'Kas B PPK'!O46+'Kas B PPK'!P46+'Kas B PNPM-MPd'!N27+'Kas B PNPM-MPd'!O27+'Kas B GSC'!L46+'Kas B GSC'!M46+'Kas B PNPM-TP GEMPA'!O46+'Kas B PNPM-TP GEMPA'!P46+'Kas B PASCA KRISIS'!O46+'Kas B PASCA KRISIS'!P46+'Kas OP-UPK'!X90+'Kas OP-UPK'!Y90+'Kas OP-UPK'!Z90+'Kas OP-UPK'!AA90+'Kas OP-UPK'!AB90+'Kas UEP'!K42+'Kas UEP'!M42+'Kas SPP'!K367+'Kas SPP'!M367+'Kas SPP Pihak ke-3'!K42+'Kas SPP Pihak ke-3'!M42</f>
        <v>505312825</v>
      </c>
      <c r="E35" s="307"/>
    </row>
    <row r="36" spans="1:5" s="292" customFormat="1" ht="14.1" customHeight="1">
      <c r="A36" s="293"/>
      <c r="B36" s="294" t="s">
        <v>447</v>
      </c>
      <c r="C36" s="295"/>
      <c r="D36" s="301"/>
      <c r="E36" s="309">
        <f>SUM(D21:D35)</f>
        <v>40414733922</v>
      </c>
    </row>
    <row r="37" spans="1:5" s="292" customFormat="1" ht="14.1" customHeight="1">
      <c r="A37" s="293"/>
      <c r="B37" s="310"/>
      <c r="C37" s="311"/>
      <c r="D37" s="312"/>
      <c r="E37" s="306"/>
    </row>
    <row r="38" spans="1:5" s="292" customFormat="1" ht="14.1" customHeight="1">
      <c r="A38" s="310"/>
      <c r="B38" s="294" t="s">
        <v>448</v>
      </c>
      <c r="C38" s="313"/>
      <c r="D38" s="314"/>
      <c r="E38" s="314">
        <f>E17-E36</f>
        <v>1786340.8600006104</v>
      </c>
    </row>
    <row r="39" spans="1:5" s="292" customFormat="1" ht="14.1" customHeight="1">
      <c r="A39" s="293"/>
      <c r="B39" s="310"/>
      <c r="C39" s="310"/>
      <c r="D39" s="310"/>
      <c r="E39" s="306"/>
    </row>
    <row r="40" spans="1:5" s="292" customFormat="1" ht="14.1" customHeight="1">
      <c r="A40" s="310"/>
      <c r="B40" s="294" t="s">
        <v>449</v>
      </c>
      <c r="C40" s="315"/>
      <c r="D40" s="410" t="s">
        <v>360</v>
      </c>
      <c r="E40" s="415"/>
    </row>
    <row r="41" spans="1:5" s="292" customFormat="1" ht="14.1" customHeight="1">
      <c r="A41" s="310"/>
      <c r="B41" s="298" t="s">
        <v>1822</v>
      </c>
      <c r="C41" s="421"/>
      <c r="D41" s="316">
        <f>SUM('Neraca Program'!D24:D28)</f>
        <v>8285</v>
      </c>
      <c r="E41" s="316"/>
    </row>
    <row r="42" spans="1:5" s="292" customFormat="1" ht="14.1" customHeight="1">
      <c r="A42" s="310"/>
      <c r="B42" s="317" t="s">
        <v>450</v>
      </c>
      <c r="C42" s="318" t="str">
        <f>DT!D42</f>
        <v>4097-01-002964-53-4</v>
      </c>
      <c r="D42" s="316">
        <f>'Neraca Program REGULER'!D23</f>
        <v>35096029.859999895</v>
      </c>
      <c r="E42" s="316"/>
    </row>
    <row r="43" spans="1:5" s="292" customFormat="1" ht="14.1" customHeight="1">
      <c r="A43" s="310"/>
      <c r="B43" s="317" t="s">
        <v>451</v>
      </c>
      <c r="C43" s="318" t="str">
        <f>DT!D43</f>
        <v>.................................</v>
      </c>
      <c r="D43" s="316">
        <f>'Neraca Program REGULER'!D25+'Neraca Program REGULER'!D26</f>
        <v>13002776</v>
      </c>
      <c r="E43" s="316"/>
    </row>
    <row r="44" spans="1:5" s="292" customFormat="1" ht="14.1" customHeight="1">
      <c r="A44" s="310"/>
      <c r="B44" s="317" t="s">
        <v>1305</v>
      </c>
      <c r="C44" s="318" t="str">
        <f>DT!D44</f>
        <v>.................................</v>
      </c>
      <c r="D44" s="316">
        <f>'Neraca Program REGULER'!D24</f>
        <v>0</v>
      </c>
      <c r="E44" s="316"/>
    </row>
    <row r="45" spans="1:5" s="292" customFormat="1" ht="14.1" customHeight="1">
      <c r="A45" s="310"/>
      <c r="B45" s="3410" t="s">
        <v>1823</v>
      </c>
      <c r="C45" s="3410"/>
      <c r="D45" s="316">
        <f>'Neraca Program'!D21</f>
        <v>129250</v>
      </c>
      <c r="E45" s="316"/>
    </row>
    <row r="46" spans="1:5" s="292" customFormat="1" ht="14.1" customHeight="1">
      <c r="A46" s="310"/>
      <c r="B46" s="294" t="s">
        <v>386</v>
      </c>
      <c r="C46" s="319" t="s">
        <v>452</v>
      </c>
      <c r="D46" s="320"/>
      <c r="E46" s="314">
        <f>SUM(D41:D45)</f>
        <v>48236340.859999895</v>
      </c>
    </row>
    <row r="47" spans="1:5" s="292" customFormat="1" ht="14.1" customHeight="1">
      <c r="A47" s="293"/>
      <c r="B47" s="321"/>
      <c r="C47" s="311"/>
      <c r="D47" s="311"/>
      <c r="E47" s="306"/>
    </row>
    <row r="48" spans="1:5" s="292" customFormat="1" ht="14.1" customHeight="1">
      <c r="A48" s="293"/>
      <c r="B48" s="322" t="s">
        <v>453</v>
      </c>
      <c r="C48" s="323"/>
      <c r="D48" s="324"/>
      <c r="E48" s="325">
        <f>E38-E46</f>
        <v>-46449999.999999285</v>
      </c>
    </row>
    <row r="49" spans="1:5" s="292" customFormat="1" ht="14.1" customHeight="1">
      <c r="A49" s="293"/>
      <c r="B49" s="2560"/>
      <c r="C49" s="2561"/>
      <c r="D49" s="2562"/>
      <c r="E49" s="2563"/>
    </row>
    <row r="50" spans="1:5" s="292" customFormat="1" ht="11.25" customHeight="1">
      <c r="A50" s="293"/>
      <c r="B50" s="3679"/>
      <c r="C50" s="3680"/>
      <c r="D50" s="3680"/>
      <c r="E50" s="3681"/>
    </row>
    <row r="51" spans="1:5" ht="6.75" customHeight="1">
      <c r="A51" s="326"/>
      <c r="B51" s="3679"/>
      <c r="C51" s="3680"/>
      <c r="D51" s="3680"/>
      <c r="E51" s="3681"/>
    </row>
    <row r="52" spans="1:5">
      <c r="A52" s="326"/>
      <c r="B52" s="3679" t="s">
        <v>454</v>
      </c>
      <c r="C52" s="3680"/>
      <c r="D52" s="3680"/>
      <c r="E52" s="3681"/>
    </row>
    <row r="53" spans="1:5">
      <c r="A53" s="326"/>
      <c r="B53" s="329"/>
      <c r="C53" s="330"/>
      <c r="D53" s="330"/>
      <c r="E53" s="416"/>
    </row>
    <row r="54" spans="1:5" ht="7.5" customHeight="1">
      <c r="A54" s="326"/>
      <c r="B54" s="332"/>
      <c r="C54" s="333"/>
      <c r="D54" s="333"/>
      <c r="E54" s="417"/>
    </row>
    <row r="55" spans="1:5">
      <c r="A55" s="326"/>
      <c r="B55" s="334"/>
      <c r="C55" s="330"/>
      <c r="D55" s="330"/>
      <c r="E55" s="414" t="str">
        <f>DT!D28</f>
        <v>Nagrak, 29 Februari 2016 2016</v>
      </c>
    </row>
    <row r="56" spans="1:5">
      <c r="A56" s="326"/>
      <c r="B56" s="334" t="s">
        <v>210</v>
      </c>
      <c r="C56" s="3410" t="s">
        <v>209</v>
      </c>
      <c r="D56" s="3410"/>
      <c r="E56" s="334" t="s">
        <v>22</v>
      </c>
    </row>
    <row r="57" spans="1:5">
      <c r="A57" s="326"/>
      <c r="B57" s="334" t="s">
        <v>455</v>
      </c>
      <c r="C57" s="3410" t="s">
        <v>456</v>
      </c>
      <c r="D57" s="3410"/>
      <c r="E57" s="334" t="s">
        <v>23</v>
      </c>
    </row>
    <row r="58" spans="1:5" ht="21.75" customHeight="1">
      <c r="A58" s="326"/>
      <c r="B58" s="335"/>
      <c r="C58" s="336"/>
      <c r="D58" s="331"/>
      <c r="E58" s="331"/>
    </row>
    <row r="59" spans="1:5" ht="24" customHeight="1">
      <c r="A59" s="326"/>
      <c r="B59" s="337"/>
      <c r="C59" s="338"/>
      <c r="D59" s="339"/>
      <c r="E59" s="339"/>
    </row>
    <row r="60" spans="1:5">
      <c r="A60" s="326"/>
      <c r="B60" s="1436" t="str">
        <f>DT!D20</f>
        <v>Budi Ardianyah</v>
      </c>
      <c r="C60" s="1437" t="str">
        <f>DT!D8</f>
        <v>-</v>
      </c>
      <c r="D60" s="2656" t="str">
        <f>DT!D7</f>
        <v>-</v>
      </c>
      <c r="E60" s="1438" t="str">
        <f>DT!D14</f>
        <v>Endang Taryana</v>
      </c>
    </row>
    <row r="61" spans="1:5">
      <c r="A61" s="326"/>
      <c r="B61" s="341"/>
      <c r="C61" s="342" t="s">
        <v>403</v>
      </c>
      <c r="D61" s="343" t="s">
        <v>402</v>
      </c>
      <c r="E61" s="344"/>
    </row>
    <row r="62" spans="1:5">
      <c r="A62" s="326"/>
      <c r="B62" s="341"/>
      <c r="C62" s="342"/>
      <c r="D62" s="343"/>
      <c r="E62" s="344"/>
    </row>
    <row r="63" spans="1:5">
      <c r="A63" s="326"/>
      <c r="B63" s="341"/>
      <c r="C63" s="342"/>
      <c r="D63" s="343"/>
      <c r="E63" s="344"/>
    </row>
    <row r="64" spans="1:5" s="345" customFormat="1" ht="15.75" customHeight="1">
      <c r="A64" s="3610" t="s">
        <v>1824</v>
      </c>
      <c r="B64" s="3610"/>
      <c r="C64" s="3610"/>
      <c r="D64" s="3610"/>
      <c r="E64" s="3610"/>
    </row>
    <row r="65" spans="1:5" s="292" customFormat="1" ht="14.1" customHeight="1">
      <c r="A65" s="3610" t="str">
        <f>$A$2</f>
        <v>Kecamatan Nagrak</v>
      </c>
      <c r="B65" s="3610"/>
      <c r="C65" s="3610"/>
      <c r="D65" s="3610"/>
      <c r="E65" s="3610"/>
    </row>
    <row r="66" spans="1:5" ht="20.25">
      <c r="A66" s="3610" t="str">
        <f>$A$3</f>
        <v>Kabupaten Sukabumi Provinsi Jawa Barat</v>
      </c>
      <c r="B66" s="3610"/>
      <c r="C66" s="3610"/>
      <c r="D66" s="3610"/>
      <c r="E66" s="3610"/>
    </row>
    <row r="67" spans="1:5" ht="20.25">
      <c r="A67" s="3610" t="str">
        <f>$A$4</f>
        <v>Sampai Dengan 29 Februari 2016 2016</v>
      </c>
      <c r="B67" s="3610"/>
      <c r="C67" s="3610"/>
      <c r="D67" s="3610"/>
      <c r="E67" s="3610"/>
    </row>
    <row r="68" spans="1:5">
      <c r="B68" s="347"/>
      <c r="C68" s="347"/>
      <c r="D68" s="348"/>
      <c r="E68" s="348"/>
    </row>
    <row r="69" spans="1:5" ht="18">
      <c r="A69" s="288"/>
      <c r="B69" s="3684" t="s">
        <v>432</v>
      </c>
      <c r="C69" s="3685"/>
      <c r="D69" s="349"/>
      <c r="E69" s="350"/>
    </row>
    <row r="70" spans="1:5" ht="14.25">
      <c r="A70" s="293"/>
      <c r="B70" s="294" t="str">
        <f>+B7</f>
        <v>SALDO AWAL</v>
      </c>
      <c r="C70" s="295"/>
      <c r="D70" s="296"/>
      <c r="E70" s="309">
        <v>0</v>
      </c>
    </row>
    <row r="71" spans="1:5" ht="18" customHeight="1">
      <c r="B71" s="351" t="s">
        <v>368</v>
      </c>
      <c r="C71" s="352"/>
      <c r="D71" s="353"/>
      <c r="E71" s="353"/>
    </row>
    <row r="72" spans="1:5">
      <c r="B72" s="354" t="s">
        <v>457</v>
      </c>
      <c r="C72" s="355"/>
      <c r="D72" s="356">
        <f>SUM('Arus Dana'!F14:F22)</f>
        <v>11150065000</v>
      </c>
      <c r="E72" s="357"/>
    </row>
    <row r="73" spans="1:5">
      <c r="B73" s="354" t="s">
        <v>1820</v>
      </c>
      <c r="C73" s="355"/>
      <c r="D73" s="356">
        <f>SUM('Arus Dana'!F33:F37)</f>
        <v>15556184</v>
      </c>
      <c r="E73" s="358"/>
    </row>
    <row r="74" spans="1:5">
      <c r="B74" s="354" t="s">
        <v>458</v>
      </c>
      <c r="C74" s="355"/>
      <c r="D74" s="356">
        <f>'Kas B PPK'!F46+'Kas B PNPM-MPd'!F27+'Kas B GSC'!F46+'Kas B PNPM-TP GEMPA'!F46+'Kas B PASCA KRISIS'!F46+'Kas B PPK'!E46+'Kas B PNPM-MPd'!E27+'Kas B GSC'!E46+'Kas B PNPM-TP GEMPA'!E46+'Kas B PASCA KRISIS'!E46</f>
        <v>1700000</v>
      </c>
      <c r="E74" s="358"/>
    </row>
    <row r="75" spans="1:5">
      <c r="B75" s="359" t="s">
        <v>439</v>
      </c>
      <c r="C75" s="360"/>
      <c r="D75" s="361"/>
      <c r="E75" s="362">
        <f>SUM(D72:D74)+E70</f>
        <v>11167321184</v>
      </c>
    </row>
    <row r="76" spans="1:5">
      <c r="B76" s="363"/>
      <c r="D76" s="365"/>
      <c r="E76" s="366"/>
    </row>
    <row r="77" spans="1:5">
      <c r="B77" s="351" t="s">
        <v>11</v>
      </c>
      <c r="C77" s="352"/>
      <c r="D77" s="367"/>
      <c r="E77" s="368"/>
    </row>
    <row r="78" spans="1:5">
      <c r="B78" s="369" t="s">
        <v>459</v>
      </c>
      <c r="C78" s="370"/>
      <c r="D78" s="371"/>
      <c r="E78" s="353"/>
    </row>
    <row r="79" spans="1:5">
      <c r="B79" s="369"/>
      <c r="C79" s="370" t="s">
        <v>74</v>
      </c>
      <c r="D79" s="356">
        <f t="shared" ref="D79:D84" si="0">D21</f>
        <v>5415436100</v>
      </c>
      <c r="E79" s="357"/>
    </row>
    <row r="80" spans="1:5">
      <c r="B80" s="354"/>
      <c r="C80" s="355" t="s">
        <v>47</v>
      </c>
      <c r="D80" s="356">
        <f t="shared" si="0"/>
        <v>2016400100</v>
      </c>
      <c r="E80" s="357"/>
    </row>
    <row r="81" spans="1:5">
      <c r="B81" s="354"/>
      <c r="C81" s="355" t="s">
        <v>48</v>
      </c>
      <c r="D81" s="356">
        <f t="shared" si="0"/>
        <v>1000449500</v>
      </c>
      <c r="E81" s="357"/>
    </row>
    <row r="82" spans="1:5">
      <c r="B82" s="354"/>
      <c r="C82" s="355" t="s">
        <v>121</v>
      </c>
      <c r="D82" s="356">
        <f t="shared" si="0"/>
        <v>305775417</v>
      </c>
      <c r="E82" s="357"/>
    </row>
    <row r="83" spans="1:5">
      <c r="B83" s="354"/>
      <c r="C83" s="355" t="s">
        <v>53</v>
      </c>
      <c r="D83" s="356">
        <f t="shared" si="0"/>
        <v>1856350000</v>
      </c>
      <c r="E83" s="357"/>
    </row>
    <row r="84" spans="1:5">
      <c r="B84" s="354"/>
      <c r="C84" s="355" t="s">
        <v>52</v>
      </c>
      <c r="D84" s="356">
        <f t="shared" si="0"/>
        <v>0</v>
      </c>
      <c r="E84" s="357"/>
    </row>
    <row r="85" spans="1:5" s="345" customFormat="1" ht="14.1" customHeight="1">
      <c r="A85" s="346"/>
      <c r="B85" s="354" t="s">
        <v>460</v>
      </c>
      <c r="C85" s="355"/>
      <c r="D85" s="356">
        <f>'Arus Dana'!F53+'Arus Dana'!F63+'Arus Dana'!F73+'Arus Dana'!F80+'Arus Dana'!F90</f>
        <v>222970600</v>
      </c>
      <c r="E85" s="357"/>
    </row>
    <row r="86" spans="1:5" ht="18.75" customHeight="1">
      <c r="B86" s="354" t="s">
        <v>443</v>
      </c>
      <c r="C86" s="355"/>
      <c r="D86" s="356">
        <f>'Arus Dana'!F54+'Arus Dana'!F64+'Arus Dana'!F74+'Arus Dana'!F81+'Arus Dana'!F91</f>
        <v>334454200</v>
      </c>
      <c r="E86" s="357"/>
    </row>
    <row r="87" spans="1:5" s="345" customFormat="1" ht="15.75" customHeight="1">
      <c r="A87" s="346"/>
      <c r="B87" s="354" t="s">
        <v>1821</v>
      </c>
      <c r="C87" s="355"/>
      <c r="D87" s="356">
        <f>SUM('Arus Dana'!F120:F124)</f>
        <v>3857657</v>
      </c>
      <c r="E87" s="357"/>
    </row>
    <row r="88" spans="1:5" s="345" customFormat="1" ht="15.75" customHeight="1">
      <c r="A88" s="346"/>
      <c r="B88" s="2129" t="s">
        <v>446</v>
      </c>
      <c r="C88" s="355"/>
      <c r="D88" s="356">
        <f>'Kas B PPK'!O46+'Kas B PPK'!P46+'Kas B PNPM-MPd'!N27+'Kas B PNPM-MPd'!O27+'Kas B GSC'!L46+'Kas B GSC'!M46+'Kas B PNPM-TP GEMPA'!O46+'Kas B PNPM-TP GEMPA'!P46+'Kas B PASCA KRISIS'!O46+'Kas B PASCA KRISIS'!P46</f>
        <v>10219325</v>
      </c>
      <c r="E88" s="357"/>
    </row>
    <row r="89" spans="1:5">
      <c r="B89" s="359" t="s">
        <v>447</v>
      </c>
      <c r="C89" s="360"/>
      <c r="D89" s="372"/>
      <c r="E89" s="362">
        <f>SUM(D79:D87)</f>
        <v>11155693574</v>
      </c>
    </row>
    <row r="90" spans="1:5">
      <c r="B90" s="346"/>
      <c r="E90" s="343"/>
    </row>
    <row r="91" spans="1:5">
      <c r="A91" s="327"/>
      <c r="B91" s="374" t="s">
        <v>461</v>
      </c>
      <c r="C91" s="375"/>
      <c r="D91" s="376"/>
      <c r="E91" s="376">
        <f>E75-E89</f>
        <v>11627610</v>
      </c>
    </row>
    <row r="92" spans="1:5" ht="6" customHeight="1">
      <c r="B92" s="346"/>
    </row>
    <row r="93" spans="1:5" s="345" customFormat="1" ht="14.1" customHeight="1">
      <c r="A93" s="327"/>
      <c r="B93" s="374" t="s">
        <v>449</v>
      </c>
      <c r="C93" s="375"/>
      <c r="D93" s="3410" t="s">
        <v>360</v>
      </c>
      <c r="E93" s="3410"/>
    </row>
    <row r="94" spans="1:5" ht="18.75" customHeight="1">
      <c r="A94" s="377"/>
      <c r="B94" s="369" t="s">
        <v>1822</v>
      </c>
      <c r="C94" s="378"/>
      <c r="D94" s="356">
        <f>SUM('Neraca Program'!D24:D28)</f>
        <v>8285</v>
      </c>
      <c r="E94" s="353"/>
    </row>
    <row r="95" spans="1:5">
      <c r="A95" s="377"/>
      <c r="B95" s="369" t="s">
        <v>1825</v>
      </c>
      <c r="C95" s="370"/>
      <c r="D95" s="356">
        <f>SUM('Neraca Program'!D12:D16)</f>
        <v>0</v>
      </c>
      <c r="E95" s="353"/>
    </row>
    <row r="96" spans="1:5">
      <c r="A96" s="377"/>
      <c r="B96" s="351" t="s">
        <v>386</v>
      </c>
      <c r="C96" s="379" t="s">
        <v>452</v>
      </c>
      <c r="D96" s="380"/>
      <c r="E96" s="381">
        <f>SUM(D94:D95)</f>
        <v>8285</v>
      </c>
    </row>
    <row r="97" spans="1:5">
      <c r="A97" s="377"/>
      <c r="B97" s="382"/>
      <c r="C97" s="383"/>
      <c r="D97" s="339"/>
      <c r="E97" s="339"/>
    </row>
    <row r="98" spans="1:5" s="328" customFormat="1">
      <c r="A98" s="326"/>
      <c r="B98" s="384" t="s">
        <v>453</v>
      </c>
      <c r="C98" s="385"/>
      <c r="D98" s="372"/>
      <c r="E98" s="386">
        <f>E91-E96</f>
        <v>11619325</v>
      </c>
    </row>
    <row r="99" spans="1:5">
      <c r="B99" s="2564"/>
      <c r="C99" s="2565"/>
      <c r="D99" s="2566"/>
      <c r="E99" s="2567"/>
    </row>
    <row r="100" spans="1:5">
      <c r="A100" s="326"/>
      <c r="B100" s="3679" t="s">
        <v>454</v>
      </c>
      <c r="C100" s="3680"/>
      <c r="D100" s="3680"/>
      <c r="E100" s="3681"/>
    </row>
    <row r="101" spans="1:5">
      <c r="A101" s="326"/>
      <c r="B101" s="329"/>
      <c r="C101" s="330"/>
      <c r="D101" s="330"/>
      <c r="E101" s="416"/>
    </row>
    <row r="102" spans="1:5">
      <c r="A102" s="326"/>
      <c r="B102" s="332"/>
      <c r="C102" s="333"/>
      <c r="D102" s="333"/>
      <c r="E102" s="417"/>
    </row>
    <row r="103" spans="1:5">
      <c r="A103" s="377"/>
      <c r="B103" s="388"/>
      <c r="C103" s="383"/>
      <c r="D103" s="339"/>
      <c r="E103" s="331" t="str">
        <f>$E$55</f>
        <v>Nagrak, 29 Februari 2016 2016</v>
      </c>
    </row>
    <row r="104" spans="1:5">
      <c r="A104" s="326"/>
      <c r="B104" s="334" t="s">
        <v>210</v>
      </c>
      <c r="C104" s="3410" t="s">
        <v>209</v>
      </c>
      <c r="D104" s="3410"/>
      <c r="E104" s="334" t="s">
        <v>22</v>
      </c>
    </row>
    <row r="105" spans="1:5">
      <c r="A105" s="326"/>
      <c r="B105" s="334" t="s">
        <v>455</v>
      </c>
      <c r="C105" s="3410" t="s">
        <v>456</v>
      </c>
      <c r="D105" s="3410"/>
      <c r="E105" s="334" t="s">
        <v>23</v>
      </c>
    </row>
    <row r="106" spans="1:5">
      <c r="A106" s="326"/>
      <c r="B106" s="335"/>
      <c r="C106" s="336"/>
      <c r="D106" s="331"/>
      <c r="E106" s="331"/>
    </row>
    <row r="107" spans="1:5">
      <c r="A107" s="326"/>
      <c r="B107" s="337"/>
      <c r="C107" s="338"/>
      <c r="D107" s="339"/>
      <c r="E107" s="339"/>
    </row>
    <row r="108" spans="1:5">
      <c r="A108" s="326"/>
      <c r="B108" s="1436" t="str">
        <f>B60</f>
        <v>Budi Ardianyah</v>
      </c>
      <c r="C108" s="1437" t="str">
        <f>C60</f>
        <v>-</v>
      </c>
      <c r="D108" s="2656" t="str">
        <f>D60</f>
        <v>-</v>
      </c>
      <c r="E108" s="1438" t="str">
        <f>E60</f>
        <v>Endang Taryana</v>
      </c>
    </row>
    <row r="109" spans="1:5">
      <c r="A109" s="326"/>
      <c r="B109" s="341"/>
      <c r="C109" s="342" t="s">
        <v>403</v>
      </c>
      <c r="D109" s="343" t="s">
        <v>402</v>
      </c>
      <c r="E109" s="344"/>
    </row>
    <row r="110" spans="1:5">
      <c r="A110" s="326"/>
      <c r="B110" s="340"/>
      <c r="C110" s="3410"/>
      <c r="D110" s="3410"/>
      <c r="E110" s="389"/>
    </row>
    <row r="111" spans="1:5">
      <c r="B111" s="335"/>
      <c r="C111" s="336"/>
      <c r="D111" s="331"/>
      <c r="E111" s="331"/>
    </row>
    <row r="112" spans="1:5">
      <c r="B112" s="337"/>
      <c r="C112" s="338"/>
      <c r="D112" s="339"/>
      <c r="E112" s="339"/>
    </row>
    <row r="113" spans="1:5">
      <c r="B113" s="340"/>
      <c r="C113" s="390"/>
      <c r="D113" s="389"/>
      <c r="E113" s="391"/>
    </row>
    <row r="114" spans="1:5">
      <c r="B114" s="387"/>
    </row>
    <row r="115" spans="1:5">
      <c r="B115" s="387"/>
    </row>
    <row r="116" spans="1:5">
      <c r="B116" s="387"/>
    </row>
    <row r="117" spans="1:5">
      <c r="B117" s="387"/>
    </row>
    <row r="118" spans="1:5">
      <c r="B118" s="387"/>
    </row>
    <row r="119" spans="1:5">
      <c r="B119" s="387"/>
    </row>
    <row r="120" spans="1:5">
      <c r="B120" s="387"/>
    </row>
    <row r="121" spans="1:5">
      <c r="B121" s="387"/>
    </row>
    <row r="122" spans="1:5" s="393" customFormat="1">
      <c r="A122" s="326"/>
      <c r="B122" s="392"/>
      <c r="C122" s="373"/>
      <c r="D122" s="373"/>
      <c r="E122" s="373"/>
    </row>
    <row r="123" spans="1:5" ht="2.25" customHeight="1">
      <c r="B123" s="387"/>
    </row>
    <row r="124" spans="1:5" ht="2.25" customHeight="1">
      <c r="B124" s="387"/>
    </row>
    <row r="125" spans="1:5" s="345" customFormat="1" ht="18" customHeight="1">
      <c r="A125" s="3610" t="s">
        <v>462</v>
      </c>
      <c r="B125" s="3610"/>
      <c r="C125" s="3610"/>
      <c r="D125" s="3610"/>
      <c r="E125" s="3610"/>
    </row>
    <row r="126" spans="1:5" s="345" customFormat="1" ht="18" customHeight="1">
      <c r="A126" s="3610" t="str">
        <f>$A$2</f>
        <v>Kecamatan Nagrak</v>
      </c>
      <c r="B126" s="3610"/>
      <c r="C126" s="3610"/>
      <c r="D126" s="3610"/>
      <c r="E126" s="3610"/>
    </row>
    <row r="127" spans="1:5" ht="20.25">
      <c r="A127" s="3610" t="str">
        <f>$A$3</f>
        <v>Kabupaten Sukabumi Provinsi Jawa Barat</v>
      </c>
      <c r="B127" s="3610"/>
      <c r="C127" s="3610"/>
      <c r="D127" s="3610"/>
      <c r="E127" s="3610"/>
    </row>
    <row r="128" spans="1:5" ht="20.25">
      <c r="A128" s="3610" t="str">
        <f>$A$4</f>
        <v>Sampai Dengan 29 Februari 2016 2016</v>
      </c>
      <c r="B128" s="3610"/>
      <c r="C128" s="3610"/>
      <c r="D128" s="3610"/>
      <c r="E128" s="3610"/>
    </row>
    <row r="129" spans="1:5">
      <c r="B129" s="347"/>
      <c r="C129" s="347"/>
      <c r="D129" s="348"/>
      <c r="E129" s="348"/>
    </row>
    <row r="130" spans="1:5" ht="18">
      <c r="A130" s="288"/>
      <c r="B130" s="3686" t="s">
        <v>432</v>
      </c>
      <c r="C130" s="3687"/>
      <c r="D130" s="349"/>
      <c r="E130" s="350"/>
    </row>
    <row r="131" spans="1:5">
      <c r="A131" s="326"/>
      <c r="B131" s="374" t="str">
        <f>+B70</f>
        <v>SALDO AWAL</v>
      </c>
      <c r="C131" s="394"/>
      <c r="D131" s="395"/>
      <c r="E131" s="396">
        <v>0</v>
      </c>
    </row>
    <row r="132" spans="1:5">
      <c r="B132" s="351" t="s">
        <v>368</v>
      </c>
      <c r="C132" s="352"/>
      <c r="D132" s="353"/>
      <c r="E132" s="353"/>
    </row>
    <row r="133" spans="1:5">
      <c r="B133" s="369" t="s">
        <v>463</v>
      </c>
      <c r="C133" s="370"/>
      <c r="D133" s="356">
        <f>'Kas OP-UPK'!D90+'Kas OP-UPK'!E90</f>
        <v>222970600</v>
      </c>
      <c r="E133" s="357"/>
    </row>
    <row r="134" spans="1:5">
      <c r="B134" s="369" t="s">
        <v>464</v>
      </c>
      <c r="C134" s="370"/>
      <c r="D134" s="356">
        <f>'Kas OP-UPK'!G90</f>
        <v>1696041854</v>
      </c>
      <c r="E134" s="357"/>
    </row>
    <row r="135" spans="1:5">
      <c r="B135" s="369" t="s">
        <v>1306</v>
      </c>
      <c r="C135" s="370"/>
      <c r="D135" s="356">
        <f>'Kas OP-UPK'!F90</f>
        <v>0</v>
      </c>
      <c r="E135" s="357"/>
    </row>
    <row r="136" spans="1:5">
      <c r="B136" s="369" t="s">
        <v>436</v>
      </c>
      <c r="C136" s="397"/>
      <c r="D136" s="356">
        <f>'R-L Microfinance'!H20</f>
        <v>2049396.86</v>
      </c>
      <c r="E136" s="357"/>
    </row>
    <row r="137" spans="1:5">
      <c r="B137" s="369" t="s">
        <v>465</v>
      </c>
      <c r="C137" s="397"/>
      <c r="D137" s="356">
        <f>'Kas OP-UPK'!I90+'Kas OP-UPK'!J90</f>
        <v>47208000</v>
      </c>
      <c r="E137" s="357"/>
    </row>
    <row r="138" spans="1:5">
      <c r="B138" s="351" t="s">
        <v>439</v>
      </c>
      <c r="C138" s="352"/>
      <c r="D138" s="398"/>
      <c r="E138" s="399">
        <f>SUM(D133:D137)+E131</f>
        <v>1968269850.8599999</v>
      </c>
    </row>
    <row r="139" spans="1:5">
      <c r="B139" s="346"/>
      <c r="D139" s="365"/>
      <c r="E139" s="366"/>
    </row>
    <row r="140" spans="1:5" ht="17.25" customHeight="1">
      <c r="B140" s="351" t="s">
        <v>11</v>
      </c>
      <c r="C140" s="352"/>
      <c r="D140" s="349"/>
      <c r="E140" s="350"/>
    </row>
    <row r="141" spans="1:5" s="345" customFormat="1" ht="18.75" customHeight="1">
      <c r="A141" s="346"/>
      <c r="B141" s="369" t="s">
        <v>466</v>
      </c>
      <c r="C141" s="370"/>
      <c r="D141" s="356">
        <f>D29</f>
        <v>1484845054</v>
      </c>
      <c r="E141" s="357"/>
    </row>
    <row r="142" spans="1:5" ht="18" customHeight="1">
      <c r="B142" s="354" t="s">
        <v>444</v>
      </c>
      <c r="C142" s="355"/>
      <c r="D142" s="356">
        <f>'R-L Microfinance'!H44+'R-L Microfinance'!H48</f>
        <v>856017</v>
      </c>
      <c r="E142" s="357"/>
    </row>
    <row r="143" spans="1:5" s="345" customFormat="1" ht="15.75" customHeight="1">
      <c r="A143" s="346"/>
      <c r="B143" s="354" t="s">
        <v>446</v>
      </c>
      <c r="C143" s="355"/>
      <c r="D143" s="356">
        <f>SUM('Kas OP-UPK'!X90:AB90)</f>
        <v>495093500</v>
      </c>
      <c r="E143" s="357"/>
    </row>
    <row r="144" spans="1:5" ht="20.25" customHeight="1">
      <c r="B144" s="359" t="s">
        <v>447</v>
      </c>
      <c r="C144" s="360"/>
      <c r="D144" s="372"/>
      <c r="E144" s="386">
        <f>SUM(D141:D143)</f>
        <v>1980794571</v>
      </c>
    </row>
    <row r="145" spans="1:5">
      <c r="B145" s="346"/>
      <c r="E145" s="365"/>
    </row>
    <row r="146" spans="1:5">
      <c r="A146" s="327"/>
      <c r="B146" s="374" t="s">
        <v>467</v>
      </c>
      <c r="C146" s="375"/>
      <c r="D146" s="376"/>
      <c r="E146" s="376">
        <f>E138-E144</f>
        <v>-12524720.140000105</v>
      </c>
    </row>
    <row r="147" spans="1:5" ht="6" customHeight="1">
      <c r="B147" s="346"/>
    </row>
    <row r="148" spans="1:5" s="345" customFormat="1" ht="14.1" customHeight="1">
      <c r="A148" s="327"/>
      <c r="B148" s="374" t="s">
        <v>449</v>
      </c>
      <c r="C148" s="375"/>
      <c r="D148" s="3410" t="s">
        <v>360</v>
      </c>
      <c r="E148" s="3410"/>
    </row>
    <row r="149" spans="1:5" ht="20.25" customHeight="1">
      <c r="A149" s="377"/>
      <c r="B149" s="369" t="s">
        <v>468</v>
      </c>
      <c r="C149" s="378" t="str">
        <f>+C42</f>
        <v>4097-01-002964-53-4</v>
      </c>
      <c r="D149" s="356">
        <f>'Neraca Micro'!D20</f>
        <v>35096029.859999895</v>
      </c>
      <c r="E149" s="353"/>
    </row>
    <row r="150" spans="1:5" ht="20.25" customHeight="1">
      <c r="A150" s="377"/>
      <c r="B150" s="369" t="s">
        <v>469</v>
      </c>
      <c r="C150" s="370"/>
      <c r="D150" s="356">
        <f>'Neraca Micro'!D13</f>
        <v>129250</v>
      </c>
      <c r="E150" s="353"/>
    </row>
    <row r="151" spans="1:5">
      <c r="A151" s="377"/>
      <c r="B151" s="351" t="s">
        <v>386</v>
      </c>
      <c r="C151" s="379" t="s">
        <v>452</v>
      </c>
      <c r="D151" s="380"/>
      <c r="E151" s="381">
        <f>SUM(D149:D150)</f>
        <v>35225279.859999895</v>
      </c>
    </row>
    <row r="152" spans="1:5">
      <c r="A152" s="377"/>
      <c r="B152" s="382"/>
      <c r="C152" s="383"/>
      <c r="D152" s="339"/>
      <c r="E152" s="339"/>
    </row>
    <row r="153" spans="1:5" s="328" customFormat="1">
      <c r="A153" s="326"/>
      <c r="B153" s="384" t="s">
        <v>453</v>
      </c>
      <c r="C153" s="385"/>
      <c r="D153" s="372"/>
      <c r="E153" s="386">
        <f>E146-E151</f>
        <v>-47750000</v>
      </c>
    </row>
    <row r="154" spans="1:5">
      <c r="B154" s="2564"/>
      <c r="C154" s="2565"/>
      <c r="D154" s="2566"/>
      <c r="E154" s="2567"/>
    </row>
    <row r="155" spans="1:5">
      <c r="A155" s="326"/>
      <c r="B155" s="3679" t="s">
        <v>454</v>
      </c>
      <c r="C155" s="3680"/>
      <c r="D155" s="3680"/>
      <c r="E155" s="3681"/>
    </row>
    <row r="156" spans="1:5">
      <c r="A156" s="326"/>
      <c r="B156" s="329"/>
      <c r="C156" s="330"/>
      <c r="D156" s="330"/>
      <c r="E156" s="416"/>
    </row>
    <row r="157" spans="1:5">
      <c r="A157" s="326"/>
      <c r="B157" s="332"/>
      <c r="C157" s="333"/>
      <c r="D157" s="333"/>
      <c r="E157" s="417"/>
    </row>
    <row r="158" spans="1:5">
      <c r="A158" s="377"/>
      <c r="B158" s="388"/>
      <c r="C158" s="383"/>
      <c r="D158" s="339"/>
      <c r="E158" s="331" t="str">
        <f>$E$55</f>
        <v>Nagrak, 29 Februari 2016 2016</v>
      </c>
    </row>
    <row r="159" spans="1:5">
      <c r="A159" s="326"/>
      <c r="B159" s="334" t="s">
        <v>210</v>
      </c>
      <c r="C159" s="3410" t="s">
        <v>209</v>
      </c>
      <c r="D159" s="3410"/>
      <c r="E159" s="334" t="s">
        <v>22</v>
      </c>
    </row>
    <row r="160" spans="1:5">
      <c r="A160" s="326"/>
      <c r="B160" s="334" t="s">
        <v>455</v>
      </c>
      <c r="C160" s="3410" t="s">
        <v>456</v>
      </c>
      <c r="D160" s="3410"/>
      <c r="E160" s="334" t="s">
        <v>23</v>
      </c>
    </row>
    <row r="161" spans="1:5">
      <c r="A161" s="326"/>
      <c r="B161" s="335"/>
      <c r="C161" s="336"/>
      <c r="D161" s="331"/>
      <c r="E161" s="331"/>
    </row>
    <row r="162" spans="1:5">
      <c r="A162" s="326"/>
      <c r="B162" s="337"/>
      <c r="C162" s="338"/>
      <c r="D162" s="339"/>
      <c r="E162" s="339"/>
    </row>
    <row r="163" spans="1:5">
      <c r="A163" s="326"/>
      <c r="B163" s="1436" t="str">
        <f>B108</f>
        <v>Budi Ardianyah</v>
      </c>
      <c r="C163" s="1437" t="str">
        <f>C108</f>
        <v>-</v>
      </c>
      <c r="D163" s="2656" t="str">
        <f>D108</f>
        <v>-</v>
      </c>
      <c r="E163" s="1438" t="str">
        <f>E108</f>
        <v>Endang Taryana</v>
      </c>
    </row>
    <row r="164" spans="1:5">
      <c r="A164" s="326"/>
      <c r="B164" s="341"/>
      <c r="C164" s="342" t="s">
        <v>403</v>
      </c>
      <c r="D164" s="343" t="s">
        <v>402</v>
      </c>
      <c r="E164" s="344"/>
    </row>
    <row r="165" spans="1:5">
      <c r="A165" s="326"/>
      <c r="B165" s="340"/>
      <c r="C165" s="3410"/>
      <c r="D165" s="3410"/>
      <c r="E165" s="389"/>
    </row>
    <row r="166" spans="1:5">
      <c r="B166" s="335"/>
      <c r="C166" s="336"/>
      <c r="D166" s="331"/>
      <c r="E166" s="331"/>
    </row>
    <row r="167" spans="1:5">
      <c r="B167" s="337"/>
      <c r="C167" s="338"/>
      <c r="D167" s="339"/>
      <c r="E167" s="339"/>
    </row>
    <row r="168" spans="1:5">
      <c r="B168" s="340"/>
      <c r="C168" s="390"/>
      <c r="D168" s="389"/>
      <c r="E168" s="391"/>
    </row>
    <row r="169" spans="1:5">
      <c r="B169" s="388"/>
      <c r="C169" s="383"/>
      <c r="D169" s="339"/>
      <c r="E169" s="339"/>
    </row>
    <row r="170" spans="1:5">
      <c r="B170" s="388"/>
      <c r="C170" s="383"/>
      <c r="D170" s="339"/>
      <c r="E170" s="339"/>
    </row>
    <row r="171" spans="1:5">
      <c r="B171" s="388"/>
      <c r="C171" s="383"/>
      <c r="D171" s="339"/>
      <c r="E171" s="339"/>
    </row>
    <row r="172" spans="1:5">
      <c r="B172" s="388"/>
      <c r="C172" s="383"/>
      <c r="D172" s="339"/>
      <c r="E172" s="339"/>
    </row>
    <row r="173" spans="1:5">
      <c r="B173" s="388"/>
      <c r="C173" s="383"/>
      <c r="D173" s="339"/>
      <c r="E173" s="339"/>
    </row>
    <row r="174" spans="1:5">
      <c r="B174" s="388"/>
      <c r="C174" s="383"/>
      <c r="D174" s="339"/>
      <c r="E174" s="339"/>
    </row>
    <row r="175" spans="1:5">
      <c r="B175" s="388"/>
      <c r="C175" s="383"/>
      <c r="D175" s="339"/>
      <c r="E175" s="339"/>
    </row>
    <row r="176" spans="1:5">
      <c r="B176" s="388"/>
      <c r="C176" s="383"/>
      <c r="D176" s="339"/>
      <c r="E176" s="339"/>
    </row>
    <row r="177" spans="1:5">
      <c r="B177" s="388"/>
      <c r="C177" s="383"/>
      <c r="D177" s="339"/>
      <c r="E177" s="339"/>
    </row>
    <row r="178" spans="1:5">
      <c r="B178" s="388"/>
      <c r="C178" s="383"/>
      <c r="D178" s="339"/>
      <c r="E178" s="339"/>
    </row>
    <row r="179" spans="1:5" s="345" customFormat="1" ht="14.1" customHeight="1">
      <c r="A179" s="346"/>
      <c r="B179" s="388"/>
      <c r="C179" s="383"/>
      <c r="D179" s="339"/>
      <c r="E179" s="339"/>
    </row>
    <row r="180" spans="1:5" s="345" customFormat="1" ht="14.1" customHeight="1">
      <c r="A180" s="346"/>
      <c r="B180" s="388"/>
      <c r="C180" s="383"/>
      <c r="D180" s="339"/>
      <c r="E180" s="339"/>
    </row>
    <row r="181" spans="1:5" s="345" customFormat="1" ht="14.1" customHeight="1">
      <c r="A181" s="346"/>
      <c r="B181" s="388"/>
      <c r="C181" s="383"/>
      <c r="D181" s="339"/>
      <c r="E181" s="339"/>
    </row>
    <row r="182" spans="1:5" s="345" customFormat="1" ht="4.5" customHeight="1">
      <c r="A182" s="346"/>
      <c r="B182" s="388"/>
      <c r="C182" s="383"/>
      <c r="D182" s="339"/>
      <c r="E182" s="339"/>
    </row>
    <row r="183" spans="1:5" s="345" customFormat="1" ht="13.5" hidden="1" customHeight="1">
      <c r="A183" s="346"/>
      <c r="B183" s="388"/>
      <c r="C183" s="383"/>
      <c r="D183" s="339"/>
      <c r="E183" s="339"/>
    </row>
    <row r="184" spans="1:5" hidden="1">
      <c r="B184" s="388"/>
      <c r="C184" s="383"/>
      <c r="D184" s="339"/>
      <c r="E184" s="339"/>
    </row>
    <row r="185" spans="1:5">
      <c r="B185" s="388"/>
      <c r="C185" s="383"/>
      <c r="D185" s="339"/>
      <c r="E185" s="339"/>
    </row>
    <row r="186" spans="1:5" ht="18">
      <c r="A186" s="3595" t="s">
        <v>470</v>
      </c>
      <c r="B186" s="3595"/>
      <c r="C186" s="3595"/>
      <c r="D186" s="3595"/>
      <c r="E186" s="3595"/>
    </row>
    <row r="187" spans="1:5" ht="18">
      <c r="A187" s="3595" t="str">
        <f>$A$2</f>
        <v>Kecamatan Nagrak</v>
      </c>
      <c r="B187" s="3595"/>
      <c r="C187" s="3595"/>
      <c r="D187" s="3595"/>
      <c r="E187" s="3595"/>
    </row>
    <row r="188" spans="1:5" ht="18">
      <c r="A188" s="3595" t="str">
        <f>$A$3</f>
        <v>Kabupaten Sukabumi Provinsi Jawa Barat</v>
      </c>
      <c r="B188" s="3595"/>
      <c r="C188" s="3595"/>
      <c r="D188" s="3595"/>
      <c r="E188" s="3595"/>
    </row>
    <row r="189" spans="1:5" ht="18">
      <c r="A189" s="3595" t="str">
        <f>$A$4</f>
        <v>Sampai Dengan 29 Februari 2016 2016</v>
      </c>
      <c r="B189" s="3595"/>
      <c r="C189" s="3595"/>
      <c r="D189" s="3595"/>
      <c r="E189" s="3595"/>
    </row>
    <row r="190" spans="1:5">
      <c r="B190" s="347"/>
      <c r="C190" s="347"/>
      <c r="D190" s="348"/>
      <c r="E190" s="348"/>
    </row>
    <row r="191" spans="1:5" ht="23.25" customHeight="1">
      <c r="A191" s="288"/>
      <c r="B191" s="3664" t="s">
        <v>432</v>
      </c>
      <c r="C191" s="3665"/>
      <c r="D191" s="349"/>
      <c r="E191" s="350"/>
    </row>
    <row r="192" spans="1:5">
      <c r="A192" s="326"/>
      <c r="B192" s="374" t="str">
        <f>+B131</f>
        <v>SALDO AWAL</v>
      </c>
      <c r="C192" s="394"/>
      <c r="D192" s="395"/>
      <c r="E192" s="396">
        <v>0</v>
      </c>
    </row>
    <row r="193" spans="1:6">
      <c r="B193" s="351" t="s">
        <v>368</v>
      </c>
      <c r="C193" s="352"/>
      <c r="D193" s="353"/>
      <c r="E193" s="353"/>
    </row>
    <row r="194" spans="1:6">
      <c r="B194" s="354" t="s">
        <v>471</v>
      </c>
      <c r="C194" s="355"/>
      <c r="D194" s="356">
        <f>'Kas SPP'!D367+'Kas SPP Pihak ke-3'!D42</f>
        <v>24859259400</v>
      </c>
      <c r="E194" s="357"/>
    </row>
    <row r="195" spans="1:6">
      <c r="B195" s="354" t="s">
        <v>472</v>
      </c>
      <c r="C195" s="355"/>
      <c r="D195" s="356">
        <f>'Kas SPP'!E367+'Kas SPP Pihak ke-3'!E42</f>
        <v>4305764600</v>
      </c>
      <c r="E195" s="357"/>
    </row>
    <row r="196" spans="1:6">
      <c r="B196" s="354" t="s">
        <v>437</v>
      </c>
      <c r="C196" s="355"/>
      <c r="D196" s="356">
        <f>'R-L Microfinance'!H22+'R-L Microfinance'!H23</f>
        <v>34417382</v>
      </c>
      <c r="E196" s="357"/>
    </row>
    <row r="197" spans="1:6">
      <c r="B197" s="354" t="s">
        <v>465</v>
      </c>
      <c r="C197" s="355"/>
      <c r="D197" s="356">
        <f>'Kas SPP'!F367+'Kas SPP'!G367+'Kas SPP Pihak ke-3'!F42+'Kas SPP Pihak ke-3'!G42</f>
        <v>600300</v>
      </c>
      <c r="E197" s="357"/>
    </row>
    <row r="198" spans="1:6" ht="19.5" customHeight="1">
      <c r="B198" s="359" t="s">
        <v>439</v>
      </c>
      <c r="C198" s="360"/>
      <c r="D198" s="349"/>
      <c r="E198" s="362">
        <f>SUM(D193:D197)+E192</f>
        <v>29200041682</v>
      </c>
    </row>
    <row r="199" spans="1:6" s="345" customFormat="1" ht="18.75" customHeight="1">
      <c r="A199" s="346"/>
      <c r="B199" s="346"/>
      <c r="C199" s="364"/>
      <c r="D199" s="348"/>
      <c r="E199" s="366"/>
      <c r="F199" s="400"/>
    </row>
    <row r="200" spans="1:6" ht="21" customHeight="1">
      <c r="B200" s="351" t="s">
        <v>11</v>
      </c>
      <c r="C200" s="352"/>
      <c r="D200" s="349"/>
      <c r="E200" s="350"/>
    </row>
    <row r="201" spans="1:6" s="345" customFormat="1" ht="15.75" customHeight="1">
      <c r="A201" s="346"/>
      <c r="B201" s="354" t="s">
        <v>473</v>
      </c>
      <c r="C201" s="355"/>
      <c r="D201" s="356">
        <f>'Kas SPP'!J367+'Kas SPP Pihak ke-3'!J42</f>
        <v>27484000000</v>
      </c>
      <c r="E201" s="357"/>
    </row>
    <row r="202" spans="1:6">
      <c r="B202" s="354" t="s">
        <v>474</v>
      </c>
      <c r="C202" s="355"/>
      <c r="D202" s="356">
        <f>'Kas SPP'!L367+'Kas SPP Pihak ke-3'!L42</f>
        <v>1696041854</v>
      </c>
      <c r="E202" s="357"/>
    </row>
    <row r="203" spans="1:6">
      <c r="B203" s="354" t="s">
        <v>445</v>
      </c>
      <c r="C203" s="355"/>
      <c r="D203" s="356">
        <f>'R-L Microfinance'!H46+'R-L Microfinance'!H47+'R-L Microfinance'!H50+'R-L Microfinance'!H51</f>
        <v>6997052</v>
      </c>
      <c r="E203" s="357"/>
    </row>
    <row r="204" spans="1:6">
      <c r="B204" s="354" t="s">
        <v>446</v>
      </c>
      <c r="C204" s="355"/>
      <c r="D204" s="356">
        <f>'Kas SPP'!K367+'Kas SPP'!M367+'Kas SPP Pihak ke-3'!K42+'Kas SPP Pihak ke-3'!M42</f>
        <v>0</v>
      </c>
      <c r="E204" s="357"/>
    </row>
    <row r="205" spans="1:6" ht="19.5" customHeight="1">
      <c r="B205" s="359" t="s">
        <v>447</v>
      </c>
      <c r="C205" s="360"/>
      <c r="D205" s="349"/>
      <c r="E205" s="386">
        <f>SUM(D201:D204)</f>
        <v>29187038906</v>
      </c>
    </row>
    <row r="206" spans="1:6" s="345" customFormat="1" ht="17.25" customHeight="1">
      <c r="A206" s="346"/>
      <c r="B206" s="346"/>
      <c r="C206" s="364"/>
      <c r="D206" s="373"/>
      <c r="E206" s="365"/>
    </row>
    <row r="207" spans="1:6" ht="23.25" customHeight="1">
      <c r="A207" s="327"/>
      <c r="B207" s="374" t="s">
        <v>467</v>
      </c>
      <c r="C207" s="375"/>
      <c r="D207" s="376"/>
      <c r="E207" s="376">
        <f>+E198-E205</f>
        <v>13002776</v>
      </c>
    </row>
    <row r="208" spans="1:6">
      <c r="B208" s="346"/>
    </row>
    <row r="209" spans="1:5">
      <c r="A209" s="327"/>
      <c r="B209" s="374" t="s">
        <v>449</v>
      </c>
      <c r="C209" s="375"/>
      <c r="D209" s="3410" t="s">
        <v>360</v>
      </c>
      <c r="E209" s="3410"/>
    </row>
    <row r="210" spans="1:5">
      <c r="A210" s="377"/>
      <c r="B210" s="369" t="s">
        <v>475</v>
      </c>
      <c r="C210" s="378" t="str">
        <f>C43</f>
        <v>.................................</v>
      </c>
      <c r="D210" s="356">
        <f>'Neraca Micro'!D22+'Neraca Micro'!D23</f>
        <v>13002776</v>
      </c>
      <c r="E210" s="353"/>
    </row>
    <row r="211" spans="1:5" s="328" customFormat="1">
      <c r="A211" s="377"/>
      <c r="B211" s="369" t="s">
        <v>476</v>
      </c>
      <c r="C211" s="370"/>
      <c r="D211" s="356">
        <f>'Neraca Micro'!D15+'Neraca Micro'!D16</f>
        <v>0</v>
      </c>
      <c r="E211" s="353"/>
    </row>
    <row r="212" spans="1:5">
      <c r="A212" s="377"/>
      <c r="B212" s="351" t="s">
        <v>386</v>
      </c>
      <c r="C212" s="379" t="s">
        <v>452</v>
      </c>
      <c r="D212" s="349"/>
      <c r="E212" s="381">
        <f>SUM(D210:D211)</f>
        <v>13002776</v>
      </c>
    </row>
    <row r="213" spans="1:5">
      <c r="A213" s="377"/>
      <c r="B213" s="382"/>
      <c r="C213" s="383"/>
      <c r="D213" s="339"/>
      <c r="E213" s="339"/>
    </row>
    <row r="214" spans="1:5">
      <c r="A214" s="326"/>
      <c r="B214" s="384" t="s">
        <v>453</v>
      </c>
      <c r="C214" s="385"/>
      <c r="D214" s="349"/>
      <c r="E214" s="386">
        <f>E207-E212</f>
        <v>0</v>
      </c>
    </row>
    <row r="215" spans="1:5">
      <c r="B215" s="2571"/>
      <c r="C215" s="2572"/>
      <c r="D215" s="2573"/>
      <c r="E215" s="2574"/>
    </row>
    <row r="216" spans="1:5">
      <c r="A216" s="326"/>
      <c r="B216" s="3688" t="s">
        <v>454</v>
      </c>
      <c r="C216" s="3689"/>
      <c r="D216" s="3689"/>
      <c r="E216" s="3690"/>
    </row>
    <row r="217" spans="1:5">
      <c r="A217" s="326"/>
      <c r="B217" s="2568"/>
      <c r="C217" s="330"/>
      <c r="D217" s="330"/>
      <c r="E217" s="2569"/>
    </row>
    <row r="218" spans="1:5">
      <c r="A218" s="326"/>
      <c r="B218" s="332"/>
      <c r="C218" s="333"/>
      <c r="D218" s="333"/>
      <c r="E218" s="2570"/>
    </row>
    <row r="219" spans="1:5">
      <c r="A219" s="377"/>
      <c r="B219" s="388"/>
      <c r="C219" s="383"/>
      <c r="D219" s="339"/>
      <c r="E219" s="331" t="str">
        <f>$E$55</f>
        <v>Nagrak, 29 Februari 2016 2016</v>
      </c>
    </row>
    <row r="220" spans="1:5">
      <c r="A220" s="326"/>
      <c r="B220" s="334" t="s">
        <v>210</v>
      </c>
      <c r="C220" s="3410" t="s">
        <v>209</v>
      </c>
      <c r="D220" s="3410"/>
      <c r="E220" s="334" t="s">
        <v>22</v>
      </c>
    </row>
    <row r="221" spans="1:5">
      <c r="A221" s="326"/>
      <c r="B221" s="334" t="s">
        <v>455</v>
      </c>
      <c r="C221" s="3410" t="s">
        <v>456</v>
      </c>
      <c r="D221" s="3410"/>
      <c r="E221" s="334" t="s">
        <v>23</v>
      </c>
    </row>
    <row r="222" spans="1:5">
      <c r="A222" s="326"/>
      <c r="B222" s="335"/>
      <c r="C222" s="336"/>
      <c r="D222" s="331"/>
      <c r="E222" s="331"/>
    </row>
    <row r="223" spans="1:5">
      <c r="A223" s="326"/>
      <c r="B223" s="337"/>
      <c r="C223" s="338"/>
      <c r="D223" s="339"/>
      <c r="E223" s="339"/>
    </row>
    <row r="224" spans="1:5">
      <c r="A224" s="326"/>
      <c r="B224" s="1436" t="str">
        <f>B163</f>
        <v>Budi Ardianyah</v>
      </c>
      <c r="C224" s="1437" t="str">
        <f>C163</f>
        <v>-</v>
      </c>
      <c r="D224" s="2656" t="str">
        <f>D163</f>
        <v>-</v>
      </c>
      <c r="E224" s="1438" t="str">
        <f>E163</f>
        <v>Endang Taryana</v>
      </c>
    </row>
    <row r="225" spans="1:5">
      <c r="A225" s="326"/>
      <c r="B225" s="341"/>
      <c r="C225" s="342" t="s">
        <v>403</v>
      </c>
      <c r="D225" s="343" t="s">
        <v>402</v>
      </c>
      <c r="E225" s="344"/>
    </row>
    <row r="226" spans="1:5">
      <c r="A226" s="326"/>
      <c r="B226" s="340"/>
      <c r="C226" s="3410"/>
      <c r="D226" s="3410"/>
      <c r="E226" s="389"/>
    </row>
    <row r="227" spans="1:5">
      <c r="B227" s="335"/>
      <c r="C227" s="336"/>
      <c r="D227" s="331"/>
      <c r="E227" s="331"/>
    </row>
    <row r="228" spans="1:5">
      <c r="B228" s="337"/>
      <c r="C228" s="338"/>
      <c r="D228" s="339"/>
      <c r="E228" s="339"/>
    </row>
    <row r="229" spans="1:5">
      <c r="B229" s="346"/>
    </row>
    <row r="230" spans="1:5">
      <c r="B230" s="346"/>
    </row>
    <row r="231" spans="1:5">
      <c r="B231" s="346"/>
    </row>
    <row r="232" spans="1:5">
      <c r="B232" s="346"/>
    </row>
    <row r="233" spans="1:5">
      <c r="B233" s="346"/>
    </row>
    <row r="234" spans="1:5">
      <c r="B234" s="346"/>
    </row>
    <row r="235" spans="1:5">
      <c r="B235" s="346"/>
    </row>
    <row r="236" spans="1:5">
      <c r="B236" s="346"/>
    </row>
    <row r="237" spans="1:5">
      <c r="B237" s="346"/>
    </row>
    <row r="238" spans="1:5">
      <c r="B238" s="346"/>
    </row>
    <row r="239" spans="1:5">
      <c r="B239" s="346"/>
    </row>
    <row r="240" spans="1:5" s="345" customFormat="1" ht="18.75" customHeight="1">
      <c r="A240" s="346"/>
      <c r="B240" s="346"/>
      <c r="C240" s="364"/>
      <c r="D240" s="373"/>
      <c r="E240" s="373"/>
    </row>
    <row r="241" spans="1:5" s="345" customFormat="1" ht="18" hidden="1" customHeight="1">
      <c r="A241" s="346"/>
      <c r="B241" s="363"/>
      <c r="C241" s="364"/>
      <c r="D241" s="373"/>
      <c r="E241" s="373"/>
    </row>
    <row r="242" spans="1:5" s="345" customFormat="1" ht="18" customHeight="1">
      <c r="A242" s="346"/>
      <c r="B242" s="363"/>
      <c r="C242" s="364"/>
      <c r="D242" s="373"/>
      <c r="E242" s="373"/>
    </row>
    <row r="243" spans="1:5" s="345" customFormat="1" ht="18" customHeight="1">
      <c r="A243" s="346"/>
      <c r="B243" s="363"/>
      <c r="C243" s="364"/>
      <c r="D243" s="373"/>
      <c r="E243" s="373"/>
    </row>
    <row r="244" spans="1:5" ht="20.25">
      <c r="A244" s="3610" t="s">
        <v>1307</v>
      </c>
      <c r="B244" s="3610"/>
      <c r="C244" s="3610"/>
      <c r="D244" s="3610"/>
      <c r="E244" s="3610"/>
    </row>
    <row r="245" spans="1:5" ht="20.25">
      <c r="A245" s="3610" t="str">
        <f>$A$2</f>
        <v>Kecamatan Nagrak</v>
      </c>
      <c r="B245" s="3610"/>
      <c r="C245" s="3610"/>
      <c r="D245" s="3610"/>
      <c r="E245" s="3610"/>
    </row>
    <row r="246" spans="1:5" ht="20.25">
      <c r="A246" s="3610" t="str">
        <f>$A$3</f>
        <v>Kabupaten Sukabumi Provinsi Jawa Barat</v>
      </c>
      <c r="B246" s="3610"/>
      <c r="C246" s="3610"/>
      <c r="D246" s="3610"/>
      <c r="E246" s="3610"/>
    </row>
    <row r="247" spans="1:5" ht="20.25">
      <c r="A247" s="3610" t="str">
        <f>$A$4</f>
        <v>Sampai Dengan 29 Februari 2016 2016</v>
      </c>
      <c r="B247" s="3610"/>
      <c r="C247" s="3610"/>
      <c r="D247" s="3610"/>
      <c r="E247" s="3610"/>
    </row>
    <row r="248" spans="1:5">
      <c r="B248" s="347"/>
      <c r="C248" s="347"/>
      <c r="D248" s="348"/>
      <c r="E248" s="348"/>
    </row>
    <row r="249" spans="1:5" ht="23.25" customHeight="1">
      <c r="A249" s="288"/>
      <c r="B249" s="3664" t="s">
        <v>432</v>
      </c>
      <c r="C249" s="3665"/>
      <c r="D249" s="349"/>
      <c r="E249" s="350"/>
    </row>
    <row r="250" spans="1:5">
      <c r="A250" s="326"/>
      <c r="B250" s="374">
        <f>+B188</f>
        <v>0</v>
      </c>
      <c r="C250" s="394"/>
      <c r="D250" s="395"/>
      <c r="E250" s="396">
        <v>0</v>
      </c>
    </row>
    <row r="251" spans="1:5">
      <c r="B251" s="351" t="s">
        <v>368</v>
      </c>
      <c r="C251" s="352"/>
      <c r="D251" s="353"/>
      <c r="E251" s="353"/>
    </row>
    <row r="252" spans="1:5">
      <c r="B252" s="354" t="s">
        <v>471</v>
      </c>
      <c r="C252" s="355"/>
      <c r="D252" s="356">
        <f>'Kas UEP'!D42</f>
        <v>0</v>
      </c>
      <c r="E252" s="357"/>
    </row>
    <row r="253" spans="1:5">
      <c r="B253" s="354" t="s">
        <v>472</v>
      </c>
      <c r="C253" s="355"/>
      <c r="D253" s="356">
        <f>'Kas UEP'!E42</f>
        <v>0</v>
      </c>
      <c r="E253" s="357"/>
    </row>
    <row r="254" spans="1:5">
      <c r="B254" s="354" t="s">
        <v>1302</v>
      </c>
      <c r="C254" s="355"/>
      <c r="D254" s="356">
        <f>'Bank UEP'!G30</f>
        <v>0</v>
      </c>
      <c r="E254" s="357"/>
    </row>
    <row r="255" spans="1:5">
      <c r="B255" s="354" t="s">
        <v>465</v>
      </c>
      <c r="C255" s="355"/>
      <c r="D255" s="356">
        <f>'Kas UEP'!F42+'Kas UEP'!G42</f>
        <v>0</v>
      </c>
      <c r="E255" s="357"/>
    </row>
    <row r="256" spans="1:5" ht="19.5" customHeight="1">
      <c r="B256" s="359" t="s">
        <v>439</v>
      </c>
      <c r="C256" s="360"/>
      <c r="D256" s="349"/>
      <c r="E256" s="362">
        <f>SUM(D251:D255)+E250</f>
        <v>0</v>
      </c>
    </row>
    <row r="257" spans="1:6" s="345" customFormat="1" ht="18.75" customHeight="1">
      <c r="A257" s="346"/>
      <c r="B257" s="346"/>
      <c r="C257" s="364"/>
      <c r="D257" s="348"/>
      <c r="E257" s="366"/>
      <c r="F257" s="400"/>
    </row>
    <row r="258" spans="1:6" ht="21" customHeight="1">
      <c r="B258" s="351" t="s">
        <v>11</v>
      </c>
      <c r="C258" s="352"/>
      <c r="D258" s="349"/>
      <c r="E258" s="350"/>
    </row>
    <row r="259" spans="1:6" s="345" customFormat="1" ht="15.75" customHeight="1">
      <c r="A259" s="346"/>
      <c r="B259" s="354" t="s">
        <v>473</v>
      </c>
      <c r="C259" s="355"/>
      <c r="D259" s="356">
        <f>'Kas UEP'!J42</f>
        <v>0</v>
      </c>
      <c r="E259" s="357"/>
    </row>
    <row r="260" spans="1:6">
      <c r="B260" s="354" t="s">
        <v>474</v>
      </c>
      <c r="C260" s="355"/>
      <c r="D260" s="356">
        <f>'Kas UEP'!L42</f>
        <v>0</v>
      </c>
      <c r="E260" s="357"/>
    </row>
    <row r="261" spans="1:6">
      <c r="B261" s="354" t="s">
        <v>1304</v>
      </c>
      <c r="C261" s="355"/>
      <c r="D261" s="356">
        <f>'Bank UEP'!I30+'Bank UEP'!J30</f>
        <v>0</v>
      </c>
      <c r="E261" s="357"/>
    </row>
    <row r="262" spans="1:6">
      <c r="B262" s="354" t="s">
        <v>446</v>
      </c>
      <c r="C262" s="355"/>
      <c r="D262" s="356">
        <f>'Kas UEP'!K42+'Kas UEP'!M42</f>
        <v>0</v>
      </c>
      <c r="E262" s="357"/>
    </row>
    <row r="263" spans="1:6" ht="19.5" customHeight="1">
      <c r="B263" s="359" t="s">
        <v>447</v>
      </c>
      <c r="C263" s="360"/>
      <c r="D263" s="349"/>
      <c r="E263" s="386">
        <f>SUM(D259:D262)</f>
        <v>0</v>
      </c>
    </row>
    <row r="264" spans="1:6" s="345" customFormat="1" ht="17.25" customHeight="1">
      <c r="A264" s="346"/>
      <c r="B264" s="346"/>
      <c r="C264" s="364"/>
      <c r="D264" s="373"/>
      <c r="E264" s="365"/>
    </row>
    <row r="265" spans="1:6" ht="23.25" customHeight="1">
      <c r="A265" s="327"/>
      <c r="B265" s="374" t="s">
        <v>467</v>
      </c>
      <c r="C265" s="375"/>
      <c r="D265" s="376"/>
      <c r="E265" s="376">
        <f>+E256-E263</f>
        <v>0</v>
      </c>
    </row>
    <row r="266" spans="1:6">
      <c r="B266" s="346"/>
    </row>
    <row r="267" spans="1:6">
      <c r="A267" s="327"/>
      <c r="B267" s="374" t="s">
        <v>449</v>
      </c>
      <c r="C267" s="375"/>
      <c r="D267" s="3410" t="s">
        <v>360</v>
      </c>
      <c r="E267" s="3410"/>
    </row>
    <row r="268" spans="1:6">
      <c r="A268" s="377"/>
      <c r="B268" s="369" t="s">
        <v>1309</v>
      </c>
      <c r="C268" s="378">
        <f>C94</f>
        <v>0</v>
      </c>
      <c r="D268" s="356">
        <f>'Neraca Micro'!D21</f>
        <v>0</v>
      </c>
      <c r="E268" s="353"/>
    </row>
    <row r="269" spans="1:6" s="328" customFormat="1">
      <c r="A269" s="377"/>
      <c r="B269" s="369" t="s">
        <v>1308</v>
      </c>
      <c r="C269" s="370"/>
      <c r="D269" s="356">
        <f>'Neraca Micro'!D14</f>
        <v>0</v>
      </c>
      <c r="E269" s="353"/>
    </row>
    <row r="270" spans="1:6">
      <c r="A270" s="377"/>
      <c r="B270" s="351" t="s">
        <v>386</v>
      </c>
      <c r="C270" s="379" t="s">
        <v>452</v>
      </c>
      <c r="D270" s="349"/>
      <c r="E270" s="381">
        <f>SUM(D268:D269)</f>
        <v>0</v>
      </c>
    </row>
    <row r="271" spans="1:6">
      <c r="A271" s="377"/>
      <c r="B271" s="382"/>
      <c r="C271" s="383"/>
      <c r="D271" s="339"/>
      <c r="E271" s="339"/>
    </row>
    <row r="272" spans="1:6">
      <c r="A272" s="326"/>
      <c r="B272" s="384" t="s">
        <v>453</v>
      </c>
      <c r="C272" s="385"/>
      <c r="D272" s="349"/>
      <c r="E272" s="386">
        <f>E265-E270</f>
        <v>0</v>
      </c>
    </row>
    <row r="273" spans="1:5">
      <c r="B273" s="387"/>
    </row>
    <row r="274" spans="1:5">
      <c r="A274" s="326"/>
      <c r="B274" s="3695" t="s">
        <v>454</v>
      </c>
      <c r="C274" s="3696"/>
      <c r="D274" s="3696"/>
      <c r="E274" s="3697"/>
    </row>
    <row r="275" spans="1:5">
      <c r="A275" s="326"/>
      <c r="B275" s="329"/>
      <c r="C275" s="330"/>
      <c r="D275" s="330"/>
      <c r="E275" s="416"/>
    </row>
    <row r="276" spans="1:5">
      <c r="A276" s="326"/>
      <c r="B276" s="332"/>
      <c r="C276" s="333"/>
      <c r="D276" s="333"/>
      <c r="E276" s="417"/>
    </row>
    <row r="277" spans="1:5">
      <c r="A277" s="377"/>
      <c r="B277" s="388"/>
      <c r="C277" s="383"/>
      <c r="D277" s="339"/>
      <c r="E277" s="331" t="str">
        <f>$E$55</f>
        <v>Nagrak, 29 Februari 2016 2016</v>
      </c>
    </row>
    <row r="278" spans="1:5">
      <c r="A278" s="326"/>
      <c r="B278" s="334" t="s">
        <v>210</v>
      </c>
      <c r="C278" s="3410" t="s">
        <v>209</v>
      </c>
      <c r="D278" s="3410"/>
      <c r="E278" s="334" t="s">
        <v>22</v>
      </c>
    </row>
    <row r="279" spans="1:5">
      <c r="A279" s="326"/>
      <c r="B279" s="334" t="s">
        <v>455</v>
      </c>
      <c r="C279" s="3410" t="s">
        <v>456</v>
      </c>
      <c r="D279" s="3410"/>
      <c r="E279" s="334" t="s">
        <v>23</v>
      </c>
    </row>
    <row r="280" spans="1:5">
      <c r="A280" s="326"/>
      <c r="B280" s="335"/>
      <c r="C280" s="336"/>
      <c r="D280" s="331"/>
      <c r="E280" s="331"/>
    </row>
    <row r="281" spans="1:5">
      <c r="A281" s="326"/>
      <c r="B281" s="337"/>
      <c r="C281" s="338"/>
      <c r="D281" s="339"/>
      <c r="E281" s="339"/>
    </row>
    <row r="282" spans="1:5">
      <c r="A282" s="326"/>
      <c r="B282" s="1436" t="str">
        <f>B60</f>
        <v>Budi Ardianyah</v>
      </c>
      <c r="C282" s="1436" t="str">
        <f>C60</f>
        <v>-</v>
      </c>
      <c r="D282" s="1436" t="str">
        <f>D60</f>
        <v>-</v>
      </c>
      <c r="E282" s="1436" t="str">
        <f>E60</f>
        <v>Endang Taryana</v>
      </c>
    </row>
    <row r="283" spans="1:5">
      <c r="A283" s="326"/>
      <c r="B283" s="341"/>
      <c r="C283" s="342" t="s">
        <v>403</v>
      </c>
      <c r="D283" s="343" t="s">
        <v>402</v>
      </c>
      <c r="E283" s="344"/>
    </row>
    <row r="284" spans="1:5">
      <c r="A284" s="326"/>
      <c r="B284" s="340"/>
      <c r="C284" s="3410"/>
      <c r="D284" s="3410"/>
      <c r="E284" s="389"/>
    </row>
    <row r="285" spans="1:5">
      <c r="B285" s="335"/>
      <c r="C285" s="336"/>
      <c r="D285" s="331"/>
      <c r="E285" s="331"/>
    </row>
    <row r="286" spans="1:5">
      <c r="B286" s="337"/>
      <c r="C286" s="338"/>
      <c r="D286" s="339"/>
      <c r="E286" s="339"/>
    </row>
    <row r="287" spans="1:5">
      <c r="B287" s="346"/>
    </row>
    <row r="288" spans="1:5">
      <c r="B288" s="346"/>
    </row>
    <row r="289" spans="1:5">
      <c r="B289" s="346"/>
    </row>
    <row r="290" spans="1:5">
      <c r="B290" s="346"/>
    </row>
    <row r="291" spans="1:5">
      <c r="B291" s="346"/>
    </row>
    <row r="292" spans="1:5">
      <c r="B292" s="346"/>
    </row>
    <row r="293" spans="1:5">
      <c r="B293" s="346"/>
    </row>
    <row r="294" spans="1:5">
      <c r="B294" s="346"/>
    </row>
    <row r="295" spans="1:5">
      <c r="B295" s="346"/>
    </row>
    <row r="296" spans="1:5">
      <c r="B296" s="346"/>
    </row>
    <row r="297" spans="1:5">
      <c r="B297" s="346"/>
    </row>
    <row r="298" spans="1:5" s="345" customFormat="1" ht="20.25" customHeight="1">
      <c r="A298" s="346"/>
      <c r="B298" s="346"/>
      <c r="C298" s="364"/>
      <c r="D298" s="373"/>
      <c r="E298" s="373"/>
    </row>
    <row r="299" spans="1:5" s="345" customFormat="1" ht="18" customHeight="1">
      <c r="A299" s="346"/>
      <c r="B299" s="363"/>
      <c r="C299" s="364"/>
      <c r="D299" s="373"/>
      <c r="E299" s="373"/>
    </row>
    <row r="300" spans="1:5" ht="18">
      <c r="A300" s="3701" t="s">
        <v>1826</v>
      </c>
      <c r="B300" s="3702"/>
      <c r="C300" s="3702"/>
      <c r="D300" s="3702"/>
      <c r="E300" s="3703"/>
    </row>
    <row r="301" spans="1:5" ht="18">
      <c r="A301" s="3692" t="str">
        <f>$A$2</f>
        <v>Kecamatan Nagrak</v>
      </c>
      <c r="B301" s="3693"/>
      <c r="C301" s="3693"/>
      <c r="D301" s="3693"/>
      <c r="E301" s="3694"/>
    </row>
    <row r="302" spans="1:5" ht="18">
      <c r="A302" s="3692" t="str">
        <f>$A$3</f>
        <v>Kabupaten Sukabumi Provinsi Jawa Barat</v>
      </c>
      <c r="B302" s="3693"/>
      <c r="C302" s="3693"/>
      <c r="D302" s="3693"/>
      <c r="E302" s="3694"/>
    </row>
    <row r="303" spans="1:5" ht="18">
      <c r="A303" s="3698" t="str">
        <f>$A$4</f>
        <v>Sampai Dengan 29 Februari 2016 2016</v>
      </c>
      <c r="B303" s="3699"/>
      <c r="C303" s="3699"/>
      <c r="D303" s="3699"/>
      <c r="E303" s="3700"/>
    </row>
    <row r="304" spans="1:5">
      <c r="B304" s="347"/>
      <c r="C304" s="347"/>
      <c r="D304" s="348"/>
      <c r="E304" s="348"/>
    </row>
    <row r="305" spans="1:11">
      <c r="B305" s="363"/>
      <c r="C305" s="347"/>
      <c r="D305" s="348"/>
      <c r="E305" s="348"/>
    </row>
    <row r="306" spans="1:11" ht="17.25" customHeight="1">
      <c r="A306" s="288"/>
      <c r="B306" s="3664" t="s">
        <v>432</v>
      </c>
      <c r="C306" s="3665"/>
      <c r="D306" s="401"/>
      <c r="E306" s="402"/>
    </row>
    <row r="307" spans="1:11">
      <c r="A307" s="326"/>
      <c r="B307" s="374" t="s">
        <v>477</v>
      </c>
      <c r="C307" s="394"/>
      <c r="D307" s="395"/>
      <c r="E307" s="396">
        <v>0</v>
      </c>
    </row>
    <row r="308" spans="1:11">
      <c r="B308" s="351" t="s">
        <v>368</v>
      </c>
      <c r="C308" s="352"/>
      <c r="E308" s="353"/>
    </row>
    <row r="309" spans="1:11">
      <c r="B309" s="354" t="s">
        <v>401</v>
      </c>
      <c r="C309" s="355"/>
      <c r="D309" s="356">
        <f>'Arus Dana'!F23</f>
        <v>210920000</v>
      </c>
      <c r="E309" s="357"/>
    </row>
    <row r="310" spans="1:11" ht="18" customHeight="1">
      <c r="B310" s="354" t="s">
        <v>478</v>
      </c>
      <c r="C310" s="355"/>
      <c r="D310" s="356">
        <f>'Arus Dana'!F39</f>
        <v>1478143</v>
      </c>
      <c r="E310" s="357"/>
      <c r="F310" s="427"/>
      <c r="G310" s="427"/>
      <c r="H310" s="427"/>
      <c r="I310" s="427"/>
      <c r="J310" s="427"/>
      <c r="K310" s="427"/>
    </row>
    <row r="311" spans="1:11" ht="18.75" customHeight="1">
      <c r="B311" s="354" t="s">
        <v>465</v>
      </c>
      <c r="C311" s="355"/>
      <c r="D311" s="356">
        <f>'Kas DOK Pernc.'!F46+'Kas DOK Pernc.'!G46</f>
        <v>6220000</v>
      </c>
      <c r="E311" s="357"/>
    </row>
    <row r="312" spans="1:11" s="345" customFormat="1" ht="18.75" customHeight="1">
      <c r="A312" s="346"/>
      <c r="B312" s="359" t="s">
        <v>439</v>
      </c>
      <c r="C312" s="360"/>
      <c r="D312" s="403"/>
      <c r="E312" s="404">
        <f>SUM(D309:D311)+E307</f>
        <v>218618143</v>
      </c>
    </row>
    <row r="313" spans="1:11">
      <c r="B313" s="346"/>
      <c r="D313" s="341"/>
      <c r="E313" s="405"/>
    </row>
    <row r="314" spans="1:11" s="345" customFormat="1" ht="15.75" customHeight="1">
      <c r="A314" s="346"/>
      <c r="B314" s="351" t="s">
        <v>11</v>
      </c>
      <c r="C314" s="352"/>
      <c r="D314" s="401"/>
      <c r="E314" s="402"/>
    </row>
    <row r="315" spans="1:11">
      <c r="B315" s="354" t="s">
        <v>479</v>
      </c>
      <c r="C315" s="406"/>
      <c r="D315" s="356">
        <f>'Arus Dana'!F110</f>
        <v>211690761</v>
      </c>
      <c r="E315" s="357"/>
    </row>
    <row r="316" spans="1:11">
      <c r="B316" s="354" t="s">
        <v>480</v>
      </c>
      <c r="C316" s="406"/>
      <c r="D316" s="356">
        <f>'Arus Dana'!F126</f>
        <v>707382</v>
      </c>
      <c r="E316" s="357"/>
    </row>
    <row r="317" spans="1:11">
      <c r="B317" s="354" t="s">
        <v>446</v>
      </c>
      <c r="C317" s="406"/>
      <c r="D317" s="356">
        <f>'Kas DOK Pernc.'!R46+'Kas DOK Pernc.'!T46</f>
        <v>3320000</v>
      </c>
      <c r="E317" s="357"/>
    </row>
    <row r="318" spans="1:11" ht="16.5" customHeight="1">
      <c r="B318" s="359" t="s">
        <v>447</v>
      </c>
      <c r="C318" s="407"/>
      <c r="D318" s="372"/>
      <c r="E318" s="395">
        <f>SUM(D315:D317)</f>
        <v>215718143</v>
      </c>
    </row>
    <row r="319" spans="1:11" s="345" customFormat="1" ht="17.25" customHeight="1">
      <c r="A319" s="346"/>
      <c r="B319" s="346"/>
      <c r="C319" s="418"/>
      <c r="D319" s="419"/>
      <c r="E319" s="420"/>
    </row>
    <row r="320" spans="1:11" ht="20.25" customHeight="1">
      <c r="A320" s="327"/>
      <c r="B320" s="374" t="s">
        <v>467</v>
      </c>
      <c r="C320" s="375"/>
      <c r="D320" s="376"/>
      <c r="E320" s="376">
        <f>+E312-E318</f>
        <v>2900000</v>
      </c>
    </row>
    <row r="321" spans="1:5">
      <c r="B321" s="346"/>
    </row>
    <row r="322" spans="1:5">
      <c r="A322" s="327"/>
      <c r="B322" s="374" t="s">
        <v>449</v>
      </c>
      <c r="C322" s="375"/>
      <c r="D322" s="3410" t="s">
        <v>360</v>
      </c>
      <c r="E322" s="3410"/>
    </row>
    <row r="323" spans="1:5">
      <c r="A323" s="377"/>
      <c r="B323" s="369" t="s">
        <v>481</v>
      </c>
      <c r="C323" s="378" t="str">
        <f>DT!D45</f>
        <v>4097-01-005759-53-0</v>
      </c>
      <c r="D323" s="356">
        <f>'Arus Dana'!F162</f>
        <v>0</v>
      </c>
      <c r="E323" s="353"/>
    </row>
    <row r="324" spans="1:5" s="408" customFormat="1">
      <c r="A324" s="377"/>
      <c r="B324" s="369" t="s">
        <v>482</v>
      </c>
      <c r="C324" s="370"/>
      <c r="D324" s="356">
        <f>'Arus Dana'!F148</f>
        <v>0</v>
      </c>
      <c r="E324" s="353"/>
    </row>
    <row r="325" spans="1:5" s="408" customFormat="1">
      <c r="A325" s="377"/>
      <c r="B325" s="351" t="s">
        <v>386</v>
      </c>
      <c r="C325" s="379" t="s">
        <v>452</v>
      </c>
      <c r="D325" s="380"/>
      <c r="E325" s="381">
        <f>SUM(D323:D324)</f>
        <v>0</v>
      </c>
    </row>
    <row r="326" spans="1:5">
      <c r="A326" s="377"/>
      <c r="B326" s="382"/>
      <c r="C326" s="383"/>
      <c r="D326" s="339"/>
      <c r="E326" s="339"/>
    </row>
    <row r="327" spans="1:5">
      <c r="A327" s="326"/>
      <c r="B327" s="384" t="s">
        <v>453</v>
      </c>
      <c r="C327" s="385"/>
      <c r="D327" s="372"/>
      <c r="E327" s="386">
        <f>E320-E325</f>
        <v>2900000</v>
      </c>
    </row>
    <row r="328" spans="1:5">
      <c r="B328" s="2564"/>
      <c r="C328" s="2565"/>
      <c r="D328" s="2566"/>
      <c r="E328" s="2567"/>
    </row>
    <row r="329" spans="1:5">
      <c r="A329" s="326"/>
      <c r="B329" s="3679" t="s">
        <v>454</v>
      </c>
      <c r="C329" s="3680"/>
      <c r="D329" s="3680"/>
      <c r="E329" s="3681"/>
    </row>
    <row r="330" spans="1:5">
      <c r="A330" s="326"/>
      <c r="B330" s="329"/>
      <c r="C330" s="330"/>
      <c r="D330" s="330"/>
      <c r="E330" s="416"/>
    </row>
    <row r="331" spans="1:5">
      <c r="A331" s="326"/>
      <c r="B331" s="332"/>
      <c r="C331" s="333"/>
      <c r="D331" s="333"/>
      <c r="E331" s="417"/>
    </row>
    <row r="332" spans="1:5">
      <c r="A332" s="327"/>
      <c r="B332" s="388"/>
      <c r="C332" s="383"/>
      <c r="D332" s="339"/>
      <c r="E332" s="331" t="str">
        <f>$E$55</f>
        <v>Nagrak, 29 Februari 2016 2016</v>
      </c>
    </row>
    <row r="333" spans="1:5">
      <c r="A333" s="327"/>
      <c r="B333" s="334" t="s">
        <v>210</v>
      </c>
      <c r="C333" s="3410" t="s">
        <v>209</v>
      </c>
      <c r="D333" s="3410"/>
      <c r="E333" s="334" t="s">
        <v>22</v>
      </c>
    </row>
    <row r="334" spans="1:5">
      <c r="A334" s="326"/>
      <c r="B334" s="334" t="s">
        <v>455</v>
      </c>
      <c r="C334" s="3410" t="s">
        <v>456</v>
      </c>
      <c r="D334" s="3410"/>
      <c r="E334" s="334" t="s">
        <v>23</v>
      </c>
    </row>
    <row r="335" spans="1:5">
      <c r="A335" s="326"/>
      <c r="B335" s="335"/>
      <c r="C335" s="336"/>
      <c r="D335" s="331"/>
      <c r="E335" s="331"/>
    </row>
    <row r="336" spans="1:5">
      <c r="A336" s="326"/>
      <c r="B336" s="337"/>
      <c r="C336" s="338"/>
      <c r="D336" s="339"/>
      <c r="E336" s="339"/>
    </row>
    <row r="337" spans="1:5">
      <c r="A337" s="326"/>
      <c r="B337" s="1436" t="str">
        <f>B224</f>
        <v>Budi Ardianyah</v>
      </c>
      <c r="C337" s="1439" t="str">
        <f>C224</f>
        <v>-</v>
      </c>
      <c r="D337" s="1439" t="str">
        <f>D224</f>
        <v>-</v>
      </c>
      <c r="E337" s="1438" t="str">
        <f>E224</f>
        <v>Endang Taryana</v>
      </c>
    </row>
    <row r="338" spans="1:5">
      <c r="A338" s="326"/>
      <c r="B338" s="341"/>
      <c r="C338" s="342" t="s">
        <v>403</v>
      </c>
      <c r="D338" s="343" t="s">
        <v>402</v>
      </c>
      <c r="E338" s="344"/>
    </row>
    <row r="339" spans="1:5">
      <c r="A339" s="326"/>
      <c r="B339" s="337"/>
      <c r="C339" s="338"/>
      <c r="D339" s="339"/>
      <c r="E339" s="339"/>
    </row>
    <row r="340" spans="1:5">
      <c r="A340" s="326"/>
      <c r="B340" s="340"/>
      <c r="C340" s="3410"/>
      <c r="D340" s="3410"/>
      <c r="E340" s="389"/>
    </row>
    <row r="341" spans="1:5">
      <c r="B341" s="340"/>
      <c r="C341" s="390"/>
      <c r="D341" s="389"/>
      <c r="E341" s="391"/>
    </row>
    <row r="342" spans="1:5">
      <c r="B342" s="346"/>
    </row>
    <row r="343" spans="1:5">
      <c r="B343" s="346"/>
    </row>
    <row r="344" spans="1:5">
      <c r="B344" s="346"/>
    </row>
    <row r="345" spans="1:5">
      <c r="B345" s="346"/>
    </row>
    <row r="346" spans="1:5">
      <c r="B346" s="346"/>
    </row>
    <row r="347" spans="1:5">
      <c r="B347" s="346"/>
    </row>
    <row r="348" spans="1:5">
      <c r="B348" s="363"/>
    </row>
    <row r="349" spans="1:5">
      <c r="B349" s="363"/>
    </row>
    <row r="350" spans="1:5">
      <c r="B350" s="363"/>
    </row>
    <row r="351" spans="1:5">
      <c r="B351" s="363"/>
    </row>
    <row r="352" spans="1:5" s="409" customFormat="1">
      <c r="A352" s="346"/>
      <c r="B352" s="363"/>
      <c r="C352" s="364"/>
      <c r="D352" s="373"/>
      <c r="E352" s="373"/>
    </row>
    <row r="353" spans="1:5" s="409" customFormat="1">
      <c r="A353" s="346"/>
      <c r="B353" s="363"/>
      <c r="C353" s="364"/>
      <c r="D353" s="373"/>
      <c r="E353" s="373"/>
    </row>
    <row r="354" spans="1:5" s="409" customFormat="1">
      <c r="A354" s="346"/>
      <c r="B354" s="346"/>
      <c r="C354" s="364"/>
      <c r="D354" s="373"/>
      <c r="E354" s="373"/>
    </row>
    <row r="355" spans="1:5" s="409" customFormat="1" ht="3" customHeight="1">
      <c r="A355" s="346"/>
      <c r="B355" s="363"/>
      <c r="C355" s="364"/>
      <c r="D355" s="373"/>
      <c r="E355" s="373"/>
    </row>
    <row r="356" spans="1:5" s="345" customFormat="1" ht="20.25" hidden="1" customHeight="1">
      <c r="A356" s="346"/>
      <c r="B356" s="363"/>
      <c r="C356" s="364"/>
      <c r="D356" s="373"/>
      <c r="E356" s="373"/>
    </row>
    <row r="357" spans="1:5" s="345" customFormat="1" ht="18" hidden="1" customHeight="1">
      <c r="A357" s="346"/>
      <c r="B357" s="364"/>
      <c r="C357" s="364"/>
      <c r="D357" s="373"/>
      <c r="E357" s="373"/>
    </row>
    <row r="358" spans="1:5" s="345" customFormat="1" ht="18" customHeight="1">
      <c r="A358" s="346"/>
      <c r="B358" s="364"/>
      <c r="C358" s="364"/>
      <c r="D358" s="373"/>
      <c r="E358" s="373"/>
    </row>
    <row r="359" spans="1:5" s="345" customFormat="1" ht="18" customHeight="1">
      <c r="A359" s="346"/>
      <c r="B359" s="364"/>
      <c r="C359" s="364"/>
      <c r="D359" s="373"/>
      <c r="E359" s="373"/>
    </row>
    <row r="360" spans="1:5" s="345" customFormat="1" ht="18" customHeight="1">
      <c r="A360" s="346"/>
      <c r="B360" s="364"/>
      <c r="C360" s="364"/>
      <c r="D360" s="373"/>
      <c r="E360" s="373"/>
    </row>
    <row r="361" spans="1:5" ht="18">
      <c r="A361" s="3691" t="s">
        <v>1310</v>
      </c>
      <c r="B361" s="3691"/>
      <c r="C361" s="3691"/>
      <c r="D361" s="3691"/>
      <c r="E361" s="3691"/>
    </row>
    <row r="362" spans="1:5" ht="18">
      <c r="A362" s="3691" t="str">
        <f>$A$2</f>
        <v>Kecamatan Nagrak</v>
      </c>
      <c r="B362" s="3691"/>
      <c r="C362" s="3691"/>
      <c r="D362" s="3691"/>
      <c r="E362" s="3691"/>
    </row>
    <row r="363" spans="1:5" ht="18">
      <c r="A363" s="3691" t="str">
        <f>$A$3</f>
        <v>Kabupaten Sukabumi Provinsi Jawa Barat</v>
      </c>
      <c r="B363" s="3691"/>
      <c r="C363" s="3691"/>
      <c r="D363" s="3691"/>
      <c r="E363" s="3691"/>
    </row>
    <row r="364" spans="1:5" ht="18">
      <c r="A364" s="3691" t="str">
        <f>$A$4</f>
        <v>Sampai Dengan 29 Februari 2016 2016</v>
      </c>
      <c r="B364" s="3691"/>
      <c r="C364" s="3691"/>
      <c r="D364" s="3691"/>
      <c r="E364" s="3691"/>
    </row>
    <row r="365" spans="1:5" ht="18">
      <c r="A365" s="2575"/>
      <c r="B365" s="2576"/>
      <c r="C365" s="2576"/>
      <c r="D365" s="2577"/>
      <c r="E365" s="2577"/>
    </row>
    <row r="366" spans="1:5">
      <c r="B366" s="363"/>
      <c r="C366" s="347"/>
      <c r="D366" s="348"/>
      <c r="E366" s="348"/>
    </row>
    <row r="367" spans="1:5" ht="18">
      <c r="A367" s="288"/>
      <c r="B367" s="3686" t="s">
        <v>432</v>
      </c>
      <c r="C367" s="3687"/>
      <c r="D367" s="401"/>
      <c r="E367" s="402"/>
    </row>
    <row r="368" spans="1:5" ht="18.75" customHeight="1">
      <c r="A368" s="326"/>
      <c r="B368" s="374" t="str">
        <f>B307</f>
        <v>Saldo Awal</v>
      </c>
      <c r="C368" s="394"/>
      <c r="D368" s="395"/>
      <c r="E368" s="396">
        <v>0</v>
      </c>
    </row>
    <row r="369" spans="1:5">
      <c r="B369" s="351" t="s">
        <v>368</v>
      </c>
      <c r="C369" s="352"/>
      <c r="E369" s="353"/>
    </row>
    <row r="370" spans="1:5">
      <c r="B370" s="354" t="s">
        <v>401</v>
      </c>
      <c r="C370" s="355"/>
      <c r="D370" s="356">
        <f>'Arus Dana'!F25</f>
        <v>113930000</v>
      </c>
      <c r="E370" s="357"/>
    </row>
    <row r="371" spans="1:5">
      <c r="B371" s="354" t="s">
        <v>483</v>
      </c>
      <c r="C371" s="355"/>
      <c r="D371" s="356">
        <f>'Arus Dana'!F41</f>
        <v>1833102</v>
      </c>
      <c r="E371" s="357"/>
    </row>
    <row r="372" spans="1:5" ht="15" customHeight="1">
      <c r="B372" s="354" t="s">
        <v>465</v>
      </c>
      <c r="C372" s="355"/>
      <c r="D372" s="356">
        <f>'Kas DOK Pelth.'!F47+'Kas DOK Pelth.'!G47</f>
        <v>15646000</v>
      </c>
      <c r="E372" s="357"/>
    </row>
    <row r="373" spans="1:5" s="345" customFormat="1" ht="18.75" customHeight="1">
      <c r="A373" s="346"/>
      <c r="B373" s="359" t="s">
        <v>439</v>
      </c>
      <c r="C373" s="360"/>
      <c r="D373" s="401"/>
      <c r="E373" s="404">
        <f>SUM(D370:D372)+E368</f>
        <v>131409102</v>
      </c>
    </row>
    <row r="374" spans="1:5">
      <c r="B374" s="346"/>
      <c r="D374" s="341"/>
      <c r="E374" s="405"/>
    </row>
    <row r="375" spans="1:5" s="345" customFormat="1" ht="15.75" customHeight="1">
      <c r="A375" s="346"/>
      <c r="B375" s="351" t="s">
        <v>11</v>
      </c>
      <c r="C375" s="352"/>
      <c r="D375" s="401"/>
      <c r="E375" s="402"/>
    </row>
    <row r="376" spans="1:5">
      <c r="B376" s="354" t="s">
        <v>484</v>
      </c>
      <c r="C376" s="406"/>
      <c r="D376" s="356">
        <f>'Arus Dana'!F112</f>
        <v>114968582</v>
      </c>
      <c r="E376" s="357"/>
    </row>
    <row r="377" spans="1:5">
      <c r="B377" s="354" t="s">
        <v>485</v>
      </c>
      <c r="C377" s="406"/>
      <c r="D377" s="356">
        <f>'Arus Dana'!F128</f>
        <v>794520</v>
      </c>
      <c r="E377" s="357"/>
    </row>
    <row r="378" spans="1:5">
      <c r="B378" s="354" t="s">
        <v>446</v>
      </c>
      <c r="C378" s="406"/>
      <c r="D378" s="356">
        <f>'Kas DOK Pelth.'!T47+'Kas DOK Pelth.'!V47</f>
        <v>13546000</v>
      </c>
      <c r="E378" s="357"/>
    </row>
    <row r="379" spans="1:5" ht="15.75" customHeight="1">
      <c r="B379" s="359" t="s">
        <v>447</v>
      </c>
      <c r="C379" s="407"/>
      <c r="D379" s="401"/>
      <c r="E379" s="395">
        <f>SUM(D376:D378)</f>
        <v>129309102</v>
      </c>
    </row>
    <row r="380" spans="1:5" s="345" customFormat="1" ht="17.25" customHeight="1">
      <c r="A380" s="346"/>
      <c r="B380" s="346"/>
      <c r="C380" s="418"/>
      <c r="D380" s="419"/>
      <c r="E380" s="420"/>
    </row>
    <row r="381" spans="1:5" ht="20.25" customHeight="1">
      <c r="A381" s="327"/>
      <c r="B381" s="374" t="s">
        <v>467</v>
      </c>
      <c r="C381" s="375"/>
      <c r="D381" s="376"/>
      <c r="E381" s="376">
        <f>+E373-E379</f>
        <v>2100000</v>
      </c>
    </row>
    <row r="382" spans="1:5">
      <c r="B382" s="346"/>
    </row>
    <row r="383" spans="1:5">
      <c r="A383" s="327"/>
      <c r="B383" s="374" t="s">
        <v>449</v>
      </c>
      <c r="C383" s="375"/>
      <c r="D383" s="3410" t="s">
        <v>360</v>
      </c>
      <c r="E383" s="3410"/>
    </row>
    <row r="384" spans="1:5">
      <c r="A384" s="377"/>
      <c r="B384" s="422" t="s">
        <v>486</v>
      </c>
      <c r="C384" s="378">
        <f>DT!D52</f>
        <v>0</v>
      </c>
      <c r="D384" s="356">
        <f>'Arus Dana'!F164</f>
        <v>0</v>
      </c>
      <c r="E384" s="353"/>
    </row>
    <row r="385" spans="1:5" s="408" customFormat="1">
      <c r="A385" s="377"/>
      <c r="B385" s="369" t="s">
        <v>487</v>
      </c>
      <c r="C385" s="370"/>
      <c r="D385" s="356">
        <f>'Arus Dana'!F150</f>
        <v>0</v>
      </c>
      <c r="E385" s="353"/>
    </row>
    <row r="386" spans="1:5" s="408" customFormat="1">
      <c r="A386" s="377"/>
      <c r="B386" s="351" t="s">
        <v>386</v>
      </c>
      <c r="C386" s="379" t="s">
        <v>452</v>
      </c>
      <c r="D386" s="401"/>
      <c r="E386" s="381">
        <f>SUM(D384:D385)</f>
        <v>0</v>
      </c>
    </row>
    <row r="387" spans="1:5">
      <c r="A387" s="377"/>
      <c r="B387" s="382"/>
      <c r="C387" s="383"/>
      <c r="D387" s="339"/>
      <c r="E387" s="339"/>
    </row>
    <row r="388" spans="1:5">
      <c r="A388" s="326"/>
      <c r="B388" s="384" t="s">
        <v>453</v>
      </c>
      <c r="C388" s="385"/>
      <c r="D388" s="401"/>
      <c r="E388" s="386">
        <f>E381-E386</f>
        <v>2100000</v>
      </c>
    </row>
    <row r="389" spans="1:5">
      <c r="B389" s="387"/>
    </row>
    <row r="390" spans="1:5">
      <c r="A390" s="326"/>
      <c r="B390" s="3410" t="s">
        <v>454</v>
      </c>
      <c r="C390" s="3410"/>
      <c r="D390" s="3410"/>
      <c r="E390" s="3410"/>
    </row>
    <row r="391" spans="1:5">
      <c r="A391" s="326"/>
      <c r="B391" s="329" t="s">
        <v>2339</v>
      </c>
      <c r="C391" s="330"/>
      <c r="D391" s="330"/>
      <c r="E391" s="416"/>
    </row>
    <row r="392" spans="1:5">
      <c r="A392" s="326"/>
      <c r="B392" s="332"/>
      <c r="C392" s="333"/>
      <c r="D392" s="333"/>
      <c r="E392" s="417"/>
    </row>
    <row r="393" spans="1:5">
      <c r="A393" s="327"/>
      <c r="B393" s="388"/>
      <c r="C393" s="383"/>
      <c r="D393" s="339"/>
      <c r="E393" s="331" t="str">
        <f>$E$55</f>
        <v>Nagrak, 29 Februari 2016 2016</v>
      </c>
    </row>
    <row r="394" spans="1:5">
      <c r="A394" s="327"/>
      <c r="B394" s="334" t="s">
        <v>210</v>
      </c>
      <c r="C394" s="3410" t="s">
        <v>209</v>
      </c>
      <c r="D394" s="3410"/>
      <c r="E394" s="334" t="s">
        <v>22</v>
      </c>
    </row>
    <row r="395" spans="1:5">
      <c r="A395" s="326"/>
      <c r="B395" s="334" t="s">
        <v>455</v>
      </c>
      <c r="C395" s="3410" t="s">
        <v>456</v>
      </c>
      <c r="D395" s="3410"/>
      <c r="E395" s="334" t="s">
        <v>23</v>
      </c>
    </row>
    <row r="396" spans="1:5">
      <c r="A396" s="326"/>
      <c r="B396" s="335"/>
      <c r="C396" s="336"/>
      <c r="D396" s="331"/>
      <c r="E396" s="331"/>
    </row>
    <row r="397" spans="1:5">
      <c r="A397" s="326"/>
      <c r="B397" s="337"/>
      <c r="C397" s="338"/>
      <c r="D397" s="339"/>
      <c r="E397" s="339"/>
    </row>
    <row r="398" spans="1:5">
      <c r="A398" s="326"/>
      <c r="B398" s="1436" t="str">
        <f>B337</f>
        <v>Budi Ardianyah</v>
      </c>
      <c r="C398" s="3137" t="str">
        <f>C337</f>
        <v>-</v>
      </c>
      <c r="D398" s="3137" t="str">
        <f>D337</f>
        <v>-</v>
      </c>
      <c r="E398" s="1438" t="str">
        <f>E337</f>
        <v>Endang Taryana</v>
      </c>
    </row>
    <row r="399" spans="1:5">
      <c r="A399" s="326"/>
      <c r="B399" s="341"/>
      <c r="C399" s="342" t="s">
        <v>403</v>
      </c>
      <c r="D399" s="343" t="s">
        <v>402</v>
      </c>
      <c r="E399" s="344"/>
    </row>
    <row r="400" spans="1:5">
      <c r="A400" s="326"/>
      <c r="B400" s="340"/>
      <c r="C400" s="3410"/>
      <c r="D400" s="3410"/>
      <c r="E400" s="389"/>
    </row>
    <row r="401" spans="1:5">
      <c r="B401" s="335"/>
      <c r="C401" s="336"/>
      <c r="D401" s="331"/>
      <c r="E401" s="331"/>
    </row>
    <row r="402" spans="1:5">
      <c r="B402" s="337"/>
      <c r="C402" s="338"/>
      <c r="D402" s="339"/>
      <c r="E402" s="339"/>
    </row>
    <row r="403" spans="1:5">
      <c r="B403" s="346"/>
    </row>
    <row r="404" spans="1:5">
      <c r="B404" s="346"/>
    </row>
    <row r="405" spans="1:5">
      <c r="B405" s="346"/>
    </row>
    <row r="406" spans="1:5">
      <c r="B406" s="346"/>
    </row>
    <row r="407" spans="1:5">
      <c r="B407" s="346"/>
    </row>
    <row r="408" spans="1:5">
      <c r="B408" s="346"/>
    </row>
    <row r="409" spans="1:5">
      <c r="B409" s="346"/>
    </row>
    <row r="410" spans="1:5">
      <c r="B410" s="346"/>
    </row>
    <row r="411" spans="1:5">
      <c r="B411" s="346"/>
    </row>
    <row r="412" spans="1:5">
      <c r="B412" s="346"/>
    </row>
    <row r="413" spans="1:5">
      <c r="B413" s="346"/>
    </row>
    <row r="414" spans="1:5" s="345" customFormat="1" ht="20.25" customHeight="1">
      <c r="A414" s="346"/>
      <c r="B414" s="346"/>
      <c r="C414" s="364"/>
      <c r="D414" s="373"/>
      <c r="E414" s="373"/>
    </row>
    <row r="415" spans="1:5" s="345" customFormat="1" ht="18" customHeight="1">
      <c r="A415" s="346"/>
      <c r="B415" s="363"/>
      <c r="C415" s="364"/>
      <c r="D415" s="373"/>
      <c r="E415" s="373"/>
    </row>
    <row r="416" spans="1:5" ht="20.25">
      <c r="A416" s="3610" t="s">
        <v>1311</v>
      </c>
      <c r="B416" s="3610"/>
      <c r="C416" s="3610"/>
      <c r="D416" s="3610"/>
      <c r="E416" s="3610"/>
    </row>
    <row r="417" spans="1:11" ht="20.25">
      <c r="A417" s="3610" t="str">
        <f>$A$2</f>
        <v>Kecamatan Nagrak</v>
      </c>
      <c r="B417" s="3610"/>
      <c r="C417" s="3610"/>
      <c r="D417" s="3610"/>
      <c r="E417" s="3610"/>
    </row>
    <row r="418" spans="1:11" ht="20.25">
      <c r="A418" s="3610" t="str">
        <f>$A$3</f>
        <v>Kabupaten Sukabumi Provinsi Jawa Barat</v>
      </c>
      <c r="B418" s="3610"/>
      <c r="C418" s="3610"/>
      <c r="D418" s="3610"/>
      <c r="E418" s="3610"/>
    </row>
    <row r="419" spans="1:11" ht="20.25">
      <c r="A419" s="3610" t="str">
        <f>$A$4</f>
        <v>Sampai Dengan 29 Februari 2016 2016</v>
      </c>
      <c r="B419" s="3610"/>
      <c r="C419" s="3610"/>
      <c r="D419" s="3610"/>
      <c r="E419" s="3610"/>
    </row>
    <row r="420" spans="1:11">
      <c r="B420" s="347"/>
      <c r="C420" s="347"/>
      <c r="D420" s="348"/>
      <c r="E420" s="348"/>
    </row>
    <row r="421" spans="1:11">
      <c r="B421" s="363"/>
      <c r="C421" s="347"/>
      <c r="D421" s="348"/>
      <c r="E421" s="348"/>
    </row>
    <row r="422" spans="1:11" ht="17.25" customHeight="1">
      <c r="A422" s="288"/>
      <c r="B422" s="3664" t="s">
        <v>432</v>
      </c>
      <c r="C422" s="3665"/>
      <c r="D422" s="401"/>
      <c r="E422" s="402"/>
    </row>
    <row r="423" spans="1:11">
      <c r="A423" s="326"/>
      <c r="B423" s="374" t="s">
        <v>477</v>
      </c>
      <c r="C423" s="394"/>
      <c r="D423" s="395"/>
      <c r="E423" s="396">
        <v>0</v>
      </c>
    </row>
    <row r="424" spans="1:11">
      <c r="B424" s="351" t="s">
        <v>368</v>
      </c>
      <c r="C424" s="352"/>
      <c r="E424" s="353"/>
    </row>
    <row r="425" spans="1:11">
      <c r="B425" s="354" t="s">
        <v>401</v>
      </c>
      <c r="C425" s="355"/>
      <c r="D425" s="356">
        <f>'Arus Dana'!F24</f>
        <v>0</v>
      </c>
      <c r="E425" s="357"/>
    </row>
    <row r="426" spans="1:11" ht="18" customHeight="1">
      <c r="B426" s="354" t="s">
        <v>478</v>
      </c>
      <c r="C426" s="355"/>
      <c r="D426" s="356">
        <f>'Arus Dana'!F40</f>
        <v>0</v>
      </c>
      <c r="E426" s="357"/>
      <c r="F426" s="427"/>
      <c r="G426" s="427"/>
      <c r="H426" s="427"/>
      <c r="I426" s="427"/>
      <c r="J426" s="427"/>
      <c r="K426" s="427"/>
    </row>
    <row r="427" spans="1:11" ht="18.75" customHeight="1">
      <c r="B427" s="354" t="s">
        <v>465</v>
      </c>
      <c r="C427" s="355"/>
      <c r="D427" s="356">
        <f>'Kas DOK Pernc.GSC'!F45+'Kas DOK Pernc.GSC'!G45</f>
        <v>0</v>
      </c>
      <c r="E427" s="357"/>
    </row>
    <row r="428" spans="1:11" s="345" customFormat="1" ht="18.75" customHeight="1">
      <c r="A428" s="346"/>
      <c r="B428" s="359" t="s">
        <v>439</v>
      </c>
      <c r="C428" s="360"/>
      <c r="D428" s="403"/>
      <c r="E428" s="404">
        <f>SUM(D425:D427)+E423</f>
        <v>0</v>
      </c>
    </row>
    <row r="429" spans="1:11">
      <c r="B429" s="346"/>
      <c r="D429" s="341"/>
      <c r="E429" s="405"/>
    </row>
    <row r="430" spans="1:11" s="345" customFormat="1" ht="15.75" customHeight="1">
      <c r="A430" s="346"/>
      <c r="B430" s="351" t="s">
        <v>11</v>
      </c>
      <c r="C430" s="352"/>
      <c r="D430" s="401"/>
      <c r="E430" s="402"/>
    </row>
    <row r="431" spans="1:11">
      <c r="B431" s="354" t="s">
        <v>1316</v>
      </c>
      <c r="C431" s="406"/>
      <c r="D431" s="356">
        <f>'Arus Dana'!F111</f>
        <v>0</v>
      </c>
      <c r="E431" s="357"/>
    </row>
    <row r="432" spans="1:11">
      <c r="B432" s="354" t="s">
        <v>1317</v>
      </c>
      <c r="C432" s="406"/>
      <c r="D432" s="356">
        <f>'Arus Dana'!F127</f>
        <v>0</v>
      </c>
      <c r="E432" s="357"/>
    </row>
    <row r="433" spans="1:5">
      <c r="B433" s="354" t="s">
        <v>446</v>
      </c>
      <c r="C433" s="406"/>
      <c r="D433" s="356">
        <f>'Kas DOK Pernc.GSC'!T45+'Kas DOK Pernc.GSC'!V45</f>
        <v>0</v>
      </c>
      <c r="E433" s="357"/>
    </row>
    <row r="434" spans="1:5" ht="16.5" customHeight="1">
      <c r="B434" s="359" t="s">
        <v>447</v>
      </c>
      <c r="C434" s="407"/>
      <c r="D434" s="372"/>
      <c r="E434" s="395">
        <f>SUM(D431:D433)</f>
        <v>0</v>
      </c>
    </row>
    <row r="435" spans="1:5" s="345" customFormat="1" ht="17.25" customHeight="1">
      <c r="A435" s="346"/>
      <c r="B435" s="346"/>
      <c r="C435" s="418"/>
      <c r="D435" s="419"/>
      <c r="E435" s="420"/>
    </row>
    <row r="436" spans="1:5" ht="20.25" customHeight="1">
      <c r="A436" s="327"/>
      <c r="B436" s="374" t="s">
        <v>467</v>
      </c>
      <c r="C436" s="375"/>
      <c r="D436" s="376"/>
      <c r="E436" s="376">
        <f>+E428-E434</f>
        <v>0</v>
      </c>
    </row>
    <row r="437" spans="1:5">
      <c r="B437" s="346"/>
    </row>
    <row r="438" spans="1:5">
      <c r="A438" s="327"/>
      <c r="B438" s="374" t="s">
        <v>449</v>
      </c>
      <c r="C438" s="375"/>
      <c r="D438" s="3410" t="s">
        <v>360</v>
      </c>
      <c r="E438" s="3410"/>
    </row>
    <row r="439" spans="1:5">
      <c r="A439" s="377"/>
      <c r="B439" s="369" t="s">
        <v>1318</v>
      </c>
      <c r="C439" s="378" t="s">
        <v>897</v>
      </c>
      <c r="D439" s="356">
        <f>'Arus Dana'!F163</f>
        <v>0</v>
      </c>
      <c r="E439" s="353"/>
    </row>
    <row r="440" spans="1:5" s="408" customFormat="1">
      <c r="A440" s="377"/>
      <c r="B440" s="369" t="s">
        <v>1319</v>
      </c>
      <c r="C440" s="370"/>
      <c r="D440" s="356">
        <f>'Arus Dana'!F149</f>
        <v>0</v>
      </c>
      <c r="E440" s="353"/>
    </row>
    <row r="441" spans="1:5" s="408" customFormat="1">
      <c r="A441" s="377"/>
      <c r="B441" s="351" t="s">
        <v>386</v>
      </c>
      <c r="C441" s="379" t="s">
        <v>452</v>
      </c>
      <c r="D441" s="380"/>
      <c r="E441" s="381">
        <f>SUM(D439:D440)</f>
        <v>0</v>
      </c>
    </row>
    <row r="442" spans="1:5">
      <c r="A442" s="377"/>
      <c r="B442" s="382"/>
      <c r="C442" s="383"/>
      <c r="D442" s="339"/>
      <c r="E442" s="339"/>
    </row>
    <row r="443" spans="1:5">
      <c r="A443" s="326"/>
      <c r="B443" s="384" t="s">
        <v>453</v>
      </c>
      <c r="C443" s="385"/>
      <c r="D443" s="372"/>
      <c r="E443" s="386">
        <f>E436-E441</f>
        <v>0</v>
      </c>
    </row>
    <row r="444" spans="1:5">
      <c r="B444" s="2564"/>
      <c r="C444" s="2565"/>
      <c r="D444" s="2566"/>
      <c r="E444" s="2567"/>
    </row>
    <row r="445" spans="1:5">
      <c r="A445" s="326"/>
      <c r="B445" s="3679" t="s">
        <v>454</v>
      </c>
      <c r="C445" s="3680"/>
      <c r="D445" s="3680"/>
      <c r="E445" s="3681"/>
    </row>
    <row r="446" spans="1:5">
      <c r="A446" s="326"/>
      <c r="B446" s="329"/>
      <c r="C446" s="330"/>
      <c r="D446" s="330"/>
      <c r="E446" s="416"/>
    </row>
    <row r="447" spans="1:5">
      <c r="A447" s="326"/>
      <c r="B447" s="332"/>
      <c r="C447" s="333"/>
      <c r="D447" s="333"/>
      <c r="E447" s="417"/>
    </row>
    <row r="448" spans="1:5">
      <c r="A448" s="327"/>
      <c r="B448" s="388"/>
      <c r="C448" s="383"/>
      <c r="D448" s="339"/>
      <c r="E448" s="331" t="str">
        <f>$E$55</f>
        <v>Nagrak, 29 Februari 2016 2016</v>
      </c>
    </row>
    <row r="449" spans="1:5">
      <c r="A449" s="327"/>
      <c r="B449" s="334" t="s">
        <v>210</v>
      </c>
      <c r="C449" s="3410" t="s">
        <v>209</v>
      </c>
      <c r="D449" s="3410"/>
      <c r="E449" s="334" t="s">
        <v>22</v>
      </c>
    </row>
    <row r="450" spans="1:5">
      <c r="A450" s="326"/>
      <c r="B450" s="334" t="s">
        <v>455</v>
      </c>
      <c r="C450" s="3410" t="s">
        <v>456</v>
      </c>
      <c r="D450" s="3410"/>
      <c r="E450" s="334" t="s">
        <v>23</v>
      </c>
    </row>
    <row r="451" spans="1:5">
      <c r="A451" s="326"/>
      <c r="B451" s="335"/>
      <c r="C451" s="336"/>
      <c r="D451" s="331"/>
      <c r="E451" s="331"/>
    </row>
    <row r="452" spans="1:5">
      <c r="A452" s="326"/>
      <c r="B452" s="337"/>
      <c r="C452" s="338"/>
      <c r="D452" s="339"/>
      <c r="E452" s="339"/>
    </row>
    <row r="453" spans="1:5">
      <c r="A453" s="326"/>
      <c r="B453" s="1436" t="str">
        <f>$B$60</f>
        <v>Budi Ardianyah</v>
      </c>
      <c r="C453" s="1440" t="str">
        <f>$C$60</f>
        <v>-</v>
      </c>
      <c r="D453" s="1440" t="str">
        <f>$D$60</f>
        <v>-</v>
      </c>
      <c r="E453" s="1436" t="str">
        <f>$E$60</f>
        <v>Endang Taryana</v>
      </c>
    </row>
    <row r="454" spans="1:5">
      <c r="A454" s="326"/>
      <c r="B454" s="341"/>
      <c r="C454" s="342" t="s">
        <v>403</v>
      </c>
      <c r="D454" s="343" t="s">
        <v>402</v>
      </c>
      <c r="E454" s="344"/>
    </row>
    <row r="455" spans="1:5">
      <c r="A455" s="326"/>
      <c r="B455" s="337"/>
      <c r="C455" s="338"/>
      <c r="D455" s="339"/>
      <c r="E455" s="339"/>
    </row>
    <row r="456" spans="1:5">
      <c r="A456" s="326"/>
      <c r="B456" s="340"/>
      <c r="C456" s="3410"/>
      <c r="D456" s="3410"/>
      <c r="E456" s="389"/>
    </row>
    <row r="457" spans="1:5">
      <c r="B457" s="340"/>
      <c r="C457" s="390"/>
      <c r="D457" s="389"/>
      <c r="E457" s="391"/>
    </row>
    <row r="458" spans="1:5">
      <c r="B458" s="346"/>
    </row>
    <row r="459" spans="1:5">
      <c r="B459" s="346"/>
    </row>
    <row r="460" spans="1:5">
      <c r="B460" s="346"/>
    </row>
    <row r="461" spans="1:5">
      <c r="B461" s="346"/>
    </row>
    <row r="462" spans="1:5">
      <c r="B462" s="346"/>
    </row>
    <row r="463" spans="1:5">
      <c r="B463" s="346"/>
    </row>
    <row r="464" spans="1:5">
      <c r="B464" s="363"/>
    </row>
    <row r="465" spans="1:5">
      <c r="B465" s="363"/>
    </row>
    <row r="466" spans="1:5">
      <c r="B466" s="363"/>
    </row>
    <row r="467" spans="1:5" s="409" customFormat="1">
      <c r="A467" s="346"/>
      <c r="B467" s="363"/>
      <c r="C467" s="364"/>
      <c r="D467" s="373"/>
      <c r="E467" s="373"/>
    </row>
    <row r="468" spans="1:5" s="409" customFormat="1">
      <c r="A468" s="346"/>
      <c r="B468" s="363"/>
      <c r="C468" s="364"/>
      <c r="D468" s="373"/>
      <c r="E468" s="373"/>
    </row>
    <row r="469" spans="1:5" s="409" customFormat="1">
      <c r="A469" s="346"/>
      <c r="B469" s="346"/>
      <c r="C469" s="364"/>
      <c r="D469" s="373"/>
      <c r="E469" s="373"/>
    </row>
    <row r="470" spans="1:5" s="409" customFormat="1">
      <c r="A470" s="346"/>
      <c r="B470" s="363"/>
      <c r="C470" s="364"/>
      <c r="D470" s="373"/>
      <c r="E470" s="373"/>
    </row>
    <row r="471" spans="1:5" s="345" customFormat="1" ht="20.25" customHeight="1">
      <c r="A471" s="346"/>
      <c r="B471" s="363"/>
      <c r="C471" s="364"/>
      <c r="D471" s="373"/>
      <c r="E471" s="373"/>
    </row>
    <row r="472" spans="1:5" s="345" customFormat="1" ht="18" customHeight="1">
      <c r="A472" s="346"/>
      <c r="B472" s="364"/>
      <c r="C472" s="364"/>
      <c r="D472" s="373"/>
      <c r="E472" s="373"/>
    </row>
    <row r="473" spans="1:5" ht="20.25">
      <c r="A473" s="3676" t="s">
        <v>1312</v>
      </c>
      <c r="B473" s="3676"/>
      <c r="C473" s="3676"/>
      <c r="D473" s="3676"/>
      <c r="E473" s="3676"/>
    </row>
    <row r="474" spans="1:5" ht="20.25">
      <c r="A474" s="3676" t="str">
        <f>$A$2</f>
        <v>Kecamatan Nagrak</v>
      </c>
      <c r="B474" s="3676"/>
      <c r="C474" s="3676"/>
      <c r="D474" s="3676"/>
      <c r="E474" s="3676"/>
    </row>
    <row r="475" spans="1:5" ht="20.25">
      <c r="A475" s="3676" t="str">
        <f>$A$3</f>
        <v>Kabupaten Sukabumi Provinsi Jawa Barat</v>
      </c>
      <c r="B475" s="3676"/>
      <c r="C475" s="3676"/>
      <c r="D475" s="3676"/>
      <c r="E475" s="3676"/>
    </row>
    <row r="476" spans="1:5" ht="20.25">
      <c r="A476" s="3676" t="str">
        <f>$A$4</f>
        <v>Sampai Dengan 29 Februari 2016 2016</v>
      </c>
      <c r="B476" s="3676"/>
      <c r="C476" s="3676"/>
      <c r="D476" s="3676"/>
      <c r="E476" s="3676"/>
    </row>
    <row r="477" spans="1:5" ht="19.5">
      <c r="A477" s="2578"/>
      <c r="B477" s="2579"/>
      <c r="C477" s="2579"/>
      <c r="D477" s="2580"/>
      <c r="E477" s="2580"/>
    </row>
    <row r="478" spans="1:5">
      <c r="B478" s="363"/>
      <c r="C478" s="347"/>
      <c r="D478" s="348"/>
      <c r="E478" s="348"/>
    </row>
    <row r="479" spans="1:5" ht="15.75">
      <c r="A479" s="288"/>
      <c r="B479" s="3677" t="s">
        <v>432</v>
      </c>
      <c r="C479" s="3678"/>
      <c r="D479" s="401"/>
      <c r="E479" s="402"/>
    </row>
    <row r="480" spans="1:5" ht="18.75" customHeight="1">
      <c r="A480" s="326"/>
      <c r="B480" s="374" t="str">
        <f>B423</f>
        <v>Saldo Awal</v>
      </c>
      <c r="C480" s="394"/>
      <c r="D480" s="395"/>
      <c r="E480" s="396">
        <v>0</v>
      </c>
    </row>
    <row r="481" spans="1:5">
      <c r="B481" s="351" t="s">
        <v>368</v>
      </c>
      <c r="C481" s="352"/>
      <c r="E481" s="353"/>
    </row>
    <row r="482" spans="1:5">
      <c r="B482" s="354" t="s">
        <v>401</v>
      </c>
      <c r="C482" s="355"/>
      <c r="D482" s="356">
        <f>'Arus Dana'!F26</f>
        <v>0</v>
      </c>
      <c r="E482" s="357"/>
    </row>
    <row r="483" spans="1:5">
      <c r="B483" s="354" t="s">
        <v>483</v>
      </c>
      <c r="C483" s="355"/>
      <c r="D483" s="356">
        <f>'Arus Dana'!F42</f>
        <v>0</v>
      </c>
      <c r="E483" s="357"/>
    </row>
    <row r="484" spans="1:5" ht="15" customHeight="1">
      <c r="B484" s="354" t="s">
        <v>465</v>
      </c>
      <c r="C484" s="355"/>
      <c r="D484" s="356">
        <f>'Kas DOK Pelth.GSC'!F45+'Kas DOK Pelth.GSC'!G45</f>
        <v>0</v>
      </c>
      <c r="E484" s="357"/>
    </row>
    <row r="485" spans="1:5" s="345" customFormat="1" ht="18.75" customHeight="1">
      <c r="A485" s="346"/>
      <c r="B485" s="359" t="s">
        <v>439</v>
      </c>
      <c r="C485" s="360"/>
      <c r="D485" s="401"/>
      <c r="E485" s="404">
        <f>SUM(D482:D484)+E480</f>
        <v>0</v>
      </c>
    </row>
    <row r="486" spans="1:5">
      <c r="B486" s="346"/>
      <c r="D486" s="341"/>
      <c r="E486" s="405"/>
    </row>
    <row r="487" spans="1:5" s="345" customFormat="1" ht="15.75" customHeight="1">
      <c r="A487" s="346"/>
      <c r="B487" s="351" t="s">
        <v>11</v>
      </c>
      <c r="C487" s="352"/>
      <c r="D487" s="401"/>
      <c r="E487" s="402"/>
    </row>
    <row r="488" spans="1:5">
      <c r="B488" s="354" t="s">
        <v>1313</v>
      </c>
      <c r="C488" s="406"/>
      <c r="D488" s="356">
        <f>'Arus Dana'!F113</f>
        <v>0</v>
      </c>
      <c r="E488" s="357"/>
    </row>
    <row r="489" spans="1:5">
      <c r="B489" s="354" t="s">
        <v>1314</v>
      </c>
      <c r="C489" s="406"/>
      <c r="D489" s="356">
        <f>'Arus Dana'!F129</f>
        <v>0</v>
      </c>
      <c r="E489" s="357"/>
    </row>
    <row r="490" spans="1:5">
      <c r="B490" s="354" t="s">
        <v>446</v>
      </c>
      <c r="C490" s="406"/>
      <c r="D490" s="356">
        <f>'Kas DOK Pelth.GSC'!T45+'Kas DOK Pelth.GSC'!V45</f>
        <v>0</v>
      </c>
      <c r="E490" s="357"/>
    </row>
    <row r="491" spans="1:5" ht="15.75" customHeight="1">
      <c r="B491" s="359" t="s">
        <v>447</v>
      </c>
      <c r="C491" s="407"/>
      <c r="D491" s="401"/>
      <c r="E491" s="395">
        <f>SUM(D488:D490)</f>
        <v>0</v>
      </c>
    </row>
    <row r="492" spans="1:5" s="345" customFormat="1" ht="17.25" customHeight="1">
      <c r="A492" s="346"/>
      <c r="B492" s="346"/>
      <c r="C492" s="418"/>
      <c r="D492" s="419"/>
      <c r="E492" s="420"/>
    </row>
    <row r="493" spans="1:5" ht="20.25" customHeight="1">
      <c r="A493" s="327"/>
      <c r="B493" s="374" t="s">
        <v>467</v>
      </c>
      <c r="C493" s="375"/>
      <c r="D493" s="376"/>
      <c r="E493" s="376">
        <f>+E485-E491</f>
        <v>0</v>
      </c>
    </row>
    <row r="494" spans="1:5">
      <c r="B494" s="346"/>
    </row>
    <row r="495" spans="1:5">
      <c r="A495" s="327"/>
      <c r="B495" s="374" t="s">
        <v>449</v>
      </c>
      <c r="C495" s="375"/>
      <c r="D495" s="3410" t="s">
        <v>360</v>
      </c>
      <c r="E495" s="3410"/>
    </row>
    <row r="496" spans="1:5">
      <c r="A496" s="377"/>
      <c r="B496" s="422" t="s">
        <v>486</v>
      </c>
      <c r="C496" s="378" t="s">
        <v>1315</v>
      </c>
      <c r="D496" s="356">
        <f>'Arus Dana'!F165</f>
        <v>0</v>
      </c>
      <c r="E496" s="353"/>
    </row>
    <row r="497" spans="1:5" s="408" customFormat="1">
      <c r="A497" s="377"/>
      <c r="B497" s="369" t="s">
        <v>487</v>
      </c>
      <c r="C497" s="370"/>
      <c r="D497" s="356">
        <f>'Arus Dana'!F151</f>
        <v>0</v>
      </c>
      <c r="E497" s="353"/>
    </row>
    <row r="498" spans="1:5" s="408" customFormat="1">
      <c r="A498" s="377"/>
      <c r="B498" s="351" t="s">
        <v>386</v>
      </c>
      <c r="C498" s="379" t="s">
        <v>452</v>
      </c>
      <c r="D498" s="401"/>
      <c r="E498" s="381">
        <f>SUM(D496:D497)</f>
        <v>0</v>
      </c>
    </row>
    <row r="499" spans="1:5">
      <c r="A499" s="377"/>
      <c r="B499" s="382"/>
      <c r="C499" s="383"/>
      <c r="D499" s="339"/>
      <c r="E499" s="339"/>
    </row>
    <row r="500" spans="1:5">
      <c r="A500" s="326"/>
      <c r="B500" s="384" t="s">
        <v>453</v>
      </c>
      <c r="C500" s="385"/>
      <c r="D500" s="401"/>
      <c r="E500" s="386">
        <f>E493-E498</f>
        <v>0</v>
      </c>
    </row>
    <row r="501" spans="1:5">
      <c r="B501" s="387"/>
    </row>
    <row r="502" spans="1:5">
      <c r="A502" s="326"/>
      <c r="B502" s="3410" t="s">
        <v>454</v>
      </c>
      <c r="C502" s="3410"/>
      <c r="D502" s="3410"/>
      <c r="E502" s="3410"/>
    </row>
    <row r="503" spans="1:5">
      <c r="A503" s="326"/>
      <c r="B503" s="329"/>
      <c r="C503" s="330"/>
      <c r="D503" s="330"/>
      <c r="E503" s="416"/>
    </row>
    <row r="504" spans="1:5">
      <c r="A504" s="326"/>
      <c r="B504" s="332"/>
      <c r="C504" s="333"/>
      <c r="D504" s="333"/>
      <c r="E504" s="417"/>
    </row>
    <row r="505" spans="1:5">
      <c r="A505" s="327"/>
      <c r="B505" s="388"/>
      <c r="C505" s="383"/>
      <c r="D505" s="339"/>
      <c r="E505" s="331" t="str">
        <f>$E$55</f>
        <v>Nagrak, 29 Februari 2016 2016</v>
      </c>
    </row>
    <row r="506" spans="1:5">
      <c r="A506" s="327"/>
      <c r="B506" s="334" t="s">
        <v>210</v>
      </c>
      <c r="C506" s="3410" t="s">
        <v>209</v>
      </c>
      <c r="D506" s="3410"/>
      <c r="E506" s="334" t="s">
        <v>22</v>
      </c>
    </row>
    <row r="507" spans="1:5">
      <c r="A507" s="326"/>
      <c r="B507" s="334" t="s">
        <v>455</v>
      </c>
      <c r="C507" s="3410" t="s">
        <v>456</v>
      </c>
      <c r="D507" s="3410"/>
      <c r="E507" s="334" t="s">
        <v>23</v>
      </c>
    </row>
    <row r="508" spans="1:5">
      <c r="A508" s="326"/>
      <c r="B508" s="335"/>
      <c r="C508" s="336"/>
      <c r="D508" s="331"/>
      <c r="E508" s="331"/>
    </row>
    <row r="509" spans="1:5">
      <c r="A509" s="326"/>
      <c r="B509" s="337"/>
      <c r="C509" s="338"/>
      <c r="D509" s="339"/>
      <c r="E509" s="339"/>
    </row>
    <row r="510" spans="1:5">
      <c r="A510" s="326"/>
      <c r="B510" s="1436" t="str">
        <f>$B$60</f>
        <v>Budi Ardianyah</v>
      </c>
      <c r="C510" s="1440" t="str">
        <f>$C$60</f>
        <v>-</v>
      </c>
      <c r="D510" s="1440" t="str">
        <f>$D$60</f>
        <v>-</v>
      </c>
      <c r="E510" s="1436" t="str">
        <f>$E$60</f>
        <v>Endang Taryana</v>
      </c>
    </row>
    <row r="511" spans="1:5">
      <c r="A511" s="326"/>
      <c r="B511" s="341"/>
      <c r="C511" s="342" t="s">
        <v>403</v>
      </c>
      <c r="D511" s="343" t="s">
        <v>402</v>
      </c>
      <c r="E511" s="344"/>
    </row>
    <row r="512" spans="1:5">
      <c r="A512" s="326"/>
      <c r="B512" s="340"/>
      <c r="C512" s="3410"/>
      <c r="D512" s="3410"/>
      <c r="E512" s="389"/>
    </row>
    <row r="513" spans="1:5">
      <c r="B513" s="335"/>
      <c r="C513" s="336"/>
      <c r="D513" s="331"/>
      <c r="E513" s="331"/>
    </row>
    <row r="514" spans="1:5">
      <c r="B514" s="337"/>
      <c r="C514" s="338"/>
      <c r="D514" s="339"/>
      <c r="E514" s="339"/>
    </row>
    <row r="515" spans="1:5">
      <c r="B515" s="346"/>
    </row>
    <row r="516" spans="1:5">
      <c r="B516" s="346"/>
    </row>
    <row r="517" spans="1:5">
      <c r="B517" s="346"/>
    </row>
    <row r="518" spans="1:5">
      <c r="B518" s="346"/>
    </row>
    <row r="519" spans="1:5">
      <c r="B519" s="346"/>
    </row>
    <row r="520" spans="1:5">
      <c r="B520" s="346"/>
    </row>
    <row r="521" spans="1:5">
      <c r="B521" s="346"/>
    </row>
    <row r="522" spans="1:5">
      <c r="B522" s="346"/>
    </row>
    <row r="523" spans="1:5">
      <c r="B523" s="346"/>
    </row>
    <row r="524" spans="1:5">
      <c r="B524" s="346"/>
    </row>
    <row r="525" spans="1:5">
      <c r="B525" s="346"/>
    </row>
    <row r="526" spans="1:5" s="345" customFormat="1" ht="20.25" customHeight="1">
      <c r="A526" s="346"/>
      <c r="B526" s="346"/>
      <c r="C526" s="364"/>
      <c r="D526" s="373"/>
      <c r="E526" s="373"/>
    </row>
    <row r="527" spans="1:5" s="345" customFormat="1" ht="18" customHeight="1">
      <c r="A527" s="346"/>
      <c r="B527" s="363"/>
      <c r="C527" s="364"/>
      <c r="D527" s="373"/>
      <c r="E527" s="373"/>
    </row>
    <row r="528" spans="1:5" ht="20.25">
      <c r="A528" s="3666" t="s">
        <v>1320</v>
      </c>
      <c r="B528" s="3667"/>
      <c r="C528" s="3667"/>
      <c r="D528" s="3667"/>
      <c r="E528" s="3668"/>
    </row>
    <row r="529" spans="1:11" ht="20.25">
      <c r="A529" s="3669" t="str">
        <f>$A$2</f>
        <v>Kecamatan Nagrak</v>
      </c>
      <c r="B529" s="3661"/>
      <c r="C529" s="3661"/>
      <c r="D529" s="3661"/>
      <c r="E529" s="3670"/>
    </row>
    <row r="530" spans="1:11" ht="20.25">
      <c r="A530" s="3669" t="str">
        <f>$A$3</f>
        <v>Kabupaten Sukabumi Provinsi Jawa Barat</v>
      </c>
      <c r="B530" s="3661"/>
      <c r="C530" s="3661"/>
      <c r="D530" s="3661"/>
      <c r="E530" s="3670"/>
    </row>
    <row r="531" spans="1:11" ht="20.25">
      <c r="A531" s="3671" t="str">
        <f>$A$4</f>
        <v>Sampai Dengan 29 Februari 2016 2016</v>
      </c>
      <c r="B531" s="3672"/>
      <c r="C531" s="3672"/>
      <c r="D531" s="3672"/>
      <c r="E531" s="3673"/>
    </row>
    <row r="532" spans="1:11">
      <c r="B532" s="347"/>
      <c r="C532" s="347"/>
      <c r="D532" s="348"/>
      <c r="E532" s="348"/>
    </row>
    <row r="533" spans="1:11">
      <c r="B533" s="363"/>
      <c r="C533" s="347"/>
      <c r="D533" s="348"/>
      <c r="E533" s="348"/>
    </row>
    <row r="534" spans="1:11" ht="17.25" customHeight="1">
      <c r="A534" s="288"/>
      <c r="B534" s="3674" t="s">
        <v>432</v>
      </c>
      <c r="C534" s="3675"/>
      <c r="D534" s="401"/>
      <c r="E534" s="402"/>
    </row>
    <row r="535" spans="1:11">
      <c r="A535" s="326"/>
      <c r="B535" s="374" t="s">
        <v>477</v>
      </c>
      <c r="C535" s="394"/>
      <c r="D535" s="395"/>
      <c r="E535" s="396">
        <v>0</v>
      </c>
    </row>
    <row r="536" spans="1:11">
      <c r="B536" s="351" t="s">
        <v>368</v>
      </c>
      <c r="C536" s="352"/>
      <c r="E536" s="353"/>
    </row>
    <row r="537" spans="1:11">
      <c r="B537" s="354" t="s">
        <v>401</v>
      </c>
      <c r="C537" s="355"/>
      <c r="D537" s="356">
        <f>'Arus Dana'!F28</f>
        <v>50000000</v>
      </c>
      <c r="E537" s="357"/>
    </row>
    <row r="538" spans="1:11" ht="18" customHeight="1">
      <c r="B538" s="354" t="s">
        <v>1321</v>
      </c>
      <c r="C538" s="355"/>
      <c r="D538" s="356">
        <f>'Arus Dana'!F44</f>
        <v>666121</v>
      </c>
      <c r="E538" s="357"/>
      <c r="F538" s="427"/>
      <c r="G538" s="427"/>
      <c r="H538" s="427"/>
      <c r="I538" s="427"/>
      <c r="J538" s="427"/>
      <c r="K538" s="427"/>
    </row>
    <row r="539" spans="1:11" ht="18.75" customHeight="1">
      <c r="B539" s="354" t="s">
        <v>465</v>
      </c>
      <c r="C539" s="355"/>
      <c r="D539" s="356">
        <f>'Kas DOK GEMPA'!F45+'Kas DOK GEMPA'!G45</f>
        <v>5000000</v>
      </c>
      <c r="E539" s="357"/>
    </row>
    <row r="540" spans="1:11" s="345" customFormat="1" ht="18.75" customHeight="1">
      <c r="A540" s="346"/>
      <c r="B540" s="359" t="s">
        <v>439</v>
      </c>
      <c r="C540" s="360"/>
      <c r="D540" s="403"/>
      <c r="E540" s="404">
        <f>SUM(D537:D539)+E535</f>
        <v>55666121</v>
      </c>
    </row>
    <row r="541" spans="1:11">
      <c r="B541" s="346"/>
      <c r="D541" s="341"/>
      <c r="E541" s="405"/>
    </row>
    <row r="542" spans="1:11" s="345" customFormat="1" ht="15.75" customHeight="1">
      <c r="A542" s="346"/>
      <c r="B542" s="351" t="s">
        <v>11</v>
      </c>
      <c r="C542" s="352"/>
      <c r="D542" s="401"/>
      <c r="E542" s="402"/>
    </row>
    <row r="543" spans="1:11">
      <c r="B543" s="354" t="s">
        <v>1322</v>
      </c>
      <c r="C543" s="406"/>
      <c r="D543" s="356">
        <f>'Arus Dana'!F115</f>
        <v>50000000</v>
      </c>
      <c r="E543" s="357"/>
    </row>
    <row r="544" spans="1:11">
      <c r="B544" s="354" t="s">
        <v>1323</v>
      </c>
      <c r="C544" s="406"/>
      <c r="D544" s="356">
        <f>'Arus Dana'!F131</f>
        <v>358745</v>
      </c>
      <c r="E544" s="357"/>
    </row>
    <row r="545" spans="1:5">
      <c r="B545" s="354" t="s">
        <v>446</v>
      </c>
      <c r="C545" s="406"/>
      <c r="D545" s="356">
        <f>'Kas DOK GEMPA'!T45+'Kas DOK GEMPA'!V45</f>
        <v>5000000</v>
      </c>
      <c r="E545" s="357"/>
    </row>
    <row r="546" spans="1:5" ht="16.5" customHeight="1">
      <c r="B546" s="359" t="s">
        <v>447</v>
      </c>
      <c r="C546" s="407"/>
      <c r="D546" s="372"/>
      <c r="E546" s="395">
        <f>SUM(D543:D545)</f>
        <v>55358745</v>
      </c>
    </row>
    <row r="547" spans="1:5" s="345" customFormat="1" ht="17.25" customHeight="1">
      <c r="A547" s="346"/>
      <c r="B547" s="346"/>
      <c r="C547" s="418"/>
      <c r="D547" s="419"/>
      <c r="E547" s="420"/>
    </row>
    <row r="548" spans="1:5" ht="20.25" customHeight="1">
      <c r="A548" s="327"/>
      <c r="B548" s="374" t="s">
        <v>467</v>
      </c>
      <c r="C548" s="375"/>
      <c r="D548" s="376"/>
      <c r="E548" s="376">
        <f>+E540-E546</f>
        <v>307376</v>
      </c>
    </row>
    <row r="549" spans="1:5">
      <c r="B549" s="346"/>
    </row>
    <row r="550" spans="1:5">
      <c r="A550" s="327"/>
      <c r="B550" s="374" t="s">
        <v>449</v>
      </c>
      <c r="C550" s="375"/>
      <c r="D550" s="3410" t="s">
        <v>360</v>
      </c>
      <c r="E550" s="3410"/>
    </row>
    <row r="551" spans="1:5">
      <c r="A551" s="377"/>
      <c r="B551" s="369" t="s">
        <v>1324</v>
      </c>
      <c r="C551" s="378">
        <f>DT!D269</f>
        <v>0</v>
      </c>
      <c r="D551" s="356">
        <f>'Arus Dana'!F167</f>
        <v>307376</v>
      </c>
      <c r="E551" s="353"/>
    </row>
    <row r="552" spans="1:5" s="408" customFormat="1">
      <c r="A552" s="377"/>
      <c r="B552" s="369" t="s">
        <v>1325</v>
      </c>
      <c r="C552" s="370"/>
      <c r="D552" s="356">
        <f>'Arus Dana'!F153</f>
        <v>0</v>
      </c>
      <c r="E552" s="353"/>
    </row>
    <row r="553" spans="1:5" s="408" customFormat="1">
      <c r="A553" s="377"/>
      <c r="B553" s="351" t="s">
        <v>386</v>
      </c>
      <c r="C553" s="379" t="s">
        <v>452</v>
      </c>
      <c r="D553" s="380"/>
      <c r="E553" s="381">
        <f>SUM(D551:D552)</f>
        <v>307376</v>
      </c>
    </row>
    <row r="554" spans="1:5">
      <c r="A554" s="377"/>
      <c r="B554" s="382"/>
      <c r="C554" s="383"/>
      <c r="D554" s="339"/>
      <c r="E554" s="339"/>
    </row>
    <row r="555" spans="1:5">
      <c r="A555" s="326"/>
      <c r="B555" s="384" t="s">
        <v>453</v>
      </c>
      <c r="C555" s="385"/>
      <c r="D555" s="372"/>
      <c r="E555" s="386">
        <f>E548-E553</f>
        <v>0</v>
      </c>
    </row>
    <row r="556" spans="1:5">
      <c r="B556" s="387"/>
    </row>
    <row r="557" spans="1:5">
      <c r="A557" s="326"/>
      <c r="B557" s="3410" t="s">
        <v>454</v>
      </c>
      <c r="C557" s="3410"/>
      <c r="D557" s="3410"/>
      <c r="E557" s="3410"/>
    </row>
    <row r="558" spans="1:5">
      <c r="A558" s="326"/>
      <c r="B558" s="329"/>
      <c r="C558" s="330"/>
      <c r="D558" s="330"/>
      <c r="E558" s="416"/>
    </row>
    <row r="559" spans="1:5">
      <c r="A559" s="326"/>
      <c r="B559" s="332"/>
      <c r="C559" s="333"/>
      <c r="D559" s="333"/>
      <c r="E559" s="417"/>
    </row>
    <row r="560" spans="1:5">
      <c r="A560" s="327"/>
      <c r="B560" s="388"/>
      <c r="C560" s="383"/>
      <c r="D560" s="339"/>
      <c r="E560" s="331" t="str">
        <f>$E$55</f>
        <v>Nagrak, 29 Februari 2016 2016</v>
      </c>
    </row>
    <row r="561" spans="1:5">
      <c r="A561" s="327"/>
      <c r="B561" s="334" t="s">
        <v>210</v>
      </c>
      <c r="C561" s="3410" t="s">
        <v>209</v>
      </c>
      <c r="D561" s="3410"/>
      <c r="E561" s="334" t="s">
        <v>22</v>
      </c>
    </row>
    <row r="562" spans="1:5">
      <c r="A562" s="326"/>
      <c r="B562" s="334" t="s">
        <v>455</v>
      </c>
      <c r="C562" s="3410" t="s">
        <v>456</v>
      </c>
      <c r="D562" s="3410"/>
      <c r="E562" s="334" t="s">
        <v>23</v>
      </c>
    </row>
    <row r="563" spans="1:5">
      <c r="A563" s="326"/>
      <c r="B563" s="335"/>
      <c r="C563" s="336"/>
      <c r="D563" s="331"/>
      <c r="E563" s="331"/>
    </row>
    <row r="564" spans="1:5">
      <c r="A564" s="326"/>
      <c r="B564" s="337"/>
      <c r="C564" s="338"/>
      <c r="D564" s="339"/>
      <c r="E564" s="339"/>
    </row>
    <row r="565" spans="1:5">
      <c r="A565" s="326"/>
      <c r="B565" s="1436" t="str">
        <f>$B$60</f>
        <v>Budi Ardianyah</v>
      </c>
      <c r="C565" s="1440" t="str">
        <f>$C$60</f>
        <v>-</v>
      </c>
      <c r="D565" s="1440" t="str">
        <f>$D$60</f>
        <v>-</v>
      </c>
      <c r="E565" s="1436" t="str">
        <f>$E$60</f>
        <v>Endang Taryana</v>
      </c>
    </row>
    <row r="566" spans="1:5">
      <c r="A566" s="326"/>
      <c r="B566" s="341"/>
      <c r="C566" s="342" t="s">
        <v>403</v>
      </c>
      <c r="D566" s="343" t="s">
        <v>402</v>
      </c>
      <c r="E566" s="344"/>
    </row>
    <row r="567" spans="1:5">
      <c r="A567" s="326"/>
      <c r="B567" s="337"/>
      <c r="C567" s="338"/>
      <c r="D567" s="339"/>
      <c r="E567" s="339"/>
    </row>
    <row r="568" spans="1:5">
      <c r="A568" s="326"/>
      <c r="B568" s="340"/>
      <c r="C568" s="3410"/>
      <c r="D568" s="3410"/>
      <c r="E568" s="389"/>
    </row>
    <row r="569" spans="1:5">
      <c r="B569" s="340"/>
      <c r="C569" s="390"/>
      <c r="D569" s="389"/>
      <c r="E569" s="391"/>
    </row>
    <row r="570" spans="1:5">
      <c r="B570" s="346"/>
    </row>
    <row r="571" spans="1:5">
      <c r="B571" s="346"/>
    </row>
    <row r="572" spans="1:5">
      <c r="B572" s="346"/>
    </row>
    <row r="573" spans="1:5">
      <c r="B573" s="346"/>
    </row>
    <row r="574" spans="1:5">
      <c r="B574" s="346"/>
    </row>
    <row r="575" spans="1:5">
      <c r="B575" s="346"/>
    </row>
    <row r="576" spans="1:5">
      <c r="B576" s="363"/>
    </row>
    <row r="577" spans="1:5">
      <c r="B577" s="363"/>
    </row>
    <row r="578" spans="1:5">
      <c r="B578" s="363"/>
    </row>
    <row r="579" spans="1:5" s="409" customFormat="1">
      <c r="A579" s="346"/>
      <c r="B579" s="363"/>
      <c r="C579" s="364"/>
      <c r="D579" s="373"/>
      <c r="E579" s="373"/>
    </row>
    <row r="580" spans="1:5" s="409" customFormat="1">
      <c r="A580" s="346"/>
      <c r="B580" s="363"/>
      <c r="C580" s="364"/>
      <c r="D580" s="373"/>
      <c r="E580" s="373"/>
    </row>
    <row r="581" spans="1:5" s="409" customFormat="1">
      <c r="A581" s="346"/>
      <c r="B581" s="346"/>
      <c r="C581" s="364"/>
      <c r="D581" s="373"/>
      <c r="E581" s="373"/>
    </row>
    <row r="582" spans="1:5" s="409" customFormat="1">
      <c r="A582" s="346"/>
      <c r="B582" s="363"/>
      <c r="C582" s="364"/>
      <c r="D582" s="373"/>
      <c r="E582" s="373"/>
    </row>
    <row r="583" spans="1:5" s="345" customFormat="1" ht="20.25" customHeight="1">
      <c r="A583" s="346"/>
      <c r="B583" s="363"/>
      <c r="C583" s="364"/>
      <c r="D583" s="373"/>
      <c r="E583" s="373"/>
    </row>
    <row r="584" spans="1:5" s="345" customFormat="1" ht="18" customHeight="1">
      <c r="A584" s="346"/>
      <c r="B584" s="364"/>
      <c r="C584" s="364"/>
      <c r="D584" s="373"/>
      <c r="E584" s="373"/>
    </row>
    <row r="585" spans="1:5" ht="20.25">
      <c r="A585" s="3610" t="s">
        <v>1326</v>
      </c>
      <c r="B585" s="3610"/>
      <c r="C585" s="3610"/>
      <c r="D585" s="3610"/>
      <c r="E585" s="3610"/>
    </row>
    <row r="586" spans="1:5" ht="20.25">
      <c r="A586" s="3610" t="str">
        <f>$A$2</f>
        <v>Kecamatan Nagrak</v>
      </c>
      <c r="B586" s="3610"/>
      <c r="C586" s="3610"/>
      <c r="D586" s="3610"/>
      <c r="E586" s="3610"/>
    </row>
    <row r="587" spans="1:5" ht="20.25">
      <c r="A587" s="3610" t="str">
        <f>$A$3</f>
        <v>Kabupaten Sukabumi Provinsi Jawa Barat</v>
      </c>
      <c r="B587" s="3610"/>
      <c r="C587" s="3610"/>
      <c r="D587" s="3610"/>
      <c r="E587" s="3610"/>
    </row>
    <row r="588" spans="1:5" ht="20.25">
      <c r="A588" s="3610" t="str">
        <f>$A$4</f>
        <v>Sampai Dengan 29 Februari 2016 2016</v>
      </c>
      <c r="B588" s="3610"/>
      <c r="C588" s="3610"/>
      <c r="D588" s="3610"/>
      <c r="E588" s="3610"/>
    </row>
    <row r="589" spans="1:5">
      <c r="B589" s="347"/>
      <c r="C589" s="347"/>
      <c r="D589" s="348"/>
      <c r="E589" s="348"/>
    </row>
    <row r="590" spans="1:5">
      <c r="B590" s="363"/>
      <c r="C590" s="347"/>
      <c r="D590" s="348"/>
      <c r="E590" s="348"/>
    </row>
    <row r="591" spans="1:5" ht="18">
      <c r="A591" s="288"/>
      <c r="B591" s="3664" t="s">
        <v>432</v>
      </c>
      <c r="C591" s="3665"/>
      <c r="D591" s="401"/>
      <c r="E591" s="402"/>
    </row>
    <row r="592" spans="1:5" ht="18.75" customHeight="1">
      <c r="A592" s="326"/>
      <c r="B592" s="374" t="str">
        <f>B535</f>
        <v>Saldo Awal</v>
      </c>
      <c r="C592" s="394"/>
      <c r="D592" s="395"/>
      <c r="E592" s="396">
        <v>0</v>
      </c>
    </row>
    <row r="593" spans="1:5">
      <c r="B593" s="351" t="s">
        <v>368</v>
      </c>
      <c r="C593" s="352"/>
      <c r="E593" s="353"/>
    </row>
    <row r="594" spans="1:5">
      <c r="B594" s="354" t="s">
        <v>401</v>
      </c>
      <c r="C594" s="355"/>
      <c r="D594" s="356">
        <f>'Arus Dana'!F29</f>
        <v>18525000</v>
      </c>
      <c r="E594" s="357"/>
    </row>
    <row r="595" spans="1:5">
      <c r="B595" s="354" t="s">
        <v>1327</v>
      </c>
      <c r="C595" s="355"/>
      <c r="D595" s="356">
        <f>'Arus Dana'!F45</f>
        <v>139350</v>
      </c>
      <c r="E595" s="357"/>
    </row>
    <row r="596" spans="1:5" ht="15" customHeight="1">
      <c r="B596" s="354" t="s">
        <v>465</v>
      </c>
      <c r="C596" s="355"/>
      <c r="D596" s="356">
        <f>'Kas DOK RPJMDES'!F45+'Kas DOK RPJMDES'!G45</f>
        <v>100000</v>
      </c>
      <c r="E596" s="357"/>
    </row>
    <row r="597" spans="1:5" s="345" customFormat="1" ht="18.75" customHeight="1">
      <c r="A597" s="346"/>
      <c r="B597" s="359" t="s">
        <v>439</v>
      </c>
      <c r="C597" s="360"/>
      <c r="D597" s="401"/>
      <c r="E597" s="404">
        <f>SUM(D594:D596)+E592</f>
        <v>18764350</v>
      </c>
    </row>
    <row r="598" spans="1:5">
      <c r="B598" s="346"/>
      <c r="D598" s="341"/>
      <c r="E598" s="405"/>
    </row>
    <row r="599" spans="1:5" s="345" customFormat="1" ht="15.75" customHeight="1">
      <c r="A599" s="346"/>
      <c r="B599" s="351" t="s">
        <v>11</v>
      </c>
      <c r="C599" s="352"/>
      <c r="D599" s="401"/>
      <c r="E599" s="402"/>
    </row>
    <row r="600" spans="1:5">
      <c r="B600" s="354" t="s">
        <v>1328</v>
      </c>
      <c r="C600" s="406"/>
      <c r="D600" s="356">
        <f>'Arus Dana'!F116</f>
        <v>18460300</v>
      </c>
      <c r="E600" s="357"/>
    </row>
    <row r="601" spans="1:5">
      <c r="B601" s="354" t="s">
        <v>1329</v>
      </c>
      <c r="C601" s="406"/>
      <c r="D601" s="356">
        <f>'Arus Dana'!F132</f>
        <v>113298</v>
      </c>
      <c r="E601" s="357"/>
    </row>
    <row r="602" spans="1:5">
      <c r="B602" s="354" t="s">
        <v>446</v>
      </c>
      <c r="C602" s="406"/>
      <c r="D602" s="356">
        <f>'Kas DOK RPJMDES'!T45+'Kas DOK RPJMDES'!V45</f>
        <v>0</v>
      </c>
      <c r="E602" s="357"/>
    </row>
    <row r="603" spans="1:5" ht="15.75" customHeight="1">
      <c r="B603" s="359" t="s">
        <v>447</v>
      </c>
      <c r="C603" s="407"/>
      <c r="D603" s="401"/>
      <c r="E603" s="395">
        <f>SUM(D600:D602)</f>
        <v>18573598</v>
      </c>
    </row>
    <row r="604" spans="1:5" s="345" customFormat="1" ht="17.25" customHeight="1">
      <c r="A604" s="346"/>
      <c r="B604" s="346"/>
      <c r="C604" s="418"/>
      <c r="D604" s="419"/>
      <c r="E604" s="420"/>
    </row>
    <row r="605" spans="1:5" ht="20.25" customHeight="1">
      <c r="A605" s="327"/>
      <c r="B605" s="374" t="s">
        <v>467</v>
      </c>
      <c r="C605" s="375"/>
      <c r="D605" s="376"/>
      <c r="E605" s="376">
        <f>+E597-E603</f>
        <v>190752</v>
      </c>
    </row>
    <row r="606" spans="1:5">
      <c r="B606" s="346"/>
    </row>
    <row r="607" spans="1:5">
      <c r="A607" s="327"/>
      <c r="B607" s="374" t="s">
        <v>449</v>
      </c>
      <c r="C607" s="375"/>
      <c r="D607" s="3410" t="s">
        <v>360</v>
      </c>
      <c r="E607" s="3410"/>
    </row>
    <row r="608" spans="1:5">
      <c r="A608" s="377"/>
      <c r="B608" s="422" t="s">
        <v>1330</v>
      </c>
      <c r="C608" s="378">
        <f>DT!D276</f>
        <v>0</v>
      </c>
      <c r="D608" s="356">
        <f>'Arus Dana'!F168</f>
        <v>126052</v>
      </c>
      <c r="E608" s="353"/>
    </row>
    <row r="609" spans="1:5" s="408" customFormat="1">
      <c r="A609" s="377"/>
      <c r="B609" s="369" t="s">
        <v>1331</v>
      </c>
      <c r="C609" s="370"/>
      <c r="D609" s="356">
        <f>'Arus Dana'!F154</f>
        <v>64700</v>
      </c>
      <c r="E609" s="353"/>
    </row>
    <row r="610" spans="1:5" s="408" customFormat="1">
      <c r="A610" s="377"/>
      <c r="B610" s="351" t="s">
        <v>386</v>
      </c>
      <c r="C610" s="379" t="s">
        <v>452</v>
      </c>
      <c r="D610" s="401"/>
      <c r="E610" s="381">
        <f>SUM(D608:D609)</f>
        <v>190752</v>
      </c>
    </row>
    <row r="611" spans="1:5">
      <c r="A611" s="377"/>
      <c r="B611" s="382"/>
      <c r="C611" s="383"/>
      <c r="D611" s="339"/>
      <c r="E611" s="339"/>
    </row>
    <row r="612" spans="1:5">
      <c r="A612" s="326"/>
      <c r="B612" s="384" t="s">
        <v>453</v>
      </c>
      <c r="C612" s="385"/>
      <c r="D612" s="401"/>
      <c r="E612" s="386">
        <f>E605-E610</f>
        <v>0</v>
      </c>
    </row>
    <row r="613" spans="1:5">
      <c r="B613" s="387"/>
    </row>
    <row r="614" spans="1:5">
      <c r="A614" s="326"/>
      <c r="B614" s="3410" t="s">
        <v>454</v>
      </c>
      <c r="C614" s="3410"/>
      <c r="D614" s="3410"/>
      <c r="E614" s="3410"/>
    </row>
    <row r="615" spans="1:5">
      <c r="A615" s="326"/>
      <c r="B615" s="329"/>
      <c r="C615" s="330"/>
      <c r="D615" s="330"/>
      <c r="E615" s="416"/>
    </row>
    <row r="616" spans="1:5">
      <c r="A616" s="326"/>
      <c r="B616" s="332"/>
      <c r="C616" s="333"/>
      <c r="D616" s="333"/>
      <c r="E616" s="417"/>
    </row>
    <row r="617" spans="1:5">
      <c r="A617" s="327"/>
      <c r="B617" s="388"/>
      <c r="C617" s="383"/>
      <c r="D617" s="339"/>
      <c r="E617" s="331" t="str">
        <f>$E$55</f>
        <v>Nagrak, 29 Februari 2016 2016</v>
      </c>
    </row>
    <row r="618" spans="1:5">
      <c r="A618" s="327"/>
      <c r="B618" s="334" t="s">
        <v>210</v>
      </c>
      <c r="C618" s="3410" t="s">
        <v>209</v>
      </c>
      <c r="D618" s="3410"/>
      <c r="E618" s="334" t="s">
        <v>22</v>
      </c>
    </row>
    <row r="619" spans="1:5">
      <c r="A619" s="326"/>
      <c r="B619" s="334" t="s">
        <v>455</v>
      </c>
      <c r="C619" s="3410" t="s">
        <v>456</v>
      </c>
      <c r="D619" s="3410"/>
      <c r="E619" s="334" t="s">
        <v>23</v>
      </c>
    </row>
    <row r="620" spans="1:5">
      <c r="A620" s="326"/>
      <c r="B620" s="335"/>
      <c r="C620" s="336"/>
      <c r="D620" s="331"/>
      <c r="E620" s="331"/>
    </row>
    <row r="621" spans="1:5">
      <c r="A621" s="326"/>
      <c r="B621" s="337"/>
      <c r="C621" s="338"/>
      <c r="D621" s="339"/>
      <c r="E621" s="339"/>
    </row>
    <row r="622" spans="1:5">
      <c r="A622" s="326"/>
      <c r="B622" s="1436" t="str">
        <f>$B$60</f>
        <v>Budi Ardianyah</v>
      </c>
      <c r="C622" s="1440" t="str">
        <f>$C$60</f>
        <v>-</v>
      </c>
      <c r="D622" s="1440" t="str">
        <f>$D$60</f>
        <v>-</v>
      </c>
      <c r="E622" s="1436" t="str">
        <f>$E$60</f>
        <v>Endang Taryana</v>
      </c>
    </row>
    <row r="623" spans="1:5">
      <c r="A623" s="326"/>
      <c r="B623" s="341"/>
      <c r="C623" s="342" t="s">
        <v>403</v>
      </c>
      <c r="D623" s="343" t="s">
        <v>402</v>
      </c>
      <c r="E623" s="344"/>
    </row>
    <row r="624" spans="1:5">
      <c r="A624" s="326"/>
      <c r="B624" s="337"/>
      <c r="C624" s="338"/>
      <c r="D624" s="339"/>
      <c r="E624" s="339"/>
    </row>
    <row r="625" spans="1:5">
      <c r="A625" s="326"/>
      <c r="B625" s="340"/>
      <c r="C625" s="3410"/>
      <c r="D625" s="3410"/>
      <c r="E625" s="389"/>
    </row>
    <row r="626" spans="1:5">
      <c r="B626" s="340"/>
      <c r="C626" s="390"/>
      <c r="D626" s="389"/>
      <c r="E626" s="391"/>
    </row>
    <row r="627" spans="1:5">
      <c r="B627" s="346"/>
    </row>
    <row r="628" spans="1:5">
      <c r="B628" s="346"/>
    </row>
    <row r="629" spans="1:5">
      <c r="B629" s="346"/>
    </row>
    <row r="630" spans="1:5">
      <c r="B630" s="346"/>
    </row>
    <row r="631" spans="1:5">
      <c r="B631" s="346"/>
    </row>
    <row r="632" spans="1:5">
      <c r="B632" s="346"/>
    </row>
    <row r="633" spans="1:5">
      <c r="B633" s="363"/>
    </row>
    <row r="634" spans="1:5">
      <c r="B634" s="363"/>
    </row>
    <row r="635" spans="1:5">
      <c r="B635" s="363"/>
    </row>
    <row r="636" spans="1:5" s="409" customFormat="1">
      <c r="A636" s="346"/>
      <c r="B636" s="363"/>
      <c r="C636" s="364"/>
      <c r="D636" s="373"/>
      <c r="E636" s="373"/>
    </row>
    <row r="637" spans="1:5" s="409" customFormat="1">
      <c r="A637" s="346"/>
      <c r="B637" s="363"/>
      <c r="C637" s="364"/>
      <c r="D637" s="373"/>
      <c r="E637" s="373"/>
    </row>
    <row r="638" spans="1:5" s="409" customFormat="1">
      <c r="A638" s="346"/>
      <c r="B638" s="346"/>
      <c r="C638" s="364"/>
      <c r="D638" s="373"/>
      <c r="E638" s="373"/>
    </row>
    <row r="639" spans="1:5" s="409" customFormat="1">
      <c r="A639" s="346"/>
      <c r="B639" s="363"/>
      <c r="C639" s="364"/>
      <c r="D639" s="373"/>
      <c r="E639" s="373"/>
    </row>
    <row r="640" spans="1:5" s="345" customFormat="1" ht="20.25" customHeight="1">
      <c r="A640" s="346"/>
      <c r="B640" s="363"/>
      <c r="C640" s="364"/>
      <c r="D640" s="373"/>
      <c r="E640" s="373"/>
    </row>
    <row r="641" spans="1:5" s="345" customFormat="1" ht="18" customHeight="1">
      <c r="A641" s="346"/>
      <c r="B641" s="364"/>
      <c r="C641" s="364"/>
      <c r="D641" s="373"/>
      <c r="E641" s="373"/>
    </row>
    <row r="642" spans="1:5" ht="20.25">
      <c r="A642" s="3661" t="s">
        <v>1332</v>
      </c>
      <c r="B642" s="3661"/>
      <c r="C642" s="3661"/>
      <c r="D642" s="3661"/>
      <c r="E642" s="3661"/>
    </row>
    <row r="643" spans="1:5" ht="20.25">
      <c r="A643" s="3661" t="str">
        <f>$A$2</f>
        <v>Kecamatan Nagrak</v>
      </c>
      <c r="B643" s="3661"/>
      <c r="C643" s="3661"/>
      <c r="D643" s="3661"/>
      <c r="E643" s="3661"/>
    </row>
    <row r="644" spans="1:5" ht="20.25">
      <c r="A644" s="3661" t="str">
        <f>$A$3</f>
        <v>Kabupaten Sukabumi Provinsi Jawa Barat</v>
      </c>
      <c r="B644" s="3661"/>
      <c r="C644" s="3661"/>
      <c r="D644" s="3661"/>
      <c r="E644" s="3661"/>
    </row>
    <row r="645" spans="1:5" ht="20.25">
      <c r="A645" s="3661" t="str">
        <f>$A$4</f>
        <v>Sampai Dengan 29 Februari 2016 2016</v>
      </c>
      <c r="B645" s="3661"/>
      <c r="C645" s="3661"/>
      <c r="D645" s="3661"/>
      <c r="E645" s="3661"/>
    </row>
    <row r="646" spans="1:5">
      <c r="B646" s="347"/>
      <c r="C646" s="347"/>
      <c r="D646" s="348"/>
      <c r="E646" s="348"/>
    </row>
    <row r="647" spans="1:5">
      <c r="B647" s="363"/>
      <c r="C647" s="347"/>
      <c r="D647" s="348"/>
      <c r="E647" s="348"/>
    </row>
    <row r="648" spans="1:5" ht="18">
      <c r="A648" s="288"/>
      <c r="B648" s="3662" t="s">
        <v>432</v>
      </c>
      <c r="C648" s="3663"/>
      <c r="D648" s="401"/>
      <c r="E648" s="402"/>
    </row>
    <row r="649" spans="1:5" ht="18.75" customHeight="1">
      <c r="A649" s="326"/>
      <c r="B649" s="374" t="str">
        <f>B592</f>
        <v>Saldo Awal</v>
      </c>
      <c r="C649" s="394"/>
      <c r="D649" s="395"/>
      <c r="E649" s="396">
        <v>0</v>
      </c>
    </row>
    <row r="650" spans="1:5">
      <c r="B650" s="351" t="s">
        <v>368</v>
      </c>
      <c r="C650" s="352"/>
      <c r="E650" s="353"/>
    </row>
    <row r="651" spans="1:5">
      <c r="B651" s="354" t="s">
        <v>401</v>
      </c>
      <c r="C651" s="355"/>
      <c r="D651" s="356">
        <f>'Arus Dana'!F27</f>
        <v>12000000</v>
      </c>
      <c r="E651" s="357"/>
    </row>
    <row r="652" spans="1:5">
      <c r="B652" s="354" t="s">
        <v>1333</v>
      </c>
      <c r="C652" s="355"/>
      <c r="D652" s="356">
        <f>'Arus Dana'!F43</f>
        <v>42837</v>
      </c>
      <c r="E652" s="357"/>
    </row>
    <row r="653" spans="1:5" ht="15" customHeight="1">
      <c r="B653" s="354" t="s">
        <v>465</v>
      </c>
      <c r="C653" s="355"/>
      <c r="D653" s="356">
        <f>'Kas DOK PLUPK'!F45+'Kas DOK PLUPK'!G45</f>
        <v>2200000</v>
      </c>
      <c r="E653" s="357"/>
    </row>
    <row r="654" spans="1:5" s="345" customFormat="1" ht="18.75" customHeight="1">
      <c r="A654" s="346"/>
      <c r="B654" s="359" t="s">
        <v>439</v>
      </c>
      <c r="C654" s="360"/>
      <c r="D654" s="401"/>
      <c r="E654" s="404">
        <f>SUM(D651:D653)+E649</f>
        <v>14242837</v>
      </c>
    </row>
    <row r="655" spans="1:5">
      <c r="B655" s="346"/>
      <c r="D655" s="341"/>
      <c r="E655" s="405"/>
    </row>
    <row r="656" spans="1:5" s="345" customFormat="1" ht="15.75" customHeight="1">
      <c r="A656" s="346"/>
      <c r="B656" s="351" t="s">
        <v>11</v>
      </c>
      <c r="C656" s="352"/>
      <c r="D656" s="401"/>
      <c r="E656" s="402"/>
    </row>
    <row r="657" spans="1:5">
      <c r="B657" s="354" t="s">
        <v>1334</v>
      </c>
      <c r="C657" s="406"/>
      <c r="D657" s="356">
        <f>'Arus Dana'!F114</f>
        <v>11000000</v>
      </c>
      <c r="E657" s="357"/>
    </row>
    <row r="658" spans="1:5">
      <c r="B658" s="354" t="s">
        <v>1335</v>
      </c>
      <c r="C658" s="406"/>
      <c r="D658" s="356">
        <f>'Arus Dana'!F130</f>
        <v>113894</v>
      </c>
      <c r="E658" s="357"/>
    </row>
    <row r="659" spans="1:5">
      <c r="B659" s="354" t="s">
        <v>446</v>
      </c>
      <c r="C659" s="406"/>
      <c r="D659" s="356">
        <f>'Kas DOK PLUPK'!P45+'Kas DOK PLUPK'!R45</f>
        <v>3039943</v>
      </c>
      <c r="E659" s="357"/>
    </row>
    <row r="660" spans="1:5" ht="15.75" customHeight="1">
      <c r="B660" s="359" t="s">
        <v>447</v>
      </c>
      <c r="C660" s="407"/>
      <c r="D660" s="401"/>
      <c r="E660" s="395">
        <f>SUM(D657:D659)</f>
        <v>14153837</v>
      </c>
    </row>
    <row r="661" spans="1:5" s="345" customFormat="1" ht="17.25" customHeight="1">
      <c r="A661" s="346"/>
      <c r="B661" s="346"/>
      <c r="C661" s="418"/>
      <c r="D661" s="419"/>
      <c r="E661" s="420"/>
    </row>
    <row r="662" spans="1:5" ht="20.25" customHeight="1">
      <c r="A662" s="327"/>
      <c r="B662" s="374" t="s">
        <v>467</v>
      </c>
      <c r="C662" s="375"/>
      <c r="D662" s="376"/>
      <c r="E662" s="376">
        <f>+E654-E660</f>
        <v>89000</v>
      </c>
    </row>
    <row r="663" spans="1:5">
      <c r="B663" s="346"/>
    </row>
    <row r="664" spans="1:5">
      <c r="A664" s="327"/>
      <c r="B664" s="374" t="s">
        <v>449</v>
      </c>
      <c r="C664" s="375"/>
      <c r="D664" s="3410" t="s">
        <v>360</v>
      </c>
      <c r="E664" s="3410"/>
    </row>
    <row r="665" spans="1:5">
      <c r="A665" s="377"/>
      <c r="B665" s="422" t="s">
        <v>1336</v>
      </c>
      <c r="C665" s="378">
        <f>DT!D333</f>
        <v>0</v>
      </c>
      <c r="D665" s="356">
        <f>'Arus Dana'!F166</f>
        <v>89000</v>
      </c>
      <c r="E665" s="353"/>
    </row>
    <row r="666" spans="1:5" s="408" customFormat="1">
      <c r="A666" s="377"/>
      <c r="B666" s="369" t="s">
        <v>1337</v>
      </c>
      <c r="C666" s="370"/>
      <c r="D666" s="356">
        <f>'Arus Dana'!F152</f>
        <v>0</v>
      </c>
      <c r="E666" s="353"/>
    </row>
    <row r="667" spans="1:5" s="408" customFormat="1">
      <c r="A667" s="377"/>
      <c r="B667" s="351" t="s">
        <v>386</v>
      </c>
      <c r="C667" s="379" t="s">
        <v>452</v>
      </c>
      <c r="D667" s="401"/>
      <c r="E667" s="381">
        <f>SUM(D665:D666)</f>
        <v>89000</v>
      </c>
    </row>
    <row r="668" spans="1:5">
      <c r="A668" s="377"/>
      <c r="B668" s="382"/>
      <c r="C668" s="383"/>
      <c r="D668" s="339"/>
      <c r="E668" s="339"/>
    </row>
    <row r="669" spans="1:5">
      <c r="A669" s="326"/>
      <c r="B669" s="384" t="s">
        <v>453</v>
      </c>
      <c r="C669" s="385"/>
      <c r="D669" s="401"/>
      <c r="E669" s="386">
        <f>E662-E667</f>
        <v>0</v>
      </c>
    </row>
    <row r="670" spans="1:5">
      <c r="B670" s="387"/>
    </row>
    <row r="671" spans="1:5">
      <c r="A671" s="326"/>
      <c r="B671" s="3410" t="s">
        <v>454</v>
      </c>
      <c r="C671" s="3410"/>
      <c r="D671" s="3410"/>
      <c r="E671" s="3410"/>
    </row>
    <row r="672" spans="1:5">
      <c r="A672" s="326"/>
      <c r="B672" s="329"/>
      <c r="C672" s="330"/>
      <c r="D672" s="330"/>
      <c r="E672" s="416"/>
    </row>
    <row r="673" spans="1:5">
      <c r="A673" s="326"/>
      <c r="B673" s="332"/>
      <c r="C673" s="333"/>
      <c r="D673" s="333"/>
      <c r="E673" s="417"/>
    </row>
    <row r="674" spans="1:5">
      <c r="A674" s="327"/>
      <c r="B674" s="388"/>
      <c r="C674" s="383"/>
      <c r="D674" s="339"/>
      <c r="E674" s="331" t="str">
        <f>$E$55</f>
        <v>Nagrak, 29 Februari 2016 2016</v>
      </c>
    </row>
    <row r="675" spans="1:5">
      <c r="A675" s="327"/>
      <c r="B675" s="334" t="s">
        <v>210</v>
      </c>
      <c r="C675" s="3410" t="s">
        <v>209</v>
      </c>
      <c r="D675" s="3410"/>
      <c r="E675" s="334" t="s">
        <v>22</v>
      </c>
    </row>
    <row r="676" spans="1:5">
      <c r="A676" s="326"/>
      <c r="B676" s="334" t="s">
        <v>455</v>
      </c>
      <c r="C676" s="3410" t="s">
        <v>456</v>
      </c>
      <c r="D676" s="3410"/>
      <c r="E676" s="334" t="s">
        <v>23</v>
      </c>
    </row>
    <row r="677" spans="1:5">
      <c r="A677" s="326"/>
      <c r="B677" s="335"/>
      <c r="C677" s="336"/>
      <c r="D677" s="331"/>
      <c r="E677" s="331"/>
    </row>
    <row r="678" spans="1:5">
      <c r="A678" s="326"/>
      <c r="B678" s="337"/>
      <c r="C678" s="338"/>
      <c r="D678" s="339"/>
      <c r="E678" s="339"/>
    </row>
    <row r="679" spans="1:5">
      <c r="A679" s="326"/>
      <c r="B679" s="1436" t="str">
        <f>$B$60</f>
        <v>Budi Ardianyah</v>
      </c>
      <c r="C679" s="1440" t="str">
        <f>$C$60</f>
        <v>-</v>
      </c>
      <c r="D679" s="1440" t="str">
        <f>$D$60</f>
        <v>-</v>
      </c>
      <c r="E679" s="1436" t="str">
        <f>$E$60</f>
        <v>Endang Taryana</v>
      </c>
    </row>
    <row r="680" spans="1:5">
      <c r="A680" s="326"/>
      <c r="B680" s="341"/>
      <c r="C680" s="342" t="s">
        <v>403</v>
      </c>
      <c r="D680" s="343" t="s">
        <v>402</v>
      </c>
      <c r="E680" s="344"/>
    </row>
  </sheetData>
  <sheetProtection formatColumns="0" formatRows="0"/>
  <mergeCells count="120">
    <mergeCell ref="A362:E362"/>
    <mergeCell ref="A364:E364"/>
    <mergeCell ref="A363:E363"/>
    <mergeCell ref="C400:D400"/>
    <mergeCell ref="B367:C367"/>
    <mergeCell ref="D383:E383"/>
    <mergeCell ref="B390:E390"/>
    <mergeCell ref="C394:D394"/>
    <mergeCell ref="C395:D395"/>
    <mergeCell ref="B249:C249"/>
    <mergeCell ref="C226:D226"/>
    <mergeCell ref="B191:C191"/>
    <mergeCell ref="D209:E209"/>
    <mergeCell ref="B216:E216"/>
    <mergeCell ref="C220:D220"/>
    <mergeCell ref="C221:D221"/>
    <mergeCell ref="A189:E189"/>
    <mergeCell ref="A361:E361"/>
    <mergeCell ref="C333:D333"/>
    <mergeCell ref="C334:D334"/>
    <mergeCell ref="C340:D340"/>
    <mergeCell ref="A301:E301"/>
    <mergeCell ref="B274:E274"/>
    <mergeCell ref="C278:D278"/>
    <mergeCell ref="C279:D279"/>
    <mergeCell ref="C284:D284"/>
    <mergeCell ref="A302:E302"/>
    <mergeCell ref="D322:E322"/>
    <mergeCell ref="B329:E329"/>
    <mergeCell ref="A303:E303"/>
    <mergeCell ref="B306:C306"/>
    <mergeCell ref="A300:E300"/>
    <mergeCell ref="D267:E267"/>
    <mergeCell ref="D93:E93"/>
    <mergeCell ref="C160:D160"/>
    <mergeCell ref="C104:D104"/>
    <mergeCell ref="C105:D105"/>
    <mergeCell ref="C110:D110"/>
    <mergeCell ref="A125:E125"/>
    <mergeCell ref="A126:E126"/>
    <mergeCell ref="A127:E127"/>
    <mergeCell ref="A128:E128"/>
    <mergeCell ref="B100:E100"/>
    <mergeCell ref="B130:C130"/>
    <mergeCell ref="D148:E148"/>
    <mergeCell ref="B155:E155"/>
    <mergeCell ref="C159:D159"/>
    <mergeCell ref="C165:D165"/>
    <mergeCell ref="A186:E186"/>
    <mergeCell ref="A187:E187"/>
    <mergeCell ref="A188:E188"/>
    <mergeCell ref="A244:E244"/>
    <mergeCell ref="A245:E245"/>
    <mergeCell ref="A246:E246"/>
    <mergeCell ref="A247:E247"/>
    <mergeCell ref="A1:E1"/>
    <mergeCell ref="A2:E2"/>
    <mergeCell ref="A3:E3"/>
    <mergeCell ref="A4:E4"/>
    <mergeCell ref="B6:C6"/>
    <mergeCell ref="A64:E64"/>
    <mergeCell ref="A65:E65"/>
    <mergeCell ref="A66:E66"/>
    <mergeCell ref="A67:E67"/>
    <mergeCell ref="B45:C45"/>
    <mergeCell ref="B50:E50"/>
    <mergeCell ref="B51:E51"/>
    <mergeCell ref="B52:E52"/>
    <mergeCell ref="C56:D56"/>
    <mergeCell ref="C57:D57"/>
    <mergeCell ref="B69:C69"/>
    <mergeCell ref="D438:E438"/>
    <mergeCell ref="B445:E445"/>
    <mergeCell ref="C449:D449"/>
    <mergeCell ref="C450:D450"/>
    <mergeCell ref="C456:D456"/>
    <mergeCell ref="A416:E416"/>
    <mergeCell ref="A417:E417"/>
    <mergeCell ref="A418:E418"/>
    <mergeCell ref="A419:E419"/>
    <mergeCell ref="B422:C422"/>
    <mergeCell ref="D495:E495"/>
    <mergeCell ref="B502:E502"/>
    <mergeCell ref="C506:D506"/>
    <mergeCell ref="C507:D507"/>
    <mergeCell ref="C512:D512"/>
    <mergeCell ref="A473:E473"/>
    <mergeCell ref="A474:E474"/>
    <mergeCell ref="A475:E475"/>
    <mergeCell ref="A476:E476"/>
    <mergeCell ref="B479:C479"/>
    <mergeCell ref="D550:E550"/>
    <mergeCell ref="B557:E557"/>
    <mergeCell ref="C561:D561"/>
    <mergeCell ref="C562:D562"/>
    <mergeCell ref="C568:D568"/>
    <mergeCell ref="A528:E528"/>
    <mergeCell ref="A529:E529"/>
    <mergeCell ref="A530:E530"/>
    <mergeCell ref="A531:E531"/>
    <mergeCell ref="B534:C534"/>
    <mergeCell ref="D607:E607"/>
    <mergeCell ref="B614:E614"/>
    <mergeCell ref="C618:D618"/>
    <mergeCell ref="C619:D619"/>
    <mergeCell ref="C625:D625"/>
    <mergeCell ref="A585:E585"/>
    <mergeCell ref="A586:E586"/>
    <mergeCell ref="A587:E587"/>
    <mergeCell ref="A588:E588"/>
    <mergeCell ref="B591:C591"/>
    <mergeCell ref="D664:E664"/>
    <mergeCell ref="B671:E671"/>
    <mergeCell ref="C675:D675"/>
    <mergeCell ref="C676:D676"/>
    <mergeCell ref="A642:E642"/>
    <mergeCell ref="A643:E643"/>
    <mergeCell ref="A644:E644"/>
    <mergeCell ref="A645:E645"/>
    <mergeCell ref="B648:C648"/>
  </mergeCells>
  <pageMargins left="0.43307086614173229" right="0.31496062992125984" top="0.98425196850393704" bottom="0.78740157480314965" header="0.98425196850393704" footer="0.55118110236220474"/>
  <pageSetup paperSize="9" scale="80" orientation="portrait" r:id="rId1"/>
  <headerFooter alignWithMargins="0"/>
  <drawing r:id="rId2"/>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R40"/>
  <sheetViews>
    <sheetView topLeftCell="A10" zoomScale="60" zoomScaleNormal="60" workbookViewId="0">
      <selection activeCell="H40" sqref="H40"/>
    </sheetView>
  </sheetViews>
  <sheetFormatPr defaultColWidth="9.140625" defaultRowHeight="18"/>
  <cols>
    <col min="1" max="1" width="5.7109375" style="2089" customWidth="1"/>
    <col min="2" max="2" width="21.85546875" style="2089" customWidth="1"/>
    <col min="3" max="3" width="21" style="2089" customWidth="1"/>
    <col min="4" max="5" width="18" style="2089" customWidth="1"/>
    <col min="6" max="6" width="33" style="2089" customWidth="1"/>
    <col min="7" max="7" width="25.42578125" style="2089" customWidth="1"/>
    <col min="8" max="8" width="23" style="2089" customWidth="1"/>
    <col min="9" max="9" width="9" style="2089" customWidth="1"/>
    <col min="10" max="10" width="24" style="2096" customWidth="1"/>
    <col min="11" max="11" width="21.5703125" style="2096" customWidth="1"/>
    <col min="12" max="12" width="23.85546875" style="2110" customWidth="1"/>
    <col min="13" max="16384" width="9.140625" style="2089"/>
  </cols>
  <sheetData>
    <row r="1" spans="1:18" ht="23.25">
      <c r="A1" s="2085" t="s">
        <v>1804</v>
      </c>
      <c r="B1" s="2086"/>
      <c r="C1" s="2086"/>
      <c r="D1" s="2086"/>
      <c r="E1" s="2086"/>
      <c r="F1" s="2086"/>
      <c r="G1" s="2086"/>
      <c r="H1" s="2086"/>
      <c r="I1" s="2086"/>
      <c r="J1" s="2087"/>
      <c r="K1" s="2087"/>
      <c r="L1" s="2088"/>
    </row>
    <row r="2" spans="1:18" ht="18.75">
      <c r="A2" s="2090" t="str">
        <f>"Per - "&amp;DT!D27</f>
        <v>Per - 29 Februari 2016 2016</v>
      </c>
      <c r="B2" s="2086"/>
      <c r="C2" s="2086"/>
      <c r="D2" s="2086"/>
      <c r="E2" s="2086"/>
      <c r="F2" s="2086"/>
      <c r="G2" s="2086"/>
      <c r="H2" s="2086"/>
      <c r="I2" s="2086"/>
      <c r="J2" s="2087"/>
      <c r="K2" s="2087"/>
      <c r="L2" s="2088"/>
    </row>
    <row r="3" spans="1:18">
      <c r="A3" s="3410"/>
      <c r="B3" s="3410"/>
      <c r="C3" s="3410"/>
      <c r="D3" s="3410"/>
      <c r="E3" s="3410"/>
      <c r="F3" s="3410"/>
      <c r="G3" s="3410"/>
      <c r="H3" s="3410"/>
      <c r="I3" s="3410"/>
      <c r="J3" s="3410"/>
      <c r="K3" s="3410"/>
      <c r="L3" s="3410"/>
    </row>
    <row r="4" spans="1:18">
      <c r="A4" s="2092" t="s">
        <v>2</v>
      </c>
      <c r="B4" s="2092"/>
      <c r="C4" s="2093" t="str">
        <f>": "&amp;DT!D3</f>
        <v>: Nagrak</v>
      </c>
      <c r="D4" s="2093"/>
      <c r="E4" s="2093"/>
      <c r="F4" s="2093"/>
      <c r="H4" s="2092"/>
      <c r="I4" s="2094" t="s">
        <v>52</v>
      </c>
      <c r="J4" s="2095">
        <v>0</v>
      </c>
      <c r="L4" s="2093"/>
      <c r="N4" s="2097"/>
    </row>
    <row r="5" spans="1:18">
      <c r="A5" s="2092" t="s">
        <v>4</v>
      </c>
      <c r="B5" s="2092"/>
      <c r="C5" s="2093" t="str">
        <f>": "&amp;DT!D4</f>
        <v>: Sukabumi</v>
      </c>
      <c r="D5" s="2093"/>
      <c r="E5" s="2093"/>
      <c r="F5" s="2093"/>
      <c r="H5" s="2092"/>
      <c r="I5" s="2094" t="s">
        <v>53</v>
      </c>
      <c r="J5" s="2095">
        <v>0</v>
      </c>
      <c r="L5" s="2093"/>
      <c r="N5" s="2097"/>
    </row>
    <row r="6" spans="1:18">
      <c r="A6" s="2092" t="s">
        <v>1516</v>
      </c>
      <c r="B6" s="2092"/>
      <c r="C6" s="2093" t="str">
        <f>": "&amp;DT!D5</f>
        <v>: Jawa Barat</v>
      </c>
      <c r="D6" s="2093"/>
      <c r="E6" s="2093"/>
      <c r="F6" s="2093"/>
      <c r="H6" s="2092"/>
      <c r="I6" s="2092"/>
      <c r="J6" s="2089"/>
      <c r="K6" s="2098"/>
      <c r="L6" s="2098"/>
      <c r="N6" s="2099"/>
    </row>
    <row r="7" spans="1:18" s="2092" customFormat="1" ht="35.25" customHeight="1">
      <c r="A7" s="3410" t="s">
        <v>72</v>
      </c>
      <c r="B7" s="3410" t="s">
        <v>1805</v>
      </c>
      <c r="C7" s="3410" t="s">
        <v>1815</v>
      </c>
      <c r="D7" s="3410" t="s">
        <v>1816</v>
      </c>
      <c r="E7" s="3410"/>
      <c r="F7" s="3410" t="s">
        <v>1819</v>
      </c>
      <c r="G7" s="3410" t="s">
        <v>1806</v>
      </c>
      <c r="H7" s="3410"/>
      <c r="I7" s="3410"/>
      <c r="J7" s="3410" t="s">
        <v>1807</v>
      </c>
      <c r="K7" s="3410"/>
      <c r="L7" s="3410"/>
    </row>
    <row r="8" spans="1:18" s="2092" customFormat="1">
      <c r="A8" s="3410"/>
      <c r="B8" s="3410"/>
      <c r="C8" s="3410"/>
      <c r="D8" s="2126" t="s">
        <v>1817</v>
      </c>
      <c r="E8" s="2126" t="s">
        <v>1818</v>
      </c>
      <c r="F8" s="3410"/>
      <c r="G8" s="2123" t="s">
        <v>1808</v>
      </c>
      <c r="H8" s="2123" t="s">
        <v>1809</v>
      </c>
      <c r="I8" s="2123" t="s">
        <v>1776</v>
      </c>
      <c r="J8" s="2123" t="s">
        <v>1626</v>
      </c>
      <c r="K8" s="2123" t="s">
        <v>1625</v>
      </c>
      <c r="L8" s="2123" t="s">
        <v>492</v>
      </c>
    </row>
    <row r="9" spans="1:18">
      <c r="A9" s="2100"/>
      <c r="B9" s="2101"/>
      <c r="C9" s="2128"/>
      <c r="D9" s="2127"/>
      <c r="E9" s="2127"/>
      <c r="F9" s="2127"/>
      <c r="G9" s="2101"/>
      <c r="H9" s="2101"/>
      <c r="I9" s="2102"/>
      <c r="J9" s="2103"/>
      <c r="K9" s="2103"/>
      <c r="L9" s="2104" t="str">
        <f>IF(SUM(J9:K9)=0,"",SUM(J9:K9))</f>
        <v/>
      </c>
      <c r="N9" s="2105"/>
      <c r="O9" s="2105"/>
      <c r="P9" s="2106"/>
      <c r="Q9" s="2106"/>
      <c r="R9" s="2092"/>
    </row>
    <row r="10" spans="1:18">
      <c r="A10" s="2100"/>
      <c r="B10" s="2101"/>
      <c r="C10" s="2128"/>
      <c r="D10" s="2127"/>
      <c r="E10" s="2127"/>
      <c r="F10" s="2127"/>
      <c r="G10" s="2101"/>
      <c r="H10" s="2101"/>
      <c r="I10" s="2102"/>
      <c r="J10" s="2103"/>
      <c r="K10" s="2103"/>
      <c r="L10" s="2104" t="str">
        <f t="shared" ref="L10:L23" si="0">IF(SUM(J10:K10)=0,"",SUM(J10:K10))</f>
        <v/>
      </c>
      <c r="N10" s="2105"/>
      <c r="O10" s="2105"/>
      <c r="P10" s="2106"/>
      <c r="Q10" s="2106"/>
      <c r="R10" s="2092"/>
    </row>
    <row r="11" spans="1:18">
      <c r="A11" s="2100"/>
      <c r="B11" s="2101"/>
      <c r="C11" s="2128"/>
      <c r="D11" s="2127"/>
      <c r="E11" s="2127"/>
      <c r="F11" s="2127"/>
      <c r="G11" s="2101"/>
      <c r="H11" s="2101"/>
      <c r="I11" s="2102"/>
      <c r="J11" s="2103"/>
      <c r="K11" s="2103"/>
      <c r="L11" s="2104" t="str">
        <f t="shared" si="0"/>
        <v/>
      </c>
      <c r="N11" s="2105"/>
      <c r="O11" s="2105"/>
      <c r="P11" s="2106"/>
      <c r="Q11" s="2106"/>
      <c r="R11" s="2092"/>
    </row>
    <row r="12" spans="1:18">
      <c r="A12" s="2100"/>
      <c r="B12" s="2101"/>
      <c r="C12" s="2128"/>
      <c r="D12" s="2127"/>
      <c r="E12" s="2127"/>
      <c r="F12" s="2127"/>
      <c r="G12" s="2101"/>
      <c r="H12" s="2101"/>
      <c r="I12" s="2102"/>
      <c r="J12" s="2103"/>
      <c r="K12" s="2103"/>
      <c r="L12" s="2104" t="str">
        <f t="shared" si="0"/>
        <v/>
      </c>
      <c r="N12" s="2105"/>
      <c r="O12" s="2105"/>
      <c r="P12" s="2106"/>
      <c r="Q12" s="2106"/>
      <c r="R12" s="2092"/>
    </row>
    <row r="13" spans="1:18">
      <c r="A13" s="2100"/>
      <c r="B13" s="2101"/>
      <c r="C13" s="2128"/>
      <c r="D13" s="2127"/>
      <c r="E13" s="2127"/>
      <c r="F13" s="2127"/>
      <c r="G13" s="2101"/>
      <c r="H13" s="2101"/>
      <c r="I13" s="2102"/>
      <c r="J13" s="2103"/>
      <c r="K13" s="2103"/>
      <c r="L13" s="2104" t="str">
        <f t="shared" si="0"/>
        <v/>
      </c>
      <c r="N13" s="2105"/>
      <c r="O13" s="2105"/>
      <c r="P13" s="2106"/>
      <c r="Q13" s="2106"/>
      <c r="R13" s="2092"/>
    </row>
    <row r="14" spans="1:18">
      <c r="A14" s="2100"/>
      <c r="B14" s="2101"/>
      <c r="C14" s="2128"/>
      <c r="D14" s="2127"/>
      <c r="E14" s="2127"/>
      <c r="F14" s="2127"/>
      <c r="G14" s="2101"/>
      <c r="H14" s="2101"/>
      <c r="I14" s="2102"/>
      <c r="J14" s="2103"/>
      <c r="K14" s="2103"/>
      <c r="L14" s="2104" t="str">
        <f t="shared" si="0"/>
        <v/>
      </c>
      <c r="N14" s="2105"/>
      <c r="O14" s="2105"/>
      <c r="P14" s="2106"/>
      <c r="Q14" s="2106"/>
      <c r="R14" s="2092"/>
    </row>
    <row r="15" spans="1:18">
      <c r="A15" s="2100"/>
      <c r="B15" s="2101"/>
      <c r="C15" s="2128"/>
      <c r="D15" s="2127"/>
      <c r="E15" s="2127"/>
      <c r="F15" s="2127"/>
      <c r="G15" s="2101"/>
      <c r="H15" s="2101"/>
      <c r="I15" s="2102"/>
      <c r="J15" s="2103"/>
      <c r="K15" s="2103"/>
      <c r="L15" s="2104" t="str">
        <f t="shared" si="0"/>
        <v/>
      </c>
      <c r="N15" s="2105"/>
      <c r="O15" s="2105"/>
      <c r="P15" s="2106"/>
      <c r="Q15" s="2106"/>
      <c r="R15" s="2092"/>
    </row>
    <row r="16" spans="1:18">
      <c r="A16" s="2100" t="s">
        <v>1632</v>
      </c>
      <c r="B16" s="2101"/>
      <c r="C16" s="2128"/>
      <c r="D16" s="2127"/>
      <c r="E16" s="2127"/>
      <c r="F16" s="2127"/>
      <c r="G16" s="2101"/>
      <c r="H16" s="2101"/>
      <c r="I16" s="2102"/>
      <c r="J16" s="2103"/>
      <c r="K16" s="2103"/>
      <c r="L16" s="2104" t="str">
        <f t="shared" si="0"/>
        <v/>
      </c>
      <c r="M16" s="2107"/>
      <c r="N16" s="2108"/>
      <c r="O16" s="2108"/>
      <c r="P16" s="2109"/>
      <c r="Q16" s="2106"/>
      <c r="R16" s="2092"/>
    </row>
    <row r="17" spans="1:16">
      <c r="A17" s="2100" t="s">
        <v>1632</v>
      </c>
      <c r="B17" s="2101"/>
      <c r="C17" s="2128"/>
      <c r="D17" s="2127"/>
      <c r="E17" s="2127"/>
      <c r="F17" s="2127"/>
      <c r="G17" s="2101"/>
      <c r="H17" s="2101"/>
      <c r="I17" s="2102"/>
      <c r="J17" s="2103"/>
      <c r="K17" s="2103"/>
      <c r="L17" s="2104" t="str">
        <f t="shared" si="0"/>
        <v/>
      </c>
      <c r="N17" s="1342"/>
      <c r="O17" s="2106"/>
      <c r="P17" s="1342"/>
    </row>
    <row r="18" spans="1:16">
      <c r="A18" s="2100" t="s">
        <v>1632</v>
      </c>
      <c r="B18" s="2101"/>
      <c r="C18" s="2128"/>
      <c r="D18" s="2127"/>
      <c r="E18" s="2127"/>
      <c r="F18" s="2127"/>
      <c r="G18" s="2101"/>
      <c r="H18" s="2101"/>
      <c r="I18" s="2102"/>
      <c r="J18" s="2103"/>
      <c r="K18" s="2103"/>
      <c r="L18" s="2104" t="str">
        <f t="shared" si="0"/>
        <v/>
      </c>
      <c r="N18" s="1342"/>
      <c r="O18" s="2106"/>
      <c r="P18" s="1342"/>
    </row>
    <row r="19" spans="1:16">
      <c r="A19" s="2100" t="s">
        <v>1632</v>
      </c>
      <c r="B19" s="2101"/>
      <c r="C19" s="2128"/>
      <c r="D19" s="2127"/>
      <c r="E19" s="2127"/>
      <c r="F19" s="2127"/>
      <c r="G19" s="2101"/>
      <c r="H19" s="2101"/>
      <c r="I19" s="2102"/>
      <c r="J19" s="2103"/>
      <c r="K19" s="2103"/>
      <c r="L19" s="2104" t="str">
        <f t="shared" si="0"/>
        <v/>
      </c>
      <c r="N19" s="1342"/>
      <c r="O19" s="2106"/>
      <c r="P19" s="1342"/>
    </row>
    <row r="20" spans="1:16">
      <c r="A20" s="2100" t="s">
        <v>1632</v>
      </c>
      <c r="B20" s="2101"/>
      <c r="C20" s="2128"/>
      <c r="D20" s="2127"/>
      <c r="E20" s="2127"/>
      <c r="F20" s="2127"/>
      <c r="G20" s="2101"/>
      <c r="H20" s="2101"/>
      <c r="I20" s="2102"/>
      <c r="J20" s="2103"/>
      <c r="K20" s="2103"/>
      <c r="L20" s="2104" t="str">
        <f t="shared" si="0"/>
        <v/>
      </c>
      <c r="N20" s="1342"/>
      <c r="O20" s="2106"/>
      <c r="P20" s="1342"/>
    </row>
    <row r="21" spans="1:16">
      <c r="A21" s="2100" t="s">
        <v>1632</v>
      </c>
      <c r="B21" s="2101"/>
      <c r="C21" s="2128"/>
      <c r="D21" s="2127"/>
      <c r="E21" s="2127"/>
      <c r="F21" s="2127"/>
      <c r="G21" s="2101"/>
      <c r="H21" s="2101"/>
      <c r="I21" s="2102"/>
      <c r="J21" s="2103"/>
      <c r="K21" s="2103"/>
      <c r="L21" s="2104" t="str">
        <f t="shared" si="0"/>
        <v/>
      </c>
      <c r="N21" s="1342"/>
      <c r="O21" s="2106"/>
      <c r="P21" s="1342"/>
    </row>
    <row r="22" spans="1:16">
      <c r="A22" s="2100" t="s">
        <v>1632</v>
      </c>
      <c r="B22" s="2101"/>
      <c r="C22" s="2128"/>
      <c r="D22" s="2127"/>
      <c r="E22" s="2127"/>
      <c r="F22" s="2127"/>
      <c r="G22" s="2101"/>
      <c r="H22" s="2101"/>
      <c r="I22" s="2102"/>
      <c r="J22" s="2103"/>
      <c r="K22" s="2103"/>
      <c r="L22" s="2104" t="str">
        <f t="shared" si="0"/>
        <v/>
      </c>
      <c r="N22" s="1342"/>
      <c r="O22" s="2106"/>
      <c r="P22" s="1342"/>
    </row>
    <row r="23" spans="1:16">
      <c r="A23" s="2100" t="s">
        <v>1632</v>
      </c>
      <c r="B23" s="2101"/>
      <c r="C23" s="2128"/>
      <c r="D23" s="2127"/>
      <c r="E23" s="2127"/>
      <c r="F23" s="2127"/>
      <c r="G23" s="2101"/>
      <c r="H23" s="2101"/>
      <c r="I23" s="2102"/>
      <c r="J23" s="2103"/>
      <c r="K23" s="2103"/>
      <c r="L23" s="2104" t="str">
        <f t="shared" si="0"/>
        <v/>
      </c>
      <c r="N23" s="1342"/>
      <c r="O23" s="2106"/>
      <c r="P23" s="1342"/>
    </row>
    <row r="24" spans="1:16">
      <c r="A24" s="3410" t="s">
        <v>77</v>
      </c>
      <c r="B24" s="3410"/>
      <c r="C24" s="2124"/>
      <c r="D24" s="2124">
        <f>COUNT(D9:D23)</f>
        <v>0</v>
      </c>
      <c r="E24" s="2124">
        <f>COUNT(E9:E23)</f>
        <v>0</v>
      </c>
      <c r="F24" s="2124"/>
      <c r="G24" s="2124"/>
      <c r="H24" s="2124"/>
      <c r="I24" s="2124"/>
      <c r="J24" s="2125">
        <f>SUM(J9:J23)</f>
        <v>0</v>
      </c>
      <c r="K24" s="2125">
        <f>SUM(K9:K23)</f>
        <v>0</v>
      </c>
      <c r="L24" s="2125">
        <f>SUM(L9:L23)</f>
        <v>0</v>
      </c>
      <c r="N24" s="2099"/>
    </row>
    <row r="25" spans="1:16">
      <c r="N25" s="2097"/>
    </row>
    <row r="26" spans="1:16">
      <c r="A26" s="2092" t="s">
        <v>767</v>
      </c>
    </row>
    <row r="27" spans="1:16">
      <c r="A27" s="3410" t="s">
        <v>1812</v>
      </c>
      <c r="B27" s="3410"/>
      <c r="C27" s="3410"/>
      <c r="D27" s="3410"/>
      <c r="E27" s="3410"/>
      <c r="F27" s="3410"/>
      <c r="G27" s="3410"/>
      <c r="H27" s="3410"/>
      <c r="I27" s="3410"/>
      <c r="J27" s="3410"/>
      <c r="K27" s="3410"/>
      <c r="L27" s="3410"/>
    </row>
    <row r="28" spans="1:16">
      <c r="A28" s="3410"/>
      <c r="B28" s="3410"/>
      <c r="C28" s="3410"/>
      <c r="D28" s="3410"/>
      <c r="E28" s="3410"/>
      <c r="F28" s="3410"/>
      <c r="G28" s="3410"/>
      <c r="H28" s="3410"/>
      <c r="I28" s="3410"/>
      <c r="J28" s="3410"/>
      <c r="K28" s="3410"/>
      <c r="L28" s="3410"/>
    </row>
    <row r="29" spans="1:16">
      <c r="A29" s="3410"/>
      <c r="B29" s="3410"/>
      <c r="C29" s="3410"/>
      <c r="D29" s="3410"/>
      <c r="E29" s="3410"/>
      <c r="F29" s="3410"/>
      <c r="G29" s="3410"/>
      <c r="H29" s="3410"/>
      <c r="I29" s="3410"/>
      <c r="J29" s="3410"/>
      <c r="K29" s="3410"/>
      <c r="L29" s="3410"/>
    </row>
    <row r="30" spans="1:16">
      <c r="A30" s="3410"/>
      <c r="B30" s="3410"/>
      <c r="C30" s="3410"/>
      <c r="D30" s="3410"/>
      <c r="E30" s="3410"/>
      <c r="F30" s="3410"/>
      <c r="G30" s="3410"/>
      <c r="H30" s="3410"/>
      <c r="I30" s="3410"/>
      <c r="J30" s="3410"/>
      <c r="K30" s="3410"/>
      <c r="L30" s="3410"/>
    </row>
    <row r="32" spans="1:16">
      <c r="C32" s="2111" t="s">
        <v>209</v>
      </c>
      <c r="D32" s="2111"/>
      <c r="E32" s="2111"/>
      <c r="F32" s="2111"/>
      <c r="G32" s="2111"/>
      <c r="H32" s="2111"/>
      <c r="I32" s="2111" t="s">
        <v>1810</v>
      </c>
      <c r="J32" s="2111"/>
      <c r="K32" s="2089"/>
      <c r="L32" s="2091" t="s">
        <v>1529</v>
      </c>
    </row>
    <row r="33" spans="1:12">
      <c r="A33" s="2112"/>
      <c r="C33" s="2091"/>
      <c r="D33" s="2091"/>
      <c r="E33" s="2091"/>
      <c r="F33" s="2091"/>
      <c r="H33" s="2096"/>
      <c r="I33" s="2096"/>
      <c r="K33" s="2089"/>
      <c r="L33" s="2113"/>
    </row>
    <row r="34" spans="1:12">
      <c r="A34" s="2112"/>
      <c r="C34" s="2091"/>
      <c r="D34" s="2091"/>
      <c r="E34" s="2091"/>
      <c r="F34" s="2091"/>
      <c r="H34" s="2096"/>
      <c r="I34" s="2096"/>
      <c r="K34" s="2089"/>
      <c r="L34" s="2113"/>
    </row>
    <row r="35" spans="1:12">
      <c r="A35" s="2112"/>
      <c r="C35" s="2091"/>
      <c r="D35" s="2091"/>
      <c r="E35" s="2091"/>
      <c r="F35" s="2091"/>
      <c r="H35" s="2096"/>
      <c r="I35" s="2096"/>
      <c r="K35" s="2089"/>
    </row>
    <row r="36" spans="1:12">
      <c r="A36" s="2114"/>
      <c r="C36" s="2115"/>
      <c r="D36" s="2115"/>
      <c r="E36" s="2115"/>
      <c r="F36" s="2115"/>
      <c r="G36" s="2116"/>
      <c r="H36" s="2117"/>
      <c r="I36" s="2117"/>
      <c r="J36" s="2117"/>
      <c r="K36" s="2089"/>
    </row>
    <row r="37" spans="1:12">
      <c r="A37" s="2114"/>
      <c r="C37" s="2115"/>
      <c r="D37" s="2115"/>
      <c r="E37" s="2115"/>
      <c r="F37" s="2115"/>
      <c r="G37" s="2116"/>
      <c r="H37" s="2117"/>
      <c r="I37" s="2117"/>
      <c r="J37" s="2117"/>
      <c r="K37" s="2089"/>
    </row>
    <row r="38" spans="1:12">
      <c r="C38" s="2118">
        <f>DT!D11</f>
        <v>0</v>
      </c>
      <c r="D38" s="2118"/>
      <c r="E38" s="2118"/>
      <c r="F38" s="2118"/>
      <c r="G38" s="2118"/>
      <c r="H38" s="2119" t="str">
        <f>DT!D7</f>
        <v>-</v>
      </c>
      <c r="I38" s="2119"/>
      <c r="J38" s="2119" t="str">
        <f>DT!D14</f>
        <v>Endang Taryana</v>
      </c>
      <c r="K38" s="2089"/>
      <c r="L38" s="2120" t="str">
        <f>DT!D15</f>
        <v>Arin Yustini, SE</v>
      </c>
    </row>
    <row r="39" spans="1:12">
      <c r="C39" s="2121" t="s">
        <v>1811</v>
      </c>
      <c r="D39" s="2121"/>
      <c r="E39" s="2121"/>
      <c r="F39" s="2121"/>
      <c r="G39" s="2121"/>
      <c r="H39" s="2115" t="s">
        <v>211</v>
      </c>
      <c r="I39" s="2115"/>
      <c r="J39" s="2115" t="s">
        <v>23</v>
      </c>
      <c r="K39" s="2089"/>
      <c r="L39" s="2122" t="s">
        <v>24</v>
      </c>
    </row>
    <row r="40" spans="1:12">
      <c r="A40" s="2116"/>
      <c r="B40" s="2116"/>
      <c r="C40" s="2116"/>
      <c r="D40" s="2116"/>
      <c r="E40" s="2116"/>
      <c r="F40" s="2116"/>
      <c r="G40" s="2116"/>
      <c r="H40" s="2116"/>
      <c r="I40" s="2116"/>
      <c r="J40" s="2117"/>
      <c r="K40" s="2117"/>
    </row>
  </sheetData>
  <sheetProtection password="C13C" sheet="1" objects="1" scenarios="1" formatColumns="0" formatRows="0"/>
  <protectedRanges>
    <protectedRange sqref="A9:L23" name="Range1"/>
  </protectedRanges>
  <mergeCells count="10">
    <mergeCell ref="A24:B24"/>
    <mergeCell ref="A27:L30"/>
    <mergeCell ref="D7:E7"/>
    <mergeCell ref="F7:F8"/>
    <mergeCell ref="A3:L3"/>
    <mergeCell ref="A7:A8"/>
    <mergeCell ref="B7:B8"/>
    <mergeCell ref="C7:C8"/>
    <mergeCell ref="G7:I7"/>
    <mergeCell ref="J7:L7"/>
  </mergeCells>
  <dataValidations count="1">
    <dataValidation type="list" allowBlank="1" showInputMessage="1" showErrorMessage="1" sqref="I9:I23">
      <formula1>"UEP,SPP"</formula1>
    </dataValidation>
  </dataValidations>
  <printOptions horizontalCentered="1" verticalCentered="1"/>
  <pageMargins left="0.2" right="0.2" top="0.5" bottom="0.25" header="0.3" footer="0.3"/>
  <pageSetup paperSize="9" scale="58" orientation="landscape" r:id="rId1"/>
  <drawing r:id="rId2"/>
  <legacyDrawing r:id="rId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11"/>
  </sheetPr>
  <dimension ref="A1:AB120"/>
  <sheetViews>
    <sheetView zoomScale="55" zoomScaleNormal="55" workbookViewId="0">
      <pane xSplit="2" ySplit="12" topLeftCell="C13" activePane="bottomRight" state="frozen"/>
      <selection activeCell="K118" sqref="K118"/>
      <selection pane="topRight" activeCell="K118" sqref="K118"/>
      <selection pane="bottomLeft" activeCell="K118" sqref="K118"/>
      <selection pane="bottomRight" sqref="A1:W12"/>
    </sheetView>
  </sheetViews>
  <sheetFormatPr defaultColWidth="9.140625" defaultRowHeight="12.75"/>
  <cols>
    <col min="1" max="1" width="6" style="1570" customWidth="1"/>
    <col min="2" max="2" width="22.42578125" style="1570" customWidth="1"/>
    <col min="3" max="3" width="7.85546875" style="1570" customWidth="1"/>
    <col min="4" max="4" width="8.42578125" style="1570" hidden="1" customWidth="1"/>
    <col min="5" max="5" width="7.85546875" style="1570" customWidth="1"/>
    <col min="6" max="6" width="16" style="1570" customWidth="1"/>
    <col min="7" max="7" width="16.140625" style="1570" customWidth="1"/>
    <col min="8" max="8" width="16.85546875" style="1570" customWidth="1"/>
    <col min="9" max="9" width="16.7109375" style="1571" customWidth="1"/>
    <col min="10" max="10" width="14.85546875" style="1571" customWidth="1"/>
    <col min="11" max="11" width="16.140625" style="1571" customWidth="1"/>
    <col min="12" max="12" width="15.140625" style="1571" customWidth="1"/>
    <col min="13" max="13" width="9.42578125" style="1570" customWidth="1"/>
    <col min="14" max="14" width="14.7109375" style="1570" customWidth="1"/>
    <col min="15" max="15" width="13.42578125" style="1570" customWidth="1"/>
    <col min="16" max="16" width="9.42578125" style="1570" customWidth="1"/>
    <col min="17" max="17" width="17.140625" style="1570" customWidth="1"/>
    <col min="18" max="18" width="15.7109375" style="1570" customWidth="1"/>
    <col min="19" max="19" width="8.7109375" style="1570" customWidth="1"/>
    <col min="20" max="20" width="16.28515625" style="1570" customWidth="1"/>
    <col min="21" max="21" width="11.42578125" style="1570" customWidth="1"/>
    <col min="22" max="22" width="15.28515625" style="1570" customWidth="1"/>
    <col min="23" max="23" width="13.85546875" style="1570" customWidth="1"/>
    <col min="24" max="24" width="0.42578125" style="1570" customWidth="1"/>
    <col min="25" max="25" width="16.28515625" style="1570" customWidth="1"/>
    <col min="26" max="26" width="16.140625" style="1570" customWidth="1"/>
    <col min="27" max="27" width="15.5703125" style="1570" customWidth="1"/>
    <col min="28" max="28" width="15.7109375" style="1570" customWidth="1"/>
    <col min="29" max="16384" width="9.140625" style="1570"/>
  </cols>
  <sheetData>
    <row r="1" spans="1:28" ht="21.75" customHeight="1">
      <c r="A1" s="3525" t="s">
        <v>123</v>
      </c>
      <c r="B1" s="3525"/>
      <c r="C1" s="3525"/>
      <c r="D1" s="3525"/>
      <c r="E1" s="3525"/>
      <c r="F1" s="3525"/>
      <c r="G1" s="3525"/>
      <c r="H1" s="3525"/>
      <c r="I1" s="3525"/>
      <c r="J1" s="3525"/>
      <c r="K1" s="3525"/>
      <c r="L1" s="3525"/>
      <c r="M1" s="3525"/>
      <c r="N1" s="3525"/>
      <c r="O1" s="3525"/>
      <c r="P1" s="3525"/>
      <c r="Q1" s="3525"/>
      <c r="R1" s="3525"/>
      <c r="S1" s="3525"/>
      <c r="T1" s="3525"/>
      <c r="U1" s="3525"/>
      <c r="V1" s="3525"/>
      <c r="W1" s="3525"/>
      <c r="X1" s="1661"/>
      <c r="Y1" s="1661"/>
      <c r="Z1" s="1661"/>
      <c r="AA1" s="1661"/>
      <c r="AB1" s="1661"/>
    </row>
    <row r="2" spans="1:28" ht="21.75" customHeight="1">
      <c r="A2" s="3525" t="s">
        <v>1518</v>
      </c>
      <c r="B2" s="3525"/>
      <c r="C2" s="3525"/>
      <c r="D2" s="3525"/>
      <c r="E2" s="3525"/>
      <c r="F2" s="3525"/>
      <c r="G2" s="3525"/>
      <c r="H2" s="3525"/>
      <c r="I2" s="3525"/>
      <c r="J2" s="3525"/>
      <c r="K2" s="3525"/>
      <c r="L2" s="3525"/>
      <c r="M2" s="3525"/>
      <c r="N2" s="3525"/>
      <c r="O2" s="3525"/>
      <c r="P2" s="3525"/>
      <c r="Q2" s="3525"/>
      <c r="R2" s="3525"/>
      <c r="S2" s="3525"/>
      <c r="T2" s="3525"/>
      <c r="U2" s="3525"/>
      <c r="V2" s="3525"/>
      <c r="W2" s="3525"/>
      <c r="X2" s="1661"/>
      <c r="Y2" s="1661"/>
      <c r="Z2" s="1661"/>
      <c r="AA2" s="1661"/>
      <c r="AB2" s="1661"/>
    </row>
    <row r="3" spans="1:28" ht="34.5">
      <c r="A3" s="3525" t="s">
        <v>1506</v>
      </c>
      <c r="B3" s="3525"/>
      <c r="C3" s="3525"/>
      <c r="D3" s="3525"/>
      <c r="E3" s="3525"/>
      <c r="F3" s="3525"/>
      <c r="G3" s="3525"/>
      <c r="H3" s="3525"/>
      <c r="I3" s="3525"/>
      <c r="J3" s="3525"/>
      <c r="K3" s="3525"/>
      <c r="L3" s="3525"/>
      <c r="M3" s="3525"/>
      <c r="N3" s="3525"/>
      <c r="O3" s="3525"/>
      <c r="P3" s="3525"/>
      <c r="Q3" s="3525"/>
      <c r="R3" s="3525"/>
      <c r="S3" s="3525"/>
      <c r="T3" s="3525"/>
      <c r="U3" s="3525"/>
      <c r="V3" s="3525"/>
      <c r="W3" s="3525"/>
      <c r="X3" s="1662"/>
      <c r="Y3" s="1661"/>
      <c r="Z3" s="1661"/>
      <c r="AA3" s="1661"/>
      <c r="AB3" s="1661"/>
    </row>
    <row r="4" spans="1:28" ht="21.75" customHeight="1">
      <c r="A4" s="3525" t="str">
        <f>"Per - "&amp;DT!D25&amp;" "&amp;DT!D26</f>
        <v>Per - Februari 2016 2016</v>
      </c>
      <c r="B4" s="3525"/>
      <c r="C4" s="3525"/>
      <c r="D4" s="3525"/>
      <c r="E4" s="3525"/>
      <c r="F4" s="3525"/>
      <c r="G4" s="3525"/>
      <c r="H4" s="3525"/>
      <c r="I4" s="3525"/>
      <c r="J4" s="3525"/>
      <c r="K4" s="3525"/>
      <c r="L4" s="3525"/>
      <c r="M4" s="3525"/>
      <c r="N4" s="3525"/>
      <c r="O4" s="3525"/>
      <c r="P4" s="3525"/>
      <c r="Q4" s="3525"/>
      <c r="R4" s="3525"/>
      <c r="S4" s="3525"/>
      <c r="T4" s="3525"/>
      <c r="U4" s="3525"/>
      <c r="V4" s="3525"/>
      <c r="W4" s="3525"/>
      <c r="X4" s="1661"/>
      <c r="Y4" s="1661"/>
      <c r="Z4" s="1661"/>
      <c r="AA4" s="1661"/>
      <c r="AB4" s="1661"/>
    </row>
    <row r="6" spans="1:28" s="1581" customFormat="1" ht="20.25" customHeight="1">
      <c r="A6" s="1659"/>
      <c r="B6" s="1659" t="s">
        <v>2</v>
      </c>
      <c r="C6" s="1595"/>
      <c r="D6" s="1595"/>
      <c r="E6" s="1595"/>
      <c r="F6" s="1658" t="str">
        <f>":  "&amp;DT!D3</f>
        <v>:  Nagrak</v>
      </c>
      <c r="I6" s="1586"/>
      <c r="J6" s="1586"/>
      <c r="K6" s="1586"/>
      <c r="L6" s="1586"/>
    </row>
    <row r="7" spans="1:28" s="1581" customFormat="1" ht="20.25" customHeight="1">
      <c r="A7" s="1659"/>
      <c r="B7" s="1659" t="s">
        <v>4</v>
      </c>
      <c r="C7" s="1595"/>
      <c r="D7" s="1595"/>
      <c r="E7" s="1595"/>
      <c r="F7" s="1658" t="str">
        <f>":  "&amp;DT!D4</f>
        <v>:  Sukabumi</v>
      </c>
      <c r="I7" s="1586"/>
      <c r="J7" s="1586"/>
      <c r="K7" s="1586"/>
      <c r="L7" s="1586"/>
      <c r="V7" s="1660"/>
    </row>
    <row r="8" spans="1:28" s="1581" customFormat="1" ht="20.25" customHeight="1">
      <c r="A8" s="1659"/>
      <c r="B8" s="1659" t="s">
        <v>1516</v>
      </c>
      <c r="C8" s="1595"/>
      <c r="D8" s="1595"/>
      <c r="E8" s="1595"/>
      <c r="F8" s="1658" t="str">
        <f>":  "&amp;DT!D5</f>
        <v>:  Jawa Barat</v>
      </c>
      <c r="I8" s="1586"/>
      <c r="J8" s="1586"/>
      <c r="K8" s="1586"/>
      <c r="L8" s="1586"/>
      <c r="M8" s="1586"/>
      <c r="N8" s="1586"/>
    </row>
    <row r="9" spans="1:28" s="1581" customFormat="1" ht="15.75" thickBot="1">
      <c r="G9" s="1657"/>
      <c r="H9" s="1657"/>
      <c r="I9" s="1657"/>
      <c r="J9" s="1657"/>
      <c r="K9" s="1657"/>
      <c r="L9" s="1657"/>
    </row>
    <row r="10" spans="1:28" s="1581" customFormat="1" ht="56.25" customHeight="1" thickTop="1">
      <c r="A10" s="3586" t="s">
        <v>36</v>
      </c>
      <c r="B10" s="3587" t="s">
        <v>1515</v>
      </c>
      <c r="C10" s="3704" t="s">
        <v>1505</v>
      </c>
      <c r="D10" s="2581"/>
      <c r="E10" s="3704" t="s">
        <v>1498</v>
      </c>
      <c r="F10" s="3704" t="s">
        <v>1497</v>
      </c>
      <c r="G10" s="3704"/>
      <c r="H10" s="3704" t="s">
        <v>1496</v>
      </c>
      <c r="I10" s="3704" t="s">
        <v>1514</v>
      </c>
      <c r="J10" s="3704"/>
      <c r="K10" s="3704" t="s">
        <v>1513</v>
      </c>
      <c r="L10" s="3704"/>
      <c r="M10" s="3704"/>
      <c r="N10" s="3704" t="s">
        <v>1489</v>
      </c>
      <c r="O10" s="3704"/>
      <c r="P10" s="3704"/>
      <c r="Q10" s="3704" t="s">
        <v>1488</v>
      </c>
      <c r="R10" s="3704"/>
      <c r="S10" s="3704"/>
      <c r="T10" s="3704" t="s">
        <v>1487</v>
      </c>
      <c r="U10" s="3704" t="s">
        <v>1486</v>
      </c>
      <c r="V10" s="3704" t="s">
        <v>1485</v>
      </c>
      <c r="W10" s="3707"/>
      <c r="X10" s="3410" t="s">
        <v>1512</v>
      </c>
      <c r="Y10" s="1656" t="s">
        <v>1511</v>
      </c>
      <c r="Z10" s="1655" t="s">
        <v>1510</v>
      </c>
      <c r="AA10" s="1655" t="s">
        <v>1509</v>
      </c>
      <c r="AB10" s="1654" t="s">
        <v>1508</v>
      </c>
    </row>
    <row r="11" spans="1:28" s="1581" customFormat="1" ht="26.25" customHeight="1" thickBot="1">
      <c r="A11" s="3591"/>
      <c r="B11" s="3592"/>
      <c r="C11" s="3705"/>
      <c r="D11" s="2582"/>
      <c r="E11" s="3705"/>
      <c r="F11" s="2583" t="s">
        <v>16</v>
      </c>
      <c r="G11" s="2583" t="s">
        <v>1476</v>
      </c>
      <c r="H11" s="3705"/>
      <c r="I11" s="2583" t="s">
        <v>16</v>
      </c>
      <c r="J11" s="2583" t="s">
        <v>1476</v>
      </c>
      <c r="K11" s="2583" t="s">
        <v>16</v>
      </c>
      <c r="L11" s="2583" t="s">
        <v>1476</v>
      </c>
      <c r="M11" s="2583" t="s">
        <v>1477</v>
      </c>
      <c r="N11" s="2583" t="s">
        <v>16</v>
      </c>
      <c r="O11" s="2583" t="s">
        <v>1476</v>
      </c>
      <c r="P11" s="2583" t="s">
        <v>1477</v>
      </c>
      <c r="Q11" s="2583" t="s">
        <v>16</v>
      </c>
      <c r="R11" s="2583" t="s">
        <v>1476</v>
      </c>
      <c r="S11" s="2583" t="s">
        <v>1477</v>
      </c>
      <c r="T11" s="3705"/>
      <c r="U11" s="3705"/>
      <c r="V11" s="2583" t="s">
        <v>16</v>
      </c>
      <c r="W11" s="2584" t="s">
        <v>1476</v>
      </c>
      <c r="X11" s="3410"/>
      <c r="Y11" s="1649" t="s">
        <v>1475</v>
      </c>
      <c r="Z11" s="1648" t="s">
        <v>1474</v>
      </c>
      <c r="AA11" s="1648" t="s">
        <v>1473</v>
      </c>
      <c r="AB11" s="1647" t="s">
        <v>1472</v>
      </c>
    </row>
    <row r="12" spans="1:28" s="1629" customFormat="1" ht="15.75" customHeight="1" thickTop="1" thickBot="1">
      <c r="A12" s="2585">
        <v>1</v>
      </c>
      <c r="B12" s="2586">
        <v>2</v>
      </c>
      <c r="C12" s="3706"/>
      <c r="D12" s="2587"/>
      <c r="E12" s="3706"/>
      <c r="F12" s="2588">
        <v>4</v>
      </c>
      <c r="G12" s="2589">
        <v>5</v>
      </c>
      <c r="H12" s="2588">
        <v>6</v>
      </c>
      <c r="I12" s="2588">
        <v>7</v>
      </c>
      <c r="J12" s="2588">
        <v>8</v>
      </c>
      <c r="K12" s="2588">
        <v>9</v>
      </c>
      <c r="L12" s="2588">
        <v>10</v>
      </c>
      <c r="M12" s="2588">
        <v>11</v>
      </c>
      <c r="N12" s="2588">
        <v>12</v>
      </c>
      <c r="O12" s="2588">
        <v>13</v>
      </c>
      <c r="P12" s="2588">
        <v>14</v>
      </c>
      <c r="Q12" s="2588" t="s">
        <v>1471</v>
      </c>
      <c r="R12" s="2588" t="s">
        <v>1470</v>
      </c>
      <c r="S12" s="2588" t="s">
        <v>1469</v>
      </c>
      <c r="T12" s="2588" t="s">
        <v>1468</v>
      </c>
      <c r="U12" s="2588" t="s">
        <v>1467</v>
      </c>
      <c r="V12" s="2588" t="s">
        <v>1466</v>
      </c>
      <c r="W12" s="2590" t="s">
        <v>1465</v>
      </c>
      <c r="X12" s="1646">
        <v>22</v>
      </c>
      <c r="Y12" s="1640">
        <v>23</v>
      </c>
      <c r="Z12" s="1639">
        <v>24</v>
      </c>
      <c r="AA12" s="1639">
        <v>25</v>
      </c>
      <c r="AB12" s="1638">
        <v>26</v>
      </c>
    </row>
    <row r="13" spans="1:28" s="1629" customFormat="1" ht="34.5" customHeight="1" thickTop="1">
      <c r="A13" s="1625">
        <v>1</v>
      </c>
      <c r="B13" s="1628" t="str">
        <f>DT!I3</f>
        <v>CIHANYAWAR</v>
      </c>
      <c r="C13" s="1946">
        <f>'UEP-1'!D49</f>
        <v>0</v>
      </c>
      <c r="D13" s="1946">
        <f>'UEP-1'!E49</f>
        <v>0</v>
      </c>
      <c r="E13" s="430">
        <f>'UEP-1'!D48</f>
        <v>0</v>
      </c>
      <c r="F13" s="430">
        <f>'UEP-1'!E48</f>
        <v>0</v>
      </c>
      <c r="G13" s="430">
        <f>'UEP-1'!F48</f>
        <v>0</v>
      </c>
      <c r="H13" s="1627"/>
      <c r="I13" s="430">
        <f>'UEP-1'!M48</f>
        <v>0</v>
      </c>
      <c r="J13" s="430">
        <f>'UEP-1'!N48</f>
        <v>0</v>
      </c>
      <c r="K13" s="430">
        <f>'UEP-1'!O48</f>
        <v>0</v>
      </c>
      <c r="L13" s="430">
        <f>'UEP-1'!P48</f>
        <v>0</v>
      </c>
      <c r="M13" s="430">
        <f>'UEP-1'!Q48</f>
        <v>0</v>
      </c>
      <c r="N13" s="430">
        <f>'UEP-1'!R48</f>
        <v>0</v>
      </c>
      <c r="O13" s="430">
        <f>'UEP-1'!S48</f>
        <v>0</v>
      </c>
      <c r="P13" s="430">
        <f>'UEP-1'!T48</f>
        <v>0</v>
      </c>
      <c r="Q13" s="430">
        <f>'UEP-1'!U48</f>
        <v>0</v>
      </c>
      <c r="R13" s="430">
        <f>'UEP-1'!V48</f>
        <v>0</v>
      </c>
      <c r="S13" s="430">
        <f>'UEP-1'!W48</f>
        <v>0</v>
      </c>
      <c r="T13" s="430">
        <f>'UEP-1'!X48</f>
        <v>0</v>
      </c>
      <c r="U13" s="430" t="e">
        <f t="shared" ref="U13:U28" si="0">SUM(Q13/I13)*100</f>
        <v>#DIV/0!</v>
      </c>
      <c r="V13" s="430">
        <f>'UEP-1'!Z48</f>
        <v>0</v>
      </c>
      <c r="W13" s="1674">
        <f>'UEP-1'!AA48</f>
        <v>0</v>
      </c>
      <c r="X13" s="1680">
        <f>'UEP-1'!AB48</f>
        <v>0</v>
      </c>
      <c r="Y13" s="1632">
        <f>'UEP-1'!AC48</f>
        <v>0</v>
      </c>
      <c r="Z13" s="1631">
        <f>'UEP-1'!AD48</f>
        <v>0</v>
      </c>
      <c r="AA13" s="1631">
        <f>'UEP-1'!AE48</f>
        <v>0</v>
      </c>
      <c r="AB13" s="1630">
        <f>'UEP-1'!AF48</f>
        <v>0</v>
      </c>
    </row>
    <row r="14" spans="1:28" s="1581" customFormat="1" ht="34.5" customHeight="1">
      <c r="A14" s="1625">
        <f t="shared" ref="A14:A28" si="1">A13+1</f>
        <v>2</v>
      </c>
      <c r="B14" s="1628" t="str">
        <f>DT!I4</f>
        <v>NAGRAK UTARA</v>
      </c>
      <c r="C14" s="1672">
        <f>'UEP-2'!D49</f>
        <v>0</v>
      </c>
      <c r="D14" s="1672">
        <f>'UEP-2'!E49</f>
        <v>0</v>
      </c>
      <c r="E14" s="430">
        <f>'UEP-2'!D48</f>
        <v>0</v>
      </c>
      <c r="F14" s="430">
        <f>'UEP-2'!E48</f>
        <v>0</v>
      </c>
      <c r="G14" s="430">
        <f>'UEP-2'!F48</f>
        <v>0</v>
      </c>
      <c r="H14" s="1627"/>
      <c r="I14" s="430">
        <f>'UEP-2'!M48</f>
        <v>0</v>
      </c>
      <c r="J14" s="430">
        <f>'UEP-2'!N48</f>
        <v>0</v>
      </c>
      <c r="K14" s="430">
        <f>'UEP-2'!O48</f>
        <v>0</v>
      </c>
      <c r="L14" s="430">
        <f>'UEP-2'!P48</f>
        <v>0</v>
      </c>
      <c r="M14" s="430">
        <f>'UEP-2'!Q48</f>
        <v>0</v>
      </c>
      <c r="N14" s="430">
        <f>'UEP-2'!R48</f>
        <v>0</v>
      </c>
      <c r="O14" s="430">
        <f>'UEP-2'!S48</f>
        <v>0</v>
      </c>
      <c r="P14" s="430">
        <f>'UEP-2'!T48</f>
        <v>0</v>
      </c>
      <c r="Q14" s="430">
        <f>'UEP-2'!U48</f>
        <v>0</v>
      </c>
      <c r="R14" s="430">
        <f>'UEP-2'!V48</f>
        <v>0</v>
      </c>
      <c r="S14" s="430">
        <f>'UEP-2'!W48</f>
        <v>0</v>
      </c>
      <c r="T14" s="430">
        <f>'UEP-2'!X48</f>
        <v>0</v>
      </c>
      <c r="U14" s="9" t="e">
        <f t="shared" si="0"/>
        <v>#DIV/0!</v>
      </c>
      <c r="V14" s="430">
        <f>'UEP-2'!Z48</f>
        <v>0</v>
      </c>
      <c r="W14" s="1674">
        <f>'UEP-2'!AA48</f>
        <v>0</v>
      </c>
      <c r="X14" s="432">
        <f>'UEP-2'!AB48</f>
        <v>0</v>
      </c>
      <c r="Y14" s="1619">
        <f>'UEP-2'!AC48</f>
        <v>0</v>
      </c>
      <c r="Z14" s="1618">
        <f>'UEP-2'!AD48</f>
        <v>0</v>
      </c>
      <c r="AA14" s="1618">
        <f>'UEP-2'!AE48</f>
        <v>0</v>
      </c>
      <c r="AB14" s="1617">
        <f>'UEP-2'!AF48</f>
        <v>0</v>
      </c>
    </row>
    <row r="15" spans="1:28" s="1581" customFormat="1" ht="34.5" customHeight="1">
      <c r="A15" s="1625">
        <f t="shared" si="1"/>
        <v>3</v>
      </c>
      <c r="B15" s="1628" t="str">
        <f>DT!I5</f>
        <v>DARMAREJA</v>
      </c>
      <c r="C15" s="1672">
        <f>'UEP-3'!D49</f>
        <v>0</v>
      </c>
      <c r="D15" s="1672">
        <f>'UEP-3'!E49</f>
        <v>0</v>
      </c>
      <c r="E15" s="430">
        <f>'UEP-3'!D48</f>
        <v>0</v>
      </c>
      <c r="F15" s="430">
        <f>'UEP-3'!E48</f>
        <v>0</v>
      </c>
      <c r="G15" s="430">
        <f>'UEP-3'!F48</f>
        <v>0</v>
      </c>
      <c r="H15" s="1627"/>
      <c r="I15" s="430">
        <f>'UEP-3'!M48</f>
        <v>0</v>
      </c>
      <c r="J15" s="430">
        <f>'UEP-3'!N48</f>
        <v>0</v>
      </c>
      <c r="K15" s="430">
        <f>'UEP-3'!O48</f>
        <v>0</v>
      </c>
      <c r="L15" s="430">
        <f>'UEP-3'!P48</f>
        <v>0</v>
      </c>
      <c r="M15" s="430">
        <f>'UEP-3'!Q48</f>
        <v>0</v>
      </c>
      <c r="N15" s="430">
        <f>'UEP-3'!R48</f>
        <v>0</v>
      </c>
      <c r="O15" s="430">
        <f>'UEP-3'!S48</f>
        <v>0</v>
      </c>
      <c r="P15" s="430">
        <f>'UEP-3'!T48</f>
        <v>0</v>
      </c>
      <c r="Q15" s="430">
        <f>'UEP-3'!U48</f>
        <v>0</v>
      </c>
      <c r="R15" s="430">
        <f>'UEP-3'!V48</f>
        <v>0</v>
      </c>
      <c r="S15" s="430">
        <f>'UEP-3'!W48</f>
        <v>0</v>
      </c>
      <c r="T15" s="430">
        <f>'UEP-3'!X48</f>
        <v>0</v>
      </c>
      <c r="U15" s="9" t="e">
        <f t="shared" si="0"/>
        <v>#DIV/0!</v>
      </c>
      <c r="V15" s="430">
        <f>'UEP-3'!Z48</f>
        <v>0</v>
      </c>
      <c r="W15" s="1674">
        <f>'UEP-3'!AA48</f>
        <v>0</v>
      </c>
      <c r="X15" s="432">
        <f>'UEP-3'!AB48</f>
        <v>0</v>
      </c>
      <c r="Y15" s="1619">
        <f>'UEP-3'!AC48</f>
        <v>0</v>
      </c>
      <c r="Z15" s="1618">
        <f>'UEP-3'!AD48</f>
        <v>0</v>
      </c>
      <c r="AA15" s="1618">
        <f>'UEP-3'!AE48</f>
        <v>0</v>
      </c>
      <c r="AB15" s="1617">
        <f>'UEP-3'!AF48</f>
        <v>0</v>
      </c>
    </row>
    <row r="16" spans="1:28" s="1581" customFormat="1" ht="34.5" customHeight="1">
      <c r="A16" s="1625">
        <f t="shared" si="1"/>
        <v>4</v>
      </c>
      <c r="B16" s="1628" t="str">
        <f>DT!I6</f>
        <v>BALEKAMBANG</v>
      </c>
      <c r="C16" s="1672">
        <f>'UEP-4'!D49</f>
        <v>0</v>
      </c>
      <c r="D16" s="1672">
        <f>'UEP-4'!E49</f>
        <v>0</v>
      </c>
      <c r="E16" s="430">
        <f>'UEP-4'!D48</f>
        <v>0</v>
      </c>
      <c r="F16" s="430">
        <f>'UEP-4'!E48</f>
        <v>0</v>
      </c>
      <c r="G16" s="430">
        <f>'UEP-4'!F48</f>
        <v>0</v>
      </c>
      <c r="H16" s="1627"/>
      <c r="I16" s="430">
        <f>'UEP-4'!M48</f>
        <v>0</v>
      </c>
      <c r="J16" s="430">
        <f>'UEP-4'!N48</f>
        <v>0</v>
      </c>
      <c r="K16" s="430">
        <f>'UEP-4'!O48</f>
        <v>0</v>
      </c>
      <c r="L16" s="430">
        <f>'UEP-4'!P48</f>
        <v>0</v>
      </c>
      <c r="M16" s="430">
        <f>'UEP-4'!Q48</f>
        <v>0</v>
      </c>
      <c r="N16" s="430">
        <f>'UEP-4'!R48</f>
        <v>0</v>
      </c>
      <c r="O16" s="430">
        <f>'UEP-4'!S48</f>
        <v>0</v>
      </c>
      <c r="P16" s="430">
        <f>'UEP-4'!T48</f>
        <v>0</v>
      </c>
      <c r="Q16" s="430">
        <f>'UEP-4'!U48</f>
        <v>0</v>
      </c>
      <c r="R16" s="430">
        <f>'UEP-4'!V48</f>
        <v>0</v>
      </c>
      <c r="S16" s="430">
        <f>'UEP-4'!W48</f>
        <v>0</v>
      </c>
      <c r="T16" s="430">
        <f>'UEP-4'!X48</f>
        <v>0</v>
      </c>
      <c r="U16" s="9" t="e">
        <f t="shared" si="0"/>
        <v>#DIV/0!</v>
      </c>
      <c r="V16" s="430">
        <f>'UEP-4'!Z48</f>
        <v>0</v>
      </c>
      <c r="W16" s="1674">
        <f>'UEP-4'!AA48</f>
        <v>0</v>
      </c>
      <c r="X16" s="432">
        <f>'UEP-4'!AB48</f>
        <v>0</v>
      </c>
      <c r="Y16" s="1619">
        <f>'UEP-4'!AC48</f>
        <v>0</v>
      </c>
      <c r="Z16" s="1618">
        <f>'UEP-4'!AD48</f>
        <v>0</v>
      </c>
      <c r="AA16" s="1618">
        <f>'UEP-4'!AE48</f>
        <v>0</v>
      </c>
      <c r="AB16" s="1617">
        <f>'UEP-4'!AF48</f>
        <v>0</v>
      </c>
    </row>
    <row r="17" spans="1:28" s="1581" customFormat="1" ht="34.5" customHeight="1">
      <c r="A17" s="1625">
        <f t="shared" si="1"/>
        <v>5</v>
      </c>
      <c r="B17" s="1628" t="str">
        <f>DT!I7</f>
        <v>NAGRAK SELATAN</v>
      </c>
      <c r="C17" s="1672">
        <f>'UEP-5'!D49</f>
        <v>0</v>
      </c>
      <c r="D17" s="1672">
        <f>'UEP-5'!E49</f>
        <v>0</v>
      </c>
      <c r="E17" s="430">
        <f>'UEP-5'!D48</f>
        <v>0</v>
      </c>
      <c r="F17" s="430">
        <f>'UEP-5'!E48</f>
        <v>0</v>
      </c>
      <c r="G17" s="430">
        <f>'UEP-5'!F48</f>
        <v>0</v>
      </c>
      <c r="H17" s="1627"/>
      <c r="I17" s="430">
        <f>'UEP-5'!M48</f>
        <v>0</v>
      </c>
      <c r="J17" s="430">
        <f>'UEP-5'!N48</f>
        <v>0</v>
      </c>
      <c r="K17" s="430">
        <f>'UEP-5'!O48</f>
        <v>0</v>
      </c>
      <c r="L17" s="430">
        <f>'UEP-5'!P48</f>
        <v>0</v>
      </c>
      <c r="M17" s="430">
        <f>'UEP-5'!Q48</f>
        <v>0</v>
      </c>
      <c r="N17" s="430">
        <f>'UEP-5'!R48</f>
        <v>0</v>
      </c>
      <c r="O17" s="430">
        <f>'UEP-5'!S48</f>
        <v>0</v>
      </c>
      <c r="P17" s="430">
        <f>'UEP-5'!T48</f>
        <v>0</v>
      </c>
      <c r="Q17" s="430">
        <f>'UEP-5'!U48</f>
        <v>0</v>
      </c>
      <c r="R17" s="430">
        <f>'UEP-5'!V48</f>
        <v>0</v>
      </c>
      <c r="S17" s="430">
        <f>'UEP-5'!W48</f>
        <v>0</v>
      </c>
      <c r="T17" s="430">
        <f>'UEP-5'!X48</f>
        <v>0</v>
      </c>
      <c r="U17" s="9" t="e">
        <f t="shared" si="0"/>
        <v>#DIV/0!</v>
      </c>
      <c r="V17" s="430">
        <f>'UEP-5'!Z48</f>
        <v>0</v>
      </c>
      <c r="W17" s="1674">
        <f>'UEP-5'!AA48</f>
        <v>0</v>
      </c>
      <c r="X17" s="432">
        <f>'UEP-5'!AB48</f>
        <v>0</v>
      </c>
      <c r="Y17" s="1619">
        <f>'UEP-5'!AC48</f>
        <v>0</v>
      </c>
      <c r="Z17" s="1618">
        <f>'UEP-5'!AD48</f>
        <v>0</v>
      </c>
      <c r="AA17" s="1618">
        <f>'UEP-5'!AE48</f>
        <v>0</v>
      </c>
      <c r="AB17" s="1617">
        <f>'UEP-5'!AF48</f>
        <v>0</v>
      </c>
    </row>
    <row r="18" spans="1:28" s="1581" customFormat="1" ht="34.5" customHeight="1">
      <c r="A18" s="1625">
        <f t="shared" si="1"/>
        <v>6</v>
      </c>
      <c r="B18" s="1628" t="str">
        <f>DT!I8</f>
        <v>KALAPAREA</v>
      </c>
      <c r="C18" s="1672">
        <f>'UEP-6'!D49</f>
        <v>0</v>
      </c>
      <c r="D18" s="1672">
        <f>'UEP-6'!E49</f>
        <v>0</v>
      </c>
      <c r="E18" s="430">
        <f>'UEP-6'!D48</f>
        <v>0</v>
      </c>
      <c r="F18" s="430">
        <f>'UEP-6'!E48</f>
        <v>0</v>
      </c>
      <c r="G18" s="430">
        <f>'UEP-6'!F48</f>
        <v>0</v>
      </c>
      <c r="H18" s="1627"/>
      <c r="I18" s="430">
        <f>'UEP-6'!M48</f>
        <v>0</v>
      </c>
      <c r="J18" s="430">
        <f>'UEP-6'!N48</f>
        <v>0</v>
      </c>
      <c r="K18" s="430">
        <f>'UEP-6'!O48</f>
        <v>0</v>
      </c>
      <c r="L18" s="430">
        <f>'UEP-6'!P48</f>
        <v>0</v>
      </c>
      <c r="M18" s="430">
        <f>'UEP-6'!Q48</f>
        <v>0</v>
      </c>
      <c r="N18" s="430">
        <f>'UEP-6'!R48</f>
        <v>0</v>
      </c>
      <c r="O18" s="430">
        <f>'UEP-6'!S48</f>
        <v>0</v>
      </c>
      <c r="P18" s="430">
        <f>'UEP-6'!T48</f>
        <v>0</v>
      </c>
      <c r="Q18" s="430">
        <f>'UEP-6'!U48</f>
        <v>0</v>
      </c>
      <c r="R18" s="430">
        <f>'UEP-6'!V48</f>
        <v>0</v>
      </c>
      <c r="S18" s="430">
        <f>'UEP-6'!W48</f>
        <v>0</v>
      </c>
      <c r="T18" s="430">
        <f>'UEP-6'!X48</f>
        <v>0</v>
      </c>
      <c r="U18" s="9" t="e">
        <f t="shared" si="0"/>
        <v>#DIV/0!</v>
      </c>
      <c r="V18" s="430">
        <f>'UEP-6'!Z48</f>
        <v>0</v>
      </c>
      <c r="W18" s="1674">
        <f>'UEP-6'!AA48</f>
        <v>0</v>
      </c>
      <c r="X18" s="432">
        <f>'UEP-6'!AB48</f>
        <v>0</v>
      </c>
      <c r="Y18" s="1619">
        <f>'UEP-6'!AC48</f>
        <v>0</v>
      </c>
      <c r="Z18" s="1618">
        <f>'UEP-6'!AD48</f>
        <v>0</v>
      </c>
      <c r="AA18" s="1618">
        <f>'UEP-6'!AE48</f>
        <v>0</v>
      </c>
      <c r="AB18" s="1617">
        <f>'UEP-6'!AF48</f>
        <v>0</v>
      </c>
    </row>
    <row r="19" spans="1:28" s="1581" customFormat="1" ht="34.5" customHeight="1">
      <c r="A19" s="1625">
        <f t="shared" si="1"/>
        <v>7</v>
      </c>
      <c r="B19" s="1628" t="str">
        <f>DT!I9</f>
        <v>BABAKAN PANJANG</v>
      </c>
      <c r="C19" s="1672">
        <f>'UEP-7'!D49</f>
        <v>0</v>
      </c>
      <c r="D19" s="1672">
        <f>'UEP-7'!E49</f>
        <v>0</v>
      </c>
      <c r="E19" s="430">
        <f>'UEP-7'!D48</f>
        <v>0</v>
      </c>
      <c r="F19" s="430">
        <f>'UEP-7'!E48</f>
        <v>0</v>
      </c>
      <c r="G19" s="430">
        <f>'UEP-7'!F48</f>
        <v>0</v>
      </c>
      <c r="H19" s="1627"/>
      <c r="I19" s="430">
        <f>'UEP-7'!M48</f>
        <v>0</v>
      </c>
      <c r="J19" s="430">
        <f>'UEP-7'!N48</f>
        <v>0</v>
      </c>
      <c r="K19" s="430">
        <f>'UEP-7'!O48</f>
        <v>0</v>
      </c>
      <c r="L19" s="430">
        <f>'UEP-7'!P48</f>
        <v>0</v>
      </c>
      <c r="M19" s="430">
        <f>'UEP-7'!Q48</f>
        <v>0</v>
      </c>
      <c r="N19" s="430">
        <f>'UEP-7'!R48</f>
        <v>0</v>
      </c>
      <c r="O19" s="430">
        <f>'UEP-7'!S48</f>
        <v>0</v>
      </c>
      <c r="P19" s="430">
        <f>'UEP-7'!T48</f>
        <v>0</v>
      </c>
      <c r="Q19" s="430">
        <f>'UEP-7'!U48</f>
        <v>0</v>
      </c>
      <c r="R19" s="430">
        <f>'UEP-7'!V48</f>
        <v>0</v>
      </c>
      <c r="S19" s="430">
        <f>'UEP-7'!W48</f>
        <v>0</v>
      </c>
      <c r="T19" s="430">
        <f>'UEP-7'!X48</f>
        <v>0</v>
      </c>
      <c r="U19" s="9" t="e">
        <f t="shared" si="0"/>
        <v>#DIV/0!</v>
      </c>
      <c r="V19" s="430">
        <f>'UEP-7'!Z48</f>
        <v>0</v>
      </c>
      <c r="W19" s="1674">
        <f>'UEP-7'!AA48</f>
        <v>0</v>
      </c>
      <c r="X19" s="432">
        <f>'UEP-7'!AB48</f>
        <v>0</v>
      </c>
      <c r="Y19" s="1619">
        <f>'UEP-7'!AC48</f>
        <v>0</v>
      </c>
      <c r="Z19" s="1618">
        <f>'UEP-7'!AD48</f>
        <v>0</v>
      </c>
      <c r="AA19" s="1618">
        <f>'UEP-7'!AE48</f>
        <v>0</v>
      </c>
      <c r="AB19" s="1617">
        <f>'UEP-7'!AF48</f>
        <v>0</v>
      </c>
    </row>
    <row r="20" spans="1:28" s="1581" customFormat="1" ht="34.5" customHeight="1">
      <c r="A20" s="1625">
        <f t="shared" si="1"/>
        <v>8</v>
      </c>
      <c r="B20" s="1628" t="str">
        <f>DT!I10</f>
        <v>PAWENANG</v>
      </c>
      <c r="C20" s="1672">
        <f>'UEP-8'!D49</f>
        <v>0</v>
      </c>
      <c r="D20" s="1672">
        <f>'UEP-8'!E49</f>
        <v>0</v>
      </c>
      <c r="E20" s="430">
        <f>'UEP-8'!D48</f>
        <v>0</v>
      </c>
      <c r="F20" s="430">
        <f>'UEP-8'!E48</f>
        <v>0</v>
      </c>
      <c r="G20" s="430">
        <f>'UEP-8'!F48</f>
        <v>0</v>
      </c>
      <c r="H20" s="1627"/>
      <c r="I20" s="430">
        <f>'UEP-8'!M48</f>
        <v>0</v>
      </c>
      <c r="J20" s="430">
        <f>'UEP-8'!N48</f>
        <v>0</v>
      </c>
      <c r="K20" s="430">
        <f>'UEP-8'!O48</f>
        <v>0</v>
      </c>
      <c r="L20" s="430">
        <f>'UEP-8'!P48</f>
        <v>0</v>
      </c>
      <c r="M20" s="430">
        <f>'UEP-8'!Q48</f>
        <v>0</v>
      </c>
      <c r="N20" s="430">
        <f>'UEP-8'!R48</f>
        <v>0</v>
      </c>
      <c r="O20" s="430">
        <f>'UEP-8'!S48</f>
        <v>0</v>
      </c>
      <c r="P20" s="430">
        <f>'UEP-8'!T48</f>
        <v>0</v>
      </c>
      <c r="Q20" s="430">
        <f>'UEP-8'!U48</f>
        <v>0</v>
      </c>
      <c r="R20" s="430">
        <f>'UEP-8'!V48</f>
        <v>0</v>
      </c>
      <c r="S20" s="430">
        <f>'UEP-8'!W48</f>
        <v>0</v>
      </c>
      <c r="T20" s="430">
        <f>'UEP-8'!X48</f>
        <v>0</v>
      </c>
      <c r="U20" s="9" t="e">
        <f t="shared" si="0"/>
        <v>#DIV/0!</v>
      </c>
      <c r="V20" s="430">
        <f>'UEP-8'!Z48</f>
        <v>0</v>
      </c>
      <c r="W20" s="1674">
        <f>'UEP-8'!AA48</f>
        <v>0</v>
      </c>
      <c r="X20" s="432">
        <f>'UEP-8'!AB48</f>
        <v>0</v>
      </c>
      <c r="Y20" s="1619">
        <f>'UEP-8'!AC48</f>
        <v>0</v>
      </c>
      <c r="Z20" s="1618">
        <f>'UEP-8'!AD48</f>
        <v>0</v>
      </c>
      <c r="AA20" s="1618">
        <f>'UEP-8'!AE48</f>
        <v>0</v>
      </c>
      <c r="AB20" s="1617">
        <f>'UEP-8'!AF48</f>
        <v>0</v>
      </c>
    </row>
    <row r="21" spans="1:28" s="1581" customFormat="1" ht="34.5" customHeight="1">
      <c r="A21" s="1625">
        <f t="shared" si="1"/>
        <v>9</v>
      </c>
      <c r="B21" s="1628" t="str">
        <f>DT!I11</f>
        <v>CISARUA</v>
      </c>
      <c r="C21" s="1672">
        <f>'UEP-9'!D49</f>
        <v>0</v>
      </c>
      <c r="D21" s="1672">
        <f>'UEP-9'!E49</f>
        <v>0</v>
      </c>
      <c r="E21" s="430">
        <f>'UEP-9'!D48</f>
        <v>0</v>
      </c>
      <c r="F21" s="430">
        <f>'UEP-9'!E48</f>
        <v>0</v>
      </c>
      <c r="G21" s="430">
        <f>'UEP-9'!F48</f>
        <v>0</v>
      </c>
      <c r="H21" s="1627"/>
      <c r="I21" s="430">
        <f>'UEP-9'!M48</f>
        <v>0</v>
      </c>
      <c r="J21" s="430">
        <f>'UEP-9'!N48</f>
        <v>0</v>
      </c>
      <c r="K21" s="430">
        <f>'UEP-9'!O48</f>
        <v>0</v>
      </c>
      <c r="L21" s="430">
        <f>'UEP-9'!P48</f>
        <v>0</v>
      </c>
      <c r="M21" s="430">
        <f>'UEP-9'!Q48</f>
        <v>0</v>
      </c>
      <c r="N21" s="430">
        <f>'UEP-9'!R48</f>
        <v>0</v>
      </c>
      <c r="O21" s="430">
        <f>'UEP-9'!S48</f>
        <v>0</v>
      </c>
      <c r="P21" s="430">
        <f>'UEP-9'!T48</f>
        <v>0</v>
      </c>
      <c r="Q21" s="430">
        <f>'UEP-9'!U48</f>
        <v>0</v>
      </c>
      <c r="R21" s="430">
        <f>'UEP-9'!V48</f>
        <v>0</v>
      </c>
      <c r="S21" s="430">
        <f>'UEP-9'!W48</f>
        <v>0</v>
      </c>
      <c r="T21" s="430">
        <f>'UEP-9'!X48</f>
        <v>0</v>
      </c>
      <c r="U21" s="9" t="e">
        <f t="shared" si="0"/>
        <v>#DIV/0!</v>
      </c>
      <c r="V21" s="430">
        <f>'UEP-9'!Z48</f>
        <v>0</v>
      </c>
      <c r="W21" s="1674">
        <f>'UEP-9'!AA48</f>
        <v>0</v>
      </c>
      <c r="X21" s="432">
        <f>'UEP-9'!AB48</f>
        <v>0</v>
      </c>
      <c r="Y21" s="1619">
        <f>'UEP-9'!AC48</f>
        <v>0</v>
      </c>
      <c r="Z21" s="1618">
        <f>'UEP-9'!AD48</f>
        <v>0</v>
      </c>
      <c r="AA21" s="1618">
        <f>'UEP-9'!AE48</f>
        <v>0</v>
      </c>
      <c r="AB21" s="1617">
        <f>'UEP-9'!AF48</f>
        <v>0</v>
      </c>
    </row>
    <row r="22" spans="1:28" s="1581" customFormat="1" ht="34.5" customHeight="1">
      <c r="A22" s="1625">
        <f t="shared" si="1"/>
        <v>10</v>
      </c>
      <c r="B22" s="1628" t="str">
        <f>DT!I12</f>
        <v>GIRIJAYA</v>
      </c>
      <c r="C22" s="1672">
        <f>'UEP-10'!D49</f>
        <v>0</v>
      </c>
      <c r="D22" s="1672">
        <f>'UEP-10'!E49</f>
        <v>0</v>
      </c>
      <c r="E22" s="430">
        <f>'UEP-10'!D48</f>
        <v>0</v>
      </c>
      <c r="F22" s="430">
        <f>'UEP-10'!E48</f>
        <v>0</v>
      </c>
      <c r="G22" s="430">
        <f>'UEP-10'!F48</f>
        <v>0</v>
      </c>
      <c r="H22" s="1623"/>
      <c r="I22" s="430">
        <f>'UEP-10'!M48</f>
        <v>0</v>
      </c>
      <c r="J22" s="430">
        <f>'UEP-10'!N48</f>
        <v>0</v>
      </c>
      <c r="K22" s="430">
        <f>'UEP-10'!O48</f>
        <v>0</v>
      </c>
      <c r="L22" s="430">
        <f>'UEP-10'!P48</f>
        <v>0</v>
      </c>
      <c r="M22" s="430">
        <f>'UEP-10'!Q48</f>
        <v>0</v>
      </c>
      <c r="N22" s="430">
        <f>'UEP-10'!R48</f>
        <v>0</v>
      </c>
      <c r="O22" s="430">
        <f>'UEP-10'!S48</f>
        <v>0</v>
      </c>
      <c r="P22" s="430">
        <f>'UEP-10'!T48</f>
        <v>0</v>
      </c>
      <c r="Q22" s="430">
        <f>'UEP-10'!U48</f>
        <v>0</v>
      </c>
      <c r="R22" s="430">
        <f>'UEP-10'!V48</f>
        <v>0</v>
      </c>
      <c r="S22" s="430">
        <f>'UEP-10'!W48</f>
        <v>0</v>
      </c>
      <c r="T22" s="430">
        <f>'UEP-10'!X48</f>
        <v>0</v>
      </c>
      <c r="U22" s="9" t="e">
        <f t="shared" si="0"/>
        <v>#DIV/0!</v>
      </c>
      <c r="V22" s="430">
        <f>'UEP-10'!Z48</f>
        <v>0</v>
      </c>
      <c r="W22" s="1674">
        <f>'UEP-10'!AA48</f>
        <v>0</v>
      </c>
      <c r="X22" s="432">
        <f>'UEP-10'!AB48</f>
        <v>0</v>
      </c>
      <c r="Y22" s="1619">
        <f>'UEP-10'!AC48</f>
        <v>0</v>
      </c>
      <c r="Z22" s="1618">
        <f>'UEP-10'!AD48</f>
        <v>0</v>
      </c>
      <c r="AA22" s="1618">
        <f>'UEP-10'!AE48</f>
        <v>0</v>
      </c>
      <c r="AB22" s="1617">
        <f>'UEP-10'!AF48</f>
        <v>0</v>
      </c>
    </row>
    <row r="23" spans="1:28" s="1581" customFormat="1" ht="34.5" customHeight="1">
      <c r="A23" s="1625">
        <f t="shared" si="1"/>
        <v>11</v>
      </c>
      <c r="B23" s="1628">
        <f>DT!I13</f>
        <v>0</v>
      </c>
      <c r="C23" s="1672">
        <f>'UEP-11'!D49</f>
        <v>0</v>
      </c>
      <c r="D23" s="1672">
        <f>'UEP-11'!E49</f>
        <v>0</v>
      </c>
      <c r="E23" s="430">
        <f>'UEP-11'!D48</f>
        <v>0</v>
      </c>
      <c r="F23" s="430">
        <f>'UEP-11'!E48</f>
        <v>0</v>
      </c>
      <c r="G23" s="430">
        <f>'UEP-11'!F48</f>
        <v>0</v>
      </c>
      <c r="H23" s="1623"/>
      <c r="I23" s="430">
        <f>'UEP-11'!M48</f>
        <v>0</v>
      </c>
      <c r="J23" s="430">
        <f>'UEP-11'!N48</f>
        <v>0</v>
      </c>
      <c r="K23" s="430">
        <f>'UEP-11'!O48</f>
        <v>0</v>
      </c>
      <c r="L23" s="430">
        <f>'UEP-11'!P48</f>
        <v>0</v>
      </c>
      <c r="M23" s="430">
        <f>'UEP-11'!Q48</f>
        <v>0</v>
      </c>
      <c r="N23" s="430">
        <f>'UEP-11'!R48</f>
        <v>0</v>
      </c>
      <c r="O23" s="430">
        <f>'UEP-11'!S48</f>
        <v>0</v>
      </c>
      <c r="P23" s="430">
        <f>'UEP-11'!T48</f>
        <v>0</v>
      </c>
      <c r="Q23" s="430">
        <f>'UEP-11'!U48</f>
        <v>0</v>
      </c>
      <c r="R23" s="430">
        <f>'UEP-11'!V48</f>
        <v>0</v>
      </c>
      <c r="S23" s="430">
        <f>'UEP-11'!W48</f>
        <v>0</v>
      </c>
      <c r="T23" s="430">
        <f>'UEP-11'!X48</f>
        <v>0</v>
      </c>
      <c r="U23" s="9" t="e">
        <f t="shared" si="0"/>
        <v>#DIV/0!</v>
      </c>
      <c r="V23" s="430">
        <f>'UEP-11'!Z48</f>
        <v>0</v>
      </c>
      <c r="W23" s="1674">
        <f>'UEP-11'!AA48</f>
        <v>0</v>
      </c>
      <c r="X23" s="432">
        <f>'UEP-11'!AB48</f>
        <v>0</v>
      </c>
      <c r="Y23" s="1619">
        <f>'UEP-11'!AC48</f>
        <v>0</v>
      </c>
      <c r="Z23" s="1618">
        <f>'UEP-11'!AD48</f>
        <v>0</v>
      </c>
      <c r="AA23" s="1618">
        <f>'UEP-11'!AE48</f>
        <v>0</v>
      </c>
      <c r="AB23" s="1617">
        <f>'UEP-11'!AF48</f>
        <v>0</v>
      </c>
    </row>
    <row r="24" spans="1:28" s="1581" customFormat="1" ht="34.5" customHeight="1">
      <c r="A24" s="1625">
        <f t="shared" si="1"/>
        <v>12</v>
      </c>
      <c r="B24" s="1628">
        <f>DT!I14</f>
        <v>0</v>
      </c>
      <c r="C24" s="1672">
        <f>'UEP-12'!D49</f>
        <v>0</v>
      </c>
      <c r="D24" s="1672">
        <f>'UEP-12'!E49</f>
        <v>0</v>
      </c>
      <c r="E24" s="430">
        <f>'UEP-12'!D48</f>
        <v>0</v>
      </c>
      <c r="F24" s="430">
        <f>'UEP-12'!E48</f>
        <v>0</v>
      </c>
      <c r="G24" s="430">
        <f>'UEP-12'!F48</f>
        <v>0</v>
      </c>
      <c r="H24" s="1623"/>
      <c r="I24" s="430">
        <f>'UEP-12'!M48</f>
        <v>0</v>
      </c>
      <c r="J24" s="430">
        <f>'UEP-12'!N48</f>
        <v>0</v>
      </c>
      <c r="K24" s="430">
        <f>'UEP-12'!O48</f>
        <v>0</v>
      </c>
      <c r="L24" s="430">
        <f>'UEP-12'!P48</f>
        <v>0</v>
      </c>
      <c r="M24" s="430">
        <f>'UEP-12'!Q48</f>
        <v>0</v>
      </c>
      <c r="N24" s="430">
        <f>'UEP-12'!R48</f>
        <v>0</v>
      </c>
      <c r="O24" s="430">
        <f>'UEP-12'!S48</f>
        <v>0</v>
      </c>
      <c r="P24" s="430">
        <f>'UEP-12'!T48</f>
        <v>0</v>
      </c>
      <c r="Q24" s="430">
        <f>'UEP-12'!U48</f>
        <v>0</v>
      </c>
      <c r="R24" s="430">
        <f>'UEP-12'!V48</f>
        <v>0</v>
      </c>
      <c r="S24" s="430">
        <f>'UEP-12'!W48</f>
        <v>0</v>
      </c>
      <c r="T24" s="430">
        <f>'UEP-12'!X48</f>
        <v>0</v>
      </c>
      <c r="U24" s="9" t="e">
        <f t="shared" si="0"/>
        <v>#DIV/0!</v>
      </c>
      <c r="V24" s="430">
        <f>'UEP-12'!Z48</f>
        <v>0</v>
      </c>
      <c r="W24" s="1674">
        <f>'UEP-12'!AA48</f>
        <v>0</v>
      </c>
      <c r="X24" s="432">
        <f>'UEP-12'!AB48</f>
        <v>0</v>
      </c>
      <c r="Y24" s="1619">
        <f>'UEP-12'!AC48</f>
        <v>0</v>
      </c>
      <c r="Z24" s="1618">
        <f>'UEP-12'!AD48</f>
        <v>0</v>
      </c>
      <c r="AA24" s="1618">
        <f>'UEP-12'!AE48</f>
        <v>0</v>
      </c>
      <c r="AB24" s="1617">
        <f>'UEP-12'!AF48</f>
        <v>0</v>
      </c>
    </row>
    <row r="25" spans="1:28" s="1581" customFormat="1" ht="34.5" customHeight="1">
      <c r="A25" s="1625">
        <f t="shared" si="1"/>
        <v>13</v>
      </c>
      <c r="B25" s="1679">
        <f>DT!I15</f>
        <v>0</v>
      </c>
      <c r="C25" s="1672">
        <f>'UEP-13'!D49</f>
        <v>0</v>
      </c>
      <c r="D25" s="1672">
        <f>'UEP-13'!E49</f>
        <v>0</v>
      </c>
      <c r="E25" s="430">
        <f>'UEP-13'!D48</f>
        <v>0</v>
      </c>
      <c r="F25" s="430">
        <f>'UEP-13'!E48</f>
        <v>0</v>
      </c>
      <c r="G25" s="430">
        <f>'UEP-13'!F48</f>
        <v>0</v>
      </c>
      <c r="H25" s="1623"/>
      <c r="I25" s="430">
        <f>'UEP-13'!M48</f>
        <v>0</v>
      </c>
      <c r="J25" s="430">
        <f>'UEP-13'!N48</f>
        <v>0</v>
      </c>
      <c r="K25" s="430">
        <f>'UEP-13'!O48</f>
        <v>0</v>
      </c>
      <c r="L25" s="430">
        <f>'UEP-13'!P48</f>
        <v>0</v>
      </c>
      <c r="M25" s="430">
        <f>'UEP-13'!Q48</f>
        <v>0</v>
      </c>
      <c r="N25" s="430">
        <f>'UEP-13'!R48</f>
        <v>0</v>
      </c>
      <c r="O25" s="430">
        <f>'UEP-13'!S48</f>
        <v>0</v>
      </c>
      <c r="P25" s="430">
        <f>'UEP-13'!T48</f>
        <v>0</v>
      </c>
      <c r="Q25" s="430">
        <f>'UEP-13'!U48</f>
        <v>0</v>
      </c>
      <c r="R25" s="430">
        <f>'UEP-13'!V48</f>
        <v>0</v>
      </c>
      <c r="S25" s="430">
        <f>'UEP-13'!W48</f>
        <v>0</v>
      </c>
      <c r="T25" s="430">
        <f>'UEP-13'!X48</f>
        <v>0</v>
      </c>
      <c r="U25" s="9" t="e">
        <f t="shared" si="0"/>
        <v>#DIV/0!</v>
      </c>
      <c r="V25" s="430">
        <f>'UEP-13'!Z48</f>
        <v>0</v>
      </c>
      <c r="W25" s="1621">
        <f>'UEP-13'!AA48</f>
        <v>0</v>
      </c>
      <c r="X25" s="432">
        <f>'UEP-13'!AB48</f>
        <v>0</v>
      </c>
      <c r="Y25" s="1619">
        <f>'UEP-13'!AC48</f>
        <v>0</v>
      </c>
      <c r="Z25" s="1618">
        <f>'UEP-13'!AD48</f>
        <v>0</v>
      </c>
      <c r="AA25" s="1618">
        <f>'UEP-13'!AE48</f>
        <v>0</v>
      </c>
      <c r="AB25" s="1617">
        <f>'UEP-13'!AF48</f>
        <v>0</v>
      </c>
    </row>
    <row r="26" spans="1:28" s="1581" customFormat="1" ht="34.5" customHeight="1">
      <c r="A26" s="1625">
        <f t="shared" si="1"/>
        <v>14</v>
      </c>
      <c r="B26" s="1679">
        <f>DT!I16</f>
        <v>0</v>
      </c>
      <c r="C26" s="1672">
        <f>'UEP-14'!D49</f>
        <v>0</v>
      </c>
      <c r="D26" s="1672">
        <f>'UEP-14'!E49</f>
        <v>0</v>
      </c>
      <c r="E26" s="430">
        <f>'UEP-14'!D48</f>
        <v>0</v>
      </c>
      <c r="F26" s="430">
        <f>'UEP-14'!E48</f>
        <v>0</v>
      </c>
      <c r="G26" s="430">
        <f>'UEP-14'!F48</f>
        <v>0</v>
      </c>
      <c r="H26" s="1623"/>
      <c r="I26" s="430">
        <f>'UEP-14'!M48</f>
        <v>0</v>
      </c>
      <c r="J26" s="430">
        <f>'UEP-14'!N48</f>
        <v>0</v>
      </c>
      <c r="K26" s="430">
        <f>'UEP-14'!O48</f>
        <v>0</v>
      </c>
      <c r="L26" s="430">
        <f>'UEP-14'!P48</f>
        <v>0</v>
      </c>
      <c r="M26" s="430">
        <f>'UEP-14'!Q48</f>
        <v>0</v>
      </c>
      <c r="N26" s="430">
        <f>'UEP-14'!R48</f>
        <v>0</v>
      </c>
      <c r="O26" s="430">
        <f>'UEP-14'!S48</f>
        <v>0</v>
      </c>
      <c r="P26" s="430">
        <f>'UEP-14'!T48</f>
        <v>0</v>
      </c>
      <c r="Q26" s="430">
        <f>'UEP-14'!U48</f>
        <v>0</v>
      </c>
      <c r="R26" s="430">
        <f>'UEP-14'!V48</f>
        <v>0</v>
      </c>
      <c r="S26" s="430">
        <f>'UEP-14'!W48</f>
        <v>0</v>
      </c>
      <c r="T26" s="430">
        <f>'UEP-14'!X48</f>
        <v>0</v>
      </c>
      <c r="U26" s="9" t="e">
        <f t="shared" si="0"/>
        <v>#DIV/0!</v>
      </c>
      <c r="V26" s="430">
        <f>'UEP-14'!Z48</f>
        <v>0</v>
      </c>
      <c r="W26" s="1674">
        <f>'UEP-14'!AA48</f>
        <v>0</v>
      </c>
      <c r="X26" s="432">
        <f>'UEP-14'!AB48</f>
        <v>0</v>
      </c>
      <c r="Y26" s="1619">
        <f>'UEP-14'!AC48</f>
        <v>0</v>
      </c>
      <c r="Z26" s="1618">
        <f>'UEP-14'!AD48</f>
        <v>0</v>
      </c>
      <c r="AA26" s="1618">
        <f>'UEP-14'!AE48</f>
        <v>0</v>
      </c>
      <c r="AB26" s="1617">
        <f>'UEP-14'!AF48</f>
        <v>0</v>
      </c>
    </row>
    <row r="27" spans="1:28" s="1581" customFormat="1" ht="34.5" customHeight="1">
      <c r="A27" s="1625">
        <f t="shared" si="1"/>
        <v>15</v>
      </c>
      <c r="B27" s="1679">
        <f>DT!I17</f>
        <v>0</v>
      </c>
      <c r="C27" s="1672">
        <f>'UEP-15'!D49</f>
        <v>0</v>
      </c>
      <c r="D27" s="1672">
        <f>'UEP-15'!E49</f>
        <v>0</v>
      </c>
      <c r="E27" s="1672">
        <f>'UEP-15'!D48</f>
        <v>0</v>
      </c>
      <c r="F27" s="1672">
        <f>'UEP-15'!E48</f>
        <v>0</v>
      </c>
      <c r="G27" s="1672">
        <f>'UEP-15'!F48</f>
        <v>0</v>
      </c>
      <c r="H27" s="1672"/>
      <c r="I27" s="1672">
        <f>'UEP-15'!M48</f>
        <v>0</v>
      </c>
      <c r="J27" s="1672">
        <f>'UEP-15'!N48</f>
        <v>0</v>
      </c>
      <c r="K27" s="1672">
        <f>'UEP-15'!O48</f>
        <v>0</v>
      </c>
      <c r="L27" s="1672">
        <f>'UEP-15'!P48</f>
        <v>0</v>
      </c>
      <c r="M27" s="1672">
        <f>'UEP-15'!Q48</f>
        <v>0</v>
      </c>
      <c r="N27" s="1672">
        <f>'UEP-15'!R48</f>
        <v>0</v>
      </c>
      <c r="O27" s="1672">
        <f>'UEP-15'!S48</f>
        <v>0</v>
      </c>
      <c r="P27" s="1672">
        <f>'UEP-15'!T48</f>
        <v>0</v>
      </c>
      <c r="Q27" s="1672">
        <f>'UEP-15'!U48</f>
        <v>0</v>
      </c>
      <c r="R27" s="1672">
        <f>'UEP-15'!V48</f>
        <v>0</v>
      </c>
      <c r="S27" s="1672">
        <f>'UEP-15'!W48</f>
        <v>0</v>
      </c>
      <c r="T27" s="1672">
        <f>'UEP-15'!X48</f>
        <v>0</v>
      </c>
      <c r="U27" s="9" t="e">
        <f t="shared" si="0"/>
        <v>#DIV/0!</v>
      </c>
      <c r="V27" s="1672">
        <f>'UEP-15'!Z48</f>
        <v>0</v>
      </c>
      <c r="W27" s="1678">
        <f>'UEP-15'!AA48</f>
        <v>0</v>
      </c>
      <c r="X27" s="432">
        <f>'UEP-15'!AB48</f>
        <v>0</v>
      </c>
      <c r="Y27" s="1619">
        <f>'UEP-15'!AC48</f>
        <v>0</v>
      </c>
      <c r="Z27" s="1618">
        <f>'UEP-15'!AD48</f>
        <v>0</v>
      </c>
      <c r="AA27" s="1618">
        <f>'UEP-15'!AE48</f>
        <v>0</v>
      </c>
      <c r="AB27" s="1617">
        <f>'UEP-15'!AF48</f>
        <v>0</v>
      </c>
    </row>
    <row r="28" spans="1:28" s="1581" customFormat="1" ht="34.5" customHeight="1">
      <c r="A28" s="1625">
        <f t="shared" si="1"/>
        <v>16</v>
      </c>
      <c r="B28" s="1679">
        <f>DT!I18</f>
        <v>0</v>
      </c>
      <c r="C28" s="1672">
        <f>'UEP-16'!D49</f>
        <v>0</v>
      </c>
      <c r="D28" s="1672">
        <f>'UEP-16'!E49</f>
        <v>0</v>
      </c>
      <c r="E28" s="1672">
        <f>'UEP-16'!D48</f>
        <v>0</v>
      </c>
      <c r="F28" s="1672">
        <f>'UEP-16'!E48</f>
        <v>0</v>
      </c>
      <c r="G28" s="1672">
        <f>'UEP-16'!F48</f>
        <v>0</v>
      </c>
      <c r="H28" s="1672"/>
      <c r="I28" s="1672">
        <f>'UEP-16'!M48</f>
        <v>0</v>
      </c>
      <c r="J28" s="1672">
        <f>'UEP-16'!N48</f>
        <v>0</v>
      </c>
      <c r="K28" s="1672">
        <f>'UEP-16'!O48</f>
        <v>0</v>
      </c>
      <c r="L28" s="1672">
        <f>'UEP-16'!P48</f>
        <v>0</v>
      </c>
      <c r="M28" s="1672">
        <f>'UEP-16'!Q48</f>
        <v>0</v>
      </c>
      <c r="N28" s="1672">
        <f>'UEP-16'!R48</f>
        <v>0</v>
      </c>
      <c r="O28" s="1672">
        <f>'UEP-16'!S48</f>
        <v>0</v>
      </c>
      <c r="P28" s="1672">
        <f>'UEP-16'!T48</f>
        <v>0</v>
      </c>
      <c r="Q28" s="1672">
        <f>'UEP-16'!U48</f>
        <v>0</v>
      </c>
      <c r="R28" s="1672">
        <f>'UEP-16'!V48</f>
        <v>0</v>
      </c>
      <c r="S28" s="1672">
        <f>'UEP-16'!W48</f>
        <v>0</v>
      </c>
      <c r="T28" s="1672">
        <f>'UEP-16'!X48</f>
        <v>0</v>
      </c>
      <c r="U28" s="9" t="e">
        <f t="shared" si="0"/>
        <v>#DIV/0!</v>
      </c>
      <c r="V28" s="1672">
        <f>'UEP-16'!Z48</f>
        <v>0</v>
      </c>
      <c r="W28" s="1678">
        <f>'UEP-16'!AA48</f>
        <v>0</v>
      </c>
      <c r="X28" s="432">
        <f>'UEP-16'!AB48</f>
        <v>0</v>
      </c>
      <c r="Y28" s="1619">
        <f>'UEP-16'!AC48</f>
        <v>0</v>
      </c>
      <c r="Z28" s="1618">
        <f>'UEP-16'!AD48</f>
        <v>0</v>
      </c>
      <c r="AA28" s="1618">
        <f>'UEP-16'!AE48</f>
        <v>0</v>
      </c>
      <c r="AB28" s="1617">
        <f>'UEP-16'!AF48</f>
        <v>0</v>
      </c>
    </row>
    <row r="29" spans="1:28" s="1581" customFormat="1" ht="15.75" thickBot="1">
      <c r="A29" s="1608"/>
      <c r="B29" s="1616"/>
      <c r="C29" s="1615"/>
      <c r="D29" s="1615"/>
      <c r="E29" s="1615"/>
      <c r="F29" s="1610"/>
      <c r="G29" s="1611"/>
      <c r="H29" s="1611"/>
      <c r="I29" s="1614"/>
      <c r="J29" s="1614"/>
      <c r="K29" s="1614"/>
      <c r="L29" s="1614"/>
      <c r="M29" s="1610"/>
      <c r="N29" s="1610"/>
      <c r="O29" s="1613"/>
      <c r="P29" s="1612"/>
      <c r="Q29" s="1611"/>
      <c r="R29" s="1611"/>
      <c r="S29" s="1610"/>
      <c r="T29" s="1610"/>
      <c r="U29" s="1610"/>
      <c r="V29" s="1610"/>
      <c r="W29" s="1609"/>
      <c r="X29" s="1615"/>
      <c r="Y29" s="1607"/>
      <c r="Z29" s="1606"/>
      <c r="AA29" s="1606"/>
      <c r="AB29" s="1605"/>
    </row>
    <row r="30" spans="1:28" s="1586" customFormat="1" ht="55.5" customHeight="1" thickBot="1">
      <c r="A30" s="1604"/>
      <c r="B30" s="1677" t="s">
        <v>1507</v>
      </c>
      <c r="C30" s="1602">
        <f t="shared" ref="C30:T30" si="2">SUM(C13:C28)</f>
        <v>0</v>
      </c>
      <c r="D30" s="1602"/>
      <c r="E30" s="1602">
        <f t="shared" si="2"/>
        <v>0</v>
      </c>
      <c r="F30" s="1602">
        <f t="shared" si="2"/>
        <v>0</v>
      </c>
      <c r="G30" s="1602">
        <f t="shared" si="2"/>
        <v>0</v>
      </c>
      <c r="H30" s="1602">
        <f t="shared" si="2"/>
        <v>0</v>
      </c>
      <c r="I30" s="1602">
        <f t="shared" si="2"/>
        <v>0</v>
      </c>
      <c r="J30" s="1602">
        <f t="shared" si="2"/>
        <v>0</v>
      </c>
      <c r="K30" s="1602">
        <f t="shared" si="2"/>
        <v>0</v>
      </c>
      <c r="L30" s="1602">
        <f t="shared" si="2"/>
        <v>0</v>
      </c>
      <c r="M30" s="1602">
        <f t="shared" si="2"/>
        <v>0</v>
      </c>
      <c r="N30" s="1602">
        <f t="shared" si="2"/>
        <v>0</v>
      </c>
      <c r="O30" s="1602">
        <f t="shared" si="2"/>
        <v>0</v>
      </c>
      <c r="P30" s="1602">
        <f t="shared" si="2"/>
        <v>0</v>
      </c>
      <c r="Q30" s="1602">
        <f t="shared" si="2"/>
        <v>0</v>
      </c>
      <c r="R30" s="1602">
        <f t="shared" si="2"/>
        <v>0</v>
      </c>
      <c r="S30" s="1602">
        <f t="shared" si="2"/>
        <v>0</v>
      </c>
      <c r="T30" s="1602">
        <f t="shared" si="2"/>
        <v>0</v>
      </c>
      <c r="U30" s="1602" t="e">
        <f>SUM(Q30/I30)*100</f>
        <v>#DIV/0!</v>
      </c>
      <c r="V30" s="1602">
        <f t="shared" ref="V30:AB30" si="3">SUM(V13:V28)</f>
        <v>0</v>
      </c>
      <c r="W30" s="1601">
        <f t="shared" si="3"/>
        <v>0</v>
      </c>
      <c r="X30" s="1676">
        <f t="shared" si="3"/>
        <v>0</v>
      </c>
      <c r="Y30" s="1599">
        <f t="shared" si="3"/>
        <v>0</v>
      </c>
      <c r="Z30" s="1598">
        <f t="shared" si="3"/>
        <v>0</v>
      </c>
      <c r="AA30" s="1598">
        <f t="shared" si="3"/>
        <v>0</v>
      </c>
      <c r="AB30" s="1597">
        <f t="shared" si="3"/>
        <v>0</v>
      </c>
    </row>
    <row r="31" spans="1:28" s="1581" customFormat="1" ht="16.5" thickTop="1">
      <c r="G31" s="1586"/>
      <c r="I31" s="1586"/>
      <c r="J31" s="1586"/>
      <c r="K31" s="1586"/>
      <c r="L31" s="1586"/>
      <c r="M31" s="1594"/>
      <c r="N31" s="1594"/>
      <c r="O31" s="1596"/>
      <c r="P31" s="1595"/>
      <c r="Q31" s="1594"/>
      <c r="R31" s="1594"/>
    </row>
    <row r="32" spans="1:28" s="1581" customFormat="1" ht="16.5" customHeight="1">
      <c r="F32" s="1586"/>
      <c r="I32" s="1586"/>
      <c r="J32" s="1586"/>
      <c r="K32" s="1593"/>
      <c r="L32" s="1593"/>
      <c r="M32" s="1592"/>
      <c r="N32" s="1591"/>
      <c r="O32" s="1591"/>
      <c r="P32" s="1590"/>
      <c r="Q32" s="1589"/>
      <c r="R32" s="1589"/>
      <c r="V32" s="1588"/>
      <c r="W32" s="1588"/>
    </row>
    <row r="33" spans="1:28" s="1581" customFormat="1" ht="15">
      <c r="A33" s="1587"/>
      <c r="B33" s="1587"/>
      <c r="K33" s="1586"/>
      <c r="L33" s="1586"/>
      <c r="O33" s="1585"/>
      <c r="P33" s="1584"/>
      <c r="Q33" s="1583"/>
      <c r="R33" s="1582"/>
      <c r="T33" s="1584" t="str">
        <f>DT!D28</f>
        <v>Nagrak, 29 Februari 2016 2016</v>
      </c>
    </row>
    <row r="34" spans="1:28" s="1572" customFormat="1" ht="15">
      <c r="G34" s="1574" t="s">
        <v>21</v>
      </c>
      <c r="P34" s="1574"/>
      <c r="T34" s="1574" t="s">
        <v>22</v>
      </c>
    </row>
    <row r="35" spans="1:28" s="1572" customFormat="1" ht="20.25" customHeight="1">
      <c r="N35" s="1580"/>
      <c r="O35" s="1579"/>
      <c r="T35" s="1574"/>
    </row>
    <row r="36" spans="1:28" s="1572" customFormat="1" ht="20.25" customHeight="1">
      <c r="N36" s="1580"/>
      <c r="O36" s="1579"/>
      <c r="Q36" s="1578"/>
      <c r="T36" s="1574"/>
    </row>
    <row r="37" spans="1:28" s="1572" customFormat="1" ht="20.25" customHeight="1">
      <c r="P37" s="1574"/>
      <c r="T37" s="1574"/>
    </row>
    <row r="38" spans="1:28" s="1572" customFormat="1" ht="20.25" customHeight="1">
      <c r="P38" s="1574"/>
      <c r="Q38" s="1577"/>
      <c r="R38" s="1577"/>
      <c r="T38" s="1574"/>
    </row>
    <row r="39" spans="1:28" s="1572" customFormat="1" ht="15">
      <c r="G39" s="1663" t="str">
        <f>DT!D14</f>
        <v>Endang Taryana</v>
      </c>
      <c r="N39" s="1576"/>
      <c r="P39" s="1575"/>
      <c r="T39" s="1575" t="str">
        <f>DT!D15</f>
        <v>Arin Yustini, SE</v>
      </c>
    </row>
    <row r="40" spans="1:28" s="1572" customFormat="1" ht="15">
      <c r="G40" s="1574" t="s">
        <v>23</v>
      </c>
      <c r="P40" s="1573"/>
      <c r="T40" s="1573" t="s">
        <v>24</v>
      </c>
    </row>
    <row r="41" spans="1:28" ht="21.75" customHeight="1">
      <c r="A41" s="3525" t="s">
        <v>123</v>
      </c>
      <c r="B41" s="3525"/>
      <c r="C41" s="3525"/>
      <c r="D41" s="3525"/>
      <c r="E41" s="3525"/>
      <c r="F41" s="3525"/>
      <c r="G41" s="3525"/>
      <c r="H41" s="3525"/>
      <c r="I41" s="3525"/>
      <c r="J41" s="3525"/>
      <c r="K41" s="3525"/>
      <c r="L41" s="3525"/>
      <c r="M41" s="3525"/>
      <c r="N41" s="3525"/>
      <c r="O41" s="3525"/>
      <c r="P41" s="3525"/>
      <c r="Q41" s="3525"/>
      <c r="R41" s="3525"/>
      <c r="S41" s="3525"/>
      <c r="T41" s="3525"/>
      <c r="U41" s="3525"/>
      <c r="V41" s="3525"/>
      <c r="W41" s="3525"/>
      <c r="X41" s="1661"/>
      <c r="Y41" s="1661"/>
      <c r="Z41" s="1661"/>
      <c r="AA41" s="1661"/>
      <c r="AB41" s="1661"/>
    </row>
    <row r="42" spans="1:28" ht="21.75" customHeight="1">
      <c r="A42" s="3525" t="str">
        <f>A2</f>
        <v>LAPORAN PERKEMBANGAN PINJAMAN  UEP</v>
      </c>
      <c r="B42" s="3525"/>
      <c r="C42" s="3525"/>
      <c r="D42" s="3525"/>
      <c r="E42" s="3525"/>
      <c r="F42" s="3525"/>
      <c r="G42" s="3525"/>
      <c r="H42" s="3525"/>
      <c r="I42" s="3525"/>
      <c r="J42" s="3525"/>
      <c r="K42" s="3525"/>
      <c r="L42" s="3525"/>
      <c r="M42" s="3525"/>
      <c r="N42" s="3525"/>
      <c r="O42" s="3525"/>
      <c r="P42" s="3525"/>
      <c r="Q42" s="3525"/>
      <c r="R42" s="3525"/>
      <c r="S42" s="3525"/>
      <c r="T42" s="3525"/>
      <c r="U42" s="3525"/>
      <c r="V42" s="3525"/>
      <c r="W42" s="3525"/>
      <c r="X42" s="1661"/>
      <c r="Y42" s="1661"/>
      <c r="Z42" s="1661"/>
      <c r="AA42" s="1661"/>
      <c r="AB42" s="1661"/>
    </row>
    <row r="43" spans="1:28" ht="34.5">
      <c r="A43" s="3525" t="s">
        <v>1504</v>
      </c>
      <c r="B43" s="3525"/>
      <c r="C43" s="3525"/>
      <c r="D43" s="3525"/>
      <c r="E43" s="3525"/>
      <c r="F43" s="3525"/>
      <c r="G43" s="3525"/>
      <c r="H43" s="3525"/>
      <c r="I43" s="3525"/>
      <c r="J43" s="3525"/>
      <c r="K43" s="3525"/>
      <c r="L43" s="3525"/>
      <c r="M43" s="3525"/>
      <c r="N43" s="3525"/>
      <c r="O43" s="3525"/>
      <c r="P43" s="3525"/>
      <c r="Q43" s="3525"/>
      <c r="R43" s="3525"/>
      <c r="S43" s="3525"/>
      <c r="T43" s="3525"/>
      <c r="U43" s="3525"/>
      <c r="V43" s="3525"/>
      <c r="W43" s="3525"/>
      <c r="X43" s="1662"/>
      <c r="Y43" s="1661"/>
      <c r="Z43" s="1661"/>
      <c r="AA43" s="1661"/>
      <c r="AB43" s="1661"/>
    </row>
    <row r="44" spans="1:28" ht="21.75" customHeight="1">
      <c r="A44" s="3525" t="str">
        <f>A4</f>
        <v>Per - Februari 2016 2016</v>
      </c>
      <c r="B44" s="3525"/>
      <c r="C44" s="3525"/>
      <c r="D44" s="3525"/>
      <c r="E44" s="3525"/>
      <c r="F44" s="3525"/>
      <c r="G44" s="3525"/>
      <c r="H44" s="3525"/>
      <c r="I44" s="3525"/>
      <c r="J44" s="3525"/>
      <c r="K44" s="3525"/>
      <c r="L44" s="3525"/>
      <c r="M44" s="3525"/>
      <c r="N44" s="3525"/>
      <c r="O44" s="3525"/>
      <c r="P44" s="3525"/>
      <c r="Q44" s="3525"/>
      <c r="R44" s="3525"/>
      <c r="S44" s="3525"/>
      <c r="T44" s="3525"/>
      <c r="U44" s="3525"/>
      <c r="V44" s="3525"/>
      <c r="W44" s="3525"/>
      <c r="X44" s="1661"/>
      <c r="Y44" s="1661"/>
      <c r="Z44" s="1661"/>
      <c r="AA44" s="1661"/>
      <c r="AB44" s="1661"/>
    </row>
    <row r="46" spans="1:28" s="1581" customFormat="1" ht="20.25" customHeight="1">
      <c r="A46" s="1659"/>
      <c r="B46" s="1659" t="s">
        <v>2</v>
      </c>
      <c r="C46" s="1595"/>
      <c r="D46" s="1595"/>
      <c r="E46" s="1595"/>
      <c r="F46" s="1658" t="str">
        <f>F6</f>
        <v>:  Nagrak</v>
      </c>
      <c r="I46" s="1586"/>
      <c r="J46" s="1586"/>
      <c r="K46" s="1586"/>
      <c r="L46" s="1586"/>
    </row>
    <row r="47" spans="1:28" s="1581" customFormat="1" ht="20.25" customHeight="1">
      <c r="A47" s="1659"/>
      <c r="B47" s="1659" t="s">
        <v>4</v>
      </c>
      <c r="C47" s="1595"/>
      <c r="D47" s="1595"/>
      <c r="E47" s="1595"/>
      <c r="F47" s="1658" t="str">
        <f>F7</f>
        <v>:  Sukabumi</v>
      </c>
      <c r="I47" s="1586"/>
      <c r="J47" s="1586"/>
      <c r="K47" s="1586"/>
      <c r="L47" s="1586"/>
      <c r="V47" s="1660"/>
    </row>
    <row r="48" spans="1:28" s="1581" customFormat="1" ht="20.25" customHeight="1">
      <c r="A48" s="1659"/>
      <c r="B48" s="1659" t="s">
        <v>1516</v>
      </c>
      <c r="C48" s="1595"/>
      <c r="D48" s="1595"/>
      <c r="E48" s="1595"/>
      <c r="F48" s="1658" t="str">
        <f>F8</f>
        <v>:  Jawa Barat</v>
      </c>
      <c r="I48" s="1586"/>
      <c r="J48" s="1586"/>
      <c r="K48" s="1586"/>
      <c r="L48" s="1586"/>
      <c r="M48" s="1586"/>
      <c r="N48" s="1586"/>
    </row>
    <row r="49" spans="1:28" s="1581" customFormat="1" ht="15.75" thickBot="1">
      <c r="G49" s="1657"/>
      <c r="H49" s="1657"/>
      <c r="I49" s="1657"/>
      <c r="J49" s="1657"/>
      <c r="K49" s="1657"/>
      <c r="L49" s="1657"/>
    </row>
    <row r="50" spans="1:28" s="1581" customFormat="1" ht="51.75" customHeight="1" thickTop="1">
      <c r="A50" s="3586" t="s">
        <v>36</v>
      </c>
      <c r="B50" s="3587" t="s">
        <v>1515</v>
      </c>
      <c r="C50" s="3704" t="s">
        <v>1505</v>
      </c>
      <c r="D50" s="2581"/>
      <c r="E50" s="3704" t="s">
        <v>1498</v>
      </c>
      <c r="F50" s="3704" t="s">
        <v>1497</v>
      </c>
      <c r="G50" s="3704"/>
      <c r="H50" s="3704" t="s">
        <v>1496</v>
      </c>
      <c r="I50" s="3704" t="s">
        <v>1514</v>
      </c>
      <c r="J50" s="3704"/>
      <c r="K50" s="3704" t="s">
        <v>1513</v>
      </c>
      <c r="L50" s="3704"/>
      <c r="M50" s="3704"/>
      <c r="N50" s="3704" t="s">
        <v>1489</v>
      </c>
      <c r="O50" s="3704"/>
      <c r="P50" s="3704"/>
      <c r="Q50" s="3704" t="s">
        <v>1488</v>
      </c>
      <c r="R50" s="3704"/>
      <c r="S50" s="3704"/>
      <c r="T50" s="3704" t="s">
        <v>1487</v>
      </c>
      <c r="U50" s="3704" t="s">
        <v>1486</v>
      </c>
      <c r="V50" s="3704" t="s">
        <v>1485</v>
      </c>
      <c r="W50" s="3707"/>
      <c r="X50" s="3410" t="s">
        <v>1512</v>
      </c>
      <c r="Y50" s="1656" t="s">
        <v>1511</v>
      </c>
      <c r="Z50" s="1655" t="s">
        <v>1510</v>
      </c>
      <c r="AA50" s="1655" t="s">
        <v>1509</v>
      </c>
      <c r="AB50" s="1654" t="s">
        <v>1508</v>
      </c>
    </row>
    <row r="51" spans="1:28" s="1581" customFormat="1" ht="26.25" customHeight="1" thickBot="1">
      <c r="A51" s="3591"/>
      <c r="B51" s="3592"/>
      <c r="C51" s="3705"/>
      <c r="D51" s="2582"/>
      <c r="E51" s="3705"/>
      <c r="F51" s="2583" t="s">
        <v>16</v>
      </c>
      <c r="G51" s="2583" t="s">
        <v>1476</v>
      </c>
      <c r="H51" s="3705"/>
      <c r="I51" s="2583" t="s">
        <v>16</v>
      </c>
      <c r="J51" s="2583" t="s">
        <v>1476</v>
      </c>
      <c r="K51" s="2583" t="s">
        <v>16</v>
      </c>
      <c r="L51" s="2583" t="s">
        <v>1476</v>
      </c>
      <c r="M51" s="2583" t="s">
        <v>1477</v>
      </c>
      <c r="N51" s="2583" t="s">
        <v>16</v>
      </c>
      <c r="O51" s="2583" t="s">
        <v>1476</v>
      </c>
      <c r="P51" s="2583" t="s">
        <v>1477</v>
      </c>
      <c r="Q51" s="2583" t="s">
        <v>16</v>
      </c>
      <c r="R51" s="2583" t="s">
        <v>1476</v>
      </c>
      <c r="S51" s="2583" t="s">
        <v>1477</v>
      </c>
      <c r="T51" s="3705"/>
      <c r="U51" s="3705"/>
      <c r="V51" s="2583" t="s">
        <v>16</v>
      </c>
      <c r="W51" s="2584" t="s">
        <v>1476</v>
      </c>
      <c r="X51" s="3410"/>
      <c r="Y51" s="1649" t="s">
        <v>1475</v>
      </c>
      <c r="Z51" s="1648" t="s">
        <v>1474</v>
      </c>
      <c r="AA51" s="1648" t="s">
        <v>1473</v>
      </c>
      <c r="AB51" s="1647" t="s">
        <v>1472</v>
      </c>
    </row>
    <row r="52" spans="1:28" s="1629" customFormat="1" ht="15.75" customHeight="1" thickTop="1" thickBot="1">
      <c r="A52" s="2585">
        <v>1</v>
      </c>
      <c r="B52" s="2586">
        <v>2</v>
      </c>
      <c r="C52" s="3706"/>
      <c r="D52" s="2587"/>
      <c r="E52" s="3706"/>
      <c r="F52" s="2588">
        <v>4</v>
      </c>
      <c r="G52" s="2589">
        <v>5</v>
      </c>
      <c r="H52" s="2588">
        <v>6</v>
      </c>
      <c r="I52" s="2588">
        <v>7</v>
      </c>
      <c r="J52" s="2588">
        <v>8</v>
      </c>
      <c r="K52" s="2588">
        <v>9</v>
      </c>
      <c r="L52" s="2588">
        <v>10</v>
      </c>
      <c r="M52" s="2588">
        <v>11</v>
      </c>
      <c r="N52" s="2588">
        <v>12</v>
      </c>
      <c r="O52" s="2588">
        <v>13</v>
      </c>
      <c r="P52" s="2588">
        <v>14</v>
      </c>
      <c r="Q52" s="2588" t="s">
        <v>1471</v>
      </c>
      <c r="R52" s="2588" t="s">
        <v>1470</v>
      </c>
      <c r="S52" s="2588" t="s">
        <v>1469</v>
      </c>
      <c r="T52" s="2588" t="s">
        <v>1468</v>
      </c>
      <c r="U52" s="2588" t="s">
        <v>1467</v>
      </c>
      <c r="V52" s="2588" t="s">
        <v>1466</v>
      </c>
      <c r="W52" s="2590" t="s">
        <v>1465</v>
      </c>
      <c r="X52" s="1641">
        <v>22</v>
      </c>
      <c r="Y52" s="1640">
        <v>23</v>
      </c>
      <c r="Z52" s="1639">
        <v>24</v>
      </c>
      <c r="AA52" s="1639">
        <v>25</v>
      </c>
      <c r="AB52" s="1638">
        <v>26</v>
      </c>
    </row>
    <row r="53" spans="1:28" s="1629" customFormat="1" ht="34.5" customHeight="1" thickTop="1">
      <c r="A53" s="1637">
        <v>1</v>
      </c>
      <c r="B53" s="1636" t="str">
        <f t="shared" ref="B53:B68" si="4">B13</f>
        <v>CIHANYAWAR</v>
      </c>
      <c r="C53" s="1675">
        <f>'UEP-1'!D103</f>
        <v>0</v>
      </c>
      <c r="D53" s="1675"/>
      <c r="E53" s="1635">
        <f>'UEP-1'!D102</f>
        <v>0</v>
      </c>
      <c r="F53" s="1635">
        <f>'UEP-1'!E102</f>
        <v>0</v>
      </c>
      <c r="G53" s="1635">
        <f>'UEP-1'!F102</f>
        <v>0</v>
      </c>
      <c r="H53" s="1635"/>
      <c r="I53" s="1635">
        <f>'UEP-1'!M102</f>
        <v>0</v>
      </c>
      <c r="J53" s="1635">
        <f>'UEP-1'!N102</f>
        <v>0</v>
      </c>
      <c r="K53" s="1635">
        <f>'UEP-1'!O102</f>
        <v>0</v>
      </c>
      <c r="L53" s="1635">
        <f>'UEP-1'!P102</f>
        <v>0</v>
      </c>
      <c r="M53" s="1635">
        <f>'UEP-1'!Q102</f>
        <v>0</v>
      </c>
      <c r="N53" s="1635">
        <f>'UEP-1'!R102</f>
        <v>0</v>
      </c>
      <c r="O53" s="1635">
        <f>'UEP-1'!S102</f>
        <v>0</v>
      </c>
      <c r="P53" s="1635">
        <f>'UEP-1'!T102</f>
        <v>0</v>
      </c>
      <c r="Q53" s="1635">
        <f>'UEP-1'!U102</f>
        <v>0</v>
      </c>
      <c r="R53" s="1635">
        <f>'UEP-1'!V102</f>
        <v>0</v>
      </c>
      <c r="S53" s="1635">
        <f>'UEP-1'!W102</f>
        <v>0</v>
      </c>
      <c r="T53" s="1635">
        <f>'UEP-1'!X102</f>
        <v>0</v>
      </c>
      <c r="U53" s="1635" t="e">
        <f t="shared" ref="U53:U68" si="5">SUM(Q53/I53)*100</f>
        <v>#DIV/0!</v>
      </c>
      <c r="V53" s="1635">
        <f>'UEP-1'!Z102</f>
        <v>0</v>
      </c>
      <c r="W53" s="1634">
        <f>'UEP-1'!AA102</f>
        <v>0</v>
      </c>
      <c r="X53" s="1633">
        <f>'UEP-1'!AB102</f>
        <v>0</v>
      </c>
      <c r="Y53" s="1632">
        <f>'UEP-1'!AC102</f>
        <v>0</v>
      </c>
      <c r="Z53" s="1631">
        <f>'UEP-1'!AD102</f>
        <v>0</v>
      </c>
      <c r="AA53" s="1631">
        <f>'UEP-1'!AE102</f>
        <v>0</v>
      </c>
      <c r="AB53" s="1630">
        <f>'UEP-1'!AF102</f>
        <v>0</v>
      </c>
    </row>
    <row r="54" spans="1:28" s="1581" customFormat="1" ht="34.5" customHeight="1">
      <c r="A54" s="1625">
        <f t="shared" ref="A54:A68" si="6">A53+1</f>
        <v>2</v>
      </c>
      <c r="B54" s="1628" t="str">
        <f t="shared" si="4"/>
        <v>NAGRAK UTARA</v>
      </c>
      <c r="C54" s="1672">
        <f>'UEP-2'!D103</f>
        <v>0</v>
      </c>
      <c r="D54" s="1946"/>
      <c r="E54" s="430">
        <f>'UEP-2'!D102</f>
        <v>0</v>
      </c>
      <c r="F54" s="430">
        <f>'UEP-2'!E102</f>
        <v>0</v>
      </c>
      <c r="G54" s="430">
        <f>'UEP-2'!F102</f>
        <v>0</v>
      </c>
      <c r="H54" s="430"/>
      <c r="I54" s="430">
        <f>'UEP-2'!M102</f>
        <v>0</v>
      </c>
      <c r="J54" s="430">
        <f>'UEP-2'!N102</f>
        <v>0</v>
      </c>
      <c r="K54" s="430">
        <f>'UEP-2'!O102</f>
        <v>0</v>
      </c>
      <c r="L54" s="430">
        <f>'UEP-2'!P102</f>
        <v>0</v>
      </c>
      <c r="M54" s="430">
        <f>'UEP-2'!Q102</f>
        <v>0</v>
      </c>
      <c r="N54" s="430">
        <f>'UEP-2'!R102</f>
        <v>0</v>
      </c>
      <c r="O54" s="430">
        <f>'UEP-2'!S102</f>
        <v>0</v>
      </c>
      <c r="P54" s="430">
        <f>'UEP-2'!T102</f>
        <v>0</v>
      </c>
      <c r="Q54" s="430">
        <f>'UEP-2'!U102</f>
        <v>0</v>
      </c>
      <c r="R54" s="430">
        <f>'UEP-2'!V102</f>
        <v>0</v>
      </c>
      <c r="S54" s="430">
        <f>'UEP-2'!W102</f>
        <v>0</v>
      </c>
      <c r="T54" s="430">
        <f>'UEP-2'!X102</f>
        <v>0</v>
      </c>
      <c r="U54" s="9" t="e">
        <f t="shared" si="5"/>
        <v>#DIV/0!</v>
      </c>
      <c r="V54" s="430">
        <f>'UEP-2'!Z102</f>
        <v>0</v>
      </c>
      <c r="W54" s="1674">
        <f>'UEP-2'!AA102</f>
        <v>0</v>
      </c>
      <c r="X54" s="1673">
        <f>'UEP-2'!Z102</f>
        <v>0</v>
      </c>
      <c r="Y54" s="1619">
        <f>'UEP-2'!AC102</f>
        <v>0</v>
      </c>
      <c r="Z54" s="1618">
        <f>'UEP-2'!AD102</f>
        <v>0</v>
      </c>
      <c r="AA54" s="1618">
        <f>'UEP-2'!AE102</f>
        <v>0</v>
      </c>
      <c r="AB54" s="1617">
        <f>'UEP-2'!AF102</f>
        <v>0</v>
      </c>
    </row>
    <row r="55" spans="1:28" s="1581" customFormat="1" ht="34.5" customHeight="1">
      <c r="A55" s="1625">
        <f t="shared" si="6"/>
        <v>3</v>
      </c>
      <c r="B55" s="1628" t="str">
        <f t="shared" si="4"/>
        <v>DARMAREJA</v>
      </c>
      <c r="C55" s="1672">
        <f>'UEP-3'!D103</f>
        <v>0</v>
      </c>
      <c r="D55" s="1946"/>
      <c r="E55" s="430">
        <f>'UEP-3'!D102</f>
        <v>0</v>
      </c>
      <c r="F55" s="430">
        <f>'UEP-3'!E102</f>
        <v>0</v>
      </c>
      <c r="G55" s="430">
        <f>'UEP-3'!F102</f>
        <v>0</v>
      </c>
      <c r="H55" s="430"/>
      <c r="I55" s="430">
        <f>'UEP-3'!M102</f>
        <v>0</v>
      </c>
      <c r="J55" s="430">
        <f>'UEP-3'!N102</f>
        <v>0</v>
      </c>
      <c r="K55" s="430">
        <f>'UEP-3'!O102</f>
        <v>0</v>
      </c>
      <c r="L55" s="430">
        <f>'UEP-3'!P102</f>
        <v>0</v>
      </c>
      <c r="M55" s="430">
        <f>'UEP-3'!Q102</f>
        <v>0</v>
      </c>
      <c r="N55" s="430">
        <f>'UEP-3'!R102</f>
        <v>0</v>
      </c>
      <c r="O55" s="430">
        <f>'UEP-3'!S102</f>
        <v>0</v>
      </c>
      <c r="P55" s="430">
        <f>'UEP-3'!T102</f>
        <v>0</v>
      </c>
      <c r="Q55" s="430">
        <f>'UEP-3'!U102</f>
        <v>0</v>
      </c>
      <c r="R55" s="430">
        <f>'UEP-3'!V102</f>
        <v>0</v>
      </c>
      <c r="S55" s="430">
        <f>'UEP-3'!W102</f>
        <v>0</v>
      </c>
      <c r="T55" s="430">
        <f>'UEP-3'!X102</f>
        <v>0</v>
      </c>
      <c r="U55" s="9" t="e">
        <f t="shared" si="5"/>
        <v>#DIV/0!</v>
      </c>
      <c r="V55" s="430">
        <f>'UEP-3'!Z102</f>
        <v>0</v>
      </c>
      <c r="W55" s="1674">
        <f>'UEP-3'!AA102</f>
        <v>0</v>
      </c>
      <c r="X55" s="1673">
        <f>'UEP-3'!Z102</f>
        <v>0</v>
      </c>
      <c r="Y55" s="1619">
        <f>'UEP-3'!AC102</f>
        <v>0</v>
      </c>
      <c r="Z55" s="1618">
        <f>'UEP-3'!AD102</f>
        <v>0</v>
      </c>
      <c r="AA55" s="1618">
        <f>'UEP-3'!AE102</f>
        <v>0</v>
      </c>
      <c r="AB55" s="1617">
        <f>'UEP-3'!AF102</f>
        <v>0</v>
      </c>
    </row>
    <row r="56" spans="1:28" s="1581" customFormat="1" ht="34.5" customHeight="1">
      <c r="A56" s="1625">
        <f t="shared" si="6"/>
        <v>4</v>
      </c>
      <c r="B56" s="1628" t="str">
        <f t="shared" si="4"/>
        <v>BALEKAMBANG</v>
      </c>
      <c r="C56" s="1672">
        <f>'UEP-4'!D103</f>
        <v>0</v>
      </c>
      <c r="D56" s="1946"/>
      <c r="E56" s="430">
        <f>'UEP-4'!D102</f>
        <v>0</v>
      </c>
      <c r="F56" s="430">
        <f>'UEP-4'!E102</f>
        <v>0</v>
      </c>
      <c r="G56" s="430">
        <f>'UEP-4'!F102</f>
        <v>0</v>
      </c>
      <c r="H56" s="430"/>
      <c r="I56" s="430">
        <f>'UEP-4'!M102</f>
        <v>0</v>
      </c>
      <c r="J56" s="430">
        <f>'UEP-4'!N102</f>
        <v>0</v>
      </c>
      <c r="K56" s="430">
        <f>'UEP-4'!O102</f>
        <v>0</v>
      </c>
      <c r="L56" s="430">
        <f>'UEP-4'!P102</f>
        <v>0</v>
      </c>
      <c r="M56" s="430">
        <f>'UEP-4'!Q102</f>
        <v>0</v>
      </c>
      <c r="N56" s="430">
        <f>'UEP-4'!R102</f>
        <v>0</v>
      </c>
      <c r="O56" s="430">
        <f>'UEP-4'!S102</f>
        <v>0</v>
      </c>
      <c r="P56" s="430">
        <f>'UEP-4'!T102</f>
        <v>0</v>
      </c>
      <c r="Q56" s="430">
        <f>'UEP-4'!U102</f>
        <v>0</v>
      </c>
      <c r="R56" s="430">
        <f>'UEP-4'!V102</f>
        <v>0</v>
      </c>
      <c r="S56" s="430">
        <f>'UEP-4'!W102</f>
        <v>0</v>
      </c>
      <c r="T56" s="430">
        <f>'UEP-4'!X102</f>
        <v>0</v>
      </c>
      <c r="U56" s="9" t="e">
        <f t="shared" si="5"/>
        <v>#DIV/0!</v>
      </c>
      <c r="V56" s="430">
        <f>'UEP-4'!Z102</f>
        <v>0</v>
      </c>
      <c r="W56" s="1674">
        <f>'UEP-4'!AA102</f>
        <v>0</v>
      </c>
      <c r="X56" s="1673">
        <f>'UEP-4'!Z102</f>
        <v>0</v>
      </c>
      <c r="Y56" s="1619">
        <f>'UEP-4'!AC102</f>
        <v>0</v>
      </c>
      <c r="Z56" s="1618">
        <f>'UEP-4'!AD102</f>
        <v>0</v>
      </c>
      <c r="AA56" s="1618">
        <f>'UEP-4'!AE102</f>
        <v>0</v>
      </c>
      <c r="AB56" s="1617">
        <f>'UEP-4'!AF102</f>
        <v>0</v>
      </c>
    </row>
    <row r="57" spans="1:28" s="1581" customFormat="1" ht="34.5" customHeight="1">
      <c r="A57" s="1625">
        <f t="shared" si="6"/>
        <v>5</v>
      </c>
      <c r="B57" s="1628" t="str">
        <f t="shared" si="4"/>
        <v>NAGRAK SELATAN</v>
      </c>
      <c r="C57" s="1672">
        <f>'UEP-5'!D103</f>
        <v>0</v>
      </c>
      <c r="D57" s="1946"/>
      <c r="E57" s="430">
        <f>'UEP-5'!D102</f>
        <v>0</v>
      </c>
      <c r="F57" s="430">
        <f>'UEP-5'!E102</f>
        <v>0</v>
      </c>
      <c r="G57" s="430">
        <f>'UEP-5'!F102</f>
        <v>0</v>
      </c>
      <c r="H57" s="430"/>
      <c r="I57" s="430">
        <f>'UEP-5'!M102</f>
        <v>0</v>
      </c>
      <c r="J57" s="430">
        <f>'UEP-5'!N102</f>
        <v>0</v>
      </c>
      <c r="K57" s="430">
        <f>'UEP-5'!O102</f>
        <v>0</v>
      </c>
      <c r="L57" s="430">
        <f>'UEP-5'!P102</f>
        <v>0</v>
      </c>
      <c r="M57" s="430">
        <f>'UEP-5'!Q102</f>
        <v>0</v>
      </c>
      <c r="N57" s="430">
        <f>'UEP-5'!R102</f>
        <v>0</v>
      </c>
      <c r="O57" s="430">
        <f>'UEP-5'!S102</f>
        <v>0</v>
      </c>
      <c r="P57" s="430">
        <f>'UEP-5'!T102</f>
        <v>0</v>
      </c>
      <c r="Q57" s="430">
        <f>'UEP-5'!U102</f>
        <v>0</v>
      </c>
      <c r="R57" s="430">
        <f>'UEP-5'!V102</f>
        <v>0</v>
      </c>
      <c r="S57" s="430">
        <f>'UEP-5'!W102</f>
        <v>0</v>
      </c>
      <c r="T57" s="430">
        <f>'UEP-5'!X102</f>
        <v>0</v>
      </c>
      <c r="U57" s="9" t="e">
        <f t="shared" si="5"/>
        <v>#DIV/0!</v>
      </c>
      <c r="V57" s="430">
        <f>'UEP-5'!Z102</f>
        <v>0</v>
      </c>
      <c r="W57" s="1674">
        <f>'UEP-5'!AA102</f>
        <v>0</v>
      </c>
      <c r="X57" s="1673">
        <f>'UEP-5'!Z102</f>
        <v>0</v>
      </c>
      <c r="Y57" s="1619">
        <f>'UEP-5'!AC102</f>
        <v>0</v>
      </c>
      <c r="Z57" s="1618">
        <f>'UEP-5'!AD102</f>
        <v>0</v>
      </c>
      <c r="AA57" s="1618">
        <f>'UEP-5'!AE102</f>
        <v>0</v>
      </c>
      <c r="AB57" s="1617">
        <f>'UEP-5'!AF102</f>
        <v>0</v>
      </c>
    </row>
    <row r="58" spans="1:28" s="1581" customFormat="1" ht="34.5" customHeight="1">
      <c r="A58" s="1625">
        <f t="shared" si="6"/>
        <v>6</v>
      </c>
      <c r="B58" s="1628" t="str">
        <f t="shared" si="4"/>
        <v>KALAPAREA</v>
      </c>
      <c r="C58" s="1672">
        <f>'UEP-6'!D103</f>
        <v>0</v>
      </c>
      <c r="D58" s="1946"/>
      <c r="E58" s="430">
        <f>'UEP-6'!D102</f>
        <v>0</v>
      </c>
      <c r="F58" s="430">
        <f>'UEP-6'!E102</f>
        <v>0</v>
      </c>
      <c r="G58" s="430">
        <f>'UEP-6'!F102</f>
        <v>0</v>
      </c>
      <c r="H58" s="430"/>
      <c r="I58" s="430">
        <f>'UEP-6'!M102</f>
        <v>0</v>
      </c>
      <c r="J58" s="430">
        <f>'UEP-6'!N102</f>
        <v>0</v>
      </c>
      <c r="K58" s="430">
        <f>'UEP-6'!O102</f>
        <v>0</v>
      </c>
      <c r="L58" s="430">
        <f>'UEP-6'!P102</f>
        <v>0</v>
      </c>
      <c r="M58" s="430">
        <f>'UEP-6'!Q102</f>
        <v>0</v>
      </c>
      <c r="N58" s="430">
        <f>'UEP-6'!R102</f>
        <v>0</v>
      </c>
      <c r="O58" s="430">
        <f>'UEP-6'!S102</f>
        <v>0</v>
      </c>
      <c r="P58" s="430">
        <f>'UEP-6'!T102</f>
        <v>0</v>
      </c>
      <c r="Q58" s="430">
        <f>'UEP-6'!U102</f>
        <v>0</v>
      </c>
      <c r="R58" s="430">
        <f>'UEP-6'!V102</f>
        <v>0</v>
      </c>
      <c r="S58" s="430">
        <f>'UEP-6'!W102</f>
        <v>0</v>
      </c>
      <c r="T58" s="430">
        <f>'UEP-6'!X102</f>
        <v>0</v>
      </c>
      <c r="U58" s="9" t="e">
        <f t="shared" si="5"/>
        <v>#DIV/0!</v>
      </c>
      <c r="V58" s="430">
        <f>'UEP-6'!Z102</f>
        <v>0</v>
      </c>
      <c r="W58" s="1674">
        <f>'UEP-6'!AA102</f>
        <v>0</v>
      </c>
      <c r="X58" s="1673">
        <f>'UEP-6'!Z102</f>
        <v>0</v>
      </c>
      <c r="Y58" s="1619">
        <f>'UEP-6'!AC102</f>
        <v>0</v>
      </c>
      <c r="Z58" s="1618">
        <f>'UEP-6'!AD102</f>
        <v>0</v>
      </c>
      <c r="AA58" s="1618">
        <f>'UEP-6'!AE102</f>
        <v>0</v>
      </c>
      <c r="AB58" s="1617">
        <f>'UEP-6'!AF102</f>
        <v>0</v>
      </c>
    </row>
    <row r="59" spans="1:28" s="1581" customFormat="1" ht="34.5" customHeight="1">
      <c r="A59" s="1625">
        <f t="shared" si="6"/>
        <v>7</v>
      </c>
      <c r="B59" s="1628" t="str">
        <f t="shared" si="4"/>
        <v>BABAKAN PANJANG</v>
      </c>
      <c r="C59" s="1672">
        <f>'UEP-7'!D103</f>
        <v>0</v>
      </c>
      <c r="D59" s="1946"/>
      <c r="E59" s="430">
        <f>'UEP-7'!D102</f>
        <v>0</v>
      </c>
      <c r="F59" s="430">
        <f>'UEP-7'!E102</f>
        <v>0</v>
      </c>
      <c r="G59" s="430">
        <f>'UEP-7'!F102</f>
        <v>0</v>
      </c>
      <c r="H59" s="430"/>
      <c r="I59" s="430">
        <f>'UEP-7'!M102</f>
        <v>0</v>
      </c>
      <c r="J59" s="430">
        <f>'UEP-7'!N102</f>
        <v>0</v>
      </c>
      <c r="K59" s="430">
        <f>'UEP-7'!O102</f>
        <v>0</v>
      </c>
      <c r="L59" s="430">
        <f>'UEP-7'!P102</f>
        <v>0</v>
      </c>
      <c r="M59" s="430">
        <f>'UEP-7'!Q102</f>
        <v>0</v>
      </c>
      <c r="N59" s="430">
        <f>'UEP-7'!R102</f>
        <v>0</v>
      </c>
      <c r="O59" s="430">
        <f>'UEP-7'!S102</f>
        <v>0</v>
      </c>
      <c r="P59" s="430">
        <f>'UEP-7'!T102</f>
        <v>0</v>
      </c>
      <c r="Q59" s="430">
        <f>'UEP-7'!U102</f>
        <v>0</v>
      </c>
      <c r="R59" s="430">
        <f>'UEP-7'!V102</f>
        <v>0</v>
      </c>
      <c r="S59" s="430">
        <f>'UEP-7'!W102</f>
        <v>0</v>
      </c>
      <c r="T59" s="430">
        <f>'UEP-7'!X102</f>
        <v>0</v>
      </c>
      <c r="U59" s="9" t="e">
        <f t="shared" si="5"/>
        <v>#DIV/0!</v>
      </c>
      <c r="V59" s="430">
        <f>'UEP-7'!Z102</f>
        <v>0</v>
      </c>
      <c r="W59" s="1674">
        <f>'UEP-7'!AA102</f>
        <v>0</v>
      </c>
      <c r="X59" s="1673">
        <f>'UEP-7'!Z102</f>
        <v>0</v>
      </c>
      <c r="Y59" s="1619">
        <f>'UEP-7'!AC102</f>
        <v>0</v>
      </c>
      <c r="Z59" s="1618">
        <f>'UEP-7'!AD102</f>
        <v>0</v>
      </c>
      <c r="AA59" s="1618">
        <f>'UEP-7'!AE102</f>
        <v>0</v>
      </c>
      <c r="AB59" s="1617">
        <f>'UEP-7'!AF102</f>
        <v>0</v>
      </c>
    </row>
    <row r="60" spans="1:28" s="1581" customFormat="1" ht="34.5" customHeight="1">
      <c r="A60" s="1625">
        <f t="shared" si="6"/>
        <v>8</v>
      </c>
      <c r="B60" s="1628" t="str">
        <f t="shared" si="4"/>
        <v>PAWENANG</v>
      </c>
      <c r="C60" s="1672">
        <f>'UEP-8'!D103</f>
        <v>0</v>
      </c>
      <c r="D60" s="1946"/>
      <c r="E60" s="430">
        <f>'UEP-8'!D102</f>
        <v>0</v>
      </c>
      <c r="F60" s="430">
        <f>'UEP-8'!E102</f>
        <v>0</v>
      </c>
      <c r="G60" s="430">
        <f>'UEP-8'!F102</f>
        <v>0</v>
      </c>
      <c r="H60" s="430"/>
      <c r="I60" s="430">
        <f>'UEP-8'!M102</f>
        <v>0</v>
      </c>
      <c r="J60" s="430">
        <f>'UEP-8'!N102</f>
        <v>0</v>
      </c>
      <c r="K60" s="430">
        <f>'UEP-8'!O102</f>
        <v>0</v>
      </c>
      <c r="L60" s="430">
        <f>'UEP-8'!P102</f>
        <v>0</v>
      </c>
      <c r="M60" s="430">
        <f>'UEP-8'!Q102</f>
        <v>0</v>
      </c>
      <c r="N60" s="430">
        <f>'UEP-8'!R102</f>
        <v>0</v>
      </c>
      <c r="O60" s="430">
        <f>'UEP-8'!S102</f>
        <v>0</v>
      </c>
      <c r="P60" s="430">
        <f>'UEP-8'!T102</f>
        <v>0</v>
      </c>
      <c r="Q60" s="430">
        <f>'UEP-8'!U102</f>
        <v>0</v>
      </c>
      <c r="R60" s="430">
        <f>'UEP-8'!V102</f>
        <v>0</v>
      </c>
      <c r="S60" s="430">
        <f>'UEP-8'!W102</f>
        <v>0</v>
      </c>
      <c r="T60" s="430">
        <f>'UEP-8'!X102</f>
        <v>0</v>
      </c>
      <c r="U60" s="9" t="e">
        <f t="shared" si="5"/>
        <v>#DIV/0!</v>
      </c>
      <c r="V60" s="430">
        <f>'UEP-8'!Z102</f>
        <v>0</v>
      </c>
      <c r="W60" s="1674">
        <f>'UEP-8'!AA102</f>
        <v>0</v>
      </c>
      <c r="X60" s="1673">
        <f>'UEP-8'!Z102</f>
        <v>0</v>
      </c>
      <c r="Y60" s="1619">
        <f>'UEP-8'!AC102</f>
        <v>0</v>
      </c>
      <c r="Z60" s="1618">
        <f>'UEP-8'!AD102</f>
        <v>0</v>
      </c>
      <c r="AA60" s="1618">
        <f>'UEP-8'!AE102</f>
        <v>0</v>
      </c>
      <c r="AB60" s="1617">
        <f>'UEP-8'!AF102</f>
        <v>0</v>
      </c>
    </row>
    <row r="61" spans="1:28" s="1581" customFormat="1" ht="34.5" customHeight="1">
      <c r="A61" s="1625">
        <f t="shared" si="6"/>
        <v>9</v>
      </c>
      <c r="B61" s="1628" t="str">
        <f t="shared" si="4"/>
        <v>CISARUA</v>
      </c>
      <c r="C61" s="1672">
        <f>'UEP-9'!D103</f>
        <v>0</v>
      </c>
      <c r="D61" s="1946"/>
      <c r="E61" s="430">
        <f>'UEP-9'!D102</f>
        <v>0</v>
      </c>
      <c r="F61" s="430">
        <f>'UEP-9'!E102</f>
        <v>0</v>
      </c>
      <c r="G61" s="430">
        <f>'UEP-9'!F102</f>
        <v>0</v>
      </c>
      <c r="H61" s="430"/>
      <c r="I61" s="430">
        <f>'UEP-9'!M102</f>
        <v>0</v>
      </c>
      <c r="J61" s="430">
        <f>'UEP-9'!N102</f>
        <v>0</v>
      </c>
      <c r="K61" s="430">
        <f>'UEP-9'!O102</f>
        <v>0</v>
      </c>
      <c r="L61" s="430">
        <f>'UEP-9'!P102</f>
        <v>0</v>
      </c>
      <c r="M61" s="430">
        <f>'UEP-9'!Q102</f>
        <v>0</v>
      </c>
      <c r="N61" s="430">
        <f>'UEP-9'!R102</f>
        <v>0</v>
      </c>
      <c r="O61" s="430">
        <f>'UEP-9'!S102</f>
        <v>0</v>
      </c>
      <c r="P61" s="430">
        <f>'UEP-9'!T102</f>
        <v>0</v>
      </c>
      <c r="Q61" s="430">
        <f>'UEP-9'!U102</f>
        <v>0</v>
      </c>
      <c r="R61" s="430">
        <f>'UEP-9'!V102</f>
        <v>0</v>
      </c>
      <c r="S61" s="430">
        <f>'UEP-9'!W102</f>
        <v>0</v>
      </c>
      <c r="T61" s="430">
        <f>'UEP-9'!X102</f>
        <v>0</v>
      </c>
      <c r="U61" s="9" t="e">
        <f t="shared" si="5"/>
        <v>#DIV/0!</v>
      </c>
      <c r="V61" s="430">
        <f>'UEP-9'!Z102</f>
        <v>0</v>
      </c>
      <c r="W61" s="1674">
        <f>'UEP-9'!AA102</f>
        <v>0</v>
      </c>
      <c r="X61" s="1673">
        <f>'UEP-9'!Z102</f>
        <v>0</v>
      </c>
      <c r="Y61" s="1619">
        <f>'UEP-9'!AC102</f>
        <v>0</v>
      </c>
      <c r="Z61" s="1618">
        <f>'UEP-9'!AD102</f>
        <v>0</v>
      </c>
      <c r="AA61" s="1618">
        <f>'UEP-9'!AE102</f>
        <v>0</v>
      </c>
      <c r="AB61" s="1617">
        <f>'UEP-9'!AF102</f>
        <v>0</v>
      </c>
    </row>
    <row r="62" spans="1:28" s="1581" customFormat="1" ht="34.5" customHeight="1">
      <c r="A62" s="1625">
        <f t="shared" si="6"/>
        <v>10</v>
      </c>
      <c r="B62" s="1628" t="str">
        <f t="shared" si="4"/>
        <v>GIRIJAYA</v>
      </c>
      <c r="C62" s="1672">
        <f>'UEP-10'!D103</f>
        <v>0</v>
      </c>
      <c r="D62" s="1946"/>
      <c r="E62" s="430">
        <f>'UEP-10'!D102</f>
        <v>0</v>
      </c>
      <c r="F62" s="430">
        <f>'UEP-10'!E102</f>
        <v>0</v>
      </c>
      <c r="G62" s="430">
        <f>'UEP-10'!F102</f>
        <v>0</v>
      </c>
      <c r="H62" s="430"/>
      <c r="I62" s="430">
        <f>'UEP-10'!M102</f>
        <v>0</v>
      </c>
      <c r="J62" s="430">
        <f>'UEP-10'!N102</f>
        <v>0</v>
      </c>
      <c r="K62" s="430">
        <f>'UEP-10'!O102</f>
        <v>0</v>
      </c>
      <c r="L62" s="430">
        <f>'UEP-10'!P102</f>
        <v>0</v>
      </c>
      <c r="M62" s="430">
        <f>'UEP-10'!Q102</f>
        <v>0</v>
      </c>
      <c r="N62" s="430">
        <f>'UEP-10'!R102</f>
        <v>0</v>
      </c>
      <c r="O62" s="430">
        <f>'UEP-10'!S102</f>
        <v>0</v>
      </c>
      <c r="P62" s="430">
        <f>'UEP-10'!T102</f>
        <v>0</v>
      </c>
      <c r="Q62" s="430">
        <f>'UEP-10'!U102</f>
        <v>0</v>
      </c>
      <c r="R62" s="430">
        <f>'UEP-10'!V102</f>
        <v>0</v>
      </c>
      <c r="S62" s="430">
        <f>'UEP-10'!W102</f>
        <v>0</v>
      </c>
      <c r="T62" s="430">
        <f>'UEP-10'!X102</f>
        <v>0</v>
      </c>
      <c r="U62" s="9" t="e">
        <f t="shared" si="5"/>
        <v>#DIV/0!</v>
      </c>
      <c r="V62" s="430">
        <f>'UEP-10'!Z102</f>
        <v>0</v>
      </c>
      <c r="W62" s="1674">
        <f>'UEP-10'!AA102</f>
        <v>0</v>
      </c>
      <c r="X62" s="1673">
        <f>'UEP-10'!Z102</f>
        <v>0</v>
      </c>
      <c r="Y62" s="1619">
        <f>'UEP-10'!AC102</f>
        <v>0</v>
      </c>
      <c r="Z62" s="1618">
        <f>'UEP-10'!AD102</f>
        <v>0</v>
      </c>
      <c r="AA62" s="1618">
        <f>'UEP-10'!AE102</f>
        <v>0</v>
      </c>
      <c r="AB62" s="1617">
        <f>'UEP-10'!AF102</f>
        <v>0</v>
      </c>
    </row>
    <row r="63" spans="1:28" s="1581" customFormat="1" ht="34.5" customHeight="1">
      <c r="A63" s="1625">
        <f t="shared" si="6"/>
        <v>11</v>
      </c>
      <c r="B63" s="1628">
        <f t="shared" si="4"/>
        <v>0</v>
      </c>
      <c r="C63" s="1672">
        <f>'UEP-11'!D103</f>
        <v>0</v>
      </c>
      <c r="D63" s="1946"/>
      <c r="E63" s="430">
        <f>'UEP-11'!D102</f>
        <v>0</v>
      </c>
      <c r="F63" s="430">
        <f>'UEP-11'!E102</f>
        <v>0</v>
      </c>
      <c r="G63" s="430">
        <f>'UEP-11'!F102</f>
        <v>0</v>
      </c>
      <c r="H63" s="430"/>
      <c r="I63" s="430">
        <f>'UEP-11'!M102</f>
        <v>0</v>
      </c>
      <c r="J63" s="430">
        <f>'UEP-11'!N102</f>
        <v>0</v>
      </c>
      <c r="K63" s="430">
        <f>'UEP-11'!O102</f>
        <v>0</v>
      </c>
      <c r="L63" s="430">
        <f>'UEP-11'!P102</f>
        <v>0</v>
      </c>
      <c r="M63" s="430">
        <f>'UEP-11'!Q102</f>
        <v>0</v>
      </c>
      <c r="N63" s="430">
        <f>'UEP-11'!R102</f>
        <v>0</v>
      </c>
      <c r="O63" s="430">
        <f>'UEP-11'!S102</f>
        <v>0</v>
      </c>
      <c r="P63" s="430">
        <f>'UEP-11'!T102</f>
        <v>0</v>
      </c>
      <c r="Q63" s="430">
        <f>'UEP-11'!U102</f>
        <v>0</v>
      </c>
      <c r="R63" s="430">
        <f>'UEP-11'!V102</f>
        <v>0</v>
      </c>
      <c r="S63" s="430">
        <f>'UEP-11'!W102</f>
        <v>0</v>
      </c>
      <c r="T63" s="430">
        <f>'UEP-11'!X102</f>
        <v>0</v>
      </c>
      <c r="U63" s="9" t="e">
        <f t="shared" si="5"/>
        <v>#DIV/0!</v>
      </c>
      <c r="V63" s="430">
        <f>'UEP-11'!Z102</f>
        <v>0</v>
      </c>
      <c r="W63" s="1674">
        <f>'UEP-11'!AA102</f>
        <v>0</v>
      </c>
      <c r="X63" s="1673">
        <f>'UEP-11'!Z102</f>
        <v>0</v>
      </c>
      <c r="Y63" s="1619">
        <f>'UEP-11'!AC102</f>
        <v>0</v>
      </c>
      <c r="Z63" s="1618">
        <f>'UEP-11'!AD102</f>
        <v>0</v>
      </c>
      <c r="AA63" s="1618">
        <f>'UEP-11'!AE102</f>
        <v>0</v>
      </c>
      <c r="AB63" s="1617">
        <f>'UEP-11'!AF102</f>
        <v>0</v>
      </c>
    </row>
    <row r="64" spans="1:28" s="1581" customFormat="1" ht="34.5" customHeight="1">
      <c r="A64" s="1625">
        <f t="shared" si="6"/>
        <v>12</v>
      </c>
      <c r="B64" s="1628">
        <f t="shared" si="4"/>
        <v>0</v>
      </c>
      <c r="C64" s="1672">
        <f>'UEP-12'!D103</f>
        <v>0</v>
      </c>
      <c r="D64" s="1946"/>
      <c r="E64" s="430">
        <f>'UEP-12'!D102</f>
        <v>0</v>
      </c>
      <c r="F64" s="430">
        <f>'UEP-12'!E102</f>
        <v>0</v>
      </c>
      <c r="G64" s="430">
        <f>'UEP-12'!F102</f>
        <v>0</v>
      </c>
      <c r="H64" s="430"/>
      <c r="I64" s="430">
        <f>'UEP-12'!M102</f>
        <v>0</v>
      </c>
      <c r="J64" s="430">
        <f>'UEP-12'!N102</f>
        <v>0</v>
      </c>
      <c r="K64" s="430">
        <f>'UEP-12'!O102</f>
        <v>0</v>
      </c>
      <c r="L64" s="430">
        <f>'UEP-12'!P102</f>
        <v>0</v>
      </c>
      <c r="M64" s="430">
        <f>'UEP-12'!Q102</f>
        <v>0</v>
      </c>
      <c r="N64" s="430">
        <f>'UEP-12'!R102</f>
        <v>0</v>
      </c>
      <c r="O64" s="430">
        <f>'UEP-12'!S102</f>
        <v>0</v>
      </c>
      <c r="P64" s="430">
        <f>'UEP-12'!T102</f>
        <v>0</v>
      </c>
      <c r="Q64" s="430">
        <f>'UEP-12'!U102</f>
        <v>0</v>
      </c>
      <c r="R64" s="430">
        <f>'UEP-12'!V102</f>
        <v>0</v>
      </c>
      <c r="S64" s="430">
        <f>'UEP-12'!W102</f>
        <v>0</v>
      </c>
      <c r="T64" s="430">
        <f>'UEP-12'!X102</f>
        <v>0</v>
      </c>
      <c r="U64" s="9" t="e">
        <f t="shared" si="5"/>
        <v>#DIV/0!</v>
      </c>
      <c r="V64" s="430">
        <f>'UEP-12'!Z102</f>
        <v>0</v>
      </c>
      <c r="W64" s="1674">
        <f>'UEP-12'!AA102</f>
        <v>0</v>
      </c>
      <c r="X64" s="1673">
        <f>'UEP-12'!Z102</f>
        <v>0</v>
      </c>
      <c r="Y64" s="1619">
        <f>'UEP-12'!AC102</f>
        <v>0</v>
      </c>
      <c r="Z64" s="1618">
        <f>'UEP-12'!AD102</f>
        <v>0</v>
      </c>
      <c r="AA64" s="1618">
        <f>'UEP-12'!AE102</f>
        <v>0</v>
      </c>
      <c r="AB64" s="1617">
        <f>'UEP-12'!AF102</f>
        <v>0</v>
      </c>
    </row>
    <row r="65" spans="1:28" s="1581" customFormat="1" ht="34.5" customHeight="1">
      <c r="A65" s="1625">
        <f t="shared" si="6"/>
        <v>13</v>
      </c>
      <c r="B65" s="1628">
        <f t="shared" si="4"/>
        <v>0</v>
      </c>
      <c r="C65" s="1672">
        <f>'UEP-13'!D103</f>
        <v>0</v>
      </c>
      <c r="D65" s="1946"/>
      <c r="E65" s="430">
        <f>'UEP-13'!D102</f>
        <v>0</v>
      </c>
      <c r="F65" s="430">
        <f>'UEP-13'!E102</f>
        <v>0</v>
      </c>
      <c r="G65" s="430">
        <f>'UEP-13'!F102</f>
        <v>0</v>
      </c>
      <c r="H65" s="430"/>
      <c r="I65" s="430">
        <f>'UEP-13'!M102</f>
        <v>0</v>
      </c>
      <c r="J65" s="430">
        <f>'UEP-13'!N102</f>
        <v>0</v>
      </c>
      <c r="K65" s="430">
        <f>'UEP-13'!O102</f>
        <v>0</v>
      </c>
      <c r="L65" s="430">
        <f>'UEP-13'!P102</f>
        <v>0</v>
      </c>
      <c r="M65" s="430">
        <f>'UEP-13'!Q102</f>
        <v>0</v>
      </c>
      <c r="N65" s="430">
        <f>'UEP-13'!R102</f>
        <v>0</v>
      </c>
      <c r="O65" s="430">
        <f>'UEP-13'!S102</f>
        <v>0</v>
      </c>
      <c r="P65" s="430">
        <f>'UEP-13'!T102</f>
        <v>0</v>
      </c>
      <c r="Q65" s="430">
        <f>'UEP-13'!U102</f>
        <v>0</v>
      </c>
      <c r="R65" s="430">
        <f>'UEP-13'!V102</f>
        <v>0</v>
      </c>
      <c r="S65" s="430">
        <f>'UEP-13'!W102</f>
        <v>0</v>
      </c>
      <c r="T65" s="430">
        <f>'UEP-13'!X102</f>
        <v>0</v>
      </c>
      <c r="U65" s="9" t="e">
        <f t="shared" si="5"/>
        <v>#DIV/0!</v>
      </c>
      <c r="V65" s="430">
        <f>'UEP-13'!Z102</f>
        <v>0</v>
      </c>
      <c r="W65" s="1674">
        <f>'UEP-13'!AA102</f>
        <v>0</v>
      </c>
      <c r="X65" s="1673">
        <f>'UEP-13'!Z102</f>
        <v>0</v>
      </c>
      <c r="Y65" s="1619">
        <f>'UEP-13'!AC102</f>
        <v>0</v>
      </c>
      <c r="Z65" s="1618">
        <f>'UEP-13'!AD102</f>
        <v>0</v>
      </c>
      <c r="AA65" s="1618">
        <f>'UEP-13'!AE102</f>
        <v>0</v>
      </c>
      <c r="AB65" s="1617">
        <f>'UEP-13'!AF102</f>
        <v>0</v>
      </c>
    </row>
    <row r="66" spans="1:28" s="1581" customFormat="1" ht="34.5" customHeight="1">
      <c r="A66" s="1625">
        <f t="shared" si="6"/>
        <v>14</v>
      </c>
      <c r="B66" s="1628">
        <f t="shared" si="4"/>
        <v>0</v>
      </c>
      <c r="C66" s="1672">
        <f>'UEP-14'!D103</f>
        <v>0</v>
      </c>
      <c r="D66" s="1946"/>
      <c r="E66" s="430">
        <f>'UEP-14'!D102</f>
        <v>0</v>
      </c>
      <c r="F66" s="430">
        <f>'UEP-14'!E102</f>
        <v>0</v>
      </c>
      <c r="G66" s="9">
        <f>'UEP-14'!F102</f>
        <v>0</v>
      </c>
      <c r="H66" s="9"/>
      <c r="I66" s="9">
        <f>'UEP-14'!M102</f>
        <v>0</v>
      </c>
      <c r="J66" s="9">
        <f>'UEP-14'!N102</f>
        <v>0</v>
      </c>
      <c r="K66" s="9">
        <f>'UEP-14'!O102</f>
        <v>0</v>
      </c>
      <c r="L66" s="9">
        <f>'UEP-14'!P102</f>
        <v>0</v>
      </c>
      <c r="M66" s="9">
        <f>'UEP-14'!Q102</f>
        <v>0</v>
      </c>
      <c r="N66" s="9">
        <f>'UEP-14'!R102</f>
        <v>0</v>
      </c>
      <c r="O66" s="9">
        <f>'UEP-14'!S102</f>
        <v>0</v>
      </c>
      <c r="P66" s="9">
        <f>'UEP-14'!T102</f>
        <v>0</v>
      </c>
      <c r="Q66" s="9">
        <f>'UEP-14'!U102</f>
        <v>0</v>
      </c>
      <c r="R66" s="9">
        <f>'UEP-14'!V102</f>
        <v>0</v>
      </c>
      <c r="S66" s="9">
        <f>'UEP-14'!W102</f>
        <v>0</v>
      </c>
      <c r="T66" s="9">
        <f>'UEP-14'!X102</f>
        <v>0</v>
      </c>
      <c r="U66" s="9" t="e">
        <f t="shared" si="5"/>
        <v>#DIV/0!</v>
      </c>
      <c r="V66" s="9">
        <f>'UEP-14'!Z102</f>
        <v>0</v>
      </c>
      <c r="W66" s="1621">
        <f>'UEP-14'!AA102</f>
        <v>0</v>
      </c>
      <c r="X66" s="1671">
        <f>'UEP-14'!Z102</f>
        <v>0</v>
      </c>
      <c r="Y66" s="1670">
        <f>'UEP-14'!AC102</f>
        <v>0</v>
      </c>
      <c r="Z66" s="1669">
        <f>'UEP-14'!AD102</f>
        <v>0</v>
      </c>
      <c r="AA66" s="1669">
        <f>'UEP-14'!AE102</f>
        <v>0</v>
      </c>
      <c r="AB66" s="1668">
        <f>'UEP-14'!AF102</f>
        <v>0</v>
      </c>
    </row>
    <row r="67" spans="1:28" s="1581" customFormat="1" ht="34.5" customHeight="1">
      <c r="A67" s="1625">
        <f t="shared" si="6"/>
        <v>15</v>
      </c>
      <c r="B67" s="1628">
        <f t="shared" si="4"/>
        <v>0</v>
      </c>
      <c r="C67" s="1672">
        <f>'UEP-15'!D103</f>
        <v>0</v>
      </c>
      <c r="D67" s="1946"/>
      <c r="E67" s="430">
        <f>'UEP-15'!D102</f>
        <v>0</v>
      </c>
      <c r="F67" s="430">
        <f>'UEP-15'!E102</f>
        <v>0</v>
      </c>
      <c r="G67" s="430">
        <f>'UEP-15'!F102</f>
        <v>0</v>
      </c>
      <c r="H67" s="9"/>
      <c r="I67" s="9">
        <f>'UEP-15'!M102</f>
        <v>0</v>
      </c>
      <c r="J67" s="9">
        <f>'UEP-15'!N102</f>
        <v>0</v>
      </c>
      <c r="K67" s="9">
        <f>'UEP-15'!O102</f>
        <v>0</v>
      </c>
      <c r="L67" s="9">
        <f>'UEP-15'!P102</f>
        <v>0</v>
      </c>
      <c r="M67" s="9">
        <f>'UEP-15'!Q102</f>
        <v>0</v>
      </c>
      <c r="N67" s="9">
        <f>'UEP-15'!R102</f>
        <v>0</v>
      </c>
      <c r="O67" s="9">
        <f>'UEP-15'!S102</f>
        <v>0</v>
      </c>
      <c r="P67" s="9">
        <f>'UEP-15'!T102</f>
        <v>0</v>
      </c>
      <c r="Q67" s="9">
        <f>'UEP-15'!U102</f>
        <v>0</v>
      </c>
      <c r="R67" s="9">
        <f>'UEP-15'!V102</f>
        <v>0</v>
      </c>
      <c r="S67" s="9">
        <f>'UEP-15'!W102</f>
        <v>0</v>
      </c>
      <c r="T67" s="9">
        <f>'UEP-15'!X102</f>
        <v>0</v>
      </c>
      <c r="U67" s="9" t="e">
        <f t="shared" si="5"/>
        <v>#DIV/0!</v>
      </c>
      <c r="V67" s="9">
        <f>'UEP-15'!Z102</f>
        <v>0</v>
      </c>
      <c r="W67" s="1621">
        <f>'UEP-15'!AA102</f>
        <v>0</v>
      </c>
      <c r="X67" s="1673">
        <f>'UEP-15'!AB102</f>
        <v>0</v>
      </c>
      <c r="Y67" s="1619">
        <f>'UEP-15'!AC102</f>
        <v>0</v>
      </c>
      <c r="Z67" s="1618">
        <f>'UEP-15'!AD102</f>
        <v>0</v>
      </c>
      <c r="AA67" s="1618">
        <f>'UEP-15'!AE102</f>
        <v>0</v>
      </c>
      <c r="AB67" s="1617">
        <f>'UEP-15'!AF102</f>
        <v>0</v>
      </c>
    </row>
    <row r="68" spans="1:28" s="1581" customFormat="1" ht="34.5" customHeight="1">
      <c r="A68" s="1625">
        <f t="shared" si="6"/>
        <v>16</v>
      </c>
      <c r="B68" s="1628">
        <f t="shared" si="4"/>
        <v>0</v>
      </c>
      <c r="C68" s="1672">
        <f>'UEP-16'!D103</f>
        <v>0</v>
      </c>
      <c r="D68" s="1946"/>
      <c r="E68" s="430">
        <f>'UEP-16'!D102</f>
        <v>0</v>
      </c>
      <c r="F68" s="430">
        <f>'UEP-16'!E102</f>
        <v>0</v>
      </c>
      <c r="G68" s="430">
        <f>'UEP-16'!F102</f>
        <v>0</v>
      </c>
      <c r="H68" s="9"/>
      <c r="I68" s="9">
        <f>'UEP-16'!M102</f>
        <v>0</v>
      </c>
      <c r="J68" s="9">
        <f>'UEP-16'!N102</f>
        <v>0</v>
      </c>
      <c r="K68" s="9">
        <f>'UEP-16'!O102</f>
        <v>0</v>
      </c>
      <c r="L68" s="9">
        <f>'UEP-16'!P102</f>
        <v>0</v>
      </c>
      <c r="M68" s="9">
        <f>'UEP-16'!Q102</f>
        <v>0</v>
      </c>
      <c r="N68" s="9">
        <f>'UEP-16'!R102</f>
        <v>0</v>
      </c>
      <c r="O68" s="9">
        <f>'UEP-16'!S102</f>
        <v>0</v>
      </c>
      <c r="P68" s="9">
        <f>'UEP-16'!T102</f>
        <v>0</v>
      </c>
      <c r="Q68" s="9">
        <f>'UEP-16'!U102</f>
        <v>0</v>
      </c>
      <c r="R68" s="9">
        <f>'UEP-16'!V102</f>
        <v>0</v>
      </c>
      <c r="S68" s="9">
        <f>'UEP-16'!W102</f>
        <v>0</v>
      </c>
      <c r="T68" s="9">
        <f>'UEP-16'!X102</f>
        <v>0</v>
      </c>
      <c r="U68" s="9" t="e">
        <f t="shared" si="5"/>
        <v>#DIV/0!</v>
      </c>
      <c r="V68" s="9">
        <f>'UEP-16'!Z102</f>
        <v>0</v>
      </c>
      <c r="W68" s="1621">
        <f>'UEP-16'!AA102</f>
        <v>0</v>
      </c>
      <c r="X68" s="1671">
        <f>'UEP-16'!AB102</f>
        <v>0</v>
      </c>
      <c r="Y68" s="1670">
        <f>'UEP-16'!AC102</f>
        <v>0</v>
      </c>
      <c r="Z68" s="1669">
        <f>'UEP-16'!AD102</f>
        <v>0</v>
      </c>
      <c r="AA68" s="1669">
        <f>'UEP-16'!AE102</f>
        <v>0</v>
      </c>
      <c r="AB68" s="1668">
        <f>'UEP-16'!AF102</f>
        <v>0</v>
      </c>
    </row>
    <row r="69" spans="1:28" s="1581" customFormat="1" ht="15.75" thickBot="1">
      <c r="A69" s="1608"/>
      <c r="B69" s="1616"/>
      <c r="C69" s="1615"/>
      <c r="D69" s="1615"/>
      <c r="E69" s="1615"/>
      <c r="F69" s="1610"/>
      <c r="G69" s="1665"/>
      <c r="H69" s="1665"/>
      <c r="I69" s="1667"/>
      <c r="J69" s="1667"/>
      <c r="K69" s="1667"/>
      <c r="L69" s="1667"/>
      <c r="M69" s="1613"/>
      <c r="N69" s="1613"/>
      <c r="O69" s="1613"/>
      <c r="P69" s="1666"/>
      <c r="Q69" s="1665"/>
      <c r="R69" s="1665"/>
      <c r="S69" s="1613"/>
      <c r="T69" s="1613"/>
      <c r="U69" s="1613"/>
      <c r="V69" s="1613"/>
      <c r="W69" s="1664"/>
      <c r="X69" s="1608"/>
      <c r="Y69" s="1607"/>
      <c r="Z69" s="1606"/>
      <c r="AA69" s="1606"/>
      <c r="AB69" s="1605"/>
    </row>
    <row r="70" spans="1:28" s="1586" customFormat="1" ht="55.5" customHeight="1" thickBot="1">
      <c r="A70" s="1604"/>
      <c r="B70" s="1603" t="s">
        <v>1507</v>
      </c>
      <c r="C70" s="1602">
        <f t="shared" ref="C70:T70" si="7">SUM(C53:C68)</f>
        <v>0</v>
      </c>
      <c r="D70" s="1602"/>
      <c r="E70" s="1602">
        <f t="shared" si="7"/>
        <v>0</v>
      </c>
      <c r="F70" s="1602">
        <f t="shared" si="7"/>
        <v>0</v>
      </c>
      <c r="G70" s="1602">
        <f t="shared" si="7"/>
        <v>0</v>
      </c>
      <c r="H70" s="1602">
        <f t="shared" si="7"/>
        <v>0</v>
      </c>
      <c r="I70" s="1602">
        <f t="shared" si="7"/>
        <v>0</v>
      </c>
      <c r="J70" s="1602">
        <f t="shared" si="7"/>
        <v>0</v>
      </c>
      <c r="K70" s="1602">
        <f t="shared" si="7"/>
        <v>0</v>
      </c>
      <c r="L70" s="1602">
        <f t="shared" si="7"/>
        <v>0</v>
      </c>
      <c r="M70" s="1602">
        <f t="shared" si="7"/>
        <v>0</v>
      </c>
      <c r="N70" s="1602">
        <f t="shared" si="7"/>
        <v>0</v>
      </c>
      <c r="O70" s="1602">
        <f t="shared" si="7"/>
        <v>0</v>
      </c>
      <c r="P70" s="1602">
        <f t="shared" si="7"/>
        <v>0</v>
      </c>
      <c r="Q70" s="1602">
        <f t="shared" si="7"/>
        <v>0</v>
      </c>
      <c r="R70" s="1602">
        <f t="shared" si="7"/>
        <v>0</v>
      </c>
      <c r="S70" s="1602">
        <f t="shared" si="7"/>
        <v>0</v>
      </c>
      <c r="T70" s="1602">
        <f t="shared" si="7"/>
        <v>0</v>
      </c>
      <c r="U70" s="1602" t="e">
        <f>SUM(Q70/I70)*100</f>
        <v>#DIV/0!</v>
      </c>
      <c r="V70" s="1602">
        <f t="shared" ref="V70:AB70" si="8">SUM(V53:V68)</f>
        <v>0</v>
      </c>
      <c r="W70" s="1601">
        <f t="shared" si="8"/>
        <v>0</v>
      </c>
      <c r="X70" s="1600">
        <f t="shared" si="8"/>
        <v>0</v>
      </c>
      <c r="Y70" s="1599">
        <f t="shared" si="8"/>
        <v>0</v>
      </c>
      <c r="Z70" s="1598">
        <f t="shared" si="8"/>
        <v>0</v>
      </c>
      <c r="AA70" s="1598">
        <f t="shared" si="8"/>
        <v>0</v>
      </c>
      <c r="AB70" s="1597">
        <f t="shared" si="8"/>
        <v>0</v>
      </c>
    </row>
    <row r="71" spans="1:28" s="1581" customFormat="1" ht="16.5" thickTop="1">
      <c r="G71" s="1586"/>
      <c r="I71" s="1586"/>
      <c r="J71" s="1586"/>
      <c r="K71" s="1586"/>
      <c r="L71" s="1586"/>
      <c r="M71" s="1594"/>
      <c r="N71" s="1594"/>
      <c r="O71" s="1596"/>
      <c r="P71" s="1595"/>
      <c r="Q71" s="1594"/>
      <c r="R71" s="1594"/>
    </row>
    <row r="72" spans="1:28" s="1581" customFormat="1" ht="16.5" customHeight="1">
      <c r="F72" s="1586"/>
      <c r="I72" s="1586"/>
      <c r="J72" s="1586"/>
      <c r="K72" s="1593"/>
      <c r="L72" s="1593"/>
      <c r="M72" s="1592"/>
      <c r="N72" s="1591"/>
      <c r="O72" s="1591"/>
      <c r="P72" s="1590"/>
      <c r="Q72" s="1589"/>
      <c r="R72" s="1589"/>
      <c r="V72" s="1588"/>
      <c r="W72" s="1588"/>
    </row>
    <row r="73" spans="1:28" s="1581" customFormat="1" ht="15">
      <c r="A73" s="1587"/>
      <c r="B73" s="1587"/>
      <c r="K73" s="1586"/>
      <c r="L73" s="1586"/>
      <c r="O73" s="1585"/>
      <c r="P73" s="1584"/>
      <c r="Q73" s="1583"/>
      <c r="R73" s="1582"/>
      <c r="T73" s="1574" t="str">
        <f>T33</f>
        <v>Nagrak, 29 Februari 2016 2016</v>
      </c>
    </row>
    <row r="74" spans="1:28" s="1572" customFormat="1" ht="15">
      <c r="G74" s="1574" t="s">
        <v>21</v>
      </c>
      <c r="P74" s="1574"/>
      <c r="T74" s="1574" t="s">
        <v>22</v>
      </c>
    </row>
    <row r="75" spans="1:28" s="1572" customFormat="1" ht="20.25" customHeight="1">
      <c r="N75" s="1580"/>
      <c r="O75" s="1579"/>
      <c r="T75" s="1574"/>
    </row>
    <row r="76" spans="1:28" s="1572" customFormat="1" ht="20.25" customHeight="1">
      <c r="N76" s="1580"/>
      <c r="O76" s="1579"/>
      <c r="Q76" s="1578"/>
      <c r="T76" s="1574"/>
    </row>
    <row r="77" spans="1:28" s="1572" customFormat="1" ht="20.25" customHeight="1">
      <c r="P77" s="1574"/>
      <c r="T77" s="1574"/>
    </row>
    <row r="78" spans="1:28" s="1572" customFormat="1" ht="20.25" customHeight="1">
      <c r="P78" s="1574"/>
      <c r="Q78" s="1577"/>
      <c r="R78" s="1577"/>
      <c r="T78" s="1574"/>
    </row>
    <row r="79" spans="1:28" s="1572" customFormat="1" ht="15">
      <c r="G79" s="1663" t="str">
        <f>G39</f>
        <v>Endang Taryana</v>
      </c>
      <c r="N79" s="1576"/>
      <c r="P79" s="1575"/>
      <c r="T79" s="1663" t="str">
        <f>T39</f>
        <v>Arin Yustini, SE</v>
      </c>
    </row>
    <row r="80" spans="1:28" s="1572" customFormat="1" ht="15">
      <c r="G80" s="1574" t="s">
        <v>23</v>
      </c>
      <c r="P80" s="1573"/>
      <c r="T80" s="1573" t="s">
        <v>24</v>
      </c>
    </row>
    <row r="81" spans="1:28" ht="21.75" customHeight="1">
      <c r="A81" s="3525" t="s">
        <v>123</v>
      </c>
      <c r="B81" s="3525"/>
      <c r="C81" s="3525"/>
      <c r="D81" s="3525"/>
      <c r="E81" s="3525"/>
      <c r="F81" s="3525"/>
      <c r="G81" s="3525"/>
      <c r="H81" s="3525"/>
      <c r="I81" s="3525"/>
      <c r="J81" s="3525"/>
      <c r="K81" s="3525"/>
      <c r="L81" s="3525"/>
      <c r="M81" s="3525"/>
      <c r="N81" s="3525"/>
      <c r="O81" s="3525"/>
      <c r="P81" s="3525"/>
      <c r="Q81" s="3525"/>
      <c r="R81" s="3525"/>
      <c r="S81" s="3525"/>
      <c r="T81" s="3525"/>
      <c r="U81" s="3525"/>
      <c r="V81" s="3525"/>
      <c r="W81" s="3525"/>
      <c r="X81" s="1661"/>
      <c r="Y81" s="1661"/>
      <c r="Z81" s="1661"/>
      <c r="AA81" s="1661"/>
      <c r="AB81" s="1661"/>
    </row>
    <row r="82" spans="1:28" ht="21.75" customHeight="1">
      <c r="A82" s="3525" t="str">
        <f>A2</f>
        <v>LAPORAN PERKEMBANGAN PINJAMAN  UEP</v>
      </c>
      <c r="B82" s="3525"/>
      <c r="C82" s="3525"/>
      <c r="D82" s="3525"/>
      <c r="E82" s="3525"/>
      <c r="F82" s="3525"/>
      <c r="G82" s="3525"/>
      <c r="H82" s="3525"/>
      <c r="I82" s="3525"/>
      <c r="J82" s="3525"/>
      <c r="K82" s="3525"/>
      <c r="L82" s="3525"/>
      <c r="M82" s="3525"/>
      <c r="N82" s="3525"/>
      <c r="O82" s="3525"/>
      <c r="P82" s="3525"/>
      <c r="Q82" s="3525"/>
      <c r="R82" s="3525"/>
      <c r="S82" s="3525"/>
      <c r="T82" s="3525"/>
      <c r="U82" s="3525"/>
      <c r="V82" s="3525"/>
      <c r="W82" s="3525"/>
      <c r="X82" s="1661"/>
      <c r="Y82" s="1661"/>
      <c r="Z82" s="1661"/>
      <c r="AA82" s="1661"/>
      <c r="AB82" s="1661"/>
    </row>
    <row r="83" spans="1:28" ht="34.5">
      <c r="A83" s="3525" t="s">
        <v>1517</v>
      </c>
      <c r="B83" s="3525"/>
      <c r="C83" s="3525"/>
      <c r="D83" s="3525"/>
      <c r="E83" s="3525"/>
      <c r="F83" s="3525"/>
      <c r="G83" s="3525"/>
      <c r="H83" s="3525"/>
      <c r="I83" s="3525"/>
      <c r="J83" s="3525"/>
      <c r="K83" s="3525"/>
      <c r="L83" s="3525"/>
      <c r="M83" s="3525"/>
      <c r="N83" s="3525"/>
      <c r="O83" s="3525"/>
      <c r="P83" s="3525"/>
      <c r="Q83" s="3525"/>
      <c r="R83" s="3525"/>
      <c r="S83" s="3525"/>
      <c r="T83" s="3525"/>
      <c r="U83" s="3525"/>
      <c r="V83" s="3525"/>
      <c r="W83" s="3525"/>
      <c r="X83" s="1662"/>
      <c r="Y83" s="1661"/>
      <c r="Z83" s="1661"/>
      <c r="AA83" s="1661"/>
      <c r="AB83" s="1661"/>
    </row>
    <row r="84" spans="1:28" ht="21.75" customHeight="1">
      <c r="A84" s="3525" t="str">
        <f>A4</f>
        <v>Per - Februari 2016 2016</v>
      </c>
      <c r="B84" s="3525"/>
      <c r="C84" s="3525"/>
      <c r="D84" s="3525"/>
      <c r="E84" s="3525"/>
      <c r="F84" s="3525"/>
      <c r="G84" s="3525"/>
      <c r="H84" s="3525"/>
      <c r="I84" s="3525"/>
      <c r="J84" s="3525"/>
      <c r="K84" s="3525"/>
      <c r="L84" s="3525"/>
      <c r="M84" s="3525"/>
      <c r="N84" s="3525"/>
      <c r="O84" s="3525"/>
      <c r="P84" s="3525"/>
      <c r="Q84" s="3525"/>
      <c r="R84" s="3525"/>
      <c r="S84" s="3525"/>
      <c r="T84" s="3525"/>
      <c r="U84" s="3525"/>
      <c r="V84" s="3525"/>
      <c r="W84" s="3525"/>
      <c r="X84" s="1661"/>
      <c r="Y84" s="1661"/>
      <c r="Z84" s="1661"/>
      <c r="AA84" s="1661"/>
      <c r="AB84" s="1661"/>
    </row>
    <row r="86" spans="1:28" s="1581" customFormat="1" ht="20.25" customHeight="1">
      <c r="A86" s="1659"/>
      <c r="B86" s="1659" t="s">
        <v>2</v>
      </c>
      <c r="C86" s="1595"/>
      <c r="D86" s="1595"/>
      <c r="E86" s="1595"/>
      <c r="F86" s="1658" t="str">
        <f>F6</f>
        <v>:  Nagrak</v>
      </c>
      <c r="I86" s="1586"/>
      <c r="J86" s="1586"/>
      <c r="K86" s="1586"/>
      <c r="L86" s="1586"/>
    </row>
    <row r="87" spans="1:28" s="1581" customFormat="1" ht="20.25" customHeight="1">
      <c r="A87" s="1659"/>
      <c r="B87" s="1659" t="s">
        <v>4</v>
      </c>
      <c r="C87" s="1595"/>
      <c r="D87" s="1595"/>
      <c r="E87" s="1595"/>
      <c r="F87" s="1658" t="str">
        <f>F7</f>
        <v>:  Sukabumi</v>
      </c>
      <c r="I87" s="1586"/>
      <c r="J87" s="1586"/>
      <c r="K87" s="1586"/>
      <c r="L87" s="1586"/>
      <c r="V87" s="1660"/>
    </row>
    <row r="88" spans="1:28" s="1581" customFormat="1" ht="20.25" customHeight="1">
      <c r="A88" s="1659"/>
      <c r="B88" s="1659" t="s">
        <v>1516</v>
      </c>
      <c r="C88" s="1595"/>
      <c r="D88" s="1595"/>
      <c r="E88" s="1595"/>
      <c r="F88" s="1658" t="str">
        <f>F8</f>
        <v>:  Jawa Barat</v>
      </c>
      <c r="I88" s="1586"/>
      <c r="J88" s="1586"/>
      <c r="K88" s="1586"/>
      <c r="L88" s="1586"/>
      <c r="M88" s="1586"/>
      <c r="N88" s="1586"/>
    </row>
    <row r="89" spans="1:28" s="1581" customFormat="1" ht="15.75" thickBot="1">
      <c r="G89" s="1657"/>
      <c r="H89" s="1657"/>
      <c r="I89" s="1657"/>
      <c r="J89" s="1657"/>
      <c r="K89" s="1657"/>
      <c r="L89" s="1657"/>
    </row>
    <row r="90" spans="1:28" s="1581" customFormat="1" ht="52.5" customHeight="1" thickTop="1">
      <c r="A90" s="3586" t="s">
        <v>36</v>
      </c>
      <c r="B90" s="3587" t="s">
        <v>1515</v>
      </c>
      <c r="C90" s="3704" t="s">
        <v>1505</v>
      </c>
      <c r="D90" s="2581"/>
      <c r="E90" s="3704" t="s">
        <v>1498</v>
      </c>
      <c r="F90" s="3704" t="s">
        <v>1497</v>
      </c>
      <c r="G90" s="3704"/>
      <c r="H90" s="3704" t="s">
        <v>1496</v>
      </c>
      <c r="I90" s="3704" t="s">
        <v>1514</v>
      </c>
      <c r="J90" s="3704"/>
      <c r="K90" s="3704" t="s">
        <v>1513</v>
      </c>
      <c r="L90" s="3704"/>
      <c r="M90" s="3704"/>
      <c r="N90" s="3704" t="s">
        <v>1489</v>
      </c>
      <c r="O90" s="3704"/>
      <c r="P90" s="3704"/>
      <c r="Q90" s="3704" t="s">
        <v>1488</v>
      </c>
      <c r="R90" s="3704"/>
      <c r="S90" s="3704"/>
      <c r="T90" s="3704" t="s">
        <v>1487</v>
      </c>
      <c r="U90" s="3704" t="s">
        <v>1486</v>
      </c>
      <c r="V90" s="3704" t="s">
        <v>1485</v>
      </c>
      <c r="W90" s="3707"/>
      <c r="X90" s="3410" t="s">
        <v>1512</v>
      </c>
      <c r="Y90" s="1656" t="s">
        <v>1511</v>
      </c>
      <c r="Z90" s="1655" t="s">
        <v>1510</v>
      </c>
      <c r="AA90" s="1655" t="s">
        <v>1509</v>
      </c>
      <c r="AB90" s="1654" t="s">
        <v>1508</v>
      </c>
    </row>
    <row r="91" spans="1:28" s="1581" customFormat="1" ht="26.25" customHeight="1" thickBot="1">
      <c r="A91" s="3591"/>
      <c r="B91" s="3592"/>
      <c r="C91" s="3705"/>
      <c r="D91" s="2582"/>
      <c r="E91" s="3705"/>
      <c r="F91" s="2583" t="s">
        <v>16</v>
      </c>
      <c r="G91" s="2583" t="s">
        <v>1476</v>
      </c>
      <c r="H91" s="3705"/>
      <c r="I91" s="2583" t="s">
        <v>16</v>
      </c>
      <c r="J91" s="2583" t="s">
        <v>1476</v>
      </c>
      <c r="K91" s="2583" t="s">
        <v>16</v>
      </c>
      <c r="L91" s="2583" t="s">
        <v>1476</v>
      </c>
      <c r="M91" s="2583" t="s">
        <v>1477</v>
      </c>
      <c r="N91" s="2583" t="s">
        <v>16</v>
      </c>
      <c r="O91" s="2583" t="s">
        <v>1476</v>
      </c>
      <c r="P91" s="2583" t="s">
        <v>1477</v>
      </c>
      <c r="Q91" s="2583" t="s">
        <v>16</v>
      </c>
      <c r="R91" s="2583" t="s">
        <v>1476</v>
      </c>
      <c r="S91" s="2583" t="s">
        <v>1477</v>
      </c>
      <c r="T91" s="3705"/>
      <c r="U91" s="3705"/>
      <c r="V91" s="2583" t="s">
        <v>16</v>
      </c>
      <c r="W91" s="2584" t="s">
        <v>1476</v>
      </c>
      <c r="X91" s="3410"/>
      <c r="Y91" s="1649" t="s">
        <v>1475</v>
      </c>
      <c r="Z91" s="1648" t="s">
        <v>1474</v>
      </c>
      <c r="AA91" s="1648" t="s">
        <v>1473</v>
      </c>
      <c r="AB91" s="1647" t="s">
        <v>1472</v>
      </c>
    </row>
    <row r="92" spans="1:28" s="1629" customFormat="1" ht="15.75" customHeight="1" thickTop="1" thickBot="1">
      <c r="A92" s="2585">
        <v>1</v>
      </c>
      <c r="B92" s="2586">
        <v>2</v>
      </c>
      <c r="C92" s="3706"/>
      <c r="D92" s="2587"/>
      <c r="E92" s="3706"/>
      <c r="F92" s="2588">
        <v>4</v>
      </c>
      <c r="G92" s="2589">
        <v>5</v>
      </c>
      <c r="H92" s="2588">
        <v>6</v>
      </c>
      <c r="I92" s="2588">
        <v>7</v>
      </c>
      <c r="J92" s="2588">
        <v>8</v>
      </c>
      <c r="K92" s="2588">
        <v>9</v>
      </c>
      <c r="L92" s="2588">
        <v>10</v>
      </c>
      <c r="M92" s="2588">
        <v>11</v>
      </c>
      <c r="N92" s="2588">
        <v>12</v>
      </c>
      <c r="O92" s="2588">
        <v>13</v>
      </c>
      <c r="P92" s="2588">
        <v>14</v>
      </c>
      <c r="Q92" s="2588" t="s">
        <v>1471</v>
      </c>
      <c r="R92" s="2588" t="s">
        <v>1470</v>
      </c>
      <c r="S92" s="2588" t="s">
        <v>1469</v>
      </c>
      <c r="T92" s="2588" t="s">
        <v>1468</v>
      </c>
      <c r="U92" s="2588" t="s">
        <v>1467</v>
      </c>
      <c r="V92" s="2588" t="s">
        <v>1466</v>
      </c>
      <c r="W92" s="2590" t="s">
        <v>1465</v>
      </c>
      <c r="X92" s="1641">
        <v>22</v>
      </c>
      <c r="Y92" s="1640">
        <v>23</v>
      </c>
      <c r="Z92" s="1639">
        <v>24</v>
      </c>
      <c r="AA92" s="1639">
        <v>25</v>
      </c>
      <c r="AB92" s="1638">
        <v>26</v>
      </c>
    </row>
    <row r="93" spans="1:28" s="1629" customFormat="1" ht="34.5" customHeight="1" thickTop="1">
      <c r="A93" s="1637">
        <v>1</v>
      </c>
      <c r="B93" s="1636" t="str">
        <f t="shared" ref="B93:B108" si="9">B13</f>
        <v>CIHANYAWAR</v>
      </c>
      <c r="C93" s="1635">
        <f t="shared" ref="C93:G108" si="10">C13+C53</f>
        <v>0</v>
      </c>
      <c r="D93" s="1635"/>
      <c r="E93" s="1635">
        <f t="shared" si="10"/>
        <v>0</v>
      </c>
      <c r="F93" s="1635">
        <f t="shared" si="10"/>
        <v>0</v>
      </c>
      <c r="G93" s="430">
        <f t="shared" si="10"/>
        <v>0</v>
      </c>
      <c r="H93" s="1627"/>
      <c r="I93" s="1626">
        <f t="shared" ref="I93:T93" si="11">I13+I53</f>
        <v>0</v>
      </c>
      <c r="J93" s="1626">
        <f t="shared" si="11"/>
        <v>0</v>
      </c>
      <c r="K93" s="1626">
        <f t="shared" si="11"/>
        <v>0</v>
      </c>
      <c r="L93" s="1626">
        <f t="shared" si="11"/>
        <v>0</v>
      </c>
      <c r="M93" s="1626">
        <f t="shared" si="11"/>
        <v>0</v>
      </c>
      <c r="N93" s="1626">
        <f t="shared" si="11"/>
        <v>0</v>
      </c>
      <c r="O93" s="1626">
        <f t="shared" si="11"/>
        <v>0</v>
      </c>
      <c r="P93" s="1635">
        <f t="shared" si="11"/>
        <v>0</v>
      </c>
      <c r="Q93" s="1635">
        <f t="shared" si="11"/>
        <v>0</v>
      </c>
      <c r="R93" s="1635">
        <f t="shared" si="11"/>
        <v>0</v>
      </c>
      <c r="S93" s="1635">
        <f t="shared" si="11"/>
        <v>0</v>
      </c>
      <c r="T93" s="1635">
        <f t="shared" si="11"/>
        <v>0</v>
      </c>
      <c r="U93" s="1635" t="e">
        <f t="shared" ref="U93:U108" si="12">SUM(Q93/I93)*100</f>
        <v>#DIV/0!</v>
      </c>
      <c r="V93" s="1635">
        <f t="shared" ref="V93:AB102" si="13">V13+V53</f>
        <v>0</v>
      </c>
      <c r="W93" s="1634">
        <f t="shared" si="13"/>
        <v>0</v>
      </c>
      <c r="X93" s="1633">
        <f t="shared" si="13"/>
        <v>0</v>
      </c>
      <c r="Y93" s="1632">
        <f t="shared" si="13"/>
        <v>0</v>
      </c>
      <c r="Z93" s="1631">
        <f t="shared" si="13"/>
        <v>0</v>
      </c>
      <c r="AA93" s="1631">
        <f t="shared" si="13"/>
        <v>0</v>
      </c>
      <c r="AB93" s="1630">
        <f t="shared" si="13"/>
        <v>0</v>
      </c>
    </row>
    <row r="94" spans="1:28" s="1581" customFormat="1" ht="34.5" customHeight="1">
      <c r="A94" s="1625">
        <f t="shared" ref="A94:A108" si="14">A93+1</f>
        <v>2</v>
      </c>
      <c r="B94" s="1628" t="str">
        <f t="shared" si="9"/>
        <v>NAGRAK UTARA</v>
      </c>
      <c r="C94" s="430">
        <f t="shared" si="10"/>
        <v>0</v>
      </c>
      <c r="D94" s="430"/>
      <c r="E94" s="430">
        <f t="shared" si="10"/>
        <v>0</v>
      </c>
      <c r="F94" s="430">
        <f t="shared" si="10"/>
        <v>0</v>
      </c>
      <c r="G94" s="430">
        <f t="shared" si="10"/>
        <v>0</v>
      </c>
      <c r="H94" s="1627"/>
      <c r="I94" s="1626">
        <f t="shared" ref="I94:T94" si="15">I14+I54</f>
        <v>0</v>
      </c>
      <c r="J94" s="1626">
        <f t="shared" si="15"/>
        <v>0</v>
      </c>
      <c r="K94" s="1626">
        <f t="shared" si="15"/>
        <v>0</v>
      </c>
      <c r="L94" s="1626">
        <f t="shared" si="15"/>
        <v>0</v>
      </c>
      <c r="M94" s="1626">
        <f t="shared" si="15"/>
        <v>0</v>
      </c>
      <c r="N94" s="1626">
        <f t="shared" si="15"/>
        <v>0</v>
      </c>
      <c r="O94" s="1626">
        <f t="shared" si="15"/>
        <v>0</v>
      </c>
      <c r="P94" s="9">
        <f t="shared" si="15"/>
        <v>0</v>
      </c>
      <c r="Q94" s="9">
        <f t="shared" si="15"/>
        <v>0</v>
      </c>
      <c r="R94" s="9">
        <f t="shared" si="15"/>
        <v>0</v>
      </c>
      <c r="S94" s="9">
        <f t="shared" si="15"/>
        <v>0</v>
      </c>
      <c r="T94" s="9">
        <f t="shared" si="15"/>
        <v>0</v>
      </c>
      <c r="U94" s="9" t="e">
        <f t="shared" si="12"/>
        <v>#DIV/0!</v>
      </c>
      <c r="V94" s="9">
        <f t="shared" si="13"/>
        <v>0</v>
      </c>
      <c r="W94" s="1621">
        <f t="shared" si="13"/>
        <v>0</v>
      </c>
      <c r="X94" s="1620">
        <f t="shared" si="13"/>
        <v>0</v>
      </c>
      <c r="Y94" s="1619">
        <f t="shared" si="13"/>
        <v>0</v>
      </c>
      <c r="Z94" s="1618">
        <f t="shared" si="13"/>
        <v>0</v>
      </c>
      <c r="AA94" s="1618">
        <f t="shared" si="13"/>
        <v>0</v>
      </c>
      <c r="AB94" s="1617">
        <f t="shared" si="13"/>
        <v>0</v>
      </c>
    </row>
    <row r="95" spans="1:28" s="1581" customFormat="1" ht="34.5" customHeight="1">
      <c r="A95" s="1625">
        <f t="shared" si="14"/>
        <v>3</v>
      </c>
      <c r="B95" s="1628" t="str">
        <f t="shared" si="9"/>
        <v>DARMAREJA</v>
      </c>
      <c r="C95" s="430">
        <f t="shared" si="10"/>
        <v>0</v>
      </c>
      <c r="D95" s="430"/>
      <c r="E95" s="430">
        <f t="shared" si="10"/>
        <v>0</v>
      </c>
      <c r="F95" s="430">
        <f t="shared" si="10"/>
        <v>0</v>
      </c>
      <c r="G95" s="430">
        <f t="shared" si="10"/>
        <v>0</v>
      </c>
      <c r="H95" s="1627"/>
      <c r="I95" s="1626">
        <f t="shared" ref="I95:T95" si="16">I15+I55</f>
        <v>0</v>
      </c>
      <c r="J95" s="1626">
        <f t="shared" si="16"/>
        <v>0</v>
      </c>
      <c r="K95" s="1626">
        <f t="shared" si="16"/>
        <v>0</v>
      </c>
      <c r="L95" s="1626">
        <f t="shared" si="16"/>
        <v>0</v>
      </c>
      <c r="M95" s="1626">
        <f t="shared" si="16"/>
        <v>0</v>
      </c>
      <c r="N95" s="1626">
        <f t="shared" si="16"/>
        <v>0</v>
      </c>
      <c r="O95" s="1626">
        <f t="shared" si="16"/>
        <v>0</v>
      </c>
      <c r="P95" s="9">
        <f t="shared" si="16"/>
        <v>0</v>
      </c>
      <c r="Q95" s="9">
        <f t="shared" si="16"/>
        <v>0</v>
      </c>
      <c r="R95" s="9">
        <f t="shared" si="16"/>
        <v>0</v>
      </c>
      <c r="S95" s="9">
        <f t="shared" si="16"/>
        <v>0</v>
      </c>
      <c r="T95" s="9">
        <f t="shared" si="16"/>
        <v>0</v>
      </c>
      <c r="U95" s="9" t="e">
        <f t="shared" si="12"/>
        <v>#DIV/0!</v>
      </c>
      <c r="V95" s="9">
        <f t="shared" si="13"/>
        <v>0</v>
      </c>
      <c r="W95" s="1621">
        <f t="shared" si="13"/>
        <v>0</v>
      </c>
      <c r="X95" s="1620">
        <f t="shared" si="13"/>
        <v>0</v>
      </c>
      <c r="Y95" s="1619">
        <f t="shared" si="13"/>
        <v>0</v>
      </c>
      <c r="Z95" s="1618">
        <f t="shared" si="13"/>
        <v>0</v>
      </c>
      <c r="AA95" s="1618">
        <f t="shared" si="13"/>
        <v>0</v>
      </c>
      <c r="AB95" s="1617">
        <f t="shared" si="13"/>
        <v>0</v>
      </c>
    </row>
    <row r="96" spans="1:28" s="1581" customFormat="1" ht="34.5" customHeight="1">
      <c r="A96" s="1625">
        <f t="shared" si="14"/>
        <v>4</v>
      </c>
      <c r="B96" s="1628" t="str">
        <f t="shared" si="9"/>
        <v>BALEKAMBANG</v>
      </c>
      <c r="C96" s="430">
        <f t="shared" si="10"/>
        <v>0</v>
      </c>
      <c r="D96" s="430"/>
      <c r="E96" s="430">
        <f t="shared" si="10"/>
        <v>0</v>
      </c>
      <c r="F96" s="430">
        <f t="shared" si="10"/>
        <v>0</v>
      </c>
      <c r="G96" s="430">
        <f t="shared" si="10"/>
        <v>0</v>
      </c>
      <c r="H96" s="1627"/>
      <c r="I96" s="1626">
        <f t="shared" ref="I96:T96" si="17">I16+I56</f>
        <v>0</v>
      </c>
      <c r="J96" s="1626">
        <f t="shared" si="17"/>
        <v>0</v>
      </c>
      <c r="K96" s="1626">
        <f t="shared" si="17"/>
        <v>0</v>
      </c>
      <c r="L96" s="1626">
        <f t="shared" si="17"/>
        <v>0</v>
      </c>
      <c r="M96" s="1626">
        <f t="shared" si="17"/>
        <v>0</v>
      </c>
      <c r="N96" s="1626">
        <f t="shared" si="17"/>
        <v>0</v>
      </c>
      <c r="O96" s="1626">
        <f t="shared" si="17"/>
        <v>0</v>
      </c>
      <c r="P96" s="9">
        <f t="shared" si="17"/>
        <v>0</v>
      </c>
      <c r="Q96" s="9">
        <f t="shared" si="17"/>
        <v>0</v>
      </c>
      <c r="R96" s="9">
        <f t="shared" si="17"/>
        <v>0</v>
      </c>
      <c r="S96" s="9">
        <f t="shared" si="17"/>
        <v>0</v>
      </c>
      <c r="T96" s="9">
        <f t="shared" si="17"/>
        <v>0</v>
      </c>
      <c r="U96" s="9" t="e">
        <f t="shared" si="12"/>
        <v>#DIV/0!</v>
      </c>
      <c r="V96" s="9">
        <f t="shared" si="13"/>
        <v>0</v>
      </c>
      <c r="W96" s="1621">
        <f t="shared" si="13"/>
        <v>0</v>
      </c>
      <c r="X96" s="1620">
        <f t="shared" si="13"/>
        <v>0</v>
      </c>
      <c r="Y96" s="1619">
        <f t="shared" si="13"/>
        <v>0</v>
      </c>
      <c r="Z96" s="1618">
        <f t="shared" si="13"/>
        <v>0</v>
      </c>
      <c r="AA96" s="1618">
        <f t="shared" si="13"/>
        <v>0</v>
      </c>
      <c r="AB96" s="1617">
        <f t="shared" si="13"/>
        <v>0</v>
      </c>
    </row>
    <row r="97" spans="1:28" s="1581" customFormat="1" ht="34.5" customHeight="1">
      <c r="A97" s="1625">
        <f t="shared" si="14"/>
        <v>5</v>
      </c>
      <c r="B97" s="1628" t="str">
        <f t="shared" si="9"/>
        <v>NAGRAK SELATAN</v>
      </c>
      <c r="C97" s="430">
        <f t="shared" si="10"/>
        <v>0</v>
      </c>
      <c r="D97" s="430"/>
      <c r="E97" s="430">
        <f t="shared" si="10"/>
        <v>0</v>
      </c>
      <c r="F97" s="430">
        <f t="shared" si="10"/>
        <v>0</v>
      </c>
      <c r="G97" s="430">
        <f t="shared" si="10"/>
        <v>0</v>
      </c>
      <c r="H97" s="1627"/>
      <c r="I97" s="1626">
        <f t="shared" ref="I97:T97" si="18">I17+I57</f>
        <v>0</v>
      </c>
      <c r="J97" s="1626">
        <f t="shared" si="18"/>
        <v>0</v>
      </c>
      <c r="K97" s="1626">
        <f t="shared" si="18"/>
        <v>0</v>
      </c>
      <c r="L97" s="1626">
        <f t="shared" si="18"/>
        <v>0</v>
      </c>
      <c r="M97" s="1626">
        <f t="shared" si="18"/>
        <v>0</v>
      </c>
      <c r="N97" s="1626">
        <f t="shared" si="18"/>
        <v>0</v>
      </c>
      <c r="O97" s="1626">
        <f t="shared" si="18"/>
        <v>0</v>
      </c>
      <c r="P97" s="9">
        <f t="shared" si="18"/>
        <v>0</v>
      </c>
      <c r="Q97" s="9">
        <f t="shared" si="18"/>
        <v>0</v>
      </c>
      <c r="R97" s="9">
        <f t="shared" si="18"/>
        <v>0</v>
      </c>
      <c r="S97" s="9">
        <f t="shared" si="18"/>
        <v>0</v>
      </c>
      <c r="T97" s="9">
        <f t="shared" si="18"/>
        <v>0</v>
      </c>
      <c r="U97" s="9" t="e">
        <f t="shared" si="12"/>
        <v>#DIV/0!</v>
      </c>
      <c r="V97" s="9">
        <f t="shared" si="13"/>
        <v>0</v>
      </c>
      <c r="W97" s="1621">
        <f t="shared" si="13"/>
        <v>0</v>
      </c>
      <c r="X97" s="1620">
        <f t="shared" si="13"/>
        <v>0</v>
      </c>
      <c r="Y97" s="1619">
        <f t="shared" si="13"/>
        <v>0</v>
      </c>
      <c r="Z97" s="1618">
        <f t="shared" si="13"/>
        <v>0</v>
      </c>
      <c r="AA97" s="1618">
        <f t="shared" si="13"/>
        <v>0</v>
      </c>
      <c r="AB97" s="1617">
        <f t="shared" si="13"/>
        <v>0</v>
      </c>
    </row>
    <row r="98" spans="1:28" s="1581" customFormat="1" ht="34.5" customHeight="1">
      <c r="A98" s="1625">
        <f t="shared" si="14"/>
        <v>6</v>
      </c>
      <c r="B98" s="1628" t="str">
        <f t="shared" si="9"/>
        <v>KALAPAREA</v>
      </c>
      <c r="C98" s="430">
        <f t="shared" si="10"/>
        <v>0</v>
      </c>
      <c r="D98" s="430"/>
      <c r="E98" s="430">
        <f t="shared" si="10"/>
        <v>0</v>
      </c>
      <c r="F98" s="430">
        <f t="shared" si="10"/>
        <v>0</v>
      </c>
      <c r="G98" s="430">
        <f t="shared" si="10"/>
        <v>0</v>
      </c>
      <c r="H98" s="1627"/>
      <c r="I98" s="1626">
        <f t="shared" ref="I98:T98" si="19">I18+I58</f>
        <v>0</v>
      </c>
      <c r="J98" s="1626">
        <f t="shared" si="19"/>
        <v>0</v>
      </c>
      <c r="K98" s="1626">
        <f t="shared" si="19"/>
        <v>0</v>
      </c>
      <c r="L98" s="1626">
        <f t="shared" si="19"/>
        <v>0</v>
      </c>
      <c r="M98" s="1626">
        <f t="shared" si="19"/>
        <v>0</v>
      </c>
      <c r="N98" s="1626">
        <f t="shared" si="19"/>
        <v>0</v>
      </c>
      <c r="O98" s="1626">
        <f t="shared" si="19"/>
        <v>0</v>
      </c>
      <c r="P98" s="9">
        <f t="shared" si="19"/>
        <v>0</v>
      </c>
      <c r="Q98" s="9">
        <f t="shared" si="19"/>
        <v>0</v>
      </c>
      <c r="R98" s="9">
        <f t="shared" si="19"/>
        <v>0</v>
      </c>
      <c r="S98" s="9">
        <f t="shared" si="19"/>
        <v>0</v>
      </c>
      <c r="T98" s="9">
        <f t="shared" si="19"/>
        <v>0</v>
      </c>
      <c r="U98" s="9" t="e">
        <f t="shared" si="12"/>
        <v>#DIV/0!</v>
      </c>
      <c r="V98" s="9">
        <f t="shared" si="13"/>
        <v>0</v>
      </c>
      <c r="W98" s="1621">
        <f t="shared" si="13"/>
        <v>0</v>
      </c>
      <c r="X98" s="1620">
        <f t="shared" si="13"/>
        <v>0</v>
      </c>
      <c r="Y98" s="1619">
        <f t="shared" si="13"/>
        <v>0</v>
      </c>
      <c r="Z98" s="1618">
        <f t="shared" si="13"/>
        <v>0</v>
      </c>
      <c r="AA98" s="1618">
        <f t="shared" si="13"/>
        <v>0</v>
      </c>
      <c r="AB98" s="1617">
        <f t="shared" si="13"/>
        <v>0</v>
      </c>
    </row>
    <row r="99" spans="1:28" s="1581" customFormat="1" ht="34.5" customHeight="1">
      <c r="A99" s="1625">
        <f t="shared" si="14"/>
        <v>7</v>
      </c>
      <c r="B99" s="1628" t="str">
        <f t="shared" si="9"/>
        <v>BABAKAN PANJANG</v>
      </c>
      <c r="C99" s="430">
        <f t="shared" si="10"/>
        <v>0</v>
      </c>
      <c r="D99" s="430"/>
      <c r="E99" s="430">
        <f t="shared" si="10"/>
        <v>0</v>
      </c>
      <c r="F99" s="430">
        <f t="shared" si="10"/>
        <v>0</v>
      </c>
      <c r="G99" s="430">
        <f t="shared" si="10"/>
        <v>0</v>
      </c>
      <c r="H99" s="1627"/>
      <c r="I99" s="1626">
        <f t="shared" ref="I99:T99" si="20">I19+I59</f>
        <v>0</v>
      </c>
      <c r="J99" s="1626">
        <f t="shared" si="20"/>
        <v>0</v>
      </c>
      <c r="K99" s="1626">
        <f t="shared" si="20"/>
        <v>0</v>
      </c>
      <c r="L99" s="1626">
        <f t="shared" si="20"/>
        <v>0</v>
      </c>
      <c r="M99" s="1626">
        <f t="shared" si="20"/>
        <v>0</v>
      </c>
      <c r="N99" s="1626">
        <f t="shared" si="20"/>
        <v>0</v>
      </c>
      <c r="O99" s="1626">
        <f t="shared" si="20"/>
        <v>0</v>
      </c>
      <c r="P99" s="9">
        <f t="shared" si="20"/>
        <v>0</v>
      </c>
      <c r="Q99" s="9">
        <f t="shared" si="20"/>
        <v>0</v>
      </c>
      <c r="R99" s="9">
        <f t="shared" si="20"/>
        <v>0</v>
      </c>
      <c r="S99" s="9">
        <f t="shared" si="20"/>
        <v>0</v>
      </c>
      <c r="T99" s="9">
        <f t="shared" si="20"/>
        <v>0</v>
      </c>
      <c r="U99" s="9" t="e">
        <f t="shared" si="12"/>
        <v>#DIV/0!</v>
      </c>
      <c r="V99" s="9">
        <f t="shared" si="13"/>
        <v>0</v>
      </c>
      <c r="W99" s="1621">
        <f t="shared" si="13"/>
        <v>0</v>
      </c>
      <c r="X99" s="1620">
        <f t="shared" si="13"/>
        <v>0</v>
      </c>
      <c r="Y99" s="1619">
        <f t="shared" si="13"/>
        <v>0</v>
      </c>
      <c r="Z99" s="1618">
        <f t="shared" si="13"/>
        <v>0</v>
      </c>
      <c r="AA99" s="1618">
        <f t="shared" si="13"/>
        <v>0</v>
      </c>
      <c r="AB99" s="1617">
        <f t="shared" si="13"/>
        <v>0</v>
      </c>
    </row>
    <row r="100" spans="1:28" s="1581" customFormat="1" ht="34.5" customHeight="1">
      <c r="A100" s="1625">
        <f t="shared" si="14"/>
        <v>8</v>
      </c>
      <c r="B100" s="1628" t="str">
        <f t="shared" si="9"/>
        <v>PAWENANG</v>
      </c>
      <c r="C100" s="430">
        <f t="shared" si="10"/>
        <v>0</v>
      </c>
      <c r="D100" s="430"/>
      <c r="E100" s="430">
        <f t="shared" si="10"/>
        <v>0</v>
      </c>
      <c r="F100" s="430">
        <f t="shared" si="10"/>
        <v>0</v>
      </c>
      <c r="G100" s="430">
        <f t="shared" si="10"/>
        <v>0</v>
      </c>
      <c r="H100" s="1627"/>
      <c r="I100" s="1626">
        <f t="shared" ref="I100:T100" si="21">I20+I60</f>
        <v>0</v>
      </c>
      <c r="J100" s="1626">
        <f t="shared" si="21"/>
        <v>0</v>
      </c>
      <c r="K100" s="1626">
        <f t="shared" si="21"/>
        <v>0</v>
      </c>
      <c r="L100" s="1626">
        <f t="shared" si="21"/>
        <v>0</v>
      </c>
      <c r="M100" s="1626">
        <f t="shared" si="21"/>
        <v>0</v>
      </c>
      <c r="N100" s="1626">
        <f t="shared" si="21"/>
        <v>0</v>
      </c>
      <c r="O100" s="1626">
        <f t="shared" si="21"/>
        <v>0</v>
      </c>
      <c r="P100" s="9">
        <f t="shared" si="21"/>
        <v>0</v>
      </c>
      <c r="Q100" s="9">
        <f t="shared" si="21"/>
        <v>0</v>
      </c>
      <c r="R100" s="9">
        <f t="shared" si="21"/>
        <v>0</v>
      </c>
      <c r="S100" s="9">
        <f t="shared" si="21"/>
        <v>0</v>
      </c>
      <c r="T100" s="9">
        <f t="shared" si="21"/>
        <v>0</v>
      </c>
      <c r="U100" s="9" t="e">
        <f t="shared" si="12"/>
        <v>#DIV/0!</v>
      </c>
      <c r="V100" s="9">
        <f t="shared" si="13"/>
        <v>0</v>
      </c>
      <c r="W100" s="1621">
        <f t="shared" si="13"/>
        <v>0</v>
      </c>
      <c r="X100" s="1620">
        <f t="shared" si="13"/>
        <v>0</v>
      </c>
      <c r="Y100" s="1619">
        <f t="shared" si="13"/>
        <v>0</v>
      </c>
      <c r="Z100" s="1618">
        <f t="shared" si="13"/>
        <v>0</v>
      </c>
      <c r="AA100" s="1618">
        <f t="shared" si="13"/>
        <v>0</v>
      </c>
      <c r="AB100" s="1617">
        <f t="shared" si="13"/>
        <v>0</v>
      </c>
    </row>
    <row r="101" spans="1:28" s="1581" customFormat="1" ht="34.5" customHeight="1">
      <c r="A101" s="1625">
        <f t="shared" si="14"/>
        <v>9</v>
      </c>
      <c r="B101" s="1628" t="str">
        <f t="shared" si="9"/>
        <v>CISARUA</v>
      </c>
      <c r="C101" s="430">
        <f t="shared" si="10"/>
        <v>0</v>
      </c>
      <c r="D101" s="430"/>
      <c r="E101" s="430">
        <f t="shared" si="10"/>
        <v>0</v>
      </c>
      <c r="F101" s="430">
        <f t="shared" si="10"/>
        <v>0</v>
      </c>
      <c r="G101" s="430">
        <f t="shared" si="10"/>
        <v>0</v>
      </c>
      <c r="H101" s="1627"/>
      <c r="I101" s="1626">
        <f t="shared" ref="I101:T101" si="22">I21+I61</f>
        <v>0</v>
      </c>
      <c r="J101" s="1626">
        <f t="shared" si="22"/>
        <v>0</v>
      </c>
      <c r="K101" s="1626">
        <f t="shared" si="22"/>
        <v>0</v>
      </c>
      <c r="L101" s="1626">
        <f t="shared" si="22"/>
        <v>0</v>
      </c>
      <c r="M101" s="1626">
        <f t="shared" si="22"/>
        <v>0</v>
      </c>
      <c r="N101" s="1626">
        <f t="shared" si="22"/>
        <v>0</v>
      </c>
      <c r="O101" s="1626">
        <f t="shared" si="22"/>
        <v>0</v>
      </c>
      <c r="P101" s="9">
        <f t="shared" si="22"/>
        <v>0</v>
      </c>
      <c r="Q101" s="9">
        <f t="shared" si="22"/>
        <v>0</v>
      </c>
      <c r="R101" s="9">
        <f t="shared" si="22"/>
        <v>0</v>
      </c>
      <c r="S101" s="9">
        <f t="shared" si="22"/>
        <v>0</v>
      </c>
      <c r="T101" s="9">
        <f t="shared" si="22"/>
        <v>0</v>
      </c>
      <c r="U101" s="9" t="e">
        <f t="shared" si="12"/>
        <v>#DIV/0!</v>
      </c>
      <c r="V101" s="9">
        <f t="shared" si="13"/>
        <v>0</v>
      </c>
      <c r="W101" s="1621">
        <f t="shared" si="13"/>
        <v>0</v>
      </c>
      <c r="X101" s="1620">
        <f t="shared" si="13"/>
        <v>0</v>
      </c>
      <c r="Y101" s="1619">
        <f t="shared" si="13"/>
        <v>0</v>
      </c>
      <c r="Z101" s="1618">
        <f t="shared" si="13"/>
        <v>0</v>
      </c>
      <c r="AA101" s="1618">
        <f t="shared" si="13"/>
        <v>0</v>
      </c>
      <c r="AB101" s="1617">
        <f t="shared" si="13"/>
        <v>0</v>
      </c>
    </row>
    <row r="102" spans="1:28" s="1581" customFormat="1" ht="34.5" customHeight="1">
      <c r="A102" s="1625">
        <f t="shared" si="14"/>
        <v>10</v>
      </c>
      <c r="B102" s="1624" t="str">
        <f t="shared" si="9"/>
        <v>GIRIJAYA</v>
      </c>
      <c r="C102" s="430">
        <f t="shared" si="10"/>
        <v>0</v>
      </c>
      <c r="D102" s="430"/>
      <c r="E102" s="430">
        <f t="shared" si="10"/>
        <v>0</v>
      </c>
      <c r="F102" s="430">
        <f t="shared" si="10"/>
        <v>0</v>
      </c>
      <c r="G102" s="9">
        <f t="shared" si="10"/>
        <v>0</v>
      </c>
      <c r="H102" s="1623"/>
      <c r="I102" s="1622">
        <f t="shared" ref="I102:T102" si="23">I22+I62</f>
        <v>0</v>
      </c>
      <c r="J102" s="1622">
        <f t="shared" si="23"/>
        <v>0</v>
      </c>
      <c r="K102" s="1622">
        <f t="shared" si="23"/>
        <v>0</v>
      </c>
      <c r="L102" s="1622">
        <f t="shared" si="23"/>
        <v>0</v>
      </c>
      <c r="M102" s="1622">
        <f t="shared" si="23"/>
        <v>0</v>
      </c>
      <c r="N102" s="1622">
        <f t="shared" si="23"/>
        <v>0</v>
      </c>
      <c r="O102" s="1622">
        <f t="shared" si="23"/>
        <v>0</v>
      </c>
      <c r="P102" s="9">
        <f t="shared" si="23"/>
        <v>0</v>
      </c>
      <c r="Q102" s="9">
        <f t="shared" si="23"/>
        <v>0</v>
      </c>
      <c r="R102" s="9">
        <f t="shared" si="23"/>
        <v>0</v>
      </c>
      <c r="S102" s="9">
        <f t="shared" si="23"/>
        <v>0</v>
      </c>
      <c r="T102" s="9">
        <f t="shared" si="23"/>
        <v>0</v>
      </c>
      <c r="U102" s="9" t="e">
        <f t="shared" si="12"/>
        <v>#DIV/0!</v>
      </c>
      <c r="V102" s="9">
        <f t="shared" si="13"/>
        <v>0</v>
      </c>
      <c r="W102" s="1621">
        <f t="shared" si="13"/>
        <v>0</v>
      </c>
      <c r="X102" s="1620">
        <f t="shared" si="13"/>
        <v>0</v>
      </c>
      <c r="Y102" s="1619">
        <f t="shared" si="13"/>
        <v>0</v>
      </c>
      <c r="Z102" s="1618">
        <f t="shared" si="13"/>
        <v>0</v>
      </c>
      <c r="AA102" s="1618">
        <f t="shared" si="13"/>
        <v>0</v>
      </c>
      <c r="AB102" s="1617">
        <f t="shared" si="13"/>
        <v>0</v>
      </c>
    </row>
    <row r="103" spans="1:28" s="1581" customFormat="1" ht="34.5" customHeight="1">
      <c r="A103" s="1625">
        <f t="shared" si="14"/>
        <v>11</v>
      </c>
      <c r="B103" s="1624">
        <f t="shared" si="9"/>
        <v>0</v>
      </c>
      <c r="C103" s="430">
        <f t="shared" si="10"/>
        <v>0</v>
      </c>
      <c r="D103" s="430"/>
      <c r="E103" s="430">
        <f t="shared" si="10"/>
        <v>0</v>
      </c>
      <c r="F103" s="430">
        <f t="shared" si="10"/>
        <v>0</v>
      </c>
      <c r="G103" s="9">
        <f t="shared" si="10"/>
        <v>0</v>
      </c>
      <c r="H103" s="1623"/>
      <c r="I103" s="1622">
        <f t="shared" ref="I103:T103" si="24">I23+I63</f>
        <v>0</v>
      </c>
      <c r="J103" s="1622">
        <f t="shared" si="24"/>
        <v>0</v>
      </c>
      <c r="K103" s="1622">
        <f t="shared" si="24"/>
        <v>0</v>
      </c>
      <c r="L103" s="1622">
        <f t="shared" si="24"/>
        <v>0</v>
      </c>
      <c r="M103" s="1622">
        <f t="shared" si="24"/>
        <v>0</v>
      </c>
      <c r="N103" s="1622">
        <f t="shared" si="24"/>
        <v>0</v>
      </c>
      <c r="O103" s="1622">
        <f t="shared" si="24"/>
        <v>0</v>
      </c>
      <c r="P103" s="9">
        <f t="shared" si="24"/>
        <v>0</v>
      </c>
      <c r="Q103" s="9">
        <f t="shared" si="24"/>
        <v>0</v>
      </c>
      <c r="R103" s="9">
        <f t="shared" si="24"/>
        <v>0</v>
      </c>
      <c r="S103" s="9">
        <f t="shared" si="24"/>
        <v>0</v>
      </c>
      <c r="T103" s="9">
        <f t="shared" si="24"/>
        <v>0</v>
      </c>
      <c r="U103" s="9" t="e">
        <f t="shared" si="12"/>
        <v>#DIV/0!</v>
      </c>
      <c r="V103" s="9">
        <f t="shared" ref="V103:AB108" si="25">V23+V63</f>
        <v>0</v>
      </c>
      <c r="W103" s="1621">
        <f t="shared" si="25"/>
        <v>0</v>
      </c>
      <c r="X103" s="1620">
        <f t="shared" si="25"/>
        <v>0</v>
      </c>
      <c r="Y103" s="1619">
        <f t="shared" si="25"/>
        <v>0</v>
      </c>
      <c r="Z103" s="1618">
        <f t="shared" si="25"/>
        <v>0</v>
      </c>
      <c r="AA103" s="1618">
        <f t="shared" si="25"/>
        <v>0</v>
      </c>
      <c r="AB103" s="1617">
        <f t="shared" si="25"/>
        <v>0</v>
      </c>
    </row>
    <row r="104" spans="1:28" s="1581" customFormat="1" ht="34.5" customHeight="1">
      <c r="A104" s="1625">
        <f t="shared" si="14"/>
        <v>12</v>
      </c>
      <c r="B104" s="1624">
        <f t="shared" si="9"/>
        <v>0</v>
      </c>
      <c r="C104" s="430">
        <f t="shared" si="10"/>
        <v>0</v>
      </c>
      <c r="D104" s="430"/>
      <c r="E104" s="430">
        <f t="shared" si="10"/>
        <v>0</v>
      </c>
      <c r="F104" s="430">
        <f t="shared" si="10"/>
        <v>0</v>
      </c>
      <c r="G104" s="9">
        <f t="shared" si="10"/>
        <v>0</v>
      </c>
      <c r="H104" s="1623"/>
      <c r="I104" s="1622">
        <f t="shared" ref="I104:T104" si="26">I24+I64</f>
        <v>0</v>
      </c>
      <c r="J104" s="1622">
        <f t="shared" si="26"/>
        <v>0</v>
      </c>
      <c r="K104" s="1622">
        <f t="shared" si="26"/>
        <v>0</v>
      </c>
      <c r="L104" s="1622">
        <f t="shared" si="26"/>
        <v>0</v>
      </c>
      <c r="M104" s="1622">
        <f t="shared" si="26"/>
        <v>0</v>
      </c>
      <c r="N104" s="1622">
        <f t="shared" si="26"/>
        <v>0</v>
      </c>
      <c r="O104" s="1622">
        <f t="shared" si="26"/>
        <v>0</v>
      </c>
      <c r="P104" s="9">
        <f t="shared" si="26"/>
        <v>0</v>
      </c>
      <c r="Q104" s="9">
        <f t="shared" si="26"/>
        <v>0</v>
      </c>
      <c r="R104" s="9">
        <f t="shared" si="26"/>
        <v>0</v>
      </c>
      <c r="S104" s="9">
        <f t="shared" si="26"/>
        <v>0</v>
      </c>
      <c r="T104" s="9">
        <f t="shared" si="26"/>
        <v>0</v>
      </c>
      <c r="U104" s="9" t="e">
        <f t="shared" si="12"/>
        <v>#DIV/0!</v>
      </c>
      <c r="V104" s="9">
        <f t="shared" si="25"/>
        <v>0</v>
      </c>
      <c r="W104" s="1621">
        <f t="shared" si="25"/>
        <v>0</v>
      </c>
      <c r="X104" s="1620">
        <f t="shared" si="25"/>
        <v>0</v>
      </c>
      <c r="Y104" s="1619">
        <f t="shared" si="25"/>
        <v>0</v>
      </c>
      <c r="Z104" s="1618">
        <f t="shared" si="25"/>
        <v>0</v>
      </c>
      <c r="AA104" s="1618">
        <f t="shared" si="25"/>
        <v>0</v>
      </c>
      <c r="AB104" s="1617">
        <f t="shared" si="25"/>
        <v>0</v>
      </c>
    </row>
    <row r="105" spans="1:28" s="1581" customFormat="1" ht="34.5" customHeight="1">
      <c r="A105" s="1625">
        <f t="shared" si="14"/>
        <v>13</v>
      </c>
      <c r="B105" s="1624">
        <f t="shared" si="9"/>
        <v>0</v>
      </c>
      <c r="C105" s="430">
        <f t="shared" si="10"/>
        <v>0</v>
      </c>
      <c r="D105" s="430"/>
      <c r="E105" s="430">
        <f t="shared" si="10"/>
        <v>0</v>
      </c>
      <c r="F105" s="430">
        <f t="shared" si="10"/>
        <v>0</v>
      </c>
      <c r="G105" s="9">
        <f t="shared" si="10"/>
        <v>0</v>
      </c>
      <c r="H105" s="1623"/>
      <c r="I105" s="1622">
        <f t="shared" ref="I105:T105" si="27">I25+I65</f>
        <v>0</v>
      </c>
      <c r="J105" s="1622">
        <f t="shared" si="27"/>
        <v>0</v>
      </c>
      <c r="K105" s="1622">
        <f t="shared" si="27"/>
        <v>0</v>
      </c>
      <c r="L105" s="1622">
        <f t="shared" si="27"/>
        <v>0</v>
      </c>
      <c r="M105" s="1622">
        <f t="shared" si="27"/>
        <v>0</v>
      </c>
      <c r="N105" s="1622">
        <f t="shared" si="27"/>
        <v>0</v>
      </c>
      <c r="O105" s="1622">
        <f t="shared" si="27"/>
        <v>0</v>
      </c>
      <c r="P105" s="9">
        <f t="shared" si="27"/>
        <v>0</v>
      </c>
      <c r="Q105" s="9">
        <f t="shared" si="27"/>
        <v>0</v>
      </c>
      <c r="R105" s="9">
        <f t="shared" si="27"/>
        <v>0</v>
      </c>
      <c r="S105" s="9">
        <f t="shared" si="27"/>
        <v>0</v>
      </c>
      <c r="T105" s="9">
        <f t="shared" si="27"/>
        <v>0</v>
      </c>
      <c r="U105" s="9" t="e">
        <f t="shared" si="12"/>
        <v>#DIV/0!</v>
      </c>
      <c r="V105" s="9">
        <f t="shared" si="25"/>
        <v>0</v>
      </c>
      <c r="W105" s="1621">
        <f t="shared" si="25"/>
        <v>0</v>
      </c>
      <c r="X105" s="1620">
        <f t="shared" si="25"/>
        <v>0</v>
      </c>
      <c r="Y105" s="1619">
        <f t="shared" si="25"/>
        <v>0</v>
      </c>
      <c r="Z105" s="1618">
        <f t="shared" si="25"/>
        <v>0</v>
      </c>
      <c r="AA105" s="1618">
        <f t="shared" si="25"/>
        <v>0</v>
      </c>
      <c r="AB105" s="1617">
        <f t="shared" si="25"/>
        <v>0</v>
      </c>
    </row>
    <row r="106" spans="1:28" s="1581" customFormat="1" ht="34.5" customHeight="1">
      <c r="A106" s="1625">
        <f t="shared" si="14"/>
        <v>14</v>
      </c>
      <c r="B106" s="1624">
        <f t="shared" si="9"/>
        <v>0</v>
      </c>
      <c r="C106" s="430">
        <f t="shared" si="10"/>
        <v>0</v>
      </c>
      <c r="D106" s="430"/>
      <c r="E106" s="430">
        <f t="shared" si="10"/>
        <v>0</v>
      </c>
      <c r="F106" s="430">
        <f t="shared" si="10"/>
        <v>0</v>
      </c>
      <c r="G106" s="9">
        <f t="shared" si="10"/>
        <v>0</v>
      </c>
      <c r="H106" s="1623"/>
      <c r="I106" s="1622">
        <f t="shared" ref="I106:T106" si="28">I26+I66</f>
        <v>0</v>
      </c>
      <c r="J106" s="1622">
        <f t="shared" si="28"/>
        <v>0</v>
      </c>
      <c r="K106" s="1622">
        <f t="shared" si="28"/>
        <v>0</v>
      </c>
      <c r="L106" s="1622">
        <f t="shared" si="28"/>
        <v>0</v>
      </c>
      <c r="M106" s="1622">
        <f t="shared" si="28"/>
        <v>0</v>
      </c>
      <c r="N106" s="1622">
        <f t="shared" si="28"/>
        <v>0</v>
      </c>
      <c r="O106" s="1622">
        <f t="shared" si="28"/>
        <v>0</v>
      </c>
      <c r="P106" s="9">
        <f t="shared" si="28"/>
        <v>0</v>
      </c>
      <c r="Q106" s="9">
        <f t="shared" si="28"/>
        <v>0</v>
      </c>
      <c r="R106" s="9">
        <f t="shared" si="28"/>
        <v>0</v>
      </c>
      <c r="S106" s="9">
        <f t="shared" si="28"/>
        <v>0</v>
      </c>
      <c r="T106" s="9">
        <f t="shared" si="28"/>
        <v>0</v>
      </c>
      <c r="U106" s="9" t="e">
        <f t="shared" si="12"/>
        <v>#DIV/0!</v>
      </c>
      <c r="V106" s="9">
        <f t="shared" si="25"/>
        <v>0</v>
      </c>
      <c r="W106" s="1621">
        <f t="shared" si="25"/>
        <v>0</v>
      </c>
      <c r="X106" s="1620">
        <f t="shared" si="25"/>
        <v>0</v>
      </c>
      <c r="Y106" s="1619">
        <f t="shared" si="25"/>
        <v>0</v>
      </c>
      <c r="Z106" s="1618">
        <f t="shared" si="25"/>
        <v>0</v>
      </c>
      <c r="AA106" s="1618">
        <f t="shared" si="25"/>
        <v>0</v>
      </c>
      <c r="AB106" s="1617">
        <f t="shared" si="25"/>
        <v>0</v>
      </c>
    </row>
    <row r="107" spans="1:28" s="1581" customFormat="1" ht="34.5" customHeight="1">
      <c r="A107" s="1625">
        <f t="shared" si="14"/>
        <v>15</v>
      </c>
      <c r="B107" s="1624">
        <f t="shared" si="9"/>
        <v>0</v>
      </c>
      <c r="C107" s="430">
        <f t="shared" si="10"/>
        <v>0</v>
      </c>
      <c r="D107" s="430"/>
      <c r="E107" s="430">
        <f t="shared" si="10"/>
        <v>0</v>
      </c>
      <c r="F107" s="430">
        <f t="shared" si="10"/>
        <v>0</v>
      </c>
      <c r="G107" s="9">
        <f t="shared" si="10"/>
        <v>0</v>
      </c>
      <c r="H107" s="1623"/>
      <c r="I107" s="1622">
        <f t="shared" ref="I107:T107" si="29">I27+I67</f>
        <v>0</v>
      </c>
      <c r="J107" s="1622">
        <f t="shared" si="29"/>
        <v>0</v>
      </c>
      <c r="K107" s="1622">
        <f t="shared" si="29"/>
        <v>0</v>
      </c>
      <c r="L107" s="1622">
        <f t="shared" si="29"/>
        <v>0</v>
      </c>
      <c r="M107" s="1622">
        <f t="shared" si="29"/>
        <v>0</v>
      </c>
      <c r="N107" s="1622">
        <f t="shared" si="29"/>
        <v>0</v>
      </c>
      <c r="O107" s="1622">
        <f t="shared" si="29"/>
        <v>0</v>
      </c>
      <c r="P107" s="9">
        <f t="shared" si="29"/>
        <v>0</v>
      </c>
      <c r="Q107" s="9">
        <f t="shared" si="29"/>
        <v>0</v>
      </c>
      <c r="R107" s="9">
        <f t="shared" si="29"/>
        <v>0</v>
      </c>
      <c r="S107" s="9">
        <f t="shared" si="29"/>
        <v>0</v>
      </c>
      <c r="T107" s="9">
        <f t="shared" si="29"/>
        <v>0</v>
      </c>
      <c r="U107" s="9" t="e">
        <f t="shared" si="12"/>
        <v>#DIV/0!</v>
      </c>
      <c r="V107" s="9">
        <f t="shared" si="25"/>
        <v>0</v>
      </c>
      <c r="W107" s="1621">
        <f t="shared" si="25"/>
        <v>0</v>
      </c>
      <c r="X107" s="1620">
        <f t="shared" si="25"/>
        <v>0</v>
      </c>
      <c r="Y107" s="1619">
        <f t="shared" si="25"/>
        <v>0</v>
      </c>
      <c r="Z107" s="1618">
        <f t="shared" si="25"/>
        <v>0</v>
      </c>
      <c r="AA107" s="1618">
        <f t="shared" si="25"/>
        <v>0</v>
      </c>
      <c r="AB107" s="1617">
        <f t="shared" si="25"/>
        <v>0</v>
      </c>
    </row>
    <row r="108" spans="1:28" s="1581" customFormat="1" ht="34.5" customHeight="1">
      <c r="A108" s="1625">
        <f t="shared" si="14"/>
        <v>16</v>
      </c>
      <c r="B108" s="1624">
        <f t="shared" si="9"/>
        <v>0</v>
      </c>
      <c r="C108" s="430">
        <f t="shared" si="10"/>
        <v>0</v>
      </c>
      <c r="D108" s="430"/>
      <c r="E108" s="430">
        <f t="shared" si="10"/>
        <v>0</v>
      </c>
      <c r="F108" s="430">
        <f t="shared" si="10"/>
        <v>0</v>
      </c>
      <c r="G108" s="9">
        <f t="shared" si="10"/>
        <v>0</v>
      </c>
      <c r="H108" s="1623"/>
      <c r="I108" s="1622">
        <f t="shared" ref="I108:T108" si="30">I28+I68</f>
        <v>0</v>
      </c>
      <c r="J108" s="1622">
        <f t="shared" si="30"/>
        <v>0</v>
      </c>
      <c r="K108" s="1622">
        <f t="shared" si="30"/>
        <v>0</v>
      </c>
      <c r="L108" s="1622">
        <f t="shared" si="30"/>
        <v>0</v>
      </c>
      <c r="M108" s="1622">
        <f t="shared" si="30"/>
        <v>0</v>
      </c>
      <c r="N108" s="1622">
        <f t="shared" si="30"/>
        <v>0</v>
      </c>
      <c r="O108" s="1622">
        <f t="shared" si="30"/>
        <v>0</v>
      </c>
      <c r="P108" s="9">
        <f t="shared" si="30"/>
        <v>0</v>
      </c>
      <c r="Q108" s="9">
        <f t="shared" si="30"/>
        <v>0</v>
      </c>
      <c r="R108" s="9">
        <f t="shared" si="30"/>
        <v>0</v>
      </c>
      <c r="S108" s="9">
        <f t="shared" si="30"/>
        <v>0</v>
      </c>
      <c r="T108" s="9">
        <f t="shared" si="30"/>
        <v>0</v>
      </c>
      <c r="U108" s="9" t="e">
        <f t="shared" si="12"/>
        <v>#DIV/0!</v>
      </c>
      <c r="V108" s="9">
        <f t="shared" si="25"/>
        <v>0</v>
      </c>
      <c r="W108" s="1621">
        <f t="shared" si="25"/>
        <v>0</v>
      </c>
      <c r="X108" s="1620">
        <f t="shared" si="25"/>
        <v>0</v>
      </c>
      <c r="Y108" s="1619">
        <f t="shared" si="25"/>
        <v>0</v>
      </c>
      <c r="Z108" s="1618">
        <f t="shared" si="25"/>
        <v>0</v>
      </c>
      <c r="AA108" s="1618">
        <f t="shared" si="25"/>
        <v>0</v>
      </c>
      <c r="AB108" s="1617">
        <f t="shared" si="25"/>
        <v>0</v>
      </c>
    </row>
    <row r="109" spans="1:28" s="1581" customFormat="1" ht="15.75" thickBot="1">
      <c r="A109" s="1608"/>
      <c r="B109" s="1616"/>
      <c r="C109" s="1615"/>
      <c r="D109" s="1615"/>
      <c r="E109" s="1615"/>
      <c r="F109" s="1610"/>
      <c r="G109" s="1611"/>
      <c r="H109" s="1611"/>
      <c r="I109" s="1614"/>
      <c r="J109" s="1614"/>
      <c r="K109" s="1614"/>
      <c r="L109" s="1614"/>
      <c r="M109" s="1610"/>
      <c r="N109" s="1610"/>
      <c r="O109" s="1613"/>
      <c r="P109" s="1612"/>
      <c r="Q109" s="1611"/>
      <c r="R109" s="1611"/>
      <c r="S109" s="1610"/>
      <c r="T109" s="1610"/>
      <c r="U109" s="1610"/>
      <c r="V109" s="1610"/>
      <c r="W109" s="1609"/>
      <c r="X109" s="1608"/>
      <c r="Y109" s="1607"/>
      <c r="Z109" s="1606"/>
      <c r="AA109" s="1606"/>
      <c r="AB109" s="1605"/>
    </row>
    <row r="110" spans="1:28" s="1586" customFormat="1" ht="55.5" customHeight="1" thickBot="1">
      <c r="A110" s="1604"/>
      <c r="B110" s="1603" t="s">
        <v>1507</v>
      </c>
      <c r="C110" s="1602">
        <f t="shared" ref="C110:T110" si="31">SUM(C93:C108)</f>
        <v>0</v>
      </c>
      <c r="D110" s="1602"/>
      <c r="E110" s="1602">
        <f t="shared" si="31"/>
        <v>0</v>
      </c>
      <c r="F110" s="1602">
        <f t="shared" si="31"/>
        <v>0</v>
      </c>
      <c r="G110" s="1602">
        <f t="shared" si="31"/>
        <v>0</v>
      </c>
      <c r="H110" s="1602">
        <f t="shared" si="31"/>
        <v>0</v>
      </c>
      <c r="I110" s="1602">
        <f t="shared" si="31"/>
        <v>0</v>
      </c>
      <c r="J110" s="1602">
        <f t="shared" si="31"/>
        <v>0</v>
      </c>
      <c r="K110" s="1602">
        <f t="shared" si="31"/>
        <v>0</v>
      </c>
      <c r="L110" s="1602">
        <f t="shared" si="31"/>
        <v>0</v>
      </c>
      <c r="M110" s="1602">
        <f t="shared" si="31"/>
        <v>0</v>
      </c>
      <c r="N110" s="1602">
        <f t="shared" si="31"/>
        <v>0</v>
      </c>
      <c r="O110" s="1602">
        <f t="shared" si="31"/>
        <v>0</v>
      </c>
      <c r="P110" s="1602">
        <f t="shared" si="31"/>
        <v>0</v>
      </c>
      <c r="Q110" s="1602">
        <f t="shared" si="31"/>
        <v>0</v>
      </c>
      <c r="R110" s="1602">
        <f t="shared" si="31"/>
        <v>0</v>
      </c>
      <c r="S110" s="1602">
        <f t="shared" si="31"/>
        <v>0</v>
      </c>
      <c r="T110" s="1602">
        <f t="shared" si="31"/>
        <v>0</v>
      </c>
      <c r="U110" s="1602" t="e">
        <f>SUM(Q110/I110)*100</f>
        <v>#DIV/0!</v>
      </c>
      <c r="V110" s="1602">
        <f t="shared" ref="V110:AB110" si="32">SUM(V93:V108)</f>
        <v>0</v>
      </c>
      <c r="W110" s="1601">
        <f t="shared" si="32"/>
        <v>0</v>
      </c>
      <c r="X110" s="1600">
        <f t="shared" si="32"/>
        <v>0</v>
      </c>
      <c r="Y110" s="1599">
        <f t="shared" si="32"/>
        <v>0</v>
      </c>
      <c r="Z110" s="1598">
        <f t="shared" si="32"/>
        <v>0</v>
      </c>
      <c r="AA110" s="1598">
        <f t="shared" si="32"/>
        <v>0</v>
      </c>
      <c r="AB110" s="1597">
        <f t="shared" si="32"/>
        <v>0</v>
      </c>
    </row>
    <row r="111" spans="1:28" s="1581" customFormat="1" ht="16.5" thickTop="1">
      <c r="G111" s="1586"/>
      <c r="I111" s="1586"/>
      <c r="J111" s="1586"/>
      <c r="K111" s="1586"/>
      <c r="L111" s="1586"/>
      <c r="M111" s="1594"/>
      <c r="N111" s="1594"/>
      <c r="O111" s="1596"/>
      <c r="P111" s="1595"/>
      <c r="Q111" s="1594"/>
      <c r="R111" s="1594"/>
    </row>
    <row r="112" spans="1:28" s="1581" customFormat="1" ht="16.5" customHeight="1">
      <c r="F112" s="1586"/>
      <c r="I112" s="1586"/>
      <c r="J112" s="1586"/>
      <c r="K112" s="1593">
        <f>K110-('Kas UEP'!$D$12+'Kas UEP'!$D$13)</f>
        <v>0</v>
      </c>
      <c r="L112" s="1593">
        <f>L110-('Kas UEP'!$E$12+'Kas UEP'!$E$13)</f>
        <v>0</v>
      </c>
      <c r="M112" s="1592"/>
      <c r="N112" s="1591">
        <f>N110-'Kas UEP'!$D$40</f>
        <v>0</v>
      </c>
      <c r="O112" s="1591">
        <f>O110-'Kas UEP'!$E$40</f>
        <v>0</v>
      </c>
      <c r="P112" s="1590"/>
      <c r="Q112" s="1589">
        <f>Q110-'Kas UEP'!$D$42</f>
        <v>0</v>
      </c>
      <c r="R112" s="1589">
        <f>R110-'Kas SPP'!$E$367</f>
        <v>-4305764600</v>
      </c>
      <c r="V112" s="1588">
        <f>V110+Q110-I110</f>
        <v>0</v>
      </c>
      <c r="W112" s="1588">
        <f>W110+R110-J110</f>
        <v>0</v>
      </c>
    </row>
    <row r="113" spans="1:20" s="1581" customFormat="1" ht="15">
      <c r="A113" s="1587"/>
      <c r="B113" s="1587"/>
      <c r="K113" s="1586"/>
      <c r="L113" s="1586"/>
      <c r="O113" s="1585"/>
      <c r="P113" s="1584"/>
      <c r="Q113" s="1583"/>
      <c r="R113" s="1582"/>
      <c r="T113" s="1573" t="str">
        <f>T33</f>
        <v>Nagrak, 29 Februari 2016 2016</v>
      </c>
    </row>
    <row r="114" spans="1:20" s="1572" customFormat="1" ht="15">
      <c r="G114" s="1574" t="s">
        <v>21</v>
      </c>
      <c r="P114" s="1574"/>
      <c r="T114" s="1574" t="s">
        <v>22</v>
      </c>
    </row>
    <row r="115" spans="1:20" s="1572" customFormat="1" ht="20.25" customHeight="1">
      <c r="N115" s="1580"/>
      <c r="O115" s="1579"/>
      <c r="T115" s="1574"/>
    </row>
    <row r="116" spans="1:20" s="1572" customFormat="1" ht="20.25" customHeight="1">
      <c r="N116" s="1580"/>
      <c r="O116" s="1579"/>
      <c r="Q116" s="1578"/>
      <c r="T116" s="1574"/>
    </row>
    <row r="117" spans="1:20" s="1572" customFormat="1" ht="20.25" customHeight="1">
      <c r="P117" s="1574"/>
      <c r="T117" s="1574"/>
    </row>
    <row r="118" spans="1:20" s="1572" customFormat="1" ht="20.25" customHeight="1">
      <c r="P118" s="1574"/>
      <c r="Q118" s="1577"/>
      <c r="R118" s="1577"/>
      <c r="T118" s="1574"/>
    </row>
    <row r="119" spans="1:20" s="1572" customFormat="1" ht="15">
      <c r="G119" s="1575" t="str">
        <f>G39</f>
        <v>Endang Taryana</v>
      </c>
      <c r="N119" s="1576"/>
      <c r="P119" s="1575"/>
      <c r="T119" s="1575" t="str">
        <f>T39</f>
        <v>Arin Yustini, SE</v>
      </c>
    </row>
    <row r="120" spans="1:20" s="1572" customFormat="1" ht="15">
      <c r="G120" s="1574" t="s">
        <v>23</v>
      </c>
      <c r="P120" s="1573"/>
      <c r="T120" s="1573" t="s">
        <v>24</v>
      </c>
    </row>
  </sheetData>
  <sheetProtection formatColumns="0" formatRows="0"/>
  <protectedRanges>
    <protectedRange sqref="K112:R112" name="Range1"/>
  </protectedRanges>
  <mergeCells count="54">
    <mergeCell ref="N50:P50"/>
    <mergeCell ref="A83:W83"/>
    <mergeCell ref="F50:G50"/>
    <mergeCell ref="F90:G90"/>
    <mergeCell ref="Q50:S50"/>
    <mergeCell ref="A81:W81"/>
    <mergeCell ref="E90:E92"/>
    <mergeCell ref="A82:W82"/>
    <mergeCell ref="C90:C92"/>
    <mergeCell ref="A42:W42"/>
    <mergeCell ref="A84:W84"/>
    <mergeCell ref="I90:J90"/>
    <mergeCell ref="X90:X91"/>
    <mergeCell ref="K50:M50"/>
    <mergeCell ref="U90:U91"/>
    <mergeCell ref="A43:W43"/>
    <mergeCell ref="V90:W90"/>
    <mergeCell ref="Q90:S90"/>
    <mergeCell ref="H90:H91"/>
    <mergeCell ref="T50:T51"/>
    <mergeCell ref="K90:M90"/>
    <mergeCell ref="T90:T91"/>
    <mergeCell ref="N90:P90"/>
    <mergeCell ref="A90:A91"/>
    <mergeCell ref="B90:B91"/>
    <mergeCell ref="X10:X11"/>
    <mergeCell ref="F10:G10"/>
    <mergeCell ref="H10:H11"/>
    <mergeCell ref="E10:E12"/>
    <mergeCell ref="A50:A51"/>
    <mergeCell ref="A41:W41"/>
    <mergeCell ref="U50:U51"/>
    <mergeCell ref="I10:J10"/>
    <mergeCell ref="E50:E52"/>
    <mergeCell ref="I50:J50"/>
    <mergeCell ref="C50:C52"/>
    <mergeCell ref="B50:B51"/>
    <mergeCell ref="V50:W50"/>
    <mergeCell ref="A44:W44"/>
    <mergeCell ref="H50:H51"/>
    <mergeCell ref="X50:X51"/>
    <mergeCell ref="A1:W1"/>
    <mergeCell ref="A2:W2"/>
    <mergeCell ref="A3:W3"/>
    <mergeCell ref="A4:W4"/>
    <mergeCell ref="K10:M10"/>
    <mergeCell ref="N10:P10"/>
    <mergeCell ref="A10:A11"/>
    <mergeCell ref="Q10:S10"/>
    <mergeCell ref="U10:U11"/>
    <mergeCell ref="C10:C12"/>
    <mergeCell ref="B10:B11"/>
    <mergeCell ref="T10:T11"/>
    <mergeCell ref="V10:W10"/>
  </mergeCells>
  <printOptions horizontalCentered="1" verticalCentered="1"/>
  <pageMargins left="0.15748031496063" right="0" top="0.86614173228346503" bottom="0.23622047244094499" header="0.35433070866141703" footer="0.511811023622047"/>
  <pageSetup paperSize="9" scale="47" orientation="landscape" r:id="rId1"/>
  <headerFooter alignWithMargins="0"/>
  <rowBreaks count="2" manualBreakCount="2">
    <brk id="40" max="21" man="1"/>
    <brk id="80" max="21" man="1"/>
  </rowBreaks>
  <drawing r:id="rId2"/>
  <legacyDrawing r:id="rId3"/>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11"/>
  </sheetPr>
  <dimension ref="A1:AB120"/>
  <sheetViews>
    <sheetView topLeftCell="A10" zoomScale="67" zoomScaleNormal="67" workbookViewId="0">
      <pane xSplit="5" ySplit="3" topLeftCell="K103" activePane="bottomRight" state="frozen"/>
      <selection activeCell="A10" sqref="A10"/>
      <selection pane="topRight" activeCell="F10" sqref="F10"/>
      <selection pane="bottomLeft" activeCell="A13" sqref="A13"/>
      <selection pane="bottomRight" activeCell="D10" sqref="A10:XFD11"/>
    </sheetView>
  </sheetViews>
  <sheetFormatPr defaultColWidth="9.140625" defaultRowHeight="12.75"/>
  <cols>
    <col min="1" max="1" width="6" style="1570" customWidth="1"/>
    <col min="2" max="2" width="22.42578125" style="1570" customWidth="1"/>
    <col min="3" max="3" width="7.140625" style="1570" customWidth="1"/>
    <col min="4" max="4" width="7.140625" style="1570" hidden="1" customWidth="1"/>
    <col min="5" max="5" width="10.28515625" style="1570" customWidth="1"/>
    <col min="6" max="6" width="20.7109375" style="1570" customWidth="1"/>
    <col min="7" max="7" width="19.42578125" style="1570" customWidth="1"/>
    <col min="8" max="8" width="16.85546875" style="1570" customWidth="1"/>
    <col min="9" max="10" width="19.28515625" style="1571" customWidth="1"/>
    <col min="11" max="11" width="20" style="1571" customWidth="1"/>
    <col min="12" max="12" width="19.140625" style="1571" customWidth="1"/>
    <col min="13" max="13" width="9.42578125" style="1570" customWidth="1"/>
    <col min="14" max="15" width="17.5703125" style="1570" customWidth="1"/>
    <col min="16" max="16" width="9.42578125" style="1570" customWidth="1"/>
    <col min="17" max="18" width="19.7109375" style="1570" customWidth="1"/>
    <col min="19" max="19" width="8.7109375" style="1570" customWidth="1"/>
    <col min="20" max="20" width="20.85546875" style="1570" customWidth="1"/>
    <col min="21" max="21" width="11.42578125" style="1570" customWidth="1"/>
    <col min="22" max="22" width="16.7109375" style="1570" customWidth="1"/>
    <col min="23" max="23" width="15.7109375" style="1570" customWidth="1"/>
    <col min="24" max="24" width="2.85546875" style="1570" customWidth="1"/>
    <col min="25" max="25" width="18.42578125" style="1570" customWidth="1"/>
    <col min="26" max="26" width="16.140625" style="1570" customWidth="1"/>
    <col min="27" max="27" width="15.5703125" style="1570" customWidth="1"/>
    <col min="28" max="28" width="15.7109375" style="1570" customWidth="1"/>
    <col min="29" max="16384" width="9.140625" style="1570"/>
  </cols>
  <sheetData>
    <row r="1" spans="1:28" ht="21.75" customHeight="1">
      <c r="A1" s="3525" t="s">
        <v>1461</v>
      </c>
      <c r="B1" s="3525"/>
      <c r="C1" s="3525"/>
      <c r="D1" s="3525"/>
      <c r="E1" s="3525"/>
      <c r="F1" s="3525"/>
      <c r="G1" s="3525"/>
      <c r="H1" s="3525"/>
      <c r="I1" s="3525"/>
      <c r="J1" s="3525"/>
      <c r="K1" s="3525"/>
      <c r="L1" s="3525"/>
      <c r="M1" s="3525"/>
      <c r="N1" s="3525"/>
      <c r="O1" s="3525"/>
      <c r="P1" s="3525"/>
      <c r="Q1" s="3525"/>
      <c r="R1" s="3525"/>
      <c r="S1" s="3525"/>
      <c r="T1" s="3525"/>
      <c r="U1" s="3525"/>
      <c r="V1" s="3525"/>
      <c r="W1" s="3525"/>
      <c r="X1" s="1661"/>
      <c r="Y1" s="1661"/>
      <c r="Z1" s="1661"/>
      <c r="AA1" s="1661"/>
      <c r="AB1" s="1661"/>
    </row>
    <row r="2" spans="1:28" ht="21.75" customHeight="1">
      <c r="A2" s="3525" t="s">
        <v>1647</v>
      </c>
      <c r="B2" s="3525"/>
      <c r="C2" s="3525"/>
      <c r="D2" s="3525"/>
      <c r="E2" s="3525"/>
      <c r="F2" s="3525"/>
      <c r="G2" s="3525"/>
      <c r="H2" s="3525"/>
      <c r="I2" s="3525"/>
      <c r="J2" s="3525"/>
      <c r="K2" s="3525"/>
      <c r="L2" s="3525"/>
      <c r="M2" s="3525"/>
      <c r="N2" s="3525"/>
      <c r="O2" s="3525"/>
      <c r="P2" s="3525"/>
      <c r="Q2" s="3525"/>
      <c r="R2" s="3525"/>
      <c r="S2" s="3525"/>
      <c r="T2" s="3525"/>
      <c r="U2" s="3525"/>
      <c r="V2" s="3525"/>
      <c r="W2" s="3525"/>
      <c r="X2" s="1661"/>
      <c r="Y2" s="1661"/>
      <c r="Z2" s="1661"/>
      <c r="AA2" s="1661"/>
      <c r="AB2" s="1661"/>
    </row>
    <row r="3" spans="1:28" ht="34.5">
      <c r="A3" s="3525" t="s">
        <v>1506</v>
      </c>
      <c r="B3" s="3525"/>
      <c r="C3" s="3525"/>
      <c r="D3" s="3525"/>
      <c r="E3" s="3525"/>
      <c r="F3" s="3525"/>
      <c r="G3" s="3525"/>
      <c r="H3" s="3525"/>
      <c r="I3" s="3525"/>
      <c r="J3" s="3525"/>
      <c r="K3" s="3525"/>
      <c r="L3" s="3525"/>
      <c r="M3" s="3525"/>
      <c r="N3" s="3525"/>
      <c r="O3" s="3525"/>
      <c r="P3" s="3525"/>
      <c r="Q3" s="3525"/>
      <c r="R3" s="3525"/>
      <c r="S3" s="3525"/>
      <c r="T3" s="3525"/>
      <c r="U3" s="3525"/>
      <c r="V3" s="3525"/>
      <c r="W3" s="3525"/>
      <c r="X3" s="1662"/>
      <c r="Y3" s="1661"/>
      <c r="Z3" s="1661"/>
      <c r="AA3" s="1661"/>
      <c r="AB3" s="1661"/>
    </row>
    <row r="4" spans="1:28" ht="21.75" customHeight="1">
      <c r="A4" s="3525" t="str">
        <f>"Per - "&amp;DT!D25 &amp;" "&amp;DT!D26</f>
        <v>Per - Februari 2016 2016</v>
      </c>
      <c r="B4" s="3525"/>
      <c r="C4" s="3525"/>
      <c r="D4" s="3525"/>
      <c r="E4" s="3525"/>
      <c r="F4" s="3525"/>
      <c r="G4" s="3525"/>
      <c r="H4" s="3525"/>
      <c r="I4" s="3525"/>
      <c r="J4" s="3525"/>
      <c r="K4" s="3525"/>
      <c r="L4" s="3525"/>
      <c r="M4" s="3525"/>
      <c r="N4" s="3525"/>
      <c r="O4" s="3525"/>
      <c r="P4" s="3525"/>
      <c r="Q4" s="3525"/>
      <c r="R4" s="3525"/>
      <c r="S4" s="3525"/>
      <c r="T4" s="3525"/>
      <c r="U4" s="3525"/>
      <c r="V4" s="3525"/>
      <c r="W4" s="3525"/>
      <c r="X4" s="1661"/>
      <c r="Y4" s="1661"/>
      <c r="Z4" s="1661"/>
      <c r="AA4" s="1661"/>
      <c r="AB4" s="1661"/>
    </row>
    <row r="6" spans="1:28" s="1581" customFormat="1" ht="20.25" customHeight="1">
      <c r="A6" s="1659"/>
      <c r="B6" s="1659" t="s">
        <v>2</v>
      </c>
      <c r="C6" s="1595"/>
      <c r="D6" s="1595"/>
      <c r="E6" s="1595"/>
      <c r="F6" s="1658" t="str">
        <f>":  "&amp;DT!D3</f>
        <v>:  Nagrak</v>
      </c>
      <c r="I6" s="1586"/>
      <c r="J6" s="1586"/>
      <c r="K6" s="1586"/>
      <c r="L6" s="1586"/>
    </row>
    <row r="7" spans="1:28" s="1581" customFormat="1" ht="20.25" customHeight="1">
      <c r="A7" s="1659"/>
      <c r="B7" s="1659" t="s">
        <v>4</v>
      </c>
      <c r="C7" s="1595"/>
      <c r="D7" s="1595"/>
      <c r="E7" s="1595"/>
      <c r="F7" s="1658" t="str">
        <f>":  "&amp;DT!D4</f>
        <v>:  Sukabumi</v>
      </c>
      <c r="I7" s="1586"/>
      <c r="J7" s="1586"/>
      <c r="K7" s="1586"/>
      <c r="L7" s="1586"/>
      <c r="V7" s="1660"/>
    </row>
    <row r="8" spans="1:28" s="1581" customFormat="1" ht="20.25" customHeight="1">
      <c r="A8" s="1659"/>
      <c r="B8" s="1659" t="s">
        <v>1516</v>
      </c>
      <c r="C8" s="1595"/>
      <c r="D8" s="1595"/>
      <c r="E8" s="1595"/>
      <c r="F8" s="1658" t="str">
        <f>":  "&amp;DT!D5</f>
        <v>:  Jawa Barat</v>
      </c>
      <c r="I8" s="1586"/>
      <c r="J8" s="1586"/>
      <c r="K8" s="1586"/>
      <c r="L8" s="1586"/>
      <c r="M8" s="1586"/>
      <c r="N8" s="1586"/>
    </row>
    <row r="9" spans="1:28" s="1581" customFormat="1" ht="15.75" thickBot="1">
      <c r="G9" s="1657"/>
      <c r="H9" s="1657"/>
      <c r="I9" s="1657"/>
      <c r="J9" s="1657"/>
      <c r="K9" s="1657"/>
      <c r="L9" s="1657"/>
    </row>
    <row r="10" spans="1:28" s="1581" customFormat="1" ht="42.75" customHeight="1" thickTop="1">
      <c r="A10" s="3586" t="s">
        <v>36</v>
      </c>
      <c r="B10" s="3587" t="s">
        <v>1515</v>
      </c>
      <c r="C10" s="3704" t="s">
        <v>1505</v>
      </c>
      <c r="D10" s="2581"/>
      <c r="E10" s="3704" t="s">
        <v>1498</v>
      </c>
      <c r="F10" s="3704" t="s">
        <v>1497</v>
      </c>
      <c r="G10" s="3704"/>
      <c r="H10" s="3704" t="s">
        <v>1496</v>
      </c>
      <c r="I10" s="3704" t="s">
        <v>1514</v>
      </c>
      <c r="J10" s="3704"/>
      <c r="K10" s="3704" t="s">
        <v>1513</v>
      </c>
      <c r="L10" s="3704"/>
      <c r="M10" s="3704"/>
      <c r="N10" s="3704" t="s">
        <v>1489</v>
      </c>
      <c r="O10" s="3704"/>
      <c r="P10" s="3704"/>
      <c r="Q10" s="3704" t="s">
        <v>1488</v>
      </c>
      <c r="R10" s="3704"/>
      <c r="S10" s="3704"/>
      <c r="T10" s="3704" t="s">
        <v>1487</v>
      </c>
      <c r="U10" s="3704" t="s">
        <v>1486</v>
      </c>
      <c r="V10" s="3704" t="s">
        <v>1485</v>
      </c>
      <c r="W10" s="3707"/>
      <c r="X10" s="3410" t="s">
        <v>1512</v>
      </c>
      <c r="Y10" s="1656" t="s">
        <v>1511</v>
      </c>
      <c r="Z10" s="1655" t="s">
        <v>1510</v>
      </c>
      <c r="AA10" s="1655" t="s">
        <v>1509</v>
      </c>
      <c r="AB10" s="1654" t="s">
        <v>1508</v>
      </c>
    </row>
    <row r="11" spans="1:28" s="1581" customFormat="1" ht="26.25" customHeight="1" thickBot="1">
      <c r="A11" s="3591"/>
      <c r="B11" s="3592"/>
      <c r="C11" s="3705"/>
      <c r="D11" s="2582"/>
      <c r="E11" s="3705"/>
      <c r="F11" s="2583" t="s">
        <v>16</v>
      </c>
      <c r="G11" s="2583" t="s">
        <v>1476</v>
      </c>
      <c r="H11" s="3705"/>
      <c r="I11" s="2583" t="s">
        <v>16</v>
      </c>
      <c r="J11" s="2583" t="s">
        <v>1476</v>
      </c>
      <c r="K11" s="2583" t="s">
        <v>16</v>
      </c>
      <c r="L11" s="2583" t="s">
        <v>1476</v>
      </c>
      <c r="M11" s="2583" t="s">
        <v>1477</v>
      </c>
      <c r="N11" s="2583" t="s">
        <v>16</v>
      </c>
      <c r="O11" s="2583" t="s">
        <v>1476</v>
      </c>
      <c r="P11" s="2583" t="s">
        <v>1477</v>
      </c>
      <c r="Q11" s="2583" t="s">
        <v>16</v>
      </c>
      <c r="R11" s="2583" t="s">
        <v>1476</v>
      </c>
      <c r="S11" s="2583" t="s">
        <v>1477</v>
      </c>
      <c r="T11" s="3705"/>
      <c r="U11" s="3705"/>
      <c r="V11" s="2583" t="s">
        <v>16</v>
      </c>
      <c r="W11" s="2584" t="s">
        <v>1476</v>
      </c>
      <c r="X11" s="3410"/>
      <c r="Y11" s="1649" t="s">
        <v>1475</v>
      </c>
      <c r="Z11" s="1648" t="s">
        <v>1474</v>
      </c>
      <c r="AA11" s="1648" t="s">
        <v>1473</v>
      </c>
      <c r="AB11" s="1647" t="s">
        <v>1472</v>
      </c>
    </row>
    <row r="12" spans="1:28" s="1629" customFormat="1" ht="15.75" customHeight="1" thickTop="1" thickBot="1">
      <c r="A12" s="2585">
        <v>1</v>
      </c>
      <c r="B12" s="2586">
        <v>2</v>
      </c>
      <c r="C12" s="3706"/>
      <c r="D12" s="2587"/>
      <c r="E12" s="3706"/>
      <c r="F12" s="2588">
        <v>4</v>
      </c>
      <c r="G12" s="2589">
        <v>5</v>
      </c>
      <c r="H12" s="2588">
        <v>6</v>
      </c>
      <c r="I12" s="2588">
        <v>7</v>
      </c>
      <c r="J12" s="2588">
        <v>8</v>
      </c>
      <c r="K12" s="2588">
        <v>9</v>
      </c>
      <c r="L12" s="2588">
        <v>10</v>
      </c>
      <c r="M12" s="2588">
        <v>11</v>
      </c>
      <c r="N12" s="2588">
        <v>12</v>
      </c>
      <c r="O12" s="2588">
        <v>13</v>
      </c>
      <c r="P12" s="2588">
        <v>14</v>
      </c>
      <c r="Q12" s="2588" t="s">
        <v>1471</v>
      </c>
      <c r="R12" s="2588" t="s">
        <v>1470</v>
      </c>
      <c r="S12" s="2588" t="s">
        <v>1469</v>
      </c>
      <c r="T12" s="2588" t="s">
        <v>1468</v>
      </c>
      <c r="U12" s="2588" t="s">
        <v>1467</v>
      </c>
      <c r="V12" s="2588" t="s">
        <v>1466</v>
      </c>
      <c r="W12" s="2590" t="s">
        <v>1465</v>
      </c>
      <c r="X12" s="1646">
        <v>22</v>
      </c>
      <c r="Y12" s="1640">
        <v>23</v>
      </c>
      <c r="Z12" s="1639">
        <v>24</v>
      </c>
      <c r="AA12" s="1639">
        <v>25</v>
      </c>
      <c r="AB12" s="1638">
        <v>26</v>
      </c>
    </row>
    <row r="13" spans="1:28" s="1629" customFormat="1" ht="34.5" customHeight="1" thickTop="1">
      <c r="A13" s="1637">
        <v>1</v>
      </c>
      <c r="B13" s="1636" t="str">
        <f>DT!I3</f>
        <v>CIHANYAWAR</v>
      </c>
      <c r="C13" s="1675">
        <f>'SPP-1'!D49</f>
        <v>0</v>
      </c>
      <c r="D13" s="1675">
        <f>'SPP-1'!E49</f>
        <v>20</v>
      </c>
      <c r="E13" s="1635">
        <f>'SPP-1'!D48</f>
        <v>0</v>
      </c>
      <c r="F13" s="1635">
        <f>'SPP-1'!E48</f>
        <v>161700000</v>
      </c>
      <c r="G13" s="1635">
        <f>'SPP-1'!F48</f>
        <v>29106000</v>
      </c>
      <c r="H13" s="1627"/>
      <c r="I13" s="1635">
        <f>'SPP-1'!M48</f>
        <v>161700000</v>
      </c>
      <c r="J13" s="1635">
        <f>'SPP-1'!N48</f>
        <v>28548000</v>
      </c>
      <c r="K13" s="1635">
        <f>'SPP-1'!O48</f>
        <v>161700000</v>
      </c>
      <c r="L13" s="1635">
        <f>'SPP-1'!P48</f>
        <v>28548000</v>
      </c>
      <c r="M13" s="1635">
        <f>'SPP-1'!Q48</f>
        <v>0</v>
      </c>
      <c r="N13" s="1635">
        <f>'SPP-1'!R48</f>
        <v>0</v>
      </c>
      <c r="O13" s="1635">
        <f>'SPP-1'!S48</f>
        <v>0</v>
      </c>
      <c r="P13" s="1635">
        <f>'SPP-1'!T48</f>
        <v>0</v>
      </c>
      <c r="Q13" s="1635">
        <f>'SPP-1'!U48</f>
        <v>161700000</v>
      </c>
      <c r="R13" s="1635">
        <f>'SPP-1'!V48</f>
        <v>28548000</v>
      </c>
      <c r="S13" s="1635">
        <f>'SPP-1'!W48</f>
        <v>0</v>
      </c>
      <c r="T13" s="1635">
        <f>'SPP-1'!X48</f>
        <v>0</v>
      </c>
      <c r="U13" s="1635">
        <f t="shared" ref="U13:U28" si="0">SUM(Q13/I13)*100</f>
        <v>100</v>
      </c>
      <c r="V13" s="1635">
        <f>'SPP-1'!Z48</f>
        <v>0</v>
      </c>
      <c r="W13" s="1634">
        <f>'SPP-1'!AA48</f>
        <v>0</v>
      </c>
      <c r="X13" s="1680">
        <f>'SPP-1'!AB48</f>
        <v>0</v>
      </c>
      <c r="Y13" s="1632">
        <f>'SPP-1'!AC48</f>
        <v>0</v>
      </c>
      <c r="Z13" s="1631">
        <f>'SPP-1'!AD48</f>
        <v>0</v>
      </c>
      <c r="AA13" s="1631">
        <f>'SPP-1'!AE48</f>
        <v>0</v>
      </c>
      <c r="AB13" s="1630">
        <f>'SPP-1'!AF48</f>
        <v>0</v>
      </c>
    </row>
    <row r="14" spans="1:28" s="1581" customFormat="1" ht="34.5" customHeight="1">
      <c r="A14" s="1625">
        <f t="shared" ref="A14:A28" si="1">A13+1</f>
        <v>2</v>
      </c>
      <c r="B14" s="1628" t="str">
        <f>DT!I4</f>
        <v>NAGRAK UTARA</v>
      </c>
      <c r="C14" s="1672">
        <f>'SPP-2'!D71</f>
        <v>9</v>
      </c>
      <c r="D14" s="1672">
        <f>'SPP-2'!E71</f>
        <v>49</v>
      </c>
      <c r="E14" s="430">
        <f>'SPP-2'!D70</f>
        <v>83</v>
      </c>
      <c r="F14" s="430">
        <f>'SPP-2'!E70</f>
        <v>388200000</v>
      </c>
      <c r="G14" s="430">
        <f>'SPP-2'!F70</f>
        <v>69876000</v>
      </c>
      <c r="H14" s="1627"/>
      <c r="I14" s="430">
        <f>'SPP-2'!M70</f>
        <v>388200000</v>
      </c>
      <c r="J14" s="430">
        <f>'SPP-2'!N70</f>
        <v>69021000</v>
      </c>
      <c r="K14" s="430">
        <f>'SPP-2'!O70</f>
        <v>388200000</v>
      </c>
      <c r="L14" s="430">
        <f>'SPP-2'!P70</f>
        <v>69021000</v>
      </c>
      <c r="M14" s="430">
        <f>'SPP-2'!Q70</f>
        <v>0</v>
      </c>
      <c r="N14" s="430">
        <f>'SPP-2'!R70</f>
        <v>0</v>
      </c>
      <c r="O14" s="430">
        <f>'SPP-2'!S70</f>
        <v>0</v>
      </c>
      <c r="P14" s="430">
        <f>'SPP-2'!T70</f>
        <v>0</v>
      </c>
      <c r="Q14" s="430">
        <f>'SPP-2'!U70</f>
        <v>388200000</v>
      </c>
      <c r="R14" s="430">
        <f>'SPP-2'!V70</f>
        <v>69021000</v>
      </c>
      <c r="S14" s="430">
        <f>'SPP-2'!W70</f>
        <v>0</v>
      </c>
      <c r="T14" s="430">
        <f>'SPP-2'!X70</f>
        <v>0</v>
      </c>
      <c r="U14" s="9">
        <f t="shared" si="0"/>
        <v>100</v>
      </c>
      <c r="V14" s="430">
        <f>'SPP-2'!Z70</f>
        <v>0</v>
      </c>
      <c r="W14" s="1674">
        <f>'SPP-2'!AA70</f>
        <v>0</v>
      </c>
      <c r="X14" s="432">
        <f>'SPP-2'!AB70</f>
        <v>0</v>
      </c>
      <c r="Y14" s="1619">
        <f>'SPP-2'!AC70</f>
        <v>0</v>
      </c>
      <c r="Z14" s="1618">
        <f>'SPP-2'!AD70</f>
        <v>0</v>
      </c>
      <c r="AA14" s="1618">
        <f>'SPP-2'!AE70</f>
        <v>0</v>
      </c>
      <c r="AB14" s="1617">
        <f>'SPP-2'!AF70</f>
        <v>0</v>
      </c>
    </row>
    <row r="15" spans="1:28" s="1581" customFormat="1" ht="34.5" customHeight="1">
      <c r="A15" s="1625">
        <f t="shared" si="1"/>
        <v>3</v>
      </c>
      <c r="B15" s="1628" t="str">
        <f>DT!I5</f>
        <v>DARMAREJA</v>
      </c>
      <c r="C15" s="1672">
        <f>'SPP-3'!D49</f>
        <v>3</v>
      </c>
      <c r="D15" s="1672">
        <f>'SPP-3'!E49</f>
        <v>23</v>
      </c>
      <c r="E15" s="430">
        <f>'SPP-3'!D48</f>
        <v>24</v>
      </c>
      <c r="F15" s="430">
        <f>'SPP-3'!E48</f>
        <v>180100000</v>
      </c>
      <c r="G15" s="430">
        <f>'SPP-3'!F48</f>
        <v>32418000</v>
      </c>
      <c r="H15" s="1627"/>
      <c r="I15" s="430">
        <f>'SPP-3'!M48</f>
        <v>180100000</v>
      </c>
      <c r="J15" s="430">
        <f>'SPP-3'!N48</f>
        <v>31380000</v>
      </c>
      <c r="K15" s="430">
        <f>'SPP-3'!O48</f>
        <v>180100000</v>
      </c>
      <c r="L15" s="430">
        <f>'SPP-3'!P48</f>
        <v>31380000</v>
      </c>
      <c r="M15" s="430">
        <f>'SPP-3'!Q48</f>
        <v>0</v>
      </c>
      <c r="N15" s="430">
        <f>'SPP-3'!R48</f>
        <v>0</v>
      </c>
      <c r="O15" s="430">
        <f>'SPP-3'!S48</f>
        <v>0</v>
      </c>
      <c r="P15" s="430">
        <f>'SPP-3'!T48</f>
        <v>0</v>
      </c>
      <c r="Q15" s="430">
        <f>'SPP-3'!U48</f>
        <v>180100000</v>
      </c>
      <c r="R15" s="430">
        <f>'SPP-3'!V48</f>
        <v>31380000</v>
      </c>
      <c r="S15" s="430">
        <f>'SPP-3'!W48</f>
        <v>0</v>
      </c>
      <c r="T15" s="430">
        <f>'SPP-3'!X48</f>
        <v>0</v>
      </c>
      <c r="U15" s="9">
        <f t="shared" si="0"/>
        <v>100</v>
      </c>
      <c r="V15" s="430">
        <f>'SPP-3'!Z48</f>
        <v>0</v>
      </c>
      <c r="W15" s="1674">
        <f>'SPP-3'!AA48</f>
        <v>0</v>
      </c>
      <c r="X15" s="432">
        <f>'SPP-3'!AB48</f>
        <v>0</v>
      </c>
      <c r="Y15" s="1619">
        <f>'SPP-3'!AC48</f>
        <v>0</v>
      </c>
      <c r="Z15" s="1618">
        <f>'SPP-3'!AD48</f>
        <v>0</v>
      </c>
      <c r="AA15" s="1618">
        <f>'SPP-3'!AE48</f>
        <v>0</v>
      </c>
      <c r="AB15" s="1617">
        <f>'SPP-3'!AF48</f>
        <v>0</v>
      </c>
    </row>
    <row r="16" spans="1:28" s="1581" customFormat="1" ht="34.5" customHeight="1">
      <c r="A16" s="1625">
        <f t="shared" si="1"/>
        <v>4</v>
      </c>
      <c r="B16" s="1628" t="str">
        <f>DT!I6</f>
        <v>BALEKAMBANG</v>
      </c>
      <c r="C16" s="1672">
        <f>'SPP-4'!D49</f>
        <v>2</v>
      </c>
      <c r="D16" s="1672">
        <f>'SPP-4'!E49</f>
        <v>16</v>
      </c>
      <c r="E16" s="430">
        <f>'SPP-4'!D48</f>
        <v>18</v>
      </c>
      <c r="F16" s="430">
        <f>'SPP-4'!E48</f>
        <v>131000000</v>
      </c>
      <c r="G16" s="430">
        <f>'SPP-4'!F48</f>
        <v>23580000</v>
      </c>
      <c r="H16" s="1627"/>
      <c r="I16" s="430">
        <f>'SPP-4'!M48</f>
        <v>131000000</v>
      </c>
      <c r="J16" s="430">
        <f>'SPP-4'!N48</f>
        <v>23430000</v>
      </c>
      <c r="K16" s="430">
        <f>'SPP-4'!O48</f>
        <v>131000000</v>
      </c>
      <c r="L16" s="430">
        <f>'SPP-4'!P48</f>
        <v>23430000</v>
      </c>
      <c r="M16" s="430">
        <f>'SPP-4'!Q48</f>
        <v>0</v>
      </c>
      <c r="N16" s="430">
        <f>'SPP-4'!R48</f>
        <v>0</v>
      </c>
      <c r="O16" s="430">
        <f>'SPP-4'!S48</f>
        <v>0</v>
      </c>
      <c r="P16" s="430">
        <f>'SPP-4'!T48</f>
        <v>0</v>
      </c>
      <c r="Q16" s="430">
        <f>'SPP-4'!U48</f>
        <v>131000000</v>
      </c>
      <c r="R16" s="430">
        <f>'SPP-4'!V48</f>
        <v>23430000</v>
      </c>
      <c r="S16" s="430">
        <f>'SPP-4'!W48</f>
        <v>0</v>
      </c>
      <c r="T16" s="430">
        <f>'SPP-4'!X48</f>
        <v>0</v>
      </c>
      <c r="U16" s="9">
        <f t="shared" si="0"/>
        <v>100</v>
      </c>
      <c r="V16" s="430">
        <f>'SPP-4'!Z48</f>
        <v>0</v>
      </c>
      <c r="W16" s="1674">
        <f>'SPP-4'!AA48</f>
        <v>0</v>
      </c>
      <c r="X16" s="432">
        <f>'SPP-4'!AB48</f>
        <v>0</v>
      </c>
      <c r="Y16" s="1619">
        <f>'SPP-4'!AC48</f>
        <v>0</v>
      </c>
      <c r="Z16" s="1618">
        <f>'SPP-4'!AD48</f>
        <v>0</v>
      </c>
      <c r="AA16" s="1618">
        <f>'SPP-4'!AE48</f>
        <v>0</v>
      </c>
      <c r="AB16" s="1617">
        <f>'SPP-4'!AF48</f>
        <v>0</v>
      </c>
    </row>
    <row r="17" spans="1:28" s="1581" customFormat="1" ht="34.5" customHeight="1">
      <c r="A17" s="1625">
        <f t="shared" si="1"/>
        <v>5</v>
      </c>
      <c r="B17" s="1628" t="str">
        <f>DT!I7</f>
        <v>NAGRAK SELATAN</v>
      </c>
      <c r="C17" s="1672">
        <f>'SPP-5'!D49</f>
        <v>0</v>
      </c>
      <c r="D17" s="1672">
        <f>'SPP-5'!E49</f>
        <v>18</v>
      </c>
      <c r="E17" s="430">
        <f>'SPP-5'!D48</f>
        <v>0</v>
      </c>
      <c r="F17" s="430">
        <f>'SPP-5'!E48</f>
        <v>150250000</v>
      </c>
      <c r="G17" s="430">
        <f>'SPP-5'!F48</f>
        <v>26745000</v>
      </c>
      <c r="H17" s="1627"/>
      <c r="I17" s="430">
        <f>'SPP-5'!M48</f>
        <v>150250000</v>
      </c>
      <c r="J17" s="430">
        <f>'SPP-5'!N48</f>
        <v>26243400</v>
      </c>
      <c r="K17" s="430">
        <f>'SPP-5'!O48</f>
        <v>150250000</v>
      </c>
      <c r="L17" s="430">
        <f>'SPP-5'!P48</f>
        <v>26243400</v>
      </c>
      <c r="M17" s="430">
        <f>'SPP-5'!Q48</f>
        <v>0</v>
      </c>
      <c r="N17" s="430">
        <f>'SPP-5'!R48</f>
        <v>0</v>
      </c>
      <c r="O17" s="430">
        <f>'SPP-5'!S48</f>
        <v>0</v>
      </c>
      <c r="P17" s="430">
        <f>'SPP-5'!T48</f>
        <v>0</v>
      </c>
      <c r="Q17" s="430">
        <f>'SPP-5'!U48</f>
        <v>150250000</v>
      </c>
      <c r="R17" s="430">
        <f>'SPP-5'!V48</f>
        <v>26243400</v>
      </c>
      <c r="S17" s="430">
        <f>'SPP-5'!W48</f>
        <v>0</v>
      </c>
      <c r="T17" s="430">
        <f>'SPP-5'!X48</f>
        <v>0</v>
      </c>
      <c r="U17" s="9">
        <f t="shared" si="0"/>
        <v>100</v>
      </c>
      <c r="V17" s="430">
        <f>'SPP-5'!Z48</f>
        <v>0</v>
      </c>
      <c r="W17" s="1674">
        <f>'SPP-5'!AA48</f>
        <v>0</v>
      </c>
      <c r="X17" s="432">
        <f>'SPP-5'!AB48</f>
        <v>0</v>
      </c>
      <c r="Y17" s="1619">
        <f>'SPP-5'!AC48</f>
        <v>0</v>
      </c>
      <c r="Z17" s="1618">
        <f>'SPP-5'!AD48</f>
        <v>0</v>
      </c>
      <c r="AA17" s="1618">
        <f>'SPP-5'!AE48</f>
        <v>0</v>
      </c>
      <c r="AB17" s="1617">
        <f>'SPP-5'!AF48</f>
        <v>0</v>
      </c>
    </row>
    <row r="18" spans="1:28" s="1581" customFormat="1" ht="34.5" customHeight="1">
      <c r="A18" s="1625">
        <f t="shared" si="1"/>
        <v>6</v>
      </c>
      <c r="B18" s="1628" t="str">
        <f>DT!I8</f>
        <v>KALAPAREA</v>
      </c>
      <c r="C18" s="1672">
        <f>'SPP-6'!D49</f>
        <v>10</v>
      </c>
      <c r="D18" s="1672">
        <f>'SPP-6'!E49</f>
        <v>27</v>
      </c>
      <c r="E18" s="430">
        <f>'SPP-6'!D48</f>
        <v>94</v>
      </c>
      <c r="F18" s="430">
        <f>'SPP-6'!E48</f>
        <v>197800000</v>
      </c>
      <c r="G18" s="430">
        <f>'SPP-6'!F48</f>
        <v>35604000</v>
      </c>
      <c r="H18" s="1627"/>
      <c r="I18" s="430">
        <f>'SPP-6'!M48</f>
        <v>197800000</v>
      </c>
      <c r="J18" s="430">
        <f>'SPP-6'!N48</f>
        <v>34225500</v>
      </c>
      <c r="K18" s="430">
        <f>'SPP-6'!O48</f>
        <v>195319000</v>
      </c>
      <c r="L18" s="430">
        <f>'SPP-6'!P48</f>
        <v>33888000</v>
      </c>
      <c r="M18" s="430">
        <f>'SPP-6'!Q48</f>
        <v>0</v>
      </c>
      <c r="N18" s="430">
        <f>'SPP-6'!R48</f>
        <v>0</v>
      </c>
      <c r="O18" s="430">
        <f>'SPP-6'!S48</f>
        <v>0</v>
      </c>
      <c r="P18" s="430">
        <f>'SPP-6'!T48</f>
        <v>0</v>
      </c>
      <c r="Q18" s="430">
        <f>'SPP-6'!U48</f>
        <v>195319000</v>
      </c>
      <c r="R18" s="430">
        <f>'SPP-6'!V48</f>
        <v>33888000</v>
      </c>
      <c r="S18" s="430">
        <f>'SPP-6'!W48</f>
        <v>0</v>
      </c>
      <c r="T18" s="430">
        <f>'SPP-6'!X48</f>
        <v>2481000</v>
      </c>
      <c r="U18" s="9">
        <f t="shared" si="0"/>
        <v>98.745702730030331</v>
      </c>
      <c r="V18" s="430">
        <f>'SPP-6'!Z48</f>
        <v>2481000</v>
      </c>
      <c r="W18" s="1674">
        <f>'SPP-6'!AA48</f>
        <v>337500</v>
      </c>
      <c r="X18" s="432">
        <f>'SPP-6'!AB48</f>
        <v>0</v>
      </c>
      <c r="Y18" s="1619">
        <f>'SPP-6'!AC48</f>
        <v>0</v>
      </c>
      <c r="Z18" s="1618">
        <f>'SPP-6'!AD48</f>
        <v>0</v>
      </c>
      <c r="AA18" s="1618">
        <f>'SPP-6'!AE48</f>
        <v>0</v>
      </c>
      <c r="AB18" s="1617">
        <f>'SPP-6'!AF48</f>
        <v>2481000</v>
      </c>
    </row>
    <row r="19" spans="1:28" s="1581" customFormat="1" ht="34.5" customHeight="1">
      <c r="A19" s="1625">
        <f t="shared" si="1"/>
        <v>7</v>
      </c>
      <c r="B19" s="1628" t="str">
        <f>DT!I9</f>
        <v>BABAKAN PANJANG</v>
      </c>
      <c r="C19" s="1672">
        <f>'SPP-7'!D49</f>
        <v>2</v>
      </c>
      <c r="D19" s="1672">
        <f>'SPP-7'!E49</f>
        <v>20</v>
      </c>
      <c r="E19" s="430">
        <f>'SPP-7'!D48</f>
        <v>20</v>
      </c>
      <c r="F19" s="430">
        <f>'SPP-7'!E48</f>
        <v>156400000</v>
      </c>
      <c r="G19" s="430">
        <f>'SPP-7'!F48</f>
        <v>28152000</v>
      </c>
      <c r="H19" s="1627"/>
      <c r="I19" s="430">
        <f>'SPP-7'!M48</f>
        <v>156400000</v>
      </c>
      <c r="J19" s="430">
        <f>'SPP-7'!N48</f>
        <v>27747000</v>
      </c>
      <c r="K19" s="430">
        <f>'SPP-7'!O48</f>
        <v>156400000</v>
      </c>
      <c r="L19" s="430">
        <f>'SPP-7'!P48</f>
        <v>27747000</v>
      </c>
      <c r="M19" s="430">
        <f>'SPP-7'!Q48</f>
        <v>0</v>
      </c>
      <c r="N19" s="430">
        <f>'SPP-7'!R48</f>
        <v>0</v>
      </c>
      <c r="O19" s="430">
        <f>'SPP-7'!S48</f>
        <v>0</v>
      </c>
      <c r="P19" s="430">
        <f>'SPP-7'!T48</f>
        <v>0</v>
      </c>
      <c r="Q19" s="430">
        <f>'SPP-7'!U48</f>
        <v>156400000</v>
      </c>
      <c r="R19" s="430">
        <f>'SPP-7'!V48</f>
        <v>27747000</v>
      </c>
      <c r="S19" s="430">
        <f>'SPP-7'!W48</f>
        <v>0</v>
      </c>
      <c r="T19" s="430">
        <f>'SPP-7'!X48</f>
        <v>0</v>
      </c>
      <c r="U19" s="9">
        <f t="shared" si="0"/>
        <v>100</v>
      </c>
      <c r="V19" s="430">
        <f>'SPP-7'!Z48</f>
        <v>0</v>
      </c>
      <c r="W19" s="1674">
        <f>'SPP-7'!AA48</f>
        <v>0</v>
      </c>
      <c r="X19" s="432">
        <f>'SPP-7'!AB48</f>
        <v>0</v>
      </c>
      <c r="Y19" s="1619">
        <f>'SPP-7'!AC48</f>
        <v>0</v>
      </c>
      <c r="Z19" s="1618">
        <f>'SPP-7'!AD48</f>
        <v>0</v>
      </c>
      <c r="AA19" s="1618">
        <f>'SPP-7'!AE48</f>
        <v>0</v>
      </c>
      <c r="AB19" s="1617">
        <f>'SPP-7'!AF48</f>
        <v>0</v>
      </c>
    </row>
    <row r="20" spans="1:28" s="1581" customFormat="1" ht="34.5" customHeight="1">
      <c r="A20" s="1625">
        <f t="shared" si="1"/>
        <v>8</v>
      </c>
      <c r="B20" s="1628" t="str">
        <f>DT!I10</f>
        <v>PAWENANG</v>
      </c>
      <c r="C20" s="1672">
        <f>'SPP-8'!D49</f>
        <v>3</v>
      </c>
      <c r="D20" s="1672">
        <f>'SPP-8'!E49</f>
        <v>13</v>
      </c>
      <c r="E20" s="430">
        <f>'SPP-8'!D48</f>
        <v>22</v>
      </c>
      <c r="F20" s="430">
        <f>'SPP-8'!E48</f>
        <v>95600000</v>
      </c>
      <c r="G20" s="430">
        <f>'SPP-8'!F48</f>
        <v>17208000</v>
      </c>
      <c r="H20" s="1627"/>
      <c r="I20" s="430">
        <f>'SPP-8'!M48</f>
        <v>95600000</v>
      </c>
      <c r="J20" s="430">
        <f>'SPP-8'!N48</f>
        <v>16546500</v>
      </c>
      <c r="K20" s="430">
        <f>'SPP-8'!O48</f>
        <v>95600000</v>
      </c>
      <c r="L20" s="430">
        <f>'SPP-8'!P48</f>
        <v>16546500</v>
      </c>
      <c r="M20" s="430">
        <f>'SPP-8'!Q48</f>
        <v>0</v>
      </c>
      <c r="N20" s="430">
        <f>'SPP-8'!R48</f>
        <v>0</v>
      </c>
      <c r="O20" s="430">
        <f>'SPP-8'!S48</f>
        <v>0</v>
      </c>
      <c r="P20" s="430">
        <f>'SPP-8'!T48</f>
        <v>0</v>
      </c>
      <c r="Q20" s="430">
        <f>'SPP-8'!U48</f>
        <v>95600000</v>
      </c>
      <c r="R20" s="430">
        <f>'SPP-8'!V48</f>
        <v>16546500</v>
      </c>
      <c r="S20" s="430">
        <f>'SPP-8'!W48</f>
        <v>0</v>
      </c>
      <c r="T20" s="430">
        <f>'SPP-8'!X48</f>
        <v>0</v>
      </c>
      <c r="U20" s="9">
        <f t="shared" si="0"/>
        <v>100</v>
      </c>
      <c r="V20" s="430">
        <f>'SPP-8'!Z48</f>
        <v>0</v>
      </c>
      <c r="W20" s="1674">
        <f>'SPP-8'!AA48</f>
        <v>0</v>
      </c>
      <c r="X20" s="432">
        <f>'SPP-8'!AB48</f>
        <v>0</v>
      </c>
      <c r="Y20" s="1619">
        <f>'SPP-8'!AC48</f>
        <v>0</v>
      </c>
      <c r="Z20" s="1618">
        <f>'SPP-8'!AD48</f>
        <v>0</v>
      </c>
      <c r="AA20" s="1618">
        <f>'SPP-8'!AE48</f>
        <v>0</v>
      </c>
      <c r="AB20" s="1617">
        <f>'SPP-8'!AF48</f>
        <v>0</v>
      </c>
    </row>
    <row r="21" spans="1:28" s="1581" customFormat="1" ht="34.5" customHeight="1">
      <c r="A21" s="1625">
        <f t="shared" si="1"/>
        <v>9</v>
      </c>
      <c r="B21" s="1628" t="str">
        <f>DT!I11</f>
        <v>CISARUA</v>
      </c>
      <c r="C21" s="1672">
        <f>'SPP-9'!D49</f>
        <v>0</v>
      </c>
      <c r="D21" s="1672">
        <f>'SPP-9'!E49</f>
        <v>30</v>
      </c>
      <c r="E21" s="430">
        <f>'SPP-9'!D48</f>
        <v>0</v>
      </c>
      <c r="F21" s="430">
        <f>'SPP-9'!E48</f>
        <v>231200000</v>
      </c>
      <c r="G21" s="430">
        <f>'SPP-9'!F48</f>
        <v>41616000</v>
      </c>
      <c r="H21" s="1627"/>
      <c r="I21" s="430">
        <f>'SPP-9'!M48</f>
        <v>231200000</v>
      </c>
      <c r="J21" s="430">
        <f>'SPP-9'!N48</f>
        <v>41046000</v>
      </c>
      <c r="K21" s="430">
        <f>'SPP-9'!O48</f>
        <v>231200000</v>
      </c>
      <c r="L21" s="430">
        <f>'SPP-9'!P48</f>
        <v>41046000</v>
      </c>
      <c r="M21" s="430">
        <f>'SPP-9'!Q48</f>
        <v>0</v>
      </c>
      <c r="N21" s="430">
        <f>'SPP-9'!R48</f>
        <v>0</v>
      </c>
      <c r="O21" s="430">
        <f>'SPP-9'!S48</f>
        <v>0</v>
      </c>
      <c r="P21" s="430">
        <f>'SPP-9'!T48</f>
        <v>0</v>
      </c>
      <c r="Q21" s="430">
        <f>'SPP-9'!U48</f>
        <v>231200000</v>
      </c>
      <c r="R21" s="430">
        <f>'SPP-9'!V48</f>
        <v>41046000</v>
      </c>
      <c r="S21" s="430">
        <f>'SPP-9'!W48</f>
        <v>0</v>
      </c>
      <c r="T21" s="430">
        <f>'SPP-9'!X48</f>
        <v>0</v>
      </c>
      <c r="U21" s="9">
        <f t="shared" si="0"/>
        <v>100</v>
      </c>
      <c r="V21" s="430">
        <f>'SPP-9'!Z48</f>
        <v>0</v>
      </c>
      <c r="W21" s="1674">
        <f>'SPP-9'!AA48</f>
        <v>0</v>
      </c>
      <c r="X21" s="432">
        <f>'SPP-9'!AB48</f>
        <v>0</v>
      </c>
      <c r="Y21" s="1619">
        <f>'SPP-9'!AC48</f>
        <v>0</v>
      </c>
      <c r="Z21" s="1618">
        <f>'SPP-9'!AD48</f>
        <v>0</v>
      </c>
      <c r="AA21" s="1618">
        <f>'SPP-9'!AE48</f>
        <v>0</v>
      </c>
      <c r="AB21" s="1617">
        <f>'SPP-9'!AF48</f>
        <v>0</v>
      </c>
    </row>
    <row r="22" spans="1:28" s="1581" customFormat="1" ht="34.5" customHeight="1">
      <c r="A22" s="1625">
        <f t="shared" si="1"/>
        <v>10</v>
      </c>
      <c r="B22" s="1628" t="str">
        <f>DT!I12</f>
        <v>GIRIJAYA</v>
      </c>
      <c r="C22" s="1672">
        <f>'SPP-10'!D49</f>
        <v>3</v>
      </c>
      <c r="D22" s="1672">
        <f>'SPP-10'!E49</f>
        <v>19</v>
      </c>
      <c r="E22" s="430">
        <f>'SPP-10'!D48</f>
        <v>31</v>
      </c>
      <c r="F22" s="430">
        <f>'SPP-10'!E48</f>
        <v>164100000</v>
      </c>
      <c r="G22" s="430">
        <f>'SPP-10'!F48</f>
        <v>29538000</v>
      </c>
      <c r="H22" s="1623"/>
      <c r="I22" s="430">
        <f>'SPP-10'!M48</f>
        <v>164100000</v>
      </c>
      <c r="J22" s="430">
        <f>'SPP-10'!N48</f>
        <v>29116500</v>
      </c>
      <c r="K22" s="430">
        <f>'SPP-10'!O48</f>
        <v>164100000</v>
      </c>
      <c r="L22" s="430">
        <f>'SPP-10'!P48</f>
        <v>29116500</v>
      </c>
      <c r="M22" s="430">
        <f>'SPP-10'!Q48</f>
        <v>0</v>
      </c>
      <c r="N22" s="430">
        <f>'SPP-10'!R48</f>
        <v>0</v>
      </c>
      <c r="O22" s="430">
        <f>'SPP-10'!S48</f>
        <v>0</v>
      </c>
      <c r="P22" s="430">
        <f>'SPP-10'!T48</f>
        <v>0</v>
      </c>
      <c r="Q22" s="430">
        <f>'SPP-10'!U48</f>
        <v>164100000</v>
      </c>
      <c r="R22" s="430">
        <f>'SPP-10'!V48</f>
        <v>29116500</v>
      </c>
      <c r="S22" s="430">
        <f>'SPP-10'!W48</f>
        <v>0</v>
      </c>
      <c r="T22" s="430">
        <f>'SPP-10'!X48</f>
        <v>0</v>
      </c>
      <c r="U22" s="9">
        <f t="shared" si="0"/>
        <v>100</v>
      </c>
      <c r="V22" s="430">
        <f>'SPP-10'!Z48</f>
        <v>0</v>
      </c>
      <c r="W22" s="1674">
        <f>'SPP-10'!AA48</f>
        <v>0</v>
      </c>
      <c r="X22" s="432">
        <f>'SPP-10'!AB48</f>
        <v>0</v>
      </c>
      <c r="Y22" s="1619">
        <f>'SPP-10'!AC48</f>
        <v>0</v>
      </c>
      <c r="Z22" s="1618">
        <f>'SPP-10'!AD48</f>
        <v>0</v>
      </c>
      <c r="AA22" s="1618">
        <f>'SPP-10'!AE48</f>
        <v>0</v>
      </c>
      <c r="AB22" s="1617">
        <f>'SPP-10'!AF48</f>
        <v>0</v>
      </c>
    </row>
    <row r="23" spans="1:28" s="1581" customFormat="1" ht="34.5" customHeight="1">
      <c r="A23" s="1625">
        <f t="shared" si="1"/>
        <v>11</v>
      </c>
      <c r="B23" s="1628">
        <f>DT!I13</f>
        <v>0</v>
      </c>
      <c r="C23" s="1672">
        <f>'SPP-11'!D49</f>
        <v>0</v>
      </c>
      <c r="D23" s="1672">
        <f>'SPP-11'!E49</f>
        <v>0</v>
      </c>
      <c r="E23" s="430">
        <f>'SPP-11'!D48</f>
        <v>0</v>
      </c>
      <c r="F23" s="430">
        <f>'SPP-11'!E48</f>
        <v>0</v>
      </c>
      <c r="G23" s="430">
        <f>'SPP-11'!F48</f>
        <v>0</v>
      </c>
      <c r="H23" s="1623"/>
      <c r="I23" s="430">
        <f>'SPP-11'!M48</f>
        <v>0</v>
      </c>
      <c r="J23" s="430">
        <f>'SPP-11'!N48</f>
        <v>0</v>
      </c>
      <c r="K23" s="430">
        <f>'SPP-11'!O48</f>
        <v>0</v>
      </c>
      <c r="L23" s="430">
        <f>'SPP-11'!P48</f>
        <v>0</v>
      </c>
      <c r="M23" s="430">
        <f>'SPP-11'!Q48</f>
        <v>0</v>
      </c>
      <c r="N23" s="430">
        <f>'SPP-11'!R48</f>
        <v>0</v>
      </c>
      <c r="O23" s="430">
        <f>'SPP-11'!S48</f>
        <v>0</v>
      </c>
      <c r="P23" s="430">
        <f>'SPP-11'!T48</f>
        <v>0</v>
      </c>
      <c r="Q23" s="430">
        <f>'SPP-11'!U48</f>
        <v>0</v>
      </c>
      <c r="R23" s="430">
        <f>'SPP-11'!V48</f>
        <v>0</v>
      </c>
      <c r="S23" s="430">
        <f>'SPP-11'!W48</f>
        <v>0</v>
      </c>
      <c r="T23" s="430">
        <f>'SPP-11'!X48</f>
        <v>0</v>
      </c>
      <c r="U23" s="9" t="e">
        <f t="shared" si="0"/>
        <v>#DIV/0!</v>
      </c>
      <c r="V23" s="430">
        <f>'SPP-11'!Z48</f>
        <v>0</v>
      </c>
      <c r="W23" s="1674">
        <f>'SPP-11'!AA48</f>
        <v>0</v>
      </c>
      <c r="X23" s="432">
        <f>'SPP-11'!AB48</f>
        <v>0</v>
      </c>
      <c r="Y23" s="1619">
        <f>'SPP-11'!AC48</f>
        <v>0</v>
      </c>
      <c r="Z23" s="1618">
        <f>'SPP-11'!AD48</f>
        <v>0</v>
      </c>
      <c r="AA23" s="1618">
        <f>'SPP-11'!AE48</f>
        <v>0</v>
      </c>
      <c r="AB23" s="1617">
        <f>'SPP-11'!AF48</f>
        <v>0</v>
      </c>
    </row>
    <row r="24" spans="1:28" s="1581" customFormat="1" ht="34.5" customHeight="1">
      <c r="A24" s="1625">
        <f t="shared" si="1"/>
        <v>12</v>
      </c>
      <c r="B24" s="1628">
        <f>DT!I14</f>
        <v>0</v>
      </c>
      <c r="C24" s="1672">
        <f>'SPP-12'!D49</f>
        <v>0</v>
      </c>
      <c r="D24" s="1672">
        <f>'SPP-12'!E49</f>
        <v>0</v>
      </c>
      <c r="E24" s="430">
        <f>'SPP-12'!D48</f>
        <v>0</v>
      </c>
      <c r="F24" s="430">
        <f>'SPP-12'!E48</f>
        <v>0</v>
      </c>
      <c r="G24" s="430">
        <f>'SPP-12'!F48</f>
        <v>0</v>
      </c>
      <c r="H24" s="1623"/>
      <c r="I24" s="430">
        <f>'SPP-12'!M48</f>
        <v>0</v>
      </c>
      <c r="J24" s="430">
        <f>'SPP-12'!N48</f>
        <v>0</v>
      </c>
      <c r="K24" s="430">
        <f>'SPP-12'!O48</f>
        <v>0</v>
      </c>
      <c r="L24" s="430">
        <f>'SPP-12'!P48</f>
        <v>0</v>
      </c>
      <c r="M24" s="430">
        <f>'SPP-12'!Q48</f>
        <v>0</v>
      </c>
      <c r="N24" s="430">
        <f>'SPP-12'!R48</f>
        <v>0</v>
      </c>
      <c r="O24" s="430">
        <f>'SPP-12'!S48</f>
        <v>0</v>
      </c>
      <c r="P24" s="430">
        <f>'SPP-12'!T48</f>
        <v>0</v>
      </c>
      <c r="Q24" s="430">
        <f>'SPP-12'!U48</f>
        <v>0</v>
      </c>
      <c r="R24" s="430">
        <f>'SPP-12'!V48</f>
        <v>0</v>
      </c>
      <c r="S24" s="430">
        <f>'SPP-12'!W48</f>
        <v>0</v>
      </c>
      <c r="T24" s="430">
        <f>'SPP-12'!X48</f>
        <v>0</v>
      </c>
      <c r="U24" s="9" t="e">
        <f t="shared" si="0"/>
        <v>#DIV/0!</v>
      </c>
      <c r="V24" s="430">
        <f>'SPP-12'!Z48</f>
        <v>0</v>
      </c>
      <c r="W24" s="1674">
        <f>'SPP-12'!AA48</f>
        <v>0</v>
      </c>
      <c r="X24" s="432">
        <f>'SPP-12'!AB48</f>
        <v>0</v>
      </c>
      <c r="Y24" s="1619">
        <f>'SPP-12'!AC48</f>
        <v>0</v>
      </c>
      <c r="Z24" s="1618">
        <f>'SPP-12'!AD48</f>
        <v>0</v>
      </c>
      <c r="AA24" s="1618">
        <f>'SPP-12'!AE48</f>
        <v>0</v>
      </c>
      <c r="AB24" s="1617">
        <f>'SPP-12'!AF48</f>
        <v>0</v>
      </c>
    </row>
    <row r="25" spans="1:28" s="1581" customFormat="1" ht="34.5" customHeight="1">
      <c r="A25" s="1625">
        <f t="shared" si="1"/>
        <v>13</v>
      </c>
      <c r="B25" s="1679">
        <f>DT!I15</f>
        <v>0</v>
      </c>
      <c r="C25" s="1672">
        <f>'SPP-13'!D49</f>
        <v>0</v>
      </c>
      <c r="D25" s="1672">
        <f>'SPP-13'!E49</f>
        <v>0</v>
      </c>
      <c r="E25" s="430">
        <f>'SPP-13'!D48</f>
        <v>0</v>
      </c>
      <c r="F25" s="430">
        <f>'SPP-13'!E48</f>
        <v>0</v>
      </c>
      <c r="G25" s="430">
        <f>'SPP-13'!F48</f>
        <v>0</v>
      </c>
      <c r="H25" s="1623"/>
      <c r="I25" s="430">
        <f>'SPP-13'!M48</f>
        <v>0</v>
      </c>
      <c r="J25" s="430">
        <f>'SPP-13'!N48</f>
        <v>0</v>
      </c>
      <c r="K25" s="430">
        <f>'SPP-13'!O48</f>
        <v>0</v>
      </c>
      <c r="L25" s="430">
        <f>'SPP-13'!P48</f>
        <v>0</v>
      </c>
      <c r="M25" s="430">
        <f>'SPP-13'!Q48</f>
        <v>0</v>
      </c>
      <c r="N25" s="430">
        <f>'SPP-13'!R48</f>
        <v>0</v>
      </c>
      <c r="O25" s="430">
        <f>'SPP-13'!S48</f>
        <v>0</v>
      </c>
      <c r="P25" s="430">
        <f>'SPP-13'!T48</f>
        <v>0</v>
      </c>
      <c r="Q25" s="430">
        <f>'SPP-13'!U48</f>
        <v>0</v>
      </c>
      <c r="R25" s="430">
        <f>'SPP-13'!V48</f>
        <v>0</v>
      </c>
      <c r="S25" s="430">
        <f>'SPP-13'!W48</f>
        <v>0</v>
      </c>
      <c r="T25" s="430">
        <f>'SPP-13'!X48</f>
        <v>0</v>
      </c>
      <c r="U25" s="9" t="e">
        <f t="shared" si="0"/>
        <v>#DIV/0!</v>
      </c>
      <c r="V25" s="430">
        <f>'SPP-13'!Z48</f>
        <v>0</v>
      </c>
      <c r="W25" s="1621">
        <f>'SPP-13'!AA48</f>
        <v>0</v>
      </c>
      <c r="X25" s="432">
        <f>'SPP-13'!AB48</f>
        <v>0</v>
      </c>
      <c r="Y25" s="1619">
        <f>'SPP-13'!AC48</f>
        <v>0</v>
      </c>
      <c r="Z25" s="1618">
        <f>'SPP-13'!AD48</f>
        <v>0</v>
      </c>
      <c r="AA25" s="1618">
        <f>'SPP-13'!AE48</f>
        <v>0</v>
      </c>
      <c r="AB25" s="1617">
        <f>'SPP-13'!AF48</f>
        <v>0</v>
      </c>
    </row>
    <row r="26" spans="1:28" s="1581" customFormat="1" ht="34.5" customHeight="1">
      <c r="A26" s="1625">
        <f t="shared" si="1"/>
        <v>14</v>
      </c>
      <c r="B26" s="1679">
        <f>DT!I16</f>
        <v>0</v>
      </c>
      <c r="C26" s="1672">
        <f>'SPP-14'!D49</f>
        <v>0</v>
      </c>
      <c r="D26" s="1672">
        <f>'SPP-14'!E49</f>
        <v>0</v>
      </c>
      <c r="E26" s="430">
        <f>'SPP-14'!D48</f>
        <v>0</v>
      </c>
      <c r="F26" s="430">
        <f>'SPP-14'!E48</f>
        <v>0</v>
      </c>
      <c r="G26" s="430">
        <f>'SPP-14'!F48</f>
        <v>0</v>
      </c>
      <c r="H26" s="1623"/>
      <c r="I26" s="430">
        <f>'SPP-14'!M48</f>
        <v>0</v>
      </c>
      <c r="J26" s="430">
        <f>'SPP-14'!N48</f>
        <v>0</v>
      </c>
      <c r="K26" s="430">
        <f>'SPP-14'!O48</f>
        <v>0</v>
      </c>
      <c r="L26" s="430">
        <f>'SPP-14'!P48</f>
        <v>0</v>
      </c>
      <c r="M26" s="430">
        <f>'SPP-14'!Q48</f>
        <v>0</v>
      </c>
      <c r="N26" s="430">
        <f>'SPP-14'!R48</f>
        <v>0</v>
      </c>
      <c r="O26" s="430">
        <f>'SPP-14'!S48</f>
        <v>0</v>
      </c>
      <c r="P26" s="430">
        <f>'SPP-14'!T48</f>
        <v>0</v>
      </c>
      <c r="Q26" s="430">
        <f>'SPP-14'!U48</f>
        <v>0</v>
      </c>
      <c r="R26" s="430">
        <f>'SPP-14'!V48</f>
        <v>0</v>
      </c>
      <c r="S26" s="430">
        <f>'SPP-14'!W48</f>
        <v>0</v>
      </c>
      <c r="T26" s="430">
        <f>'SPP-14'!X48</f>
        <v>0</v>
      </c>
      <c r="U26" s="9" t="e">
        <f t="shared" si="0"/>
        <v>#DIV/0!</v>
      </c>
      <c r="V26" s="430">
        <f>'SPP-14'!Z48</f>
        <v>0</v>
      </c>
      <c r="W26" s="1674">
        <f>'SPP-14'!AA48</f>
        <v>0</v>
      </c>
      <c r="X26" s="432">
        <f>'SPP-14'!AB48</f>
        <v>0</v>
      </c>
      <c r="Y26" s="1619">
        <f>'SPP-14'!AC48</f>
        <v>0</v>
      </c>
      <c r="Z26" s="1618">
        <f>'SPP-14'!AD48</f>
        <v>0</v>
      </c>
      <c r="AA26" s="1618">
        <f>'SPP-14'!AE48</f>
        <v>0</v>
      </c>
      <c r="AB26" s="1617">
        <f>'SPP-14'!AF48</f>
        <v>0</v>
      </c>
    </row>
    <row r="27" spans="1:28" s="1581" customFormat="1" ht="34.5" customHeight="1">
      <c r="A27" s="1625">
        <f t="shared" si="1"/>
        <v>15</v>
      </c>
      <c r="B27" s="1679">
        <f>DT!I17</f>
        <v>0</v>
      </c>
      <c r="C27" s="1672">
        <f>'SPP-15'!D49</f>
        <v>0</v>
      </c>
      <c r="D27" s="1672">
        <f>'SPP-15'!E49</f>
        <v>0</v>
      </c>
      <c r="E27" s="1672">
        <f>'SPP-15'!D48</f>
        <v>0</v>
      </c>
      <c r="F27" s="1672">
        <f>'SPP-15'!E48</f>
        <v>0</v>
      </c>
      <c r="G27" s="1672">
        <f>'SPP-15'!F48</f>
        <v>0</v>
      </c>
      <c r="H27" s="1672"/>
      <c r="I27" s="1672">
        <f>'SPP-15'!M48</f>
        <v>0</v>
      </c>
      <c r="J27" s="1672">
        <f>'SPP-15'!N48</f>
        <v>0</v>
      </c>
      <c r="K27" s="1672">
        <f>'SPP-15'!O48</f>
        <v>0</v>
      </c>
      <c r="L27" s="1672">
        <f>'SPP-15'!P48</f>
        <v>0</v>
      </c>
      <c r="M27" s="1672">
        <f>'SPP-15'!Q48</f>
        <v>0</v>
      </c>
      <c r="N27" s="1672">
        <f>'SPP-15'!R48</f>
        <v>0</v>
      </c>
      <c r="O27" s="1672">
        <f>'SPP-15'!S48</f>
        <v>0</v>
      </c>
      <c r="P27" s="1672">
        <f>'SPP-15'!T48</f>
        <v>0</v>
      </c>
      <c r="Q27" s="1672">
        <f>'SPP-15'!U48</f>
        <v>0</v>
      </c>
      <c r="R27" s="1672">
        <f>'SPP-15'!V48</f>
        <v>0</v>
      </c>
      <c r="S27" s="1672">
        <f>'SPP-15'!W48</f>
        <v>0</v>
      </c>
      <c r="T27" s="1672">
        <f>'SPP-15'!X48</f>
        <v>0</v>
      </c>
      <c r="U27" s="9" t="e">
        <f t="shared" si="0"/>
        <v>#DIV/0!</v>
      </c>
      <c r="V27" s="1672">
        <f>'SPP-15'!Z48</f>
        <v>0</v>
      </c>
      <c r="W27" s="1678">
        <f>'SPP-15'!AA48</f>
        <v>0</v>
      </c>
      <c r="X27" s="432">
        <f>'SPP-15'!AB48</f>
        <v>0</v>
      </c>
      <c r="Y27" s="1619">
        <f>'SPP-15'!AC48</f>
        <v>0</v>
      </c>
      <c r="Z27" s="1618">
        <f>'SPP-15'!AD48</f>
        <v>0</v>
      </c>
      <c r="AA27" s="1618">
        <f>'SPP-15'!AE48</f>
        <v>0</v>
      </c>
      <c r="AB27" s="1617">
        <f>'SPP-15'!AF48</f>
        <v>0</v>
      </c>
    </row>
    <row r="28" spans="1:28" s="1581" customFormat="1" ht="34.5" customHeight="1">
      <c r="A28" s="1625">
        <f t="shared" si="1"/>
        <v>16</v>
      </c>
      <c r="B28" s="1679">
        <f>DT!I18</f>
        <v>0</v>
      </c>
      <c r="C28" s="1672">
        <f>'SPP-16'!D49</f>
        <v>0</v>
      </c>
      <c r="D28" s="1672">
        <f>'SPP-16'!E49</f>
        <v>0</v>
      </c>
      <c r="E28" s="1672">
        <f>'SPP-16'!D48</f>
        <v>0</v>
      </c>
      <c r="F28" s="1672">
        <f>'SPP-16'!E48</f>
        <v>0</v>
      </c>
      <c r="G28" s="1672">
        <f>'SPP-16'!F48</f>
        <v>0</v>
      </c>
      <c r="H28" s="1672"/>
      <c r="I28" s="1672">
        <f>'SPP-16'!M48</f>
        <v>0</v>
      </c>
      <c r="J28" s="1672">
        <f>'SPP-16'!N48</f>
        <v>0</v>
      </c>
      <c r="K28" s="1672">
        <f>'SPP-16'!O48</f>
        <v>0</v>
      </c>
      <c r="L28" s="1672">
        <f>'SPP-16'!P48</f>
        <v>0</v>
      </c>
      <c r="M28" s="1672">
        <f>'SPP-16'!Q48</f>
        <v>0</v>
      </c>
      <c r="N28" s="1672">
        <f>'SPP-16'!R48</f>
        <v>0</v>
      </c>
      <c r="O28" s="1672">
        <f>'SPP-16'!S48</f>
        <v>0</v>
      </c>
      <c r="P28" s="1672">
        <f>'SPP-16'!T48</f>
        <v>0</v>
      </c>
      <c r="Q28" s="1672">
        <f>'SPP-16'!U48</f>
        <v>0</v>
      </c>
      <c r="R28" s="1672">
        <f>'SPP-16'!V48</f>
        <v>0</v>
      </c>
      <c r="S28" s="1672">
        <f>'SPP-16'!W48</f>
        <v>0</v>
      </c>
      <c r="T28" s="1672">
        <f>'SPP-16'!X48</f>
        <v>0</v>
      </c>
      <c r="U28" s="9" t="e">
        <f t="shared" si="0"/>
        <v>#DIV/0!</v>
      </c>
      <c r="V28" s="1672">
        <f>'SPP-16'!Z48</f>
        <v>0</v>
      </c>
      <c r="W28" s="1678">
        <f>'SPP-16'!AA48</f>
        <v>0</v>
      </c>
      <c r="X28" s="432">
        <f>'SPP-16'!AB48</f>
        <v>0</v>
      </c>
      <c r="Y28" s="1619">
        <f>'SPP-16'!AC48</f>
        <v>0</v>
      </c>
      <c r="Z28" s="1618">
        <f>'SPP-16'!AD48</f>
        <v>0</v>
      </c>
      <c r="AA28" s="1618">
        <f>'SPP-16'!AE48</f>
        <v>0</v>
      </c>
      <c r="AB28" s="1617">
        <f>'SPP-16'!AF48</f>
        <v>0</v>
      </c>
    </row>
    <row r="29" spans="1:28" s="1581" customFormat="1" ht="15.75" thickBot="1">
      <c r="A29" s="1608"/>
      <c r="B29" s="1616"/>
      <c r="C29" s="1615"/>
      <c r="D29" s="1615"/>
      <c r="E29" s="1615"/>
      <c r="F29" s="1610"/>
      <c r="G29" s="1611"/>
      <c r="H29" s="1611"/>
      <c r="I29" s="1614"/>
      <c r="J29" s="1614"/>
      <c r="K29" s="1614"/>
      <c r="L29" s="1614"/>
      <c r="M29" s="1610"/>
      <c r="N29" s="1610"/>
      <c r="O29" s="1613"/>
      <c r="P29" s="1612"/>
      <c r="Q29" s="1611"/>
      <c r="R29" s="1611"/>
      <c r="S29" s="1610"/>
      <c r="T29" s="1610"/>
      <c r="U29" s="1610"/>
      <c r="V29" s="1610"/>
      <c r="W29" s="1609"/>
      <c r="X29" s="1615"/>
      <c r="Y29" s="1607"/>
      <c r="Z29" s="1606"/>
      <c r="AA29" s="1606"/>
      <c r="AB29" s="1605"/>
    </row>
    <row r="30" spans="1:28" s="1586" customFormat="1" ht="55.5" customHeight="1" thickBot="1">
      <c r="A30" s="1604"/>
      <c r="B30" s="1677" t="s">
        <v>1507</v>
      </c>
      <c r="C30" s="1602">
        <f t="shared" ref="C30:T30" si="2">SUM(C13:C28)</f>
        <v>32</v>
      </c>
      <c r="D30" s="1602"/>
      <c r="E30" s="1602">
        <f t="shared" si="2"/>
        <v>292</v>
      </c>
      <c r="F30" s="1602">
        <f t="shared" si="2"/>
        <v>1856350000</v>
      </c>
      <c r="G30" s="1602">
        <f t="shared" si="2"/>
        <v>333843000</v>
      </c>
      <c r="H30" s="1602">
        <f t="shared" si="2"/>
        <v>0</v>
      </c>
      <c r="I30" s="1602">
        <f t="shared" si="2"/>
        <v>1856350000</v>
      </c>
      <c r="J30" s="1602">
        <f t="shared" si="2"/>
        <v>327303900</v>
      </c>
      <c r="K30" s="1602">
        <f t="shared" si="2"/>
        <v>1853869000</v>
      </c>
      <c r="L30" s="1602">
        <f t="shared" si="2"/>
        <v>326966400</v>
      </c>
      <c r="M30" s="1602">
        <f t="shared" si="2"/>
        <v>0</v>
      </c>
      <c r="N30" s="1602">
        <f t="shared" si="2"/>
        <v>0</v>
      </c>
      <c r="O30" s="1602">
        <f t="shared" si="2"/>
        <v>0</v>
      </c>
      <c r="P30" s="1602">
        <f t="shared" si="2"/>
        <v>0</v>
      </c>
      <c r="Q30" s="1602">
        <f t="shared" si="2"/>
        <v>1853869000</v>
      </c>
      <c r="R30" s="1602">
        <f t="shared" si="2"/>
        <v>326966400</v>
      </c>
      <c r="S30" s="1602">
        <f t="shared" si="2"/>
        <v>0</v>
      </c>
      <c r="T30" s="1602">
        <f t="shared" si="2"/>
        <v>2481000</v>
      </c>
      <c r="U30" s="1602">
        <f>SUM(Q30/I30)*100</f>
        <v>99.866350634309271</v>
      </c>
      <c r="V30" s="1602">
        <f t="shared" ref="V30:AB30" si="3">SUM(V13:V28)</f>
        <v>2481000</v>
      </c>
      <c r="W30" s="1601">
        <f t="shared" si="3"/>
        <v>337500</v>
      </c>
      <c r="X30" s="1676">
        <f t="shared" si="3"/>
        <v>0</v>
      </c>
      <c r="Y30" s="1599">
        <f t="shared" si="3"/>
        <v>0</v>
      </c>
      <c r="Z30" s="1598">
        <f t="shared" si="3"/>
        <v>0</v>
      </c>
      <c r="AA30" s="1598">
        <f t="shared" si="3"/>
        <v>0</v>
      </c>
      <c r="AB30" s="1597">
        <f t="shared" si="3"/>
        <v>2481000</v>
      </c>
    </row>
    <row r="31" spans="1:28" s="1581" customFormat="1" ht="16.5" thickTop="1">
      <c r="G31" s="1586"/>
      <c r="I31" s="1586"/>
      <c r="J31" s="1586"/>
      <c r="K31" s="1586"/>
      <c r="L31" s="1586"/>
      <c r="M31" s="1594"/>
      <c r="N31" s="1594"/>
      <c r="O31" s="1596"/>
      <c r="P31" s="1595"/>
      <c r="Q31" s="1594"/>
      <c r="R31" s="1594"/>
    </row>
    <row r="32" spans="1:28" s="1581" customFormat="1" ht="16.5" customHeight="1">
      <c r="F32" s="1586"/>
      <c r="I32" s="1586"/>
      <c r="J32" s="1586"/>
      <c r="K32" s="1593"/>
      <c r="L32" s="1593"/>
      <c r="M32" s="1592"/>
      <c r="N32" s="1591"/>
      <c r="O32" s="1591"/>
      <c r="P32" s="1590"/>
      <c r="Q32" s="1589"/>
      <c r="R32" s="1589"/>
      <c r="V32" s="1588"/>
      <c r="W32" s="1588"/>
    </row>
    <row r="33" spans="1:28" s="1581" customFormat="1" ht="15">
      <c r="A33" s="1587"/>
      <c r="B33" s="1587"/>
      <c r="K33" s="1586"/>
      <c r="L33" s="1586"/>
      <c r="O33" s="1585"/>
      <c r="P33" s="1584"/>
      <c r="Q33" s="1583"/>
      <c r="R33" s="1582"/>
      <c r="T33" s="1584" t="str">
        <f>DT!D28</f>
        <v>Nagrak, 29 Februari 2016 2016</v>
      </c>
    </row>
    <row r="34" spans="1:28" s="1572" customFormat="1" ht="15">
      <c r="G34" s="1574" t="s">
        <v>21</v>
      </c>
      <c r="P34" s="1574"/>
      <c r="T34" s="1574" t="s">
        <v>22</v>
      </c>
    </row>
    <row r="35" spans="1:28" s="1572" customFormat="1" ht="20.25" customHeight="1">
      <c r="N35" s="1580"/>
      <c r="O35" s="1579"/>
      <c r="T35" s="1574"/>
    </row>
    <row r="36" spans="1:28" s="1572" customFormat="1" ht="20.25" customHeight="1">
      <c r="N36" s="1580"/>
      <c r="O36" s="1579"/>
      <c r="Q36" s="1578"/>
      <c r="T36" s="1574"/>
    </row>
    <row r="37" spans="1:28" s="1572" customFormat="1" ht="20.25" customHeight="1">
      <c r="P37" s="1574"/>
      <c r="T37" s="1574"/>
    </row>
    <row r="38" spans="1:28" s="1572" customFormat="1" ht="20.25" customHeight="1">
      <c r="P38" s="1574"/>
      <c r="Q38" s="1577"/>
      <c r="R38" s="1577"/>
      <c r="T38" s="1574"/>
    </row>
    <row r="39" spans="1:28" s="1572" customFormat="1" ht="15">
      <c r="G39" s="1663" t="str">
        <f>DT!D14</f>
        <v>Endang Taryana</v>
      </c>
      <c r="N39" s="1576"/>
      <c r="P39" s="1575"/>
      <c r="T39" s="1575" t="str">
        <f>DT!D15</f>
        <v>Arin Yustini, SE</v>
      </c>
    </row>
    <row r="40" spans="1:28" s="1572" customFormat="1" ht="15">
      <c r="G40" s="1574" t="s">
        <v>23</v>
      </c>
      <c r="P40" s="1573"/>
      <c r="T40" s="1573" t="s">
        <v>24</v>
      </c>
    </row>
    <row r="41" spans="1:28" ht="21.75" customHeight="1">
      <c r="A41" s="3525" t="s">
        <v>123</v>
      </c>
      <c r="B41" s="3525"/>
      <c r="C41" s="3525"/>
      <c r="D41" s="3525"/>
      <c r="E41" s="3525"/>
      <c r="F41" s="3525"/>
      <c r="G41" s="3525"/>
      <c r="H41" s="3525"/>
      <c r="I41" s="3525"/>
      <c r="J41" s="3525"/>
      <c r="K41" s="3525"/>
      <c r="L41" s="3525"/>
      <c r="M41" s="3525"/>
      <c r="N41" s="3525"/>
      <c r="O41" s="3525"/>
      <c r="P41" s="3525"/>
      <c r="Q41" s="3525"/>
      <c r="R41" s="3525"/>
      <c r="S41" s="3525"/>
      <c r="T41" s="3525"/>
      <c r="U41" s="3525"/>
      <c r="V41" s="3525"/>
      <c r="W41" s="3525"/>
      <c r="X41" s="1661"/>
      <c r="Y41" s="1661"/>
      <c r="Z41" s="1661"/>
      <c r="AA41" s="1661"/>
      <c r="AB41" s="1661"/>
    </row>
    <row r="42" spans="1:28" ht="21.75" customHeight="1">
      <c r="A42" s="3525" t="str">
        <f>A2</f>
        <v>LAPORAN PERKEMBANGAN PINJAMAN  SPP</v>
      </c>
      <c r="B42" s="3525"/>
      <c r="C42" s="3525"/>
      <c r="D42" s="3525"/>
      <c r="E42" s="3525"/>
      <c r="F42" s="3525"/>
      <c r="G42" s="3525"/>
      <c r="H42" s="3525"/>
      <c r="I42" s="3525"/>
      <c r="J42" s="3525"/>
      <c r="K42" s="3525"/>
      <c r="L42" s="3525"/>
      <c r="M42" s="3525"/>
      <c r="N42" s="3525"/>
      <c r="O42" s="3525"/>
      <c r="P42" s="3525"/>
      <c r="Q42" s="3525"/>
      <c r="R42" s="3525"/>
      <c r="S42" s="3525"/>
      <c r="T42" s="3525"/>
      <c r="U42" s="3525"/>
      <c r="V42" s="3525"/>
      <c r="W42" s="3525"/>
      <c r="X42" s="1661"/>
      <c r="Y42" s="1661"/>
      <c r="Z42" s="1661"/>
      <c r="AA42" s="1661"/>
      <c r="AB42" s="1661"/>
    </row>
    <row r="43" spans="1:28" ht="34.5">
      <c r="A43" s="3525" t="s">
        <v>1504</v>
      </c>
      <c r="B43" s="3525"/>
      <c r="C43" s="3525"/>
      <c r="D43" s="3525"/>
      <c r="E43" s="3525"/>
      <c r="F43" s="3525"/>
      <c r="G43" s="3525"/>
      <c r="H43" s="3525"/>
      <c r="I43" s="3525"/>
      <c r="J43" s="3525"/>
      <c r="K43" s="3525"/>
      <c r="L43" s="3525"/>
      <c r="M43" s="3525"/>
      <c r="N43" s="3525"/>
      <c r="O43" s="3525"/>
      <c r="P43" s="3525"/>
      <c r="Q43" s="3525"/>
      <c r="R43" s="3525"/>
      <c r="S43" s="3525"/>
      <c r="T43" s="3525"/>
      <c r="U43" s="3525"/>
      <c r="V43" s="3525"/>
      <c r="W43" s="3525"/>
      <c r="X43" s="1662"/>
      <c r="Y43" s="1661"/>
      <c r="Z43" s="1661"/>
      <c r="AA43" s="1661"/>
      <c r="AB43" s="1661"/>
    </row>
    <row r="44" spans="1:28" ht="21.75" customHeight="1">
      <c r="A44" s="3525" t="str">
        <f>A4</f>
        <v>Per - Februari 2016 2016</v>
      </c>
      <c r="B44" s="3525"/>
      <c r="C44" s="3525"/>
      <c r="D44" s="3525"/>
      <c r="E44" s="3525"/>
      <c r="F44" s="3525"/>
      <c r="G44" s="3525"/>
      <c r="H44" s="3525"/>
      <c r="I44" s="3525"/>
      <c r="J44" s="3525"/>
      <c r="K44" s="3525"/>
      <c r="L44" s="3525"/>
      <c r="M44" s="3525"/>
      <c r="N44" s="3525"/>
      <c r="O44" s="3525"/>
      <c r="P44" s="3525"/>
      <c r="Q44" s="3525"/>
      <c r="R44" s="3525"/>
      <c r="S44" s="3525"/>
      <c r="T44" s="3525"/>
      <c r="U44" s="3525"/>
      <c r="V44" s="3525"/>
      <c r="W44" s="3525"/>
      <c r="X44" s="1661"/>
      <c r="Y44" s="1661"/>
      <c r="Z44" s="1661"/>
      <c r="AA44" s="1661"/>
      <c r="AB44" s="1661"/>
    </row>
    <row r="46" spans="1:28" s="1581" customFormat="1" ht="20.25" customHeight="1">
      <c r="A46" s="1659"/>
      <c r="B46" s="1659" t="s">
        <v>2</v>
      </c>
      <c r="C46" s="1595"/>
      <c r="D46" s="1595"/>
      <c r="E46" s="1595"/>
      <c r="F46" s="1658" t="str">
        <f>F6</f>
        <v>:  Nagrak</v>
      </c>
      <c r="I46" s="1586"/>
      <c r="J46" s="1586"/>
      <c r="K46" s="1586"/>
      <c r="L46" s="1586"/>
    </row>
    <row r="47" spans="1:28" s="1581" customFormat="1" ht="20.25" customHeight="1">
      <c r="A47" s="1659"/>
      <c r="B47" s="1659" t="s">
        <v>4</v>
      </c>
      <c r="C47" s="1595"/>
      <c r="D47" s="1595"/>
      <c r="E47" s="1595"/>
      <c r="F47" s="1658" t="str">
        <f>F7</f>
        <v>:  Sukabumi</v>
      </c>
      <c r="I47" s="1586"/>
      <c r="J47" s="1586"/>
      <c r="K47" s="1586"/>
      <c r="L47" s="1586"/>
      <c r="V47" s="1660"/>
    </row>
    <row r="48" spans="1:28" s="1581" customFormat="1" ht="20.25" customHeight="1">
      <c r="A48" s="1659"/>
      <c r="B48" s="1659" t="s">
        <v>1516</v>
      </c>
      <c r="C48" s="1595"/>
      <c r="D48" s="1595"/>
      <c r="E48" s="1595"/>
      <c r="F48" s="1658" t="str">
        <f>F8</f>
        <v>:  Jawa Barat</v>
      </c>
      <c r="I48" s="1586"/>
      <c r="J48" s="1586"/>
      <c r="K48" s="1586"/>
      <c r="L48" s="1586"/>
      <c r="M48" s="1586"/>
      <c r="N48" s="1586"/>
    </row>
    <row r="49" spans="1:28" s="1581" customFormat="1" ht="15.75" thickBot="1">
      <c r="G49" s="1657"/>
      <c r="H49" s="1657"/>
      <c r="I49" s="1657"/>
      <c r="J49" s="1657"/>
      <c r="K49" s="1657"/>
      <c r="L49" s="1657"/>
    </row>
    <row r="50" spans="1:28" s="1581" customFormat="1" ht="45.75" customHeight="1" thickTop="1">
      <c r="A50" s="3586" t="s">
        <v>36</v>
      </c>
      <c r="B50" s="3587" t="s">
        <v>1515</v>
      </c>
      <c r="C50" s="3704" t="s">
        <v>1505</v>
      </c>
      <c r="D50" s="2581"/>
      <c r="E50" s="3704" t="s">
        <v>1498</v>
      </c>
      <c r="F50" s="3704" t="s">
        <v>1497</v>
      </c>
      <c r="G50" s="3704"/>
      <c r="H50" s="3704" t="s">
        <v>1496</v>
      </c>
      <c r="I50" s="3704" t="s">
        <v>1514</v>
      </c>
      <c r="J50" s="3704"/>
      <c r="K50" s="3704" t="s">
        <v>1513</v>
      </c>
      <c r="L50" s="3704"/>
      <c r="M50" s="3704"/>
      <c r="N50" s="3704" t="s">
        <v>1489</v>
      </c>
      <c r="O50" s="3704"/>
      <c r="P50" s="3704"/>
      <c r="Q50" s="3704" t="s">
        <v>1488</v>
      </c>
      <c r="R50" s="3704"/>
      <c r="S50" s="3704"/>
      <c r="T50" s="3704" t="s">
        <v>1487</v>
      </c>
      <c r="U50" s="3704" t="s">
        <v>1486</v>
      </c>
      <c r="V50" s="3704" t="s">
        <v>1485</v>
      </c>
      <c r="W50" s="3707"/>
      <c r="X50" s="3410" t="s">
        <v>1512</v>
      </c>
      <c r="Y50" s="1656" t="s">
        <v>1511</v>
      </c>
      <c r="Z50" s="1655" t="s">
        <v>1510</v>
      </c>
      <c r="AA50" s="1655" t="s">
        <v>1509</v>
      </c>
      <c r="AB50" s="1654" t="s">
        <v>1508</v>
      </c>
    </row>
    <row r="51" spans="1:28" s="1581" customFormat="1" ht="26.25" customHeight="1" thickBot="1">
      <c r="A51" s="3591"/>
      <c r="B51" s="3592"/>
      <c r="C51" s="3705"/>
      <c r="D51" s="2582"/>
      <c r="E51" s="3705"/>
      <c r="F51" s="2583" t="s">
        <v>16</v>
      </c>
      <c r="G51" s="2583" t="s">
        <v>1476</v>
      </c>
      <c r="H51" s="3705"/>
      <c r="I51" s="2583" t="s">
        <v>16</v>
      </c>
      <c r="J51" s="2583" t="s">
        <v>1476</v>
      </c>
      <c r="K51" s="2583" t="s">
        <v>16</v>
      </c>
      <c r="L51" s="2583" t="s">
        <v>1476</v>
      </c>
      <c r="M51" s="2583" t="s">
        <v>1477</v>
      </c>
      <c r="N51" s="2583" t="s">
        <v>16</v>
      </c>
      <c r="O51" s="2583" t="s">
        <v>1476</v>
      </c>
      <c r="P51" s="2583" t="s">
        <v>1477</v>
      </c>
      <c r="Q51" s="2583" t="s">
        <v>16</v>
      </c>
      <c r="R51" s="2583" t="s">
        <v>1476</v>
      </c>
      <c r="S51" s="2583" t="s">
        <v>1477</v>
      </c>
      <c r="T51" s="3705"/>
      <c r="U51" s="3705"/>
      <c r="V51" s="2583" t="s">
        <v>16</v>
      </c>
      <c r="W51" s="2584" t="s">
        <v>1476</v>
      </c>
      <c r="X51" s="3410"/>
      <c r="Y51" s="1649" t="s">
        <v>1475</v>
      </c>
      <c r="Z51" s="1648" t="s">
        <v>1474</v>
      </c>
      <c r="AA51" s="1648" t="s">
        <v>1473</v>
      </c>
      <c r="AB51" s="1647" t="s">
        <v>1472</v>
      </c>
    </row>
    <row r="52" spans="1:28" s="1629" customFormat="1" ht="15.75" customHeight="1" thickTop="1" thickBot="1">
      <c r="A52" s="2585">
        <v>1</v>
      </c>
      <c r="B52" s="2586">
        <v>2</v>
      </c>
      <c r="C52" s="3706"/>
      <c r="D52" s="2587"/>
      <c r="E52" s="3706"/>
      <c r="F52" s="2588">
        <v>4</v>
      </c>
      <c r="G52" s="2589">
        <v>5</v>
      </c>
      <c r="H52" s="2588">
        <v>6</v>
      </c>
      <c r="I52" s="2588">
        <v>7</v>
      </c>
      <c r="J52" s="2588">
        <v>8</v>
      </c>
      <c r="K52" s="2588">
        <v>9</v>
      </c>
      <c r="L52" s="2588">
        <v>10</v>
      </c>
      <c r="M52" s="2588">
        <v>11</v>
      </c>
      <c r="N52" s="2588">
        <v>12</v>
      </c>
      <c r="O52" s="2588">
        <v>13</v>
      </c>
      <c r="P52" s="2588">
        <v>14</v>
      </c>
      <c r="Q52" s="2588" t="s">
        <v>1471</v>
      </c>
      <c r="R52" s="2588" t="s">
        <v>1470</v>
      </c>
      <c r="S52" s="2588" t="s">
        <v>1469</v>
      </c>
      <c r="T52" s="2588" t="s">
        <v>1468</v>
      </c>
      <c r="U52" s="2588" t="s">
        <v>1467</v>
      </c>
      <c r="V52" s="2588" t="s">
        <v>1466</v>
      </c>
      <c r="W52" s="2590" t="s">
        <v>1465</v>
      </c>
      <c r="X52" s="1641">
        <v>22</v>
      </c>
      <c r="Y52" s="1640">
        <v>23</v>
      </c>
      <c r="Z52" s="1639">
        <v>24</v>
      </c>
      <c r="AA52" s="1639">
        <v>25</v>
      </c>
      <c r="AB52" s="1638">
        <v>26</v>
      </c>
    </row>
    <row r="53" spans="1:28" s="1629" customFormat="1" ht="34.5" customHeight="1" thickTop="1">
      <c r="A53" s="1637">
        <v>1</v>
      </c>
      <c r="B53" s="1636" t="str">
        <f t="shared" ref="B53:B68" si="4">B13</f>
        <v>CIHANYAWAR</v>
      </c>
      <c r="C53" s="1675">
        <f>'SPP-1'!D237</f>
        <v>79</v>
      </c>
      <c r="D53" s="1675"/>
      <c r="E53" s="1635">
        <f>'SPP-1'!D236</f>
        <v>912</v>
      </c>
      <c r="F53" s="1635">
        <f>'SPP-1'!E236</f>
        <v>3545000000</v>
      </c>
      <c r="G53" s="1635">
        <f>'SPP-1'!F236</f>
        <v>638100000</v>
      </c>
      <c r="H53" s="1635"/>
      <c r="I53" s="1635">
        <f>'SPP-1'!M236</f>
        <v>3028667500</v>
      </c>
      <c r="J53" s="1635">
        <f>'SPP-1'!N236</f>
        <v>518073000</v>
      </c>
      <c r="K53" s="1635">
        <f>'SPP-1'!O236</f>
        <v>2925707900</v>
      </c>
      <c r="L53" s="1635">
        <f>'SPP-1'!P236</f>
        <v>499670000</v>
      </c>
      <c r="M53" s="1635">
        <f>'SPP-1'!Q236</f>
        <v>0</v>
      </c>
      <c r="N53" s="1635">
        <f>'SPP-1'!R236</f>
        <v>68333700</v>
      </c>
      <c r="O53" s="1635">
        <f>'SPP-1'!S236</f>
        <v>12400000</v>
      </c>
      <c r="P53" s="1635">
        <f>'SPP-1'!T236</f>
        <v>0</v>
      </c>
      <c r="Q53" s="1635">
        <f>'SPP-1'!U236</f>
        <v>2994041600</v>
      </c>
      <c r="R53" s="1635">
        <f>'SPP-1'!V236</f>
        <v>512070000</v>
      </c>
      <c r="S53" s="1635">
        <f>'SPP-1'!W236</f>
        <v>0</v>
      </c>
      <c r="T53" s="3195">
        <f>'SPP-1'!X236</f>
        <v>550958400</v>
      </c>
      <c r="U53" s="1635">
        <f t="shared" ref="U53:U68" si="5">SUM(Q53/I53)*100</f>
        <v>98.856728247653464</v>
      </c>
      <c r="V53" s="1635">
        <f>'SPP-1'!Z236</f>
        <v>34625900</v>
      </c>
      <c r="W53" s="1634">
        <f>'SPP-1'!AA236</f>
        <v>5733000</v>
      </c>
      <c r="X53" s="1633">
        <f>'SPP-1'!AB236</f>
        <v>0</v>
      </c>
      <c r="Y53" s="1632">
        <f>'SPP-1'!AC236</f>
        <v>0</v>
      </c>
      <c r="Z53" s="1631">
        <f>'SPP-1'!AD236</f>
        <v>1250000</v>
      </c>
      <c r="AA53" s="1631">
        <f>'SPP-1'!AE236</f>
        <v>0</v>
      </c>
      <c r="AB53" s="1630">
        <f>'SPP-1'!AF236</f>
        <v>29209200</v>
      </c>
    </row>
    <row r="54" spans="1:28" s="1581" customFormat="1" ht="34.5" customHeight="1">
      <c r="A54" s="1625">
        <f t="shared" ref="A54:A68" si="6">A53+1</f>
        <v>2</v>
      </c>
      <c r="B54" s="1628" t="str">
        <f t="shared" si="4"/>
        <v>NAGRAK UTARA</v>
      </c>
      <c r="C54" s="1672">
        <f>'SPP-2'!D323</f>
        <v>117</v>
      </c>
      <c r="D54" s="1946"/>
      <c r="E54" s="430">
        <f>'SPP-2'!D322</f>
        <v>1318</v>
      </c>
      <c r="F54" s="430">
        <f>'SPP-2'!E322</f>
        <v>4464900000</v>
      </c>
      <c r="G54" s="430">
        <f>'SPP-2'!F322</f>
        <v>803682000</v>
      </c>
      <c r="H54" s="430"/>
      <c r="I54" s="430">
        <f>'SPP-2'!M322</f>
        <v>3810507501.6666665</v>
      </c>
      <c r="J54" s="430">
        <f>'SPP-2'!N322</f>
        <v>665667000</v>
      </c>
      <c r="K54" s="430">
        <f>'SPP-2'!O322</f>
        <v>3632403900</v>
      </c>
      <c r="L54" s="430">
        <f>'SPP-2'!P322</f>
        <v>633905700</v>
      </c>
      <c r="M54" s="430">
        <f>'SPP-2'!Q322</f>
        <v>0</v>
      </c>
      <c r="N54" s="430">
        <f>'SPP-2'!R322</f>
        <v>91076600</v>
      </c>
      <c r="O54" s="430">
        <f>'SPP-2'!S322</f>
        <v>16248000</v>
      </c>
      <c r="P54" s="430">
        <f>'SPP-2'!T322</f>
        <v>0</v>
      </c>
      <c r="Q54" s="430">
        <f>'SPP-2'!U322</f>
        <v>3723480500</v>
      </c>
      <c r="R54" s="430">
        <f>'SPP-2'!V322</f>
        <v>650153700</v>
      </c>
      <c r="S54" s="430">
        <f>'SPP-2'!W322</f>
        <v>0</v>
      </c>
      <c r="T54" s="3194">
        <f>'SPP-2'!X322</f>
        <v>741419500</v>
      </c>
      <c r="U54" s="9">
        <f t="shared" si="5"/>
        <v>97.716130945061735</v>
      </c>
      <c r="V54" s="430">
        <f>'SPP-2'!Z322</f>
        <v>87027001.666666672</v>
      </c>
      <c r="W54" s="1674">
        <f>'SPP-2'!AA322</f>
        <v>14463300</v>
      </c>
      <c r="X54" s="1673">
        <f>'SPP-2'!Z322</f>
        <v>87027001.666666672</v>
      </c>
      <c r="Y54" s="1619">
        <f>'SPP-2'!AC322</f>
        <v>13671000</v>
      </c>
      <c r="Z54" s="1618">
        <f>'SPP-2'!AD322</f>
        <v>0</v>
      </c>
      <c r="AA54" s="1618">
        <f>'SPP-2'!AE322</f>
        <v>0</v>
      </c>
      <c r="AB54" s="1617">
        <f>'SPP-2'!AF322</f>
        <v>75481000</v>
      </c>
    </row>
    <row r="55" spans="1:28" s="1581" customFormat="1" ht="34.5" customHeight="1">
      <c r="A55" s="1625">
        <f t="shared" si="6"/>
        <v>3</v>
      </c>
      <c r="B55" s="1628" t="str">
        <f t="shared" si="4"/>
        <v>DARMAREJA</v>
      </c>
      <c r="C55" s="1672">
        <f>'SPP-3'!D216</f>
        <v>80</v>
      </c>
      <c r="D55" s="1946"/>
      <c r="E55" s="430">
        <f>'SPP-3'!D215</f>
        <v>853</v>
      </c>
      <c r="F55" s="430">
        <f>'SPP-3'!E215</f>
        <v>2949100000</v>
      </c>
      <c r="G55" s="430">
        <f>'SPP-3'!F215</f>
        <v>530838000</v>
      </c>
      <c r="H55" s="430"/>
      <c r="I55" s="430">
        <f>'SPP-3'!M215</f>
        <v>2519300500</v>
      </c>
      <c r="J55" s="430">
        <f>'SPP-3'!N215</f>
        <v>427410000</v>
      </c>
      <c r="K55" s="430">
        <f>'SPP-3'!O215</f>
        <v>2417545300</v>
      </c>
      <c r="L55" s="430">
        <f>'SPP-3'!P215</f>
        <v>403621000</v>
      </c>
      <c r="M55" s="430">
        <f>'SPP-3'!Q215</f>
        <v>0</v>
      </c>
      <c r="N55" s="430">
        <f>'SPP-3'!R215</f>
        <v>60975100</v>
      </c>
      <c r="O55" s="430">
        <f>'SPP-3'!S215</f>
        <v>11244000</v>
      </c>
      <c r="P55" s="430">
        <f>'SPP-3'!T215</f>
        <v>0</v>
      </c>
      <c r="Q55" s="430">
        <f>'SPP-3'!U215</f>
        <v>2478520400</v>
      </c>
      <c r="R55" s="430">
        <f>'SPP-3'!V215</f>
        <v>414865000</v>
      </c>
      <c r="S55" s="430">
        <f>'SPP-3'!W215</f>
        <v>0</v>
      </c>
      <c r="T55" s="3194">
        <f>'SPP-3'!X215</f>
        <v>470579600</v>
      </c>
      <c r="U55" s="9">
        <f t="shared" si="5"/>
        <v>98.38129274375963</v>
      </c>
      <c r="V55" s="430">
        <f>'SPP-3'!Z215</f>
        <v>40780100</v>
      </c>
      <c r="W55" s="1674">
        <f>'SPP-3'!AA215</f>
        <v>6234500</v>
      </c>
      <c r="X55" s="1673">
        <f>'SPP-3'!Z215</f>
        <v>40780100</v>
      </c>
      <c r="Y55" s="1619">
        <f>'SPP-3'!AC215</f>
        <v>8233200</v>
      </c>
      <c r="Z55" s="1618">
        <f>'SPP-3'!AD215</f>
        <v>0</v>
      </c>
      <c r="AA55" s="1618">
        <f>'SPP-3'!AE215</f>
        <v>0</v>
      </c>
      <c r="AB55" s="1617">
        <f>'SPP-3'!AF215</f>
        <v>37255000</v>
      </c>
    </row>
    <row r="56" spans="1:28" s="1581" customFormat="1" ht="34.5" customHeight="1">
      <c r="A56" s="1625">
        <f t="shared" si="6"/>
        <v>4</v>
      </c>
      <c r="B56" s="1628" t="str">
        <f t="shared" si="4"/>
        <v>BALEKAMBANG</v>
      </c>
      <c r="C56" s="1672">
        <f>'SPP-4'!D158</f>
        <v>46</v>
      </c>
      <c r="D56" s="1946"/>
      <c r="E56" s="430">
        <f>'SPP-4'!D157</f>
        <v>483</v>
      </c>
      <c r="F56" s="430">
        <f>'SPP-4'!E157</f>
        <v>1874000000</v>
      </c>
      <c r="G56" s="430">
        <f>'SPP-4'!F157</f>
        <v>337320000</v>
      </c>
      <c r="H56" s="430"/>
      <c r="I56" s="430">
        <f>'SPP-4'!M157</f>
        <v>1553083900</v>
      </c>
      <c r="J56" s="430">
        <f>'SPP-4'!N157</f>
        <v>274185000</v>
      </c>
      <c r="K56" s="430">
        <f>'SPP-4'!O157</f>
        <v>1494455800</v>
      </c>
      <c r="L56" s="430">
        <f>'SPP-4'!P157</f>
        <v>262985200</v>
      </c>
      <c r="M56" s="430">
        <f>'SPP-4'!Q157</f>
        <v>0</v>
      </c>
      <c r="N56" s="430">
        <f>'SPP-4'!R157</f>
        <v>38666700</v>
      </c>
      <c r="O56" s="430">
        <f>'SPP-4'!S157</f>
        <v>6960000</v>
      </c>
      <c r="P56" s="430">
        <f>'SPP-4'!T157</f>
        <v>0</v>
      </c>
      <c r="Q56" s="430">
        <f>'SPP-4'!U157</f>
        <v>1533122500</v>
      </c>
      <c r="R56" s="430">
        <f>'SPP-4'!V157</f>
        <v>269945200</v>
      </c>
      <c r="S56" s="430">
        <f>'SPP-4'!W157</f>
        <v>0</v>
      </c>
      <c r="T56" s="3194">
        <f>'SPP-4'!X157</f>
        <v>340877500</v>
      </c>
      <c r="U56" s="9">
        <f t="shared" si="5"/>
        <v>98.714724941775529</v>
      </c>
      <c r="V56" s="430">
        <f>'SPP-4'!Z157</f>
        <v>19961400</v>
      </c>
      <c r="W56" s="1674">
        <f>'SPP-4'!AA157</f>
        <v>3129800</v>
      </c>
      <c r="X56" s="1673">
        <f>'SPP-4'!Z157</f>
        <v>19961400</v>
      </c>
      <c r="Y56" s="1619">
        <f>'SPP-4'!AC157</f>
        <v>0</v>
      </c>
      <c r="Z56" s="1618">
        <f>'SPP-4'!AD157</f>
        <v>0</v>
      </c>
      <c r="AA56" s="1618">
        <f>'SPP-4'!AE157</f>
        <v>14935100</v>
      </c>
      <c r="AB56" s="1617">
        <f>'SPP-4'!AF157</f>
        <v>416300</v>
      </c>
    </row>
    <row r="57" spans="1:28" s="1581" customFormat="1" ht="34.5" customHeight="1">
      <c r="A57" s="1625">
        <f t="shared" si="6"/>
        <v>5</v>
      </c>
      <c r="B57" s="1628" t="str">
        <f t="shared" si="4"/>
        <v>NAGRAK SELATAN</v>
      </c>
      <c r="C57" s="1672">
        <f>'SPP-5'!D182</f>
        <v>65</v>
      </c>
      <c r="D57" s="1946"/>
      <c r="E57" s="430">
        <f>'SPP-5'!D181</f>
        <v>706</v>
      </c>
      <c r="F57" s="430">
        <f>'SPP-5'!E181</f>
        <v>2223500000</v>
      </c>
      <c r="G57" s="430">
        <f>'SPP-5'!F181</f>
        <v>400230000</v>
      </c>
      <c r="H57" s="430"/>
      <c r="I57" s="430">
        <f>'SPP-5'!M181</f>
        <v>1961150000</v>
      </c>
      <c r="J57" s="430">
        <f>'SPP-5'!N181</f>
        <v>341638500</v>
      </c>
      <c r="K57" s="430">
        <f>'SPP-5'!O181</f>
        <v>1874973300</v>
      </c>
      <c r="L57" s="430">
        <f>'SPP-5'!P181</f>
        <v>327886500</v>
      </c>
      <c r="M57" s="430">
        <f>'SPP-5'!Q181</f>
        <v>0</v>
      </c>
      <c r="N57" s="430">
        <f>'SPP-5'!R181</f>
        <v>42133700</v>
      </c>
      <c r="O57" s="430">
        <f>'SPP-5'!S181</f>
        <v>7314000</v>
      </c>
      <c r="P57" s="430">
        <f>'SPP-5'!T181</f>
        <v>0</v>
      </c>
      <c r="Q57" s="430">
        <f>'SPP-5'!U181</f>
        <v>1917107000</v>
      </c>
      <c r="R57" s="430">
        <f>'SPP-5'!V181</f>
        <v>335200500</v>
      </c>
      <c r="S57" s="430">
        <f>'SPP-5'!W181</f>
        <v>0</v>
      </c>
      <c r="T57" s="3194">
        <f>'SPP-5'!X181</f>
        <v>306393000</v>
      </c>
      <c r="U57" s="9">
        <f t="shared" si="5"/>
        <v>97.754225836881432</v>
      </c>
      <c r="V57" s="430">
        <f>'SPP-5'!Z181</f>
        <v>44043000</v>
      </c>
      <c r="W57" s="1674">
        <f>'SPP-5'!AA181</f>
        <v>6438000</v>
      </c>
      <c r="X57" s="1673">
        <f>'SPP-5'!Z181</f>
        <v>44043000</v>
      </c>
      <c r="Y57" s="1619">
        <f>'SPP-5'!AC181</f>
        <v>19452000</v>
      </c>
      <c r="Z57" s="1618">
        <f>'SPP-5'!AD181</f>
        <v>0</v>
      </c>
      <c r="AA57" s="1618">
        <f>'SPP-5'!AE181</f>
        <v>0</v>
      </c>
      <c r="AB57" s="1617">
        <f>'SPP-5'!AF181</f>
        <v>22591000</v>
      </c>
    </row>
    <row r="58" spans="1:28" s="3171" customFormat="1" ht="34.5" customHeight="1">
      <c r="A58" s="3161">
        <f t="shared" si="6"/>
        <v>6</v>
      </c>
      <c r="B58" s="3162" t="str">
        <f t="shared" si="4"/>
        <v>KALAPAREA</v>
      </c>
      <c r="C58" s="3163">
        <f>'SPP-6'!D221</f>
        <v>83</v>
      </c>
      <c r="D58" s="3164"/>
      <c r="E58" s="2989">
        <f>'SPP-6'!D220</f>
        <v>896</v>
      </c>
      <c r="F58" s="2989">
        <f>'SPP-6'!E220</f>
        <v>2967600000</v>
      </c>
      <c r="G58" s="2989">
        <f>'SPP-6'!F220</f>
        <v>534168000</v>
      </c>
      <c r="H58" s="2989"/>
      <c r="I58" s="2989">
        <f>'SPP-6'!M220</f>
        <v>2577323200</v>
      </c>
      <c r="J58" s="2989">
        <f>'SPP-6'!N220</f>
        <v>448386000</v>
      </c>
      <c r="K58" s="2989">
        <f>'SPP-6'!O220</f>
        <v>2449756700</v>
      </c>
      <c r="L58" s="2989">
        <f>'SPP-6'!P220</f>
        <v>425311500</v>
      </c>
      <c r="M58" s="2989">
        <f>'SPP-6'!Q220</f>
        <v>0</v>
      </c>
      <c r="N58" s="2989">
        <f>'SPP-6'!R220</f>
        <v>56044700</v>
      </c>
      <c r="O58" s="2989">
        <f>'SPP-6'!S220</f>
        <v>10827000</v>
      </c>
      <c r="P58" s="2989">
        <f>'SPP-6'!T220</f>
        <v>0</v>
      </c>
      <c r="Q58" s="2989">
        <f>'SPP-6'!U220</f>
        <v>2505801400</v>
      </c>
      <c r="R58" s="2989">
        <f>'SPP-6'!V220</f>
        <v>436138500</v>
      </c>
      <c r="S58" s="2989">
        <f>'SPP-6'!W220</f>
        <v>0</v>
      </c>
      <c r="T58" s="3194">
        <f>'SPP-6'!X220</f>
        <v>461798600</v>
      </c>
      <c r="U58" s="3165">
        <f t="shared" si="5"/>
        <v>97.224958049498795</v>
      </c>
      <c r="V58" s="2989">
        <f>'SPP-6'!Z220</f>
        <v>71521800</v>
      </c>
      <c r="W58" s="3166">
        <f>'SPP-6'!AA220</f>
        <v>11317500</v>
      </c>
      <c r="X58" s="3167">
        <f>'SPP-6'!Z220</f>
        <v>71521800</v>
      </c>
      <c r="Y58" s="3168">
        <f>'SPP-6'!AC220</f>
        <v>16042300</v>
      </c>
      <c r="Z58" s="3169">
        <f>'SPP-6'!AD220</f>
        <v>0</v>
      </c>
      <c r="AA58" s="3169">
        <f>'SPP-6'!AE220</f>
        <v>59944600</v>
      </c>
      <c r="AB58" s="3170">
        <f>'SPP-6'!AF220</f>
        <v>8523600</v>
      </c>
    </row>
    <row r="59" spans="1:28" s="1581" customFormat="1" ht="34.5" customHeight="1">
      <c r="A59" s="1625">
        <f t="shared" si="6"/>
        <v>7</v>
      </c>
      <c r="B59" s="1628" t="str">
        <f t="shared" si="4"/>
        <v>BABAKAN PANJANG</v>
      </c>
      <c r="C59" s="1672">
        <f>'SPP-7'!D162</f>
        <v>52</v>
      </c>
      <c r="D59" s="1946"/>
      <c r="E59" s="430">
        <f>'SPP-7'!D161</f>
        <v>580</v>
      </c>
      <c r="F59" s="430">
        <f>'SPP-7'!E161</f>
        <v>1871600000</v>
      </c>
      <c r="G59" s="430">
        <f>'SPP-7'!F161</f>
        <v>336888000</v>
      </c>
      <c r="H59" s="430"/>
      <c r="I59" s="430">
        <f>'SPP-7'!M161</f>
        <v>1608142300</v>
      </c>
      <c r="J59" s="430">
        <f>'SPP-7'!N161</f>
        <v>278875500</v>
      </c>
      <c r="K59" s="430">
        <f>'SPP-7'!O161</f>
        <v>1532613000</v>
      </c>
      <c r="L59" s="430">
        <f>'SPP-7'!P161</f>
        <v>267025500</v>
      </c>
      <c r="M59" s="430">
        <f>'SPP-7'!Q161</f>
        <v>0</v>
      </c>
      <c r="N59" s="430">
        <f>'SPP-7'!R161</f>
        <v>44833700</v>
      </c>
      <c r="O59" s="430">
        <f>'SPP-7'!S161</f>
        <v>7140000</v>
      </c>
      <c r="P59" s="430">
        <f>'SPP-7'!T161</f>
        <v>0</v>
      </c>
      <c r="Q59" s="430">
        <f>'SPP-7'!U161</f>
        <v>1577446700</v>
      </c>
      <c r="R59" s="430">
        <f>'SPP-7'!V161</f>
        <v>274165500</v>
      </c>
      <c r="S59" s="430">
        <f>'SPP-7'!W161</f>
        <v>0</v>
      </c>
      <c r="T59" s="3194">
        <f>'SPP-7'!X161</f>
        <v>294153300</v>
      </c>
      <c r="U59" s="9">
        <f t="shared" si="5"/>
        <v>98.091238567631734</v>
      </c>
      <c r="V59" s="430">
        <f>'SPP-7'!Z161</f>
        <v>30695600</v>
      </c>
      <c r="W59" s="1674">
        <f>'SPP-7'!AA161</f>
        <v>4710000</v>
      </c>
      <c r="X59" s="1673">
        <f>'SPP-7'!Z161</f>
        <v>30695600</v>
      </c>
      <c r="Y59" s="1619">
        <f>'SPP-7'!AC161</f>
        <v>6987600</v>
      </c>
      <c r="Z59" s="1618">
        <f>'SPP-7'!AD161</f>
        <v>0</v>
      </c>
      <c r="AA59" s="1618">
        <f>'SPP-7'!AE161</f>
        <v>0</v>
      </c>
      <c r="AB59" s="1617">
        <f>'SPP-7'!AF161</f>
        <v>8976000</v>
      </c>
    </row>
    <row r="60" spans="1:28" s="1581" customFormat="1" ht="34.5" customHeight="1">
      <c r="A60" s="1625">
        <f t="shared" si="6"/>
        <v>8</v>
      </c>
      <c r="B60" s="1628" t="str">
        <f t="shared" si="4"/>
        <v>PAWENANG</v>
      </c>
      <c r="C60" s="1672">
        <f>'SPP-8'!D168</f>
        <v>63</v>
      </c>
      <c r="D60" s="1946"/>
      <c r="E60" s="430">
        <f>'SPP-8'!D167</f>
        <v>662</v>
      </c>
      <c r="F60" s="430">
        <f>'SPP-8'!E167</f>
        <v>2069600000</v>
      </c>
      <c r="G60" s="430">
        <f>'SPP-8'!F167</f>
        <v>372528000</v>
      </c>
      <c r="H60" s="430"/>
      <c r="I60" s="430">
        <f>'SPP-8'!M167</f>
        <v>1694866100</v>
      </c>
      <c r="J60" s="430">
        <f>'SPP-8'!N167</f>
        <v>292198500</v>
      </c>
      <c r="K60" s="430">
        <f>'SPP-8'!O167</f>
        <v>1624462100</v>
      </c>
      <c r="L60" s="430">
        <f>'SPP-8'!P167</f>
        <v>279831000</v>
      </c>
      <c r="M60" s="430">
        <f>'SPP-8'!Q167</f>
        <v>0</v>
      </c>
      <c r="N60" s="2989">
        <f>'SPP-8'!R167</f>
        <v>39040600</v>
      </c>
      <c r="O60" s="430">
        <f>'SPP-8'!S167</f>
        <v>6787500</v>
      </c>
      <c r="P60" s="430">
        <f>'SPP-8'!T167</f>
        <v>0</v>
      </c>
      <c r="Q60" s="430">
        <f>'SPP-8'!U167</f>
        <v>1663502700</v>
      </c>
      <c r="R60" s="430">
        <f>'SPP-8'!V167</f>
        <v>286618500</v>
      </c>
      <c r="S60" s="430">
        <f>'SPP-8'!W167</f>
        <v>0</v>
      </c>
      <c r="T60" s="3194">
        <f>'SPP-8'!X167</f>
        <v>406097300</v>
      </c>
      <c r="U60" s="9">
        <f t="shared" si="5"/>
        <v>98.149505733815786</v>
      </c>
      <c r="V60" s="430">
        <f>'SPP-8'!Z167</f>
        <v>31363400</v>
      </c>
      <c r="W60" s="1674">
        <f>'SPP-8'!AA167</f>
        <v>5580000</v>
      </c>
      <c r="X60" s="1673">
        <f>'SPP-8'!Z167</f>
        <v>31363400</v>
      </c>
      <c r="Y60" s="1619">
        <f>'SPP-8'!AC167</f>
        <v>0</v>
      </c>
      <c r="Z60" s="1618">
        <f>'SPP-8'!AD167</f>
        <v>0</v>
      </c>
      <c r="AA60" s="1618">
        <f>'SPP-8'!AE167</f>
        <v>0</v>
      </c>
      <c r="AB60" s="1617">
        <f>'SPP-8'!AF167</f>
        <v>15030100</v>
      </c>
    </row>
    <row r="61" spans="1:28" s="1581" customFormat="1" ht="34.5" customHeight="1">
      <c r="A61" s="1625">
        <f t="shared" si="6"/>
        <v>9</v>
      </c>
      <c r="B61" s="1628" t="str">
        <f t="shared" si="4"/>
        <v>CISARUA</v>
      </c>
      <c r="C61" s="1672">
        <f>'SPP-9'!D254</f>
        <v>109</v>
      </c>
      <c r="D61" s="1946"/>
      <c r="E61" s="430">
        <f>'SPP-9'!D253</f>
        <v>1109</v>
      </c>
      <c r="F61" s="430">
        <f>'SPP-9'!E253</f>
        <v>2961300000</v>
      </c>
      <c r="G61" s="430">
        <f>'SPP-9'!F253</f>
        <v>533034000</v>
      </c>
      <c r="H61" s="430"/>
      <c r="I61" s="430">
        <f>'SPP-9'!M253</f>
        <v>2609132800</v>
      </c>
      <c r="J61" s="430">
        <f>'SPP-9'!N253</f>
        <v>451300500</v>
      </c>
      <c r="K61" s="430">
        <f>'SPP-9'!O253</f>
        <v>2424893000</v>
      </c>
      <c r="L61" s="430">
        <f>'SPP-9'!P253</f>
        <v>420658800</v>
      </c>
      <c r="M61" s="430">
        <f>'SPP-9'!Q253</f>
        <v>0</v>
      </c>
      <c r="N61" s="2989">
        <f>'SPP-9'!R253</f>
        <v>50757100</v>
      </c>
      <c r="O61" s="430">
        <f>'SPP-9'!S253</f>
        <v>9135000</v>
      </c>
      <c r="P61" s="430">
        <f>'SPP-9'!T253</f>
        <v>0</v>
      </c>
      <c r="Q61" s="430">
        <f>'SPP-9'!U253</f>
        <v>2475650100</v>
      </c>
      <c r="R61" s="430">
        <f>'SPP-9'!V253</f>
        <v>429793800</v>
      </c>
      <c r="S61" s="430">
        <f>'SPP-9'!W253</f>
        <v>0</v>
      </c>
      <c r="T61" s="3194">
        <f>'SPP-9'!X253</f>
        <v>485649900</v>
      </c>
      <c r="U61" s="9">
        <f t="shared" si="5"/>
        <v>94.884020468410029</v>
      </c>
      <c r="V61" s="430">
        <f>'SPP-9'!Z253</f>
        <v>133482700</v>
      </c>
      <c r="W61" s="1674">
        <f>'SPP-9'!AA253</f>
        <v>21506700</v>
      </c>
      <c r="X61" s="1673">
        <f>'SPP-9'!Z253</f>
        <v>133482700</v>
      </c>
      <c r="Y61" s="1619">
        <f>'SPP-9'!AC253</f>
        <v>53510100</v>
      </c>
      <c r="Z61" s="1618">
        <f>'SPP-9'!AD253</f>
        <v>0</v>
      </c>
      <c r="AA61" s="1618">
        <f>'SPP-9'!AE253</f>
        <v>49733400</v>
      </c>
      <c r="AB61" s="1617">
        <f>'SPP-9'!AF253</f>
        <v>29429200</v>
      </c>
    </row>
    <row r="62" spans="1:28" s="1581" customFormat="1" ht="34.5" customHeight="1">
      <c r="A62" s="1625">
        <f t="shared" si="6"/>
        <v>10</v>
      </c>
      <c r="B62" s="1628" t="str">
        <f t="shared" si="4"/>
        <v>GIRIJAYA</v>
      </c>
      <c r="C62" s="1672">
        <f>'SPP-10'!D193</f>
        <v>74</v>
      </c>
      <c r="D62" s="1946"/>
      <c r="E62" s="430">
        <f>'SPP-10'!D192</f>
        <v>790</v>
      </c>
      <c r="F62" s="430">
        <f>'SPP-10'!E192</f>
        <v>2557400000</v>
      </c>
      <c r="G62" s="430">
        <f>'SPP-10'!F192</f>
        <v>460332000</v>
      </c>
      <c r="H62" s="430"/>
      <c r="I62" s="430">
        <f>'SPP-10'!M192</f>
        <v>2198067500</v>
      </c>
      <c r="J62" s="430">
        <f>'SPP-10'!N192</f>
        <v>380418000</v>
      </c>
      <c r="K62" s="430">
        <f>'SPP-10'!O192</f>
        <v>2083009100</v>
      </c>
      <c r="L62" s="430">
        <f>'SPP-10'!P192</f>
        <v>360480000</v>
      </c>
      <c r="M62" s="430">
        <f>'SPP-10'!Q192</f>
        <v>0</v>
      </c>
      <c r="N62" s="2989">
        <f>'SPP-10'!R192</f>
        <v>53708400</v>
      </c>
      <c r="O62" s="430">
        <f>'SPP-10'!S192</f>
        <v>9367500</v>
      </c>
      <c r="P62" s="430">
        <f>'SPP-10'!T192</f>
        <v>0</v>
      </c>
      <c r="Q62" s="430">
        <f>'SPP-10'!U192</f>
        <v>2136717500</v>
      </c>
      <c r="R62" s="430">
        <f>'SPP-10'!V192</f>
        <v>369847500</v>
      </c>
      <c r="S62" s="430">
        <f>'SPP-10'!W192</f>
        <v>0</v>
      </c>
      <c r="T62" s="3194">
        <f>'SPP-10'!X192</f>
        <v>420682500</v>
      </c>
      <c r="U62" s="9">
        <f t="shared" si="5"/>
        <v>97.208911919219958</v>
      </c>
      <c r="V62" s="430">
        <f>'SPP-10'!Z192</f>
        <v>61350000</v>
      </c>
      <c r="W62" s="1674">
        <f>'SPP-10'!AA192</f>
        <v>10570500</v>
      </c>
      <c r="X62" s="1673">
        <f>'SPP-10'!Z192</f>
        <v>61350000</v>
      </c>
      <c r="Y62" s="1619">
        <f>'SPP-10'!AC192</f>
        <v>5390700</v>
      </c>
      <c r="Z62" s="1618">
        <f>'SPP-10'!AD192</f>
        <v>0</v>
      </c>
      <c r="AA62" s="1618">
        <f>'SPP-10'!AE192</f>
        <v>0</v>
      </c>
      <c r="AB62" s="1617">
        <f>'SPP-10'!AF192</f>
        <v>53042300</v>
      </c>
    </row>
    <row r="63" spans="1:28" s="1581" customFormat="1" ht="34.5" customHeight="1">
      <c r="A63" s="1625">
        <f t="shared" si="6"/>
        <v>11</v>
      </c>
      <c r="B63" s="1628">
        <f t="shared" si="4"/>
        <v>0</v>
      </c>
      <c r="C63" s="1672">
        <f>'SPP-11'!D103</f>
        <v>0</v>
      </c>
      <c r="D63" s="1946"/>
      <c r="E63" s="430">
        <f>'SPP-11'!D102</f>
        <v>0</v>
      </c>
      <c r="F63" s="430">
        <f>'SPP-11'!E102</f>
        <v>0</v>
      </c>
      <c r="G63" s="430">
        <f>'SPP-11'!F102</f>
        <v>0</v>
      </c>
      <c r="H63" s="430"/>
      <c r="I63" s="430">
        <f>'SPP-11'!M102</f>
        <v>0</v>
      </c>
      <c r="J63" s="430">
        <f>'SPP-11'!N102</f>
        <v>0</v>
      </c>
      <c r="K63" s="430">
        <f>'SPP-11'!O102</f>
        <v>0</v>
      </c>
      <c r="L63" s="430">
        <f>'SPP-11'!P102</f>
        <v>0</v>
      </c>
      <c r="M63" s="430">
        <f>'SPP-11'!Q102</f>
        <v>0</v>
      </c>
      <c r="N63" s="430">
        <f>'SPP-11'!R102</f>
        <v>0</v>
      </c>
      <c r="O63" s="430">
        <f>'SPP-11'!S102</f>
        <v>0</v>
      </c>
      <c r="P63" s="430">
        <f>'SPP-11'!T102</f>
        <v>0</v>
      </c>
      <c r="Q63" s="430">
        <f>'SPP-11'!U102</f>
        <v>0</v>
      </c>
      <c r="R63" s="430">
        <f>'SPP-11'!V102</f>
        <v>0</v>
      </c>
      <c r="S63" s="430">
        <f>'SPP-11'!W102</f>
        <v>0</v>
      </c>
      <c r="T63" s="430">
        <f>'SPP-11'!X102</f>
        <v>0</v>
      </c>
      <c r="U63" s="9" t="e">
        <f t="shared" si="5"/>
        <v>#DIV/0!</v>
      </c>
      <c r="V63" s="430">
        <f>'SPP-11'!Z102</f>
        <v>0</v>
      </c>
      <c r="W63" s="1674">
        <f>'SPP-11'!AA102</f>
        <v>0</v>
      </c>
      <c r="X63" s="1673">
        <f>'SPP-11'!Z102</f>
        <v>0</v>
      </c>
      <c r="Y63" s="1619">
        <f>'SPP-11'!AC102</f>
        <v>0</v>
      </c>
      <c r="Z63" s="1618">
        <f>'SPP-11'!AD102</f>
        <v>0</v>
      </c>
      <c r="AA63" s="1618">
        <f>'SPP-11'!AE102</f>
        <v>0</v>
      </c>
      <c r="AB63" s="1617">
        <f>'SPP-11'!AF102</f>
        <v>0</v>
      </c>
    </row>
    <row r="64" spans="1:28" s="1581" customFormat="1" ht="34.5" customHeight="1">
      <c r="A64" s="1625">
        <f t="shared" si="6"/>
        <v>12</v>
      </c>
      <c r="B64" s="1628">
        <f t="shared" si="4"/>
        <v>0</v>
      </c>
      <c r="C64" s="1672">
        <f>'SPP-12'!D103</f>
        <v>0</v>
      </c>
      <c r="D64" s="1946"/>
      <c r="E64" s="430">
        <f>'SPP-12'!D102</f>
        <v>0</v>
      </c>
      <c r="F64" s="430">
        <f>'SPP-12'!E102</f>
        <v>0</v>
      </c>
      <c r="G64" s="430">
        <f>'SPP-12'!F102</f>
        <v>0</v>
      </c>
      <c r="H64" s="430"/>
      <c r="I64" s="430">
        <f>'SPP-12'!M102</f>
        <v>0</v>
      </c>
      <c r="J64" s="430">
        <f>'SPP-12'!N102</f>
        <v>0</v>
      </c>
      <c r="K64" s="430">
        <f>'SPP-12'!O102</f>
        <v>0</v>
      </c>
      <c r="L64" s="430">
        <f>'SPP-12'!P102</f>
        <v>0</v>
      </c>
      <c r="M64" s="430">
        <f>'SPP-12'!Q102</f>
        <v>0</v>
      </c>
      <c r="N64" s="430">
        <f>'SPP-12'!R102</f>
        <v>0</v>
      </c>
      <c r="O64" s="430">
        <f>'SPP-12'!S102</f>
        <v>0</v>
      </c>
      <c r="P64" s="430">
        <f>'SPP-12'!T102</f>
        <v>0</v>
      </c>
      <c r="Q64" s="430">
        <f>'SPP-12'!U102</f>
        <v>0</v>
      </c>
      <c r="R64" s="430">
        <f>'SPP-12'!V102</f>
        <v>0</v>
      </c>
      <c r="S64" s="430">
        <f>'SPP-12'!W102</f>
        <v>0</v>
      </c>
      <c r="T64" s="430">
        <f>'SPP-12'!X102</f>
        <v>0</v>
      </c>
      <c r="U64" s="9" t="e">
        <f t="shared" si="5"/>
        <v>#DIV/0!</v>
      </c>
      <c r="V64" s="430">
        <f>'SPP-12'!Z102</f>
        <v>0</v>
      </c>
      <c r="W64" s="1674">
        <f>'SPP-12'!AA102</f>
        <v>0</v>
      </c>
      <c r="X64" s="1673">
        <f>'SPP-12'!Z102</f>
        <v>0</v>
      </c>
      <c r="Y64" s="1619">
        <f>'SPP-12'!AC102</f>
        <v>0</v>
      </c>
      <c r="Z64" s="1618">
        <f>'SPP-12'!AD102</f>
        <v>0</v>
      </c>
      <c r="AA64" s="1618">
        <f>'SPP-12'!AE102</f>
        <v>0</v>
      </c>
      <c r="AB64" s="1617">
        <f>'SPP-12'!AF102</f>
        <v>0</v>
      </c>
    </row>
    <row r="65" spans="1:28" s="1581" customFormat="1" ht="34.5" customHeight="1">
      <c r="A65" s="1625">
        <f t="shared" si="6"/>
        <v>13</v>
      </c>
      <c r="B65" s="1628">
        <f t="shared" si="4"/>
        <v>0</v>
      </c>
      <c r="C65" s="1672">
        <f>'SPP-13'!D103</f>
        <v>0</v>
      </c>
      <c r="D65" s="1946"/>
      <c r="E65" s="430">
        <f>'SPP-13'!D102</f>
        <v>0</v>
      </c>
      <c r="F65" s="430">
        <f>'SPP-13'!E102</f>
        <v>0</v>
      </c>
      <c r="G65" s="430">
        <f>'SPP-13'!F102</f>
        <v>0</v>
      </c>
      <c r="H65" s="430"/>
      <c r="I65" s="430">
        <f>'SPP-13'!M102</f>
        <v>0</v>
      </c>
      <c r="J65" s="430">
        <f>'SPP-13'!N102</f>
        <v>0</v>
      </c>
      <c r="K65" s="430">
        <f>'SPP-13'!O102</f>
        <v>0</v>
      </c>
      <c r="L65" s="430">
        <f>'SPP-13'!P102</f>
        <v>0</v>
      </c>
      <c r="M65" s="430">
        <f>'SPP-13'!Q102</f>
        <v>0</v>
      </c>
      <c r="N65" s="430">
        <f>'SPP-13'!R102</f>
        <v>0</v>
      </c>
      <c r="O65" s="430">
        <f>'SPP-13'!S102</f>
        <v>0</v>
      </c>
      <c r="P65" s="430">
        <f>'SPP-13'!T102</f>
        <v>0</v>
      </c>
      <c r="Q65" s="430">
        <f>'SPP-13'!U102</f>
        <v>0</v>
      </c>
      <c r="R65" s="430">
        <f>'SPP-13'!V102</f>
        <v>0</v>
      </c>
      <c r="S65" s="430">
        <f>'SPP-13'!W102</f>
        <v>0</v>
      </c>
      <c r="T65" s="430">
        <f>'SPP-13'!X102</f>
        <v>0</v>
      </c>
      <c r="U65" s="9" t="e">
        <f t="shared" si="5"/>
        <v>#DIV/0!</v>
      </c>
      <c r="V65" s="430">
        <f>'SPP-13'!Z102</f>
        <v>0</v>
      </c>
      <c r="W65" s="1674">
        <f>'SPP-13'!AA102</f>
        <v>0</v>
      </c>
      <c r="X65" s="1673">
        <f>'SPP-13'!Z102</f>
        <v>0</v>
      </c>
      <c r="Y65" s="1619">
        <f>'SPP-13'!AC102</f>
        <v>0</v>
      </c>
      <c r="Z65" s="1618">
        <f>'SPP-13'!AD102</f>
        <v>0</v>
      </c>
      <c r="AA65" s="1618">
        <f>'SPP-13'!AE102</f>
        <v>0</v>
      </c>
      <c r="AB65" s="1617">
        <f>'SPP-13'!AF102</f>
        <v>0</v>
      </c>
    </row>
    <row r="66" spans="1:28" s="1581" customFormat="1" ht="34.5" customHeight="1">
      <c r="A66" s="1625">
        <f t="shared" si="6"/>
        <v>14</v>
      </c>
      <c r="B66" s="1628">
        <f t="shared" si="4"/>
        <v>0</v>
      </c>
      <c r="C66" s="1672">
        <f>'SPP-14'!D103</f>
        <v>0</v>
      </c>
      <c r="D66" s="1946"/>
      <c r="E66" s="430">
        <f>'SPP-14'!D102</f>
        <v>0</v>
      </c>
      <c r="F66" s="430">
        <f>'SPP-14'!E102</f>
        <v>0</v>
      </c>
      <c r="G66" s="9">
        <f>'SPP-14'!F102</f>
        <v>0</v>
      </c>
      <c r="H66" s="9"/>
      <c r="I66" s="9">
        <f>'SPP-14'!M102</f>
        <v>0</v>
      </c>
      <c r="J66" s="9">
        <f>'SPP-14'!N102</f>
        <v>0</v>
      </c>
      <c r="K66" s="9">
        <f>'SPP-14'!O102</f>
        <v>0</v>
      </c>
      <c r="L66" s="9">
        <f>'SPP-14'!P102</f>
        <v>0</v>
      </c>
      <c r="M66" s="9">
        <f>'SPP-14'!Q102</f>
        <v>0</v>
      </c>
      <c r="N66" s="9">
        <f>'SPP-14'!R102</f>
        <v>0</v>
      </c>
      <c r="O66" s="9">
        <f>'SPP-14'!S102</f>
        <v>0</v>
      </c>
      <c r="P66" s="9">
        <f>'SPP-14'!T102</f>
        <v>0</v>
      </c>
      <c r="Q66" s="9">
        <f>'SPP-14'!U102</f>
        <v>0</v>
      </c>
      <c r="R66" s="9">
        <f>'SPP-14'!V102</f>
        <v>0</v>
      </c>
      <c r="S66" s="9">
        <f>'SPP-14'!W102</f>
        <v>0</v>
      </c>
      <c r="T66" s="9">
        <f>'SPP-14'!X102</f>
        <v>0</v>
      </c>
      <c r="U66" s="9" t="e">
        <f t="shared" si="5"/>
        <v>#DIV/0!</v>
      </c>
      <c r="V66" s="9">
        <f>'SPP-14'!Z102</f>
        <v>0</v>
      </c>
      <c r="W66" s="1621">
        <f>'SPP-14'!AA102</f>
        <v>0</v>
      </c>
      <c r="X66" s="1671">
        <f>'SPP-14'!Z102</f>
        <v>0</v>
      </c>
      <c r="Y66" s="1670">
        <f>'SPP-14'!AC102</f>
        <v>0</v>
      </c>
      <c r="Z66" s="1669">
        <f>'SPP-14'!AD102</f>
        <v>0</v>
      </c>
      <c r="AA66" s="1669">
        <f>'SPP-14'!AE102</f>
        <v>0</v>
      </c>
      <c r="AB66" s="1668">
        <f>'SPP-14'!AF102</f>
        <v>0</v>
      </c>
    </row>
    <row r="67" spans="1:28" s="1581" customFormat="1" ht="34.5" customHeight="1">
      <c r="A67" s="1625">
        <f t="shared" si="6"/>
        <v>15</v>
      </c>
      <c r="B67" s="1628">
        <f t="shared" si="4"/>
        <v>0</v>
      </c>
      <c r="C67" s="1672">
        <f>'SPP-15'!D103</f>
        <v>0</v>
      </c>
      <c r="D67" s="1946"/>
      <c r="E67" s="430">
        <f>'SPP-15'!D102</f>
        <v>0</v>
      </c>
      <c r="F67" s="430">
        <f>'SPP-15'!E102</f>
        <v>0</v>
      </c>
      <c r="G67" s="430">
        <f>'SPP-15'!F102</f>
        <v>0</v>
      </c>
      <c r="H67" s="9"/>
      <c r="I67" s="9">
        <f>'SPP-15'!M102</f>
        <v>0</v>
      </c>
      <c r="J67" s="9">
        <f>'SPP-15'!N102</f>
        <v>0</v>
      </c>
      <c r="K67" s="9">
        <f>'SPP-15'!O102</f>
        <v>0</v>
      </c>
      <c r="L67" s="9">
        <f>'SPP-15'!P102</f>
        <v>0</v>
      </c>
      <c r="M67" s="9">
        <f>'SPP-15'!Q102</f>
        <v>0</v>
      </c>
      <c r="N67" s="9">
        <f>'SPP-15'!R102</f>
        <v>0</v>
      </c>
      <c r="O67" s="9">
        <f>'SPP-15'!S102</f>
        <v>0</v>
      </c>
      <c r="P67" s="9">
        <f>'SPP-15'!T102</f>
        <v>0</v>
      </c>
      <c r="Q67" s="9">
        <f>'SPP-15'!U102</f>
        <v>0</v>
      </c>
      <c r="R67" s="9">
        <f>'SPP-15'!V102</f>
        <v>0</v>
      </c>
      <c r="S67" s="9">
        <f>'SPP-15'!W102</f>
        <v>0</v>
      </c>
      <c r="T67" s="9">
        <f>'SPP-15'!X102</f>
        <v>0</v>
      </c>
      <c r="U67" s="9" t="e">
        <f t="shared" si="5"/>
        <v>#DIV/0!</v>
      </c>
      <c r="V67" s="9">
        <f>'SPP-15'!Z102</f>
        <v>0</v>
      </c>
      <c r="W67" s="1621">
        <f>'SPP-15'!AA102</f>
        <v>0</v>
      </c>
      <c r="X67" s="1673">
        <f>'SPP-15'!AB102</f>
        <v>0</v>
      </c>
      <c r="Y67" s="1619">
        <f>'SPP-15'!AC102</f>
        <v>0</v>
      </c>
      <c r="Z67" s="1618">
        <f>'SPP-15'!AD102</f>
        <v>0</v>
      </c>
      <c r="AA67" s="1618">
        <f>'SPP-15'!AE102</f>
        <v>0</v>
      </c>
      <c r="AB67" s="1617">
        <f>'SPP-15'!AF102</f>
        <v>0</v>
      </c>
    </row>
    <row r="68" spans="1:28" s="1581" customFormat="1" ht="34.5" customHeight="1">
      <c r="A68" s="1625">
        <f t="shared" si="6"/>
        <v>16</v>
      </c>
      <c r="B68" s="1628">
        <f t="shared" si="4"/>
        <v>0</v>
      </c>
      <c r="C68" s="1672">
        <f>'SPP-16'!D103</f>
        <v>0</v>
      </c>
      <c r="D68" s="1946"/>
      <c r="E68" s="430">
        <f>'SPP-16'!D102</f>
        <v>0</v>
      </c>
      <c r="F68" s="430">
        <f>'SPP-16'!E102</f>
        <v>0</v>
      </c>
      <c r="G68" s="430">
        <f>'SPP-16'!F102</f>
        <v>0</v>
      </c>
      <c r="H68" s="9"/>
      <c r="I68" s="9">
        <f>'SPP-16'!M102</f>
        <v>0</v>
      </c>
      <c r="J68" s="9">
        <f>'SPP-16'!N102</f>
        <v>0</v>
      </c>
      <c r="K68" s="9">
        <f>'SPP-16'!O102</f>
        <v>0</v>
      </c>
      <c r="L68" s="9">
        <f>'SPP-16'!P102</f>
        <v>0</v>
      </c>
      <c r="M68" s="9">
        <f>'SPP-16'!Q102</f>
        <v>0</v>
      </c>
      <c r="N68" s="9">
        <f>'SPP-16'!R102</f>
        <v>0</v>
      </c>
      <c r="O68" s="9">
        <f>'SPP-16'!S102</f>
        <v>0</v>
      </c>
      <c r="P68" s="9">
        <f>'SPP-16'!T102</f>
        <v>0</v>
      </c>
      <c r="Q68" s="9">
        <f>'SPP-16'!U102</f>
        <v>0</v>
      </c>
      <c r="R68" s="9">
        <f>'SPP-16'!V102</f>
        <v>0</v>
      </c>
      <c r="S68" s="9">
        <f>'SPP-16'!W102</f>
        <v>0</v>
      </c>
      <c r="T68" s="9">
        <f>'SPP-16'!X102</f>
        <v>0</v>
      </c>
      <c r="U68" s="9" t="e">
        <f t="shared" si="5"/>
        <v>#DIV/0!</v>
      </c>
      <c r="V68" s="9">
        <f>'SPP-16'!Z102</f>
        <v>0</v>
      </c>
      <c r="W68" s="1621">
        <f>'SPP-16'!AA102</f>
        <v>0</v>
      </c>
      <c r="X68" s="1671">
        <f>'SPP-16'!AB102</f>
        <v>0</v>
      </c>
      <c r="Y68" s="1670">
        <f>'SPP-16'!AC102</f>
        <v>0</v>
      </c>
      <c r="Z68" s="1669">
        <f>'SPP-16'!AD102</f>
        <v>0</v>
      </c>
      <c r="AA68" s="1669">
        <f>'SPP-16'!AE102</f>
        <v>0</v>
      </c>
      <c r="AB68" s="1668">
        <f>'SPP-16'!AF102</f>
        <v>0</v>
      </c>
    </row>
    <row r="69" spans="1:28" s="1581" customFormat="1" ht="15.75" thickBot="1">
      <c r="A69" s="1608"/>
      <c r="B69" s="1616"/>
      <c r="C69" s="1615"/>
      <c r="D69" s="1615"/>
      <c r="E69" s="1615"/>
      <c r="F69" s="1610"/>
      <c r="G69" s="1665"/>
      <c r="H69" s="1665"/>
      <c r="I69" s="1667"/>
      <c r="J69" s="1667"/>
      <c r="K69" s="1667"/>
      <c r="L69" s="1667"/>
      <c r="M69" s="1613"/>
      <c r="N69" s="1613"/>
      <c r="O69" s="1613"/>
      <c r="P69" s="1666"/>
      <c r="Q69" s="1665"/>
      <c r="R69" s="1665"/>
      <c r="S69" s="1613"/>
      <c r="T69" s="1613"/>
      <c r="U69" s="1613"/>
      <c r="V69" s="1613"/>
      <c r="W69" s="1664"/>
      <c r="X69" s="1608"/>
      <c r="Y69" s="1607"/>
      <c r="Z69" s="1606"/>
      <c r="AA69" s="1606"/>
      <c r="AB69" s="1605"/>
    </row>
    <row r="70" spans="1:28" s="1586" customFormat="1" ht="55.5" customHeight="1" thickBot="1">
      <c r="A70" s="1604"/>
      <c r="B70" s="1603" t="s">
        <v>1507</v>
      </c>
      <c r="C70" s="1602">
        <f t="shared" ref="C70:T70" si="7">SUM(C53:C68)</f>
        <v>768</v>
      </c>
      <c r="D70" s="1602"/>
      <c r="E70" s="1602">
        <f t="shared" si="7"/>
        <v>8309</v>
      </c>
      <c r="F70" s="1602">
        <f t="shared" si="7"/>
        <v>27484000000</v>
      </c>
      <c r="G70" s="1602">
        <f t="shared" si="7"/>
        <v>4947120000</v>
      </c>
      <c r="H70" s="1602">
        <f t="shared" si="7"/>
        <v>0</v>
      </c>
      <c r="I70" s="1602">
        <f t="shared" si="7"/>
        <v>23560241301.666664</v>
      </c>
      <c r="J70" s="1602">
        <f t="shared" si="7"/>
        <v>4078152000</v>
      </c>
      <c r="K70" s="1602">
        <f t="shared" si="7"/>
        <v>22459820100</v>
      </c>
      <c r="L70" s="1602">
        <f t="shared" si="7"/>
        <v>3881375200</v>
      </c>
      <c r="M70" s="1602">
        <f t="shared" si="7"/>
        <v>0</v>
      </c>
      <c r="N70" s="1602">
        <f t="shared" si="7"/>
        <v>545570300</v>
      </c>
      <c r="O70" s="1602">
        <f t="shared" si="7"/>
        <v>97423000</v>
      </c>
      <c r="P70" s="1602">
        <f t="shared" si="7"/>
        <v>0</v>
      </c>
      <c r="Q70" s="1602">
        <f t="shared" si="7"/>
        <v>23005390400</v>
      </c>
      <c r="R70" s="1602">
        <f t="shared" si="7"/>
        <v>3978798200</v>
      </c>
      <c r="S70" s="1602">
        <f t="shared" si="7"/>
        <v>0</v>
      </c>
      <c r="T70" s="1602">
        <f t="shared" si="7"/>
        <v>4478609600</v>
      </c>
      <c r="U70" s="1602">
        <f>SUM(Q70/I70)*100</f>
        <v>97.64496935934433</v>
      </c>
      <c r="V70" s="2823">
        <f t="shared" ref="V70:AB70" si="8">SUM(V53:V68)</f>
        <v>554850901.66666675</v>
      </c>
      <c r="W70" s="1601">
        <f t="shared" si="8"/>
        <v>89683300</v>
      </c>
      <c r="X70" s="1600">
        <f t="shared" si="8"/>
        <v>520225001.66666669</v>
      </c>
      <c r="Y70" s="1599">
        <f t="shared" si="8"/>
        <v>123286900</v>
      </c>
      <c r="Z70" s="1598">
        <f t="shared" si="8"/>
        <v>1250000</v>
      </c>
      <c r="AA70" s="1598">
        <f t="shared" si="8"/>
        <v>124613100</v>
      </c>
      <c r="AB70" s="1597">
        <f t="shared" si="8"/>
        <v>279953700</v>
      </c>
    </row>
    <row r="71" spans="1:28" s="1581" customFormat="1" ht="16.5" thickTop="1">
      <c r="G71" s="1586"/>
      <c r="I71" s="1586"/>
      <c r="J71" s="1586"/>
      <c r="K71" s="1586"/>
      <c r="L71" s="1586"/>
      <c r="M71" s="1594"/>
      <c r="N71" s="1594"/>
      <c r="O71" s="1596"/>
      <c r="P71" s="1595"/>
      <c r="Q71" s="1594"/>
      <c r="R71" s="1594"/>
      <c r="T71" s="1581">
        <v>2739814800</v>
      </c>
    </row>
    <row r="72" spans="1:28" s="1581" customFormat="1" ht="16.5" customHeight="1">
      <c r="F72" s="1586"/>
      <c r="I72" s="1586"/>
      <c r="J72" s="1586"/>
      <c r="K72" s="1593"/>
      <c r="L72" s="1593"/>
      <c r="M72" s="1592"/>
      <c r="N72" s="1591"/>
      <c r="O72" s="1591"/>
      <c r="P72" s="1590"/>
      <c r="Q72" s="1589"/>
      <c r="R72" s="1589"/>
      <c r="T72" s="1586">
        <f>T70-T71</f>
        <v>1738794800</v>
      </c>
      <c r="V72" s="1588"/>
      <c r="W72" s="1588"/>
    </row>
    <row r="73" spans="1:28" s="1581" customFormat="1" ht="15">
      <c r="A73" s="1587"/>
      <c r="B73" s="1587"/>
      <c r="K73" s="1586"/>
      <c r="L73" s="1586"/>
      <c r="O73" s="1585"/>
      <c r="P73" s="1584"/>
      <c r="Q73" s="1583"/>
      <c r="R73" s="1582"/>
      <c r="T73" s="1574" t="str">
        <f>T33</f>
        <v>Nagrak, 29 Februari 2016 2016</v>
      </c>
    </row>
    <row r="74" spans="1:28" s="1572" customFormat="1" ht="15">
      <c r="G74" s="1574" t="s">
        <v>21</v>
      </c>
      <c r="P74" s="1574"/>
      <c r="T74" s="1574" t="s">
        <v>22</v>
      </c>
    </row>
    <row r="75" spans="1:28" s="1572" customFormat="1" ht="20.25" customHeight="1">
      <c r="N75" s="1580"/>
      <c r="O75" s="1579"/>
      <c r="T75" s="1574"/>
    </row>
    <row r="76" spans="1:28" s="1572" customFormat="1" ht="20.25" customHeight="1">
      <c r="N76" s="1580"/>
      <c r="O76" s="1579"/>
      <c r="Q76" s="1578"/>
      <c r="T76" s="1574"/>
    </row>
    <row r="77" spans="1:28" s="1572" customFormat="1" ht="20.25" customHeight="1">
      <c r="P77" s="1574"/>
      <c r="T77" s="1574"/>
    </row>
    <row r="78" spans="1:28" s="1572" customFormat="1" ht="20.25" customHeight="1">
      <c r="P78" s="1574"/>
      <c r="Q78" s="1577"/>
      <c r="R78" s="1577"/>
      <c r="T78" s="1574"/>
    </row>
    <row r="79" spans="1:28" s="1572" customFormat="1" ht="15">
      <c r="G79" s="1663" t="str">
        <f>G39</f>
        <v>Endang Taryana</v>
      </c>
      <c r="N79" s="1576"/>
      <c r="P79" s="1575"/>
      <c r="T79" s="1663" t="str">
        <f>T39</f>
        <v>Arin Yustini, SE</v>
      </c>
    </row>
    <row r="80" spans="1:28" s="1572" customFormat="1" ht="15">
      <c r="G80" s="1574" t="s">
        <v>23</v>
      </c>
      <c r="P80" s="1573"/>
      <c r="T80" s="1573" t="s">
        <v>24</v>
      </c>
    </row>
    <row r="81" spans="1:28" ht="21.75" customHeight="1">
      <c r="A81" s="3525" t="s">
        <v>123</v>
      </c>
      <c r="B81" s="3525"/>
      <c r="C81" s="3525"/>
      <c r="D81" s="3525"/>
      <c r="E81" s="3525"/>
      <c r="F81" s="3525"/>
      <c r="G81" s="3525"/>
      <c r="H81" s="3525"/>
      <c r="I81" s="3525"/>
      <c r="J81" s="3525"/>
      <c r="K81" s="3525"/>
      <c r="L81" s="3525"/>
      <c r="M81" s="3525"/>
      <c r="N81" s="3525"/>
      <c r="O81" s="3525"/>
      <c r="P81" s="3525"/>
      <c r="Q81" s="3525"/>
      <c r="R81" s="3525"/>
      <c r="S81" s="3525"/>
      <c r="T81" s="3525"/>
      <c r="U81" s="3525"/>
      <c r="V81" s="3525"/>
      <c r="W81" s="3525"/>
      <c r="X81" s="1661"/>
      <c r="Y81" s="1661"/>
      <c r="Z81" s="1661"/>
      <c r="AA81" s="1661"/>
      <c r="AB81" s="1661"/>
    </row>
    <row r="82" spans="1:28" ht="21.75" customHeight="1">
      <c r="A82" s="3525" t="str">
        <f>A2</f>
        <v>LAPORAN PERKEMBANGAN PINJAMAN  SPP</v>
      </c>
      <c r="B82" s="3525"/>
      <c r="C82" s="3525"/>
      <c r="D82" s="3525"/>
      <c r="E82" s="3525"/>
      <c r="F82" s="3525"/>
      <c r="G82" s="3525"/>
      <c r="H82" s="3525"/>
      <c r="I82" s="3525"/>
      <c r="J82" s="3525"/>
      <c r="K82" s="3525"/>
      <c r="L82" s="3525"/>
      <c r="M82" s="3525"/>
      <c r="N82" s="3525"/>
      <c r="O82" s="3525"/>
      <c r="P82" s="3525"/>
      <c r="Q82" s="3525"/>
      <c r="R82" s="3525"/>
      <c r="S82" s="3525"/>
      <c r="T82" s="3525"/>
      <c r="U82" s="3525"/>
      <c r="V82" s="3525"/>
      <c r="W82" s="3525"/>
      <c r="X82" s="1661"/>
      <c r="Y82" s="1661"/>
      <c r="Z82" s="1661"/>
      <c r="AA82" s="1661"/>
      <c r="AB82" s="1661"/>
    </row>
    <row r="83" spans="1:28" ht="34.5">
      <c r="A83" s="3525" t="s">
        <v>1517</v>
      </c>
      <c r="B83" s="3525"/>
      <c r="C83" s="3525"/>
      <c r="D83" s="3525"/>
      <c r="E83" s="3525"/>
      <c r="F83" s="3525"/>
      <c r="G83" s="3525"/>
      <c r="H83" s="3525"/>
      <c r="I83" s="3525"/>
      <c r="J83" s="3525"/>
      <c r="K83" s="3525"/>
      <c r="L83" s="3525"/>
      <c r="M83" s="3525"/>
      <c r="N83" s="3525"/>
      <c r="O83" s="3525"/>
      <c r="P83" s="3525"/>
      <c r="Q83" s="3525"/>
      <c r="R83" s="3525"/>
      <c r="S83" s="3525"/>
      <c r="T83" s="3525"/>
      <c r="U83" s="3525"/>
      <c r="V83" s="3525"/>
      <c r="W83" s="3525"/>
      <c r="X83" s="1662"/>
      <c r="Y83" s="1661"/>
      <c r="Z83" s="1661"/>
      <c r="AA83" s="1661"/>
      <c r="AB83" s="1661"/>
    </row>
    <row r="84" spans="1:28" ht="21.75" customHeight="1">
      <c r="A84" s="3525" t="str">
        <f>A4</f>
        <v>Per - Februari 2016 2016</v>
      </c>
      <c r="B84" s="3525"/>
      <c r="C84" s="3525"/>
      <c r="D84" s="3525"/>
      <c r="E84" s="3525"/>
      <c r="F84" s="3525"/>
      <c r="G84" s="3525"/>
      <c r="H84" s="3525"/>
      <c r="I84" s="3525"/>
      <c r="J84" s="3525"/>
      <c r="K84" s="3525"/>
      <c r="L84" s="3525"/>
      <c r="M84" s="3525"/>
      <c r="N84" s="3525"/>
      <c r="O84" s="3525"/>
      <c r="P84" s="3525"/>
      <c r="Q84" s="3525"/>
      <c r="R84" s="3525"/>
      <c r="S84" s="3525"/>
      <c r="T84" s="3525"/>
      <c r="U84" s="3525"/>
      <c r="V84" s="3525"/>
      <c r="W84" s="3525"/>
      <c r="X84" s="1661"/>
      <c r="Y84" s="1661"/>
      <c r="Z84" s="1661"/>
      <c r="AA84" s="1661"/>
      <c r="AB84" s="1661"/>
    </row>
    <row r="86" spans="1:28" s="1581" customFormat="1" ht="20.25" customHeight="1">
      <c r="A86" s="1659"/>
      <c r="B86" s="1659" t="s">
        <v>2</v>
      </c>
      <c r="C86" s="1595"/>
      <c r="D86" s="1595"/>
      <c r="E86" s="1595"/>
      <c r="F86" s="1658" t="str">
        <f>F6</f>
        <v>:  Nagrak</v>
      </c>
      <c r="I86" s="1586"/>
      <c r="J86" s="1586"/>
      <c r="K86" s="1586"/>
      <c r="L86" s="1586"/>
    </row>
    <row r="87" spans="1:28" s="1581" customFormat="1" ht="20.25" customHeight="1">
      <c r="A87" s="1659"/>
      <c r="B87" s="1659" t="s">
        <v>4</v>
      </c>
      <c r="C87" s="1595"/>
      <c r="D87" s="1595"/>
      <c r="E87" s="1595"/>
      <c r="F87" s="1658" t="str">
        <f>F7</f>
        <v>:  Sukabumi</v>
      </c>
      <c r="I87" s="1586"/>
      <c r="J87" s="1586"/>
      <c r="K87" s="1586"/>
      <c r="L87" s="1586"/>
      <c r="V87" s="1660"/>
    </row>
    <row r="88" spans="1:28" s="1581" customFormat="1" ht="20.25" customHeight="1">
      <c r="A88" s="1659"/>
      <c r="B88" s="1659" t="s">
        <v>1516</v>
      </c>
      <c r="C88" s="1595"/>
      <c r="D88" s="1595"/>
      <c r="E88" s="1595"/>
      <c r="F88" s="1658" t="str">
        <f>F8</f>
        <v>:  Jawa Barat</v>
      </c>
      <c r="I88" s="1586"/>
      <c r="J88" s="1586"/>
      <c r="K88" s="1586"/>
      <c r="L88" s="1586"/>
      <c r="M88" s="1586"/>
      <c r="N88" s="1586"/>
    </row>
    <row r="89" spans="1:28" s="1581" customFormat="1" ht="15.75" thickBot="1">
      <c r="G89" s="1657"/>
      <c r="H89" s="1657"/>
      <c r="I89" s="1657"/>
      <c r="J89" s="1657"/>
      <c r="K89" s="1657"/>
      <c r="L89" s="1657"/>
    </row>
    <row r="90" spans="1:28" s="1581" customFormat="1" ht="45" customHeight="1" thickTop="1">
      <c r="A90" s="3586" t="s">
        <v>36</v>
      </c>
      <c r="B90" s="3587" t="s">
        <v>1515</v>
      </c>
      <c r="C90" s="3704" t="s">
        <v>1505</v>
      </c>
      <c r="D90" s="2581"/>
      <c r="E90" s="3704" t="s">
        <v>1498</v>
      </c>
      <c r="F90" s="3704" t="s">
        <v>1497</v>
      </c>
      <c r="G90" s="3704"/>
      <c r="H90" s="3704" t="s">
        <v>1496</v>
      </c>
      <c r="I90" s="3704" t="s">
        <v>1514</v>
      </c>
      <c r="J90" s="3704"/>
      <c r="K90" s="3704" t="s">
        <v>1513</v>
      </c>
      <c r="L90" s="3704"/>
      <c r="M90" s="3704"/>
      <c r="N90" s="3704" t="s">
        <v>1489</v>
      </c>
      <c r="O90" s="3704"/>
      <c r="P90" s="3704"/>
      <c r="Q90" s="3704" t="s">
        <v>1488</v>
      </c>
      <c r="R90" s="3704"/>
      <c r="S90" s="3704"/>
      <c r="T90" s="3704" t="s">
        <v>1487</v>
      </c>
      <c r="U90" s="3704" t="s">
        <v>1486</v>
      </c>
      <c r="V90" s="3704" t="s">
        <v>1485</v>
      </c>
      <c r="W90" s="3707"/>
      <c r="X90" s="3410" t="s">
        <v>1512</v>
      </c>
      <c r="Y90" s="1656" t="s">
        <v>1511</v>
      </c>
      <c r="Z90" s="1655" t="s">
        <v>1510</v>
      </c>
      <c r="AA90" s="1655" t="s">
        <v>1509</v>
      </c>
      <c r="AB90" s="1654" t="s">
        <v>1508</v>
      </c>
    </row>
    <row r="91" spans="1:28" s="1581" customFormat="1" ht="26.25" customHeight="1" thickBot="1">
      <c r="A91" s="3591"/>
      <c r="B91" s="3592"/>
      <c r="C91" s="3705"/>
      <c r="D91" s="2582"/>
      <c r="E91" s="3705"/>
      <c r="F91" s="2583" t="s">
        <v>16</v>
      </c>
      <c r="G91" s="2583" t="s">
        <v>1476</v>
      </c>
      <c r="H91" s="3705"/>
      <c r="I91" s="2583" t="s">
        <v>16</v>
      </c>
      <c r="J91" s="2583" t="s">
        <v>1476</v>
      </c>
      <c r="K91" s="2583" t="s">
        <v>16</v>
      </c>
      <c r="L91" s="2583" t="s">
        <v>1476</v>
      </c>
      <c r="M91" s="2583" t="s">
        <v>1477</v>
      </c>
      <c r="N91" s="2583" t="s">
        <v>16</v>
      </c>
      <c r="O91" s="2583" t="s">
        <v>1476</v>
      </c>
      <c r="P91" s="2583" t="s">
        <v>1477</v>
      </c>
      <c r="Q91" s="2583" t="s">
        <v>16</v>
      </c>
      <c r="R91" s="2583" t="s">
        <v>1476</v>
      </c>
      <c r="S91" s="2583" t="s">
        <v>1477</v>
      </c>
      <c r="T91" s="3705"/>
      <c r="U91" s="3705"/>
      <c r="V91" s="2583" t="s">
        <v>16</v>
      </c>
      <c r="W91" s="2584" t="s">
        <v>1476</v>
      </c>
      <c r="X91" s="3410"/>
      <c r="Y91" s="1649" t="s">
        <v>1475</v>
      </c>
      <c r="Z91" s="1648" t="s">
        <v>1474</v>
      </c>
      <c r="AA91" s="1648" t="s">
        <v>1473</v>
      </c>
      <c r="AB91" s="1647" t="s">
        <v>1472</v>
      </c>
    </row>
    <row r="92" spans="1:28" s="1629" customFormat="1" ht="15.75" customHeight="1" thickTop="1" thickBot="1">
      <c r="A92" s="2585">
        <v>1</v>
      </c>
      <c r="B92" s="2586">
        <v>2</v>
      </c>
      <c r="C92" s="3706"/>
      <c r="D92" s="2587"/>
      <c r="E92" s="3706"/>
      <c r="F92" s="2588">
        <v>4</v>
      </c>
      <c r="G92" s="2589">
        <v>5</v>
      </c>
      <c r="H92" s="2588">
        <v>6</v>
      </c>
      <c r="I92" s="2588">
        <v>7</v>
      </c>
      <c r="J92" s="2588">
        <v>8</v>
      </c>
      <c r="K92" s="2588">
        <v>9</v>
      </c>
      <c r="L92" s="2588">
        <v>10</v>
      </c>
      <c r="M92" s="2588">
        <v>11</v>
      </c>
      <c r="N92" s="2588">
        <v>12</v>
      </c>
      <c r="O92" s="2588">
        <v>13</v>
      </c>
      <c r="P92" s="2588">
        <v>14</v>
      </c>
      <c r="Q92" s="2588" t="s">
        <v>1471</v>
      </c>
      <c r="R92" s="2588" t="s">
        <v>1470</v>
      </c>
      <c r="S92" s="2588" t="s">
        <v>1469</v>
      </c>
      <c r="T92" s="2588" t="s">
        <v>1468</v>
      </c>
      <c r="U92" s="2588" t="s">
        <v>1467</v>
      </c>
      <c r="V92" s="2588" t="s">
        <v>1466</v>
      </c>
      <c r="W92" s="2590" t="s">
        <v>1465</v>
      </c>
      <c r="X92" s="1641">
        <v>22</v>
      </c>
      <c r="Y92" s="1640">
        <v>23</v>
      </c>
      <c r="Z92" s="1639">
        <v>24</v>
      </c>
      <c r="AA92" s="1639">
        <v>25</v>
      </c>
      <c r="AB92" s="1638">
        <v>26</v>
      </c>
    </row>
    <row r="93" spans="1:28" s="1629" customFormat="1" ht="34.5" customHeight="1" thickTop="1">
      <c r="A93" s="1637">
        <v>1</v>
      </c>
      <c r="B93" s="1636" t="str">
        <f t="shared" ref="B93:B108" si="9">B13</f>
        <v>CIHANYAWAR</v>
      </c>
      <c r="C93" s="1635">
        <f t="shared" ref="C93:G108" si="10">C13+C53</f>
        <v>79</v>
      </c>
      <c r="D93" s="1635"/>
      <c r="E93" s="1635">
        <f t="shared" si="10"/>
        <v>912</v>
      </c>
      <c r="F93" s="1635">
        <f t="shared" si="10"/>
        <v>3706700000</v>
      </c>
      <c r="G93" s="430">
        <f t="shared" si="10"/>
        <v>667206000</v>
      </c>
      <c r="H93" s="1627"/>
      <c r="I93" s="1626">
        <f t="shared" ref="I93:T93" si="11">I13+I53</f>
        <v>3190367500</v>
      </c>
      <c r="J93" s="1626">
        <f t="shared" si="11"/>
        <v>546621000</v>
      </c>
      <c r="K93" s="1626">
        <f t="shared" si="11"/>
        <v>3087407900</v>
      </c>
      <c r="L93" s="1626">
        <f t="shared" si="11"/>
        <v>528218000</v>
      </c>
      <c r="M93" s="1626">
        <f t="shared" si="11"/>
        <v>0</v>
      </c>
      <c r="N93" s="1626">
        <f t="shared" si="11"/>
        <v>68333700</v>
      </c>
      <c r="O93" s="1626">
        <f t="shared" si="11"/>
        <v>12400000</v>
      </c>
      <c r="P93" s="1635">
        <f t="shared" si="11"/>
        <v>0</v>
      </c>
      <c r="Q93" s="1635">
        <f t="shared" si="11"/>
        <v>3155741600</v>
      </c>
      <c r="R93" s="1635">
        <f t="shared" si="11"/>
        <v>540618000</v>
      </c>
      <c r="S93" s="1635">
        <f t="shared" si="11"/>
        <v>0</v>
      </c>
      <c r="T93" s="1635">
        <f t="shared" si="11"/>
        <v>550958400</v>
      </c>
      <c r="U93" s="1635">
        <f t="shared" ref="U93:U108" si="12">SUM(Q93/I93)*100</f>
        <v>98.914673623023049</v>
      </c>
      <c r="V93" s="1635">
        <f t="shared" ref="V93:AB102" si="13">V13+V53</f>
        <v>34625900</v>
      </c>
      <c r="W93" s="1634">
        <f t="shared" si="13"/>
        <v>5733000</v>
      </c>
      <c r="X93" s="1633">
        <f t="shared" si="13"/>
        <v>0</v>
      </c>
      <c r="Y93" s="1632">
        <f t="shared" si="13"/>
        <v>0</v>
      </c>
      <c r="Z93" s="1631">
        <f t="shared" si="13"/>
        <v>1250000</v>
      </c>
      <c r="AA93" s="1631">
        <f t="shared" si="13"/>
        <v>0</v>
      </c>
      <c r="AB93" s="1630">
        <f t="shared" si="13"/>
        <v>29209200</v>
      </c>
    </row>
    <row r="94" spans="1:28" s="1581" customFormat="1" ht="34.5" customHeight="1">
      <c r="A94" s="1625">
        <f t="shared" ref="A94:A108" si="14">A93+1</f>
        <v>2</v>
      </c>
      <c r="B94" s="1628" t="str">
        <f t="shared" si="9"/>
        <v>NAGRAK UTARA</v>
      </c>
      <c r="C94" s="430">
        <f t="shared" si="10"/>
        <v>126</v>
      </c>
      <c r="D94" s="430"/>
      <c r="E94" s="430">
        <f t="shared" si="10"/>
        <v>1401</v>
      </c>
      <c r="F94" s="430">
        <f t="shared" si="10"/>
        <v>4853100000</v>
      </c>
      <c r="G94" s="430">
        <f t="shared" si="10"/>
        <v>873558000</v>
      </c>
      <c r="H94" s="1627"/>
      <c r="I94" s="1626">
        <f t="shared" ref="I94:T94" si="15">I14+I54</f>
        <v>4198707501.6666665</v>
      </c>
      <c r="J94" s="1626">
        <f t="shared" si="15"/>
        <v>734688000</v>
      </c>
      <c r="K94" s="1626">
        <f t="shared" si="15"/>
        <v>4020603900</v>
      </c>
      <c r="L94" s="1626">
        <f t="shared" si="15"/>
        <v>702926700</v>
      </c>
      <c r="M94" s="1626">
        <f t="shared" si="15"/>
        <v>0</v>
      </c>
      <c r="N94" s="1626">
        <f t="shared" si="15"/>
        <v>91076600</v>
      </c>
      <c r="O94" s="1626">
        <f t="shared" si="15"/>
        <v>16248000</v>
      </c>
      <c r="P94" s="9">
        <f t="shared" si="15"/>
        <v>0</v>
      </c>
      <c r="Q94" s="9">
        <f t="shared" si="15"/>
        <v>4111680500</v>
      </c>
      <c r="R94" s="9">
        <f t="shared" si="15"/>
        <v>719174700</v>
      </c>
      <c r="S94" s="9">
        <f t="shared" si="15"/>
        <v>0</v>
      </c>
      <c r="T94" s="9">
        <f t="shared" si="15"/>
        <v>741419500</v>
      </c>
      <c r="U94" s="9">
        <f t="shared" si="12"/>
        <v>97.927290680950719</v>
      </c>
      <c r="V94" s="9">
        <f t="shared" si="13"/>
        <v>87027001.666666672</v>
      </c>
      <c r="W94" s="1621">
        <f t="shared" si="13"/>
        <v>14463300</v>
      </c>
      <c r="X94" s="1620">
        <f t="shared" si="13"/>
        <v>87027001.666666672</v>
      </c>
      <c r="Y94" s="1619">
        <f t="shared" si="13"/>
        <v>13671000</v>
      </c>
      <c r="Z94" s="1618">
        <f t="shared" si="13"/>
        <v>0</v>
      </c>
      <c r="AA94" s="1618">
        <f t="shared" si="13"/>
        <v>0</v>
      </c>
      <c r="AB94" s="1617">
        <f t="shared" si="13"/>
        <v>75481000</v>
      </c>
    </row>
    <row r="95" spans="1:28" s="1581" customFormat="1" ht="34.5" customHeight="1">
      <c r="A95" s="1625">
        <f t="shared" si="14"/>
        <v>3</v>
      </c>
      <c r="B95" s="1628" t="str">
        <f t="shared" si="9"/>
        <v>DARMAREJA</v>
      </c>
      <c r="C95" s="430">
        <f t="shared" si="10"/>
        <v>83</v>
      </c>
      <c r="D95" s="430"/>
      <c r="E95" s="430">
        <f t="shared" si="10"/>
        <v>877</v>
      </c>
      <c r="F95" s="430">
        <f t="shared" si="10"/>
        <v>3129200000</v>
      </c>
      <c r="G95" s="430">
        <f t="shared" si="10"/>
        <v>563256000</v>
      </c>
      <c r="H95" s="1627"/>
      <c r="I95" s="1626">
        <f t="shared" ref="I95:T96" si="16">I15+I55</f>
        <v>2699400500</v>
      </c>
      <c r="J95" s="1626">
        <f t="shared" si="16"/>
        <v>458790000</v>
      </c>
      <c r="K95" s="1626">
        <f t="shared" si="16"/>
        <v>2597645300</v>
      </c>
      <c r="L95" s="1626">
        <f t="shared" si="16"/>
        <v>435001000</v>
      </c>
      <c r="M95" s="1626">
        <f t="shared" si="16"/>
        <v>0</v>
      </c>
      <c r="N95" s="1626">
        <f t="shared" si="16"/>
        <v>60975100</v>
      </c>
      <c r="O95" s="1626">
        <f t="shared" si="16"/>
        <v>11244000</v>
      </c>
      <c r="P95" s="9">
        <f t="shared" si="16"/>
        <v>0</v>
      </c>
      <c r="Q95" s="9">
        <f t="shared" si="16"/>
        <v>2658620400</v>
      </c>
      <c r="R95" s="9">
        <f t="shared" si="16"/>
        <v>446245000</v>
      </c>
      <c r="S95" s="9">
        <f t="shared" si="16"/>
        <v>0</v>
      </c>
      <c r="T95" s="9">
        <f t="shared" si="16"/>
        <v>470579600</v>
      </c>
      <c r="U95" s="9">
        <f t="shared" si="12"/>
        <v>98.489290492463041</v>
      </c>
      <c r="V95" s="9">
        <f t="shared" si="13"/>
        <v>40780100</v>
      </c>
      <c r="W95" s="1621">
        <f t="shared" si="13"/>
        <v>6234500</v>
      </c>
      <c r="X95" s="1620">
        <f t="shared" si="13"/>
        <v>40780100</v>
      </c>
      <c r="Y95" s="1619">
        <f t="shared" si="13"/>
        <v>8233200</v>
      </c>
      <c r="Z95" s="1618">
        <f t="shared" si="13"/>
        <v>0</v>
      </c>
      <c r="AA95" s="1618">
        <f t="shared" si="13"/>
        <v>0</v>
      </c>
      <c r="AB95" s="1617">
        <f t="shared" si="13"/>
        <v>37255000</v>
      </c>
    </row>
    <row r="96" spans="1:28" s="1581" customFormat="1" ht="34.5" customHeight="1">
      <c r="A96" s="1625">
        <f t="shared" si="14"/>
        <v>4</v>
      </c>
      <c r="B96" s="1628" t="str">
        <f t="shared" si="9"/>
        <v>BALEKAMBANG</v>
      </c>
      <c r="C96" s="430">
        <f t="shared" si="10"/>
        <v>48</v>
      </c>
      <c r="D96" s="430"/>
      <c r="E96" s="430">
        <f t="shared" si="10"/>
        <v>501</v>
      </c>
      <c r="F96" s="430">
        <f t="shared" si="10"/>
        <v>2005000000</v>
      </c>
      <c r="G96" s="430">
        <f t="shared" si="10"/>
        <v>360900000</v>
      </c>
      <c r="H96" s="1627"/>
      <c r="I96" s="1626">
        <f t="shared" ref="I96:T96" si="17">I16+I56</f>
        <v>1684083900</v>
      </c>
      <c r="J96" s="1626">
        <f t="shared" si="17"/>
        <v>297615000</v>
      </c>
      <c r="K96" s="1626">
        <f t="shared" si="17"/>
        <v>1625455800</v>
      </c>
      <c r="L96" s="1626">
        <f t="shared" si="17"/>
        <v>286415200</v>
      </c>
      <c r="M96" s="1626">
        <f t="shared" si="17"/>
        <v>0</v>
      </c>
      <c r="N96" s="1626">
        <f t="shared" si="17"/>
        <v>38666700</v>
      </c>
      <c r="O96" s="1626">
        <f t="shared" si="17"/>
        <v>6960000</v>
      </c>
      <c r="P96" s="9">
        <f t="shared" si="17"/>
        <v>0</v>
      </c>
      <c r="Q96" s="9">
        <f t="shared" si="17"/>
        <v>1664122500</v>
      </c>
      <c r="R96" s="9">
        <f t="shared" si="16"/>
        <v>293375200</v>
      </c>
      <c r="S96" s="9">
        <f t="shared" si="17"/>
        <v>0</v>
      </c>
      <c r="T96" s="9">
        <f t="shared" si="17"/>
        <v>340877500</v>
      </c>
      <c r="U96" s="9">
        <f t="shared" si="12"/>
        <v>98.814702759167758</v>
      </c>
      <c r="V96" s="9">
        <f t="shared" si="13"/>
        <v>19961400</v>
      </c>
      <c r="W96" s="1621">
        <f t="shared" si="13"/>
        <v>3129800</v>
      </c>
      <c r="X96" s="1620">
        <f t="shared" si="13"/>
        <v>19961400</v>
      </c>
      <c r="Y96" s="1619">
        <f t="shared" si="13"/>
        <v>0</v>
      </c>
      <c r="Z96" s="1618">
        <f t="shared" si="13"/>
        <v>0</v>
      </c>
      <c r="AA96" s="1618">
        <f t="shared" si="13"/>
        <v>14935100</v>
      </c>
      <c r="AB96" s="1617">
        <f t="shared" si="13"/>
        <v>416300</v>
      </c>
    </row>
    <row r="97" spans="1:28" s="1581" customFormat="1" ht="34.5" customHeight="1">
      <c r="A97" s="1625">
        <f t="shared" si="14"/>
        <v>5</v>
      </c>
      <c r="B97" s="1628" t="str">
        <f t="shared" si="9"/>
        <v>NAGRAK SELATAN</v>
      </c>
      <c r="C97" s="430">
        <f t="shared" si="10"/>
        <v>65</v>
      </c>
      <c r="D97" s="430"/>
      <c r="E97" s="430">
        <f t="shared" si="10"/>
        <v>706</v>
      </c>
      <c r="F97" s="430">
        <f t="shared" si="10"/>
        <v>2373750000</v>
      </c>
      <c r="G97" s="430">
        <f t="shared" si="10"/>
        <v>426975000</v>
      </c>
      <c r="H97" s="1627"/>
      <c r="I97" s="1626">
        <f t="shared" ref="I97:T97" si="18">I17+I57</f>
        <v>2111400000</v>
      </c>
      <c r="J97" s="1626">
        <f t="shared" si="18"/>
        <v>367881900</v>
      </c>
      <c r="K97" s="1626">
        <f t="shared" si="18"/>
        <v>2025223300</v>
      </c>
      <c r="L97" s="1626">
        <f t="shared" si="18"/>
        <v>354129900</v>
      </c>
      <c r="M97" s="1626">
        <f t="shared" si="18"/>
        <v>0</v>
      </c>
      <c r="N97" s="1626">
        <f t="shared" si="18"/>
        <v>42133700</v>
      </c>
      <c r="O97" s="1626">
        <f t="shared" si="18"/>
        <v>7314000</v>
      </c>
      <c r="P97" s="9">
        <f t="shared" si="18"/>
        <v>0</v>
      </c>
      <c r="Q97" s="9">
        <f t="shared" si="18"/>
        <v>2067357000</v>
      </c>
      <c r="R97" s="9">
        <f t="shared" si="18"/>
        <v>361443900</v>
      </c>
      <c r="S97" s="9">
        <f t="shared" si="18"/>
        <v>0</v>
      </c>
      <c r="T97" s="9">
        <f t="shared" si="18"/>
        <v>306393000</v>
      </c>
      <c r="U97" s="9">
        <f t="shared" si="12"/>
        <v>97.914038078999724</v>
      </c>
      <c r="V97" s="9">
        <f t="shared" si="13"/>
        <v>44043000</v>
      </c>
      <c r="W97" s="1621">
        <f t="shared" si="13"/>
        <v>6438000</v>
      </c>
      <c r="X97" s="1620">
        <f t="shared" si="13"/>
        <v>44043000</v>
      </c>
      <c r="Y97" s="1619">
        <f t="shared" si="13"/>
        <v>19452000</v>
      </c>
      <c r="Z97" s="1618">
        <f t="shared" si="13"/>
        <v>0</v>
      </c>
      <c r="AA97" s="1618">
        <f t="shared" si="13"/>
        <v>0</v>
      </c>
      <c r="AB97" s="1617">
        <f t="shared" si="13"/>
        <v>22591000</v>
      </c>
    </row>
    <row r="98" spans="1:28" s="1581" customFormat="1" ht="34.5" customHeight="1">
      <c r="A98" s="1625">
        <f t="shared" si="14"/>
        <v>6</v>
      </c>
      <c r="B98" s="1628" t="str">
        <f t="shared" si="9"/>
        <v>KALAPAREA</v>
      </c>
      <c r="C98" s="430">
        <f t="shared" si="10"/>
        <v>93</v>
      </c>
      <c r="D98" s="430"/>
      <c r="E98" s="430">
        <f t="shared" si="10"/>
        <v>990</v>
      </c>
      <c r="F98" s="430">
        <f t="shared" si="10"/>
        <v>3165400000</v>
      </c>
      <c r="G98" s="430">
        <f t="shared" si="10"/>
        <v>569772000</v>
      </c>
      <c r="H98" s="1627"/>
      <c r="I98" s="1626">
        <f t="shared" ref="I98:T98" si="19">I18+I58</f>
        <v>2775123200</v>
      </c>
      <c r="J98" s="1626">
        <f t="shared" si="19"/>
        <v>482611500</v>
      </c>
      <c r="K98" s="1626">
        <f t="shared" si="19"/>
        <v>2645075700</v>
      </c>
      <c r="L98" s="1626">
        <f t="shared" si="19"/>
        <v>459199500</v>
      </c>
      <c r="M98" s="1626">
        <f t="shared" si="19"/>
        <v>0</v>
      </c>
      <c r="N98" s="1626">
        <f t="shared" si="19"/>
        <v>56044700</v>
      </c>
      <c r="O98" s="1626">
        <f t="shared" si="19"/>
        <v>10827000</v>
      </c>
      <c r="P98" s="9">
        <f t="shared" si="19"/>
        <v>0</v>
      </c>
      <c r="Q98" s="9">
        <f t="shared" si="19"/>
        <v>2701120400</v>
      </c>
      <c r="R98" s="9">
        <f t="shared" si="19"/>
        <v>470026500</v>
      </c>
      <c r="S98" s="9">
        <f t="shared" si="19"/>
        <v>0</v>
      </c>
      <c r="T98" s="9">
        <f t="shared" si="19"/>
        <v>464279600</v>
      </c>
      <c r="U98" s="9">
        <f t="shared" si="12"/>
        <v>97.333350822046384</v>
      </c>
      <c r="V98" s="9">
        <f t="shared" si="13"/>
        <v>74002800</v>
      </c>
      <c r="W98" s="1621">
        <f t="shared" si="13"/>
        <v>11655000</v>
      </c>
      <c r="X98" s="1620">
        <f t="shared" si="13"/>
        <v>71521800</v>
      </c>
      <c r="Y98" s="1619">
        <f t="shared" si="13"/>
        <v>16042300</v>
      </c>
      <c r="Z98" s="1618">
        <f t="shared" si="13"/>
        <v>0</v>
      </c>
      <c r="AA98" s="1618">
        <f t="shared" si="13"/>
        <v>59944600</v>
      </c>
      <c r="AB98" s="1617">
        <f t="shared" si="13"/>
        <v>11004600</v>
      </c>
    </row>
    <row r="99" spans="1:28" s="1581" customFormat="1" ht="34.5" customHeight="1">
      <c r="A99" s="1625">
        <f t="shared" si="14"/>
        <v>7</v>
      </c>
      <c r="B99" s="1628" t="str">
        <f t="shared" si="9"/>
        <v>BABAKAN PANJANG</v>
      </c>
      <c r="C99" s="430">
        <f t="shared" si="10"/>
        <v>54</v>
      </c>
      <c r="D99" s="430"/>
      <c r="E99" s="430">
        <f t="shared" si="10"/>
        <v>600</v>
      </c>
      <c r="F99" s="430">
        <f t="shared" si="10"/>
        <v>2028000000</v>
      </c>
      <c r="G99" s="430">
        <f t="shared" si="10"/>
        <v>365040000</v>
      </c>
      <c r="H99" s="1627"/>
      <c r="I99" s="1626">
        <f t="shared" ref="I99:T99" si="20">I19+I59</f>
        <v>1764542300</v>
      </c>
      <c r="J99" s="1626">
        <f t="shared" si="20"/>
        <v>306622500</v>
      </c>
      <c r="K99" s="1626">
        <f t="shared" si="20"/>
        <v>1689013000</v>
      </c>
      <c r="L99" s="1626">
        <f t="shared" si="20"/>
        <v>294772500</v>
      </c>
      <c r="M99" s="1626">
        <f t="shared" si="20"/>
        <v>0</v>
      </c>
      <c r="N99" s="1626">
        <f t="shared" si="20"/>
        <v>44833700</v>
      </c>
      <c r="O99" s="1626">
        <f t="shared" si="20"/>
        <v>7140000</v>
      </c>
      <c r="P99" s="9">
        <f t="shared" si="20"/>
        <v>0</v>
      </c>
      <c r="Q99" s="9">
        <f t="shared" si="20"/>
        <v>1733846700</v>
      </c>
      <c r="R99" s="9">
        <f t="shared" si="20"/>
        <v>301912500</v>
      </c>
      <c r="S99" s="9">
        <f t="shared" si="20"/>
        <v>0</v>
      </c>
      <c r="T99" s="9">
        <f t="shared" si="20"/>
        <v>294153300</v>
      </c>
      <c r="U99" s="9">
        <f t="shared" si="12"/>
        <v>98.260421413530295</v>
      </c>
      <c r="V99" s="9">
        <f t="shared" si="13"/>
        <v>30695600</v>
      </c>
      <c r="W99" s="1621">
        <f t="shared" si="13"/>
        <v>4710000</v>
      </c>
      <c r="X99" s="1620">
        <f t="shared" si="13"/>
        <v>30695600</v>
      </c>
      <c r="Y99" s="1619">
        <f t="shared" si="13"/>
        <v>6987600</v>
      </c>
      <c r="Z99" s="1618">
        <f t="shared" si="13"/>
        <v>0</v>
      </c>
      <c r="AA99" s="1618">
        <f t="shared" si="13"/>
        <v>0</v>
      </c>
      <c r="AB99" s="1617">
        <f t="shared" si="13"/>
        <v>8976000</v>
      </c>
    </row>
    <row r="100" spans="1:28" s="1581" customFormat="1" ht="34.5" customHeight="1">
      <c r="A100" s="1625">
        <f t="shared" si="14"/>
        <v>8</v>
      </c>
      <c r="B100" s="1628" t="str">
        <f t="shared" si="9"/>
        <v>PAWENANG</v>
      </c>
      <c r="C100" s="430">
        <f t="shared" si="10"/>
        <v>66</v>
      </c>
      <c r="D100" s="430"/>
      <c r="E100" s="430">
        <f t="shared" si="10"/>
        <v>684</v>
      </c>
      <c r="F100" s="430">
        <f t="shared" si="10"/>
        <v>2165200000</v>
      </c>
      <c r="G100" s="430">
        <f t="shared" si="10"/>
        <v>389736000</v>
      </c>
      <c r="H100" s="1627"/>
      <c r="I100" s="1626">
        <f t="shared" ref="I100:T100" si="21">I20+I60</f>
        <v>1790466100</v>
      </c>
      <c r="J100" s="1626">
        <f t="shared" si="21"/>
        <v>308745000</v>
      </c>
      <c r="K100" s="1626">
        <f t="shared" si="21"/>
        <v>1720062100</v>
      </c>
      <c r="L100" s="1626">
        <f t="shared" si="21"/>
        <v>296377500</v>
      </c>
      <c r="M100" s="1626">
        <f t="shared" si="21"/>
        <v>0</v>
      </c>
      <c r="N100" s="1626">
        <f t="shared" si="21"/>
        <v>39040600</v>
      </c>
      <c r="O100" s="1626">
        <f t="shared" si="21"/>
        <v>6787500</v>
      </c>
      <c r="P100" s="9">
        <f t="shared" si="21"/>
        <v>0</v>
      </c>
      <c r="Q100" s="9">
        <f t="shared" si="21"/>
        <v>1759102700</v>
      </c>
      <c r="R100" s="9">
        <f t="shared" si="21"/>
        <v>303165000</v>
      </c>
      <c r="S100" s="9">
        <f t="shared" si="21"/>
        <v>0</v>
      </c>
      <c r="T100" s="9">
        <f t="shared" si="21"/>
        <v>406097300</v>
      </c>
      <c r="U100" s="9">
        <f t="shared" si="12"/>
        <v>98.248310872794519</v>
      </c>
      <c r="V100" s="9">
        <f t="shared" si="13"/>
        <v>31363400</v>
      </c>
      <c r="W100" s="1621">
        <f t="shared" si="13"/>
        <v>5580000</v>
      </c>
      <c r="X100" s="1620">
        <f t="shared" si="13"/>
        <v>31363400</v>
      </c>
      <c r="Y100" s="1619">
        <f t="shared" si="13"/>
        <v>0</v>
      </c>
      <c r="Z100" s="1618">
        <f t="shared" si="13"/>
        <v>0</v>
      </c>
      <c r="AA100" s="1618">
        <f t="shared" si="13"/>
        <v>0</v>
      </c>
      <c r="AB100" s="1617">
        <f t="shared" si="13"/>
        <v>15030100</v>
      </c>
    </row>
    <row r="101" spans="1:28" s="1581" customFormat="1" ht="34.5" customHeight="1">
      <c r="A101" s="1625">
        <f t="shared" si="14"/>
        <v>9</v>
      </c>
      <c r="B101" s="1628" t="str">
        <f t="shared" si="9"/>
        <v>CISARUA</v>
      </c>
      <c r="C101" s="430">
        <f t="shared" si="10"/>
        <v>109</v>
      </c>
      <c r="D101" s="430"/>
      <c r="E101" s="430">
        <f t="shared" si="10"/>
        <v>1109</v>
      </c>
      <c r="F101" s="430">
        <f t="shared" si="10"/>
        <v>3192500000</v>
      </c>
      <c r="G101" s="430">
        <f t="shared" si="10"/>
        <v>574650000</v>
      </c>
      <c r="H101" s="1627"/>
      <c r="I101" s="1626">
        <f t="shared" ref="I101:T101" si="22">I21+I61</f>
        <v>2840332800</v>
      </c>
      <c r="J101" s="1626">
        <f t="shared" si="22"/>
        <v>492346500</v>
      </c>
      <c r="K101" s="1626">
        <f t="shared" si="22"/>
        <v>2656093000</v>
      </c>
      <c r="L101" s="1626">
        <f t="shared" si="22"/>
        <v>461704800</v>
      </c>
      <c r="M101" s="1626">
        <f t="shared" si="22"/>
        <v>0</v>
      </c>
      <c r="N101" s="1626">
        <f t="shared" si="22"/>
        <v>50757100</v>
      </c>
      <c r="O101" s="1626">
        <f t="shared" si="22"/>
        <v>9135000</v>
      </c>
      <c r="P101" s="9">
        <f t="shared" si="22"/>
        <v>0</v>
      </c>
      <c r="Q101" s="9">
        <f t="shared" si="22"/>
        <v>2706850100</v>
      </c>
      <c r="R101" s="9">
        <f t="shared" si="22"/>
        <v>470839800</v>
      </c>
      <c r="S101" s="9">
        <f t="shared" si="22"/>
        <v>0</v>
      </c>
      <c r="T101" s="9">
        <f t="shared" si="22"/>
        <v>485649900</v>
      </c>
      <c r="U101" s="9">
        <f t="shared" si="12"/>
        <v>95.300455636747913</v>
      </c>
      <c r="V101" s="9">
        <f t="shared" si="13"/>
        <v>133482700</v>
      </c>
      <c r="W101" s="1621">
        <f t="shared" si="13"/>
        <v>21506700</v>
      </c>
      <c r="X101" s="1620">
        <f t="shared" si="13"/>
        <v>133482700</v>
      </c>
      <c r="Y101" s="1619">
        <f t="shared" si="13"/>
        <v>53510100</v>
      </c>
      <c r="Z101" s="1618">
        <f t="shared" si="13"/>
        <v>0</v>
      </c>
      <c r="AA101" s="1618">
        <f t="shared" si="13"/>
        <v>49733400</v>
      </c>
      <c r="AB101" s="1617">
        <f t="shared" si="13"/>
        <v>29429200</v>
      </c>
    </row>
    <row r="102" spans="1:28" s="1581" customFormat="1" ht="34.5" customHeight="1">
      <c r="A102" s="1625">
        <f t="shared" si="14"/>
        <v>10</v>
      </c>
      <c r="B102" s="1624" t="str">
        <f t="shared" si="9"/>
        <v>GIRIJAYA</v>
      </c>
      <c r="C102" s="430">
        <f t="shared" si="10"/>
        <v>77</v>
      </c>
      <c r="D102" s="430"/>
      <c r="E102" s="430">
        <f t="shared" si="10"/>
        <v>821</v>
      </c>
      <c r="F102" s="430">
        <f t="shared" si="10"/>
        <v>2721500000</v>
      </c>
      <c r="G102" s="9">
        <f t="shared" si="10"/>
        <v>489870000</v>
      </c>
      <c r="H102" s="1623"/>
      <c r="I102" s="1622">
        <f t="shared" ref="I102:T102" si="23">I22+I62</f>
        <v>2362167500</v>
      </c>
      <c r="J102" s="1622">
        <f t="shared" si="23"/>
        <v>409534500</v>
      </c>
      <c r="K102" s="1622">
        <f t="shared" si="23"/>
        <v>2247109100</v>
      </c>
      <c r="L102" s="1622">
        <f t="shared" si="23"/>
        <v>389596500</v>
      </c>
      <c r="M102" s="1622">
        <f t="shared" si="23"/>
        <v>0</v>
      </c>
      <c r="N102" s="1622">
        <f t="shared" si="23"/>
        <v>53708400</v>
      </c>
      <c r="O102" s="1622">
        <f t="shared" si="23"/>
        <v>9367500</v>
      </c>
      <c r="P102" s="9">
        <f t="shared" si="23"/>
        <v>0</v>
      </c>
      <c r="Q102" s="9">
        <f t="shared" si="23"/>
        <v>2300817500</v>
      </c>
      <c r="R102" s="9">
        <f t="shared" si="23"/>
        <v>398964000</v>
      </c>
      <c r="S102" s="9">
        <f t="shared" si="23"/>
        <v>0</v>
      </c>
      <c r="T102" s="9">
        <f t="shared" si="23"/>
        <v>420682500</v>
      </c>
      <c r="U102" s="9">
        <f t="shared" si="12"/>
        <v>97.402809072599638</v>
      </c>
      <c r="V102" s="9">
        <f t="shared" si="13"/>
        <v>61350000</v>
      </c>
      <c r="W102" s="1621">
        <f t="shared" si="13"/>
        <v>10570500</v>
      </c>
      <c r="X102" s="1620">
        <f t="shared" si="13"/>
        <v>61350000</v>
      </c>
      <c r="Y102" s="1619">
        <f t="shared" si="13"/>
        <v>5390700</v>
      </c>
      <c r="Z102" s="1618">
        <f t="shared" si="13"/>
        <v>0</v>
      </c>
      <c r="AA102" s="1618">
        <f t="shared" si="13"/>
        <v>0</v>
      </c>
      <c r="AB102" s="1617">
        <f t="shared" si="13"/>
        <v>53042300</v>
      </c>
    </row>
    <row r="103" spans="1:28" s="1581" customFormat="1" ht="34.5" customHeight="1">
      <c r="A103" s="1625">
        <f t="shared" si="14"/>
        <v>11</v>
      </c>
      <c r="B103" s="1624">
        <f t="shared" si="9"/>
        <v>0</v>
      </c>
      <c r="C103" s="430">
        <f t="shared" si="10"/>
        <v>0</v>
      </c>
      <c r="D103" s="430"/>
      <c r="E103" s="430">
        <f t="shared" si="10"/>
        <v>0</v>
      </c>
      <c r="F103" s="430">
        <f t="shared" si="10"/>
        <v>0</v>
      </c>
      <c r="G103" s="9">
        <f t="shared" si="10"/>
        <v>0</v>
      </c>
      <c r="H103" s="1623"/>
      <c r="I103" s="1622">
        <f t="shared" ref="I103:T103" si="24">I23+I63</f>
        <v>0</v>
      </c>
      <c r="J103" s="1622">
        <f t="shared" si="24"/>
        <v>0</v>
      </c>
      <c r="K103" s="1622">
        <f t="shared" si="24"/>
        <v>0</v>
      </c>
      <c r="L103" s="1622">
        <f t="shared" si="24"/>
        <v>0</v>
      </c>
      <c r="M103" s="1622">
        <f t="shared" si="24"/>
        <v>0</v>
      </c>
      <c r="N103" s="1622">
        <f t="shared" si="24"/>
        <v>0</v>
      </c>
      <c r="O103" s="1622">
        <f t="shared" si="24"/>
        <v>0</v>
      </c>
      <c r="P103" s="9">
        <f t="shared" si="24"/>
        <v>0</v>
      </c>
      <c r="Q103" s="9">
        <f t="shared" si="24"/>
        <v>0</v>
      </c>
      <c r="R103" s="9">
        <f t="shared" si="24"/>
        <v>0</v>
      </c>
      <c r="S103" s="9">
        <f t="shared" si="24"/>
        <v>0</v>
      </c>
      <c r="T103" s="9">
        <f t="shared" si="24"/>
        <v>0</v>
      </c>
      <c r="U103" s="9" t="e">
        <f t="shared" si="12"/>
        <v>#DIV/0!</v>
      </c>
      <c r="V103" s="9">
        <f t="shared" ref="V103:AB108" si="25">V23+V63</f>
        <v>0</v>
      </c>
      <c r="W103" s="1621">
        <f t="shared" si="25"/>
        <v>0</v>
      </c>
      <c r="X103" s="1620">
        <f t="shared" si="25"/>
        <v>0</v>
      </c>
      <c r="Y103" s="1619">
        <f t="shared" si="25"/>
        <v>0</v>
      </c>
      <c r="Z103" s="1618">
        <f t="shared" si="25"/>
        <v>0</v>
      </c>
      <c r="AA103" s="1618">
        <f t="shared" si="25"/>
        <v>0</v>
      </c>
      <c r="AB103" s="1617">
        <f t="shared" si="25"/>
        <v>0</v>
      </c>
    </row>
    <row r="104" spans="1:28" s="1581" customFormat="1" ht="34.5" customHeight="1">
      <c r="A104" s="1625">
        <f t="shared" si="14"/>
        <v>12</v>
      </c>
      <c r="B104" s="1624">
        <f t="shared" si="9"/>
        <v>0</v>
      </c>
      <c r="C104" s="430">
        <f t="shared" si="10"/>
        <v>0</v>
      </c>
      <c r="D104" s="430"/>
      <c r="E104" s="430">
        <f t="shared" si="10"/>
        <v>0</v>
      </c>
      <c r="F104" s="430">
        <f t="shared" si="10"/>
        <v>0</v>
      </c>
      <c r="G104" s="9">
        <f t="shared" si="10"/>
        <v>0</v>
      </c>
      <c r="H104" s="1623"/>
      <c r="I104" s="1622">
        <f t="shared" ref="I104:T104" si="26">I24+I64</f>
        <v>0</v>
      </c>
      <c r="J104" s="1622">
        <f t="shared" si="26"/>
        <v>0</v>
      </c>
      <c r="K104" s="1622">
        <f t="shared" si="26"/>
        <v>0</v>
      </c>
      <c r="L104" s="1622">
        <f t="shared" si="26"/>
        <v>0</v>
      </c>
      <c r="M104" s="1622">
        <f t="shared" si="26"/>
        <v>0</v>
      </c>
      <c r="N104" s="1622">
        <f t="shared" si="26"/>
        <v>0</v>
      </c>
      <c r="O104" s="1622">
        <f t="shared" si="26"/>
        <v>0</v>
      </c>
      <c r="P104" s="9">
        <f t="shared" si="26"/>
        <v>0</v>
      </c>
      <c r="Q104" s="9">
        <f t="shared" si="26"/>
        <v>0</v>
      </c>
      <c r="R104" s="9">
        <f t="shared" si="26"/>
        <v>0</v>
      </c>
      <c r="S104" s="9">
        <f t="shared" si="26"/>
        <v>0</v>
      </c>
      <c r="T104" s="9">
        <f t="shared" si="26"/>
        <v>0</v>
      </c>
      <c r="U104" s="9" t="e">
        <f t="shared" si="12"/>
        <v>#DIV/0!</v>
      </c>
      <c r="V104" s="9">
        <f t="shared" si="25"/>
        <v>0</v>
      </c>
      <c r="W104" s="1621">
        <f t="shared" si="25"/>
        <v>0</v>
      </c>
      <c r="X104" s="1620">
        <f t="shared" si="25"/>
        <v>0</v>
      </c>
      <c r="Y104" s="1619">
        <f t="shared" si="25"/>
        <v>0</v>
      </c>
      <c r="Z104" s="1618">
        <f t="shared" si="25"/>
        <v>0</v>
      </c>
      <c r="AA104" s="1618">
        <f t="shared" si="25"/>
        <v>0</v>
      </c>
      <c r="AB104" s="1617">
        <f t="shared" si="25"/>
        <v>0</v>
      </c>
    </row>
    <row r="105" spans="1:28" s="1581" customFormat="1" ht="34.5" customHeight="1">
      <c r="A105" s="1625">
        <f t="shared" si="14"/>
        <v>13</v>
      </c>
      <c r="B105" s="1624">
        <f t="shared" si="9"/>
        <v>0</v>
      </c>
      <c r="C105" s="430">
        <f t="shared" si="10"/>
        <v>0</v>
      </c>
      <c r="D105" s="430"/>
      <c r="E105" s="430">
        <f t="shared" si="10"/>
        <v>0</v>
      </c>
      <c r="F105" s="430">
        <f t="shared" si="10"/>
        <v>0</v>
      </c>
      <c r="G105" s="9">
        <f t="shared" si="10"/>
        <v>0</v>
      </c>
      <c r="H105" s="1623"/>
      <c r="I105" s="1622">
        <f t="shared" ref="I105:T105" si="27">I25+I65</f>
        <v>0</v>
      </c>
      <c r="J105" s="1622">
        <f t="shared" si="27"/>
        <v>0</v>
      </c>
      <c r="K105" s="1622">
        <f t="shared" si="27"/>
        <v>0</v>
      </c>
      <c r="L105" s="1622">
        <f t="shared" si="27"/>
        <v>0</v>
      </c>
      <c r="M105" s="1622">
        <f t="shared" si="27"/>
        <v>0</v>
      </c>
      <c r="N105" s="1622">
        <f t="shared" si="27"/>
        <v>0</v>
      </c>
      <c r="O105" s="1622">
        <f t="shared" si="27"/>
        <v>0</v>
      </c>
      <c r="P105" s="9">
        <f t="shared" si="27"/>
        <v>0</v>
      </c>
      <c r="Q105" s="9">
        <f t="shared" si="27"/>
        <v>0</v>
      </c>
      <c r="R105" s="9">
        <f t="shared" si="27"/>
        <v>0</v>
      </c>
      <c r="S105" s="9">
        <f t="shared" si="27"/>
        <v>0</v>
      </c>
      <c r="T105" s="9">
        <f t="shared" si="27"/>
        <v>0</v>
      </c>
      <c r="U105" s="9" t="e">
        <f t="shared" si="12"/>
        <v>#DIV/0!</v>
      </c>
      <c r="V105" s="9">
        <f t="shared" si="25"/>
        <v>0</v>
      </c>
      <c r="W105" s="1621">
        <f t="shared" si="25"/>
        <v>0</v>
      </c>
      <c r="X105" s="1620">
        <f t="shared" si="25"/>
        <v>0</v>
      </c>
      <c r="Y105" s="1619">
        <f t="shared" si="25"/>
        <v>0</v>
      </c>
      <c r="Z105" s="1618">
        <f t="shared" si="25"/>
        <v>0</v>
      </c>
      <c r="AA105" s="1618">
        <f t="shared" si="25"/>
        <v>0</v>
      </c>
      <c r="AB105" s="1617">
        <f t="shared" si="25"/>
        <v>0</v>
      </c>
    </row>
    <row r="106" spans="1:28" s="1581" customFormat="1" ht="34.5" customHeight="1">
      <c r="A106" s="1625">
        <f t="shared" si="14"/>
        <v>14</v>
      </c>
      <c r="B106" s="1624">
        <f t="shared" si="9"/>
        <v>0</v>
      </c>
      <c r="C106" s="430">
        <f t="shared" si="10"/>
        <v>0</v>
      </c>
      <c r="D106" s="430"/>
      <c r="E106" s="430">
        <f t="shared" si="10"/>
        <v>0</v>
      </c>
      <c r="F106" s="430">
        <f t="shared" si="10"/>
        <v>0</v>
      </c>
      <c r="G106" s="9">
        <f t="shared" si="10"/>
        <v>0</v>
      </c>
      <c r="H106" s="1623"/>
      <c r="I106" s="1622">
        <f t="shared" ref="I106:T106" si="28">I26+I66</f>
        <v>0</v>
      </c>
      <c r="J106" s="1622">
        <f t="shared" si="28"/>
        <v>0</v>
      </c>
      <c r="K106" s="1622">
        <f t="shared" si="28"/>
        <v>0</v>
      </c>
      <c r="L106" s="1622">
        <f t="shared" si="28"/>
        <v>0</v>
      </c>
      <c r="M106" s="1622">
        <f t="shared" si="28"/>
        <v>0</v>
      </c>
      <c r="N106" s="1622">
        <f t="shared" si="28"/>
        <v>0</v>
      </c>
      <c r="O106" s="1622">
        <f t="shared" si="28"/>
        <v>0</v>
      </c>
      <c r="P106" s="9">
        <f t="shared" si="28"/>
        <v>0</v>
      </c>
      <c r="Q106" s="9">
        <f t="shared" si="28"/>
        <v>0</v>
      </c>
      <c r="R106" s="9">
        <f t="shared" si="28"/>
        <v>0</v>
      </c>
      <c r="S106" s="9">
        <f t="shared" si="28"/>
        <v>0</v>
      </c>
      <c r="T106" s="9">
        <f t="shared" si="28"/>
        <v>0</v>
      </c>
      <c r="U106" s="9" t="e">
        <f t="shared" si="12"/>
        <v>#DIV/0!</v>
      </c>
      <c r="V106" s="9">
        <f t="shared" si="25"/>
        <v>0</v>
      </c>
      <c r="W106" s="1621">
        <f t="shared" si="25"/>
        <v>0</v>
      </c>
      <c r="X106" s="1620">
        <f t="shared" si="25"/>
        <v>0</v>
      </c>
      <c r="Y106" s="1619">
        <f t="shared" si="25"/>
        <v>0</v>
      </c>
      <c r="Z106" s="1618">
        <f t="shared" si="25"/>
        <v>0</v>
      </c>
      <c r="AA106" s="1618">
        <f t="shared" si="25"/>
        <v>0</v>
      </c>
      <c r="AB106" s="1617">
        <f t="shared" si="25"/>
        <v>0</v>
      </c>
    </row>
    <row r="107" spans="1:28" s="1581" customFormat="1" ht="34.5" customHeight="1">
      <c r="A107" s="1625">
        <f t="shared" si="14"/>
        <v>15</v>
      </c>
      <c r="B107" s="1624">
        <f t="shared" si="9"/>
        <v>0</v>
      </c>
      <c r="C107" s="430">
        <f t="shared" si="10"/>
        <v>0</v>
      </c>
      <c r="D107" s="430"/>
      <c r="E107" s="430">
        <f t="shared" si="10"/>
        <v>0</v>
      </c>
      <c r="F107" s="430">
        <f t="shared" si="10"/>
        <v>0</v>
      </c>
      <c r="G107" s="9">
        <f t="shared" si="10"/>
        <v>0</v>
      </c>
      <c r="H107" s="1623"/>
      <c r="I107" s="1622">
        <f t="shared" ref="I107:T107" si="29">I27+I67</f>
        <v>0</v>
      </c>
      <c r="J107" s="1622">
        <f t="shared" si="29"/>
        <v>0</v>
      </c>
      <c r="K107" s="1622">
        <f t="shared" si="29"/>
        <v>0</v>
      </c>
      <c r="L107" s="1622">
        <f t="shared" si="29"/>
        <v>0</v>
      </c>
      <c r="M107" s="1622">
        <f t="shared" si="29"/>
        <v>0</v>
      </c>
      <c r="N107" s="1622">
        <f t="shared" si="29"/>
        <v>0</v>
      </c>
      <c r="O107" s="1622">
        <f t="shared" si="29"/>
        <v>0</v>
      </c>
      <c r="P107" s="9">
        <f t="shared" si="29"/>
        <v>0</v>
      </c>
      <c r="Q107" s="9">
        <f t="shared" si="29"/>
        <v>0</v>
      </c>
      <c r="R107" s="9">
        <f t="shared" si="29"/>
        <v>0</v>
      </c>
      <c r="S107" s="9">
        <f t="shared" si="29"/>
        <v>0</v>
      </c>
      <c r="T107" s="9">
        <f t="shared" si="29"/>
        <v>0</v>
      </c>
      <c r="U107" s="9" t="e">
        <f t="shared" si="12"/>
        <v>#DIV/0!</v>
      </c>
      <c r="V107" s="9">
        <f t="shared" si="25"/>
        <v>0</v>
      </c>
      <c r="W107" s="1621">
        <f t="shared" si="25"/>
        <v>0</v>
      </c>
      <c r="X107" s="1620">
        <f t="shared" si="25"/>
        <v>0</v>
      </c>
      <c r="Y107" s="1619">
        <f t="shared" si="25"/>
        <v>0</v>
      </c>
      <c r="Z107" s="1618">
        <f t="shared" si="25"/>
        <v>0</v>
      </c>
      <c r="AA107" s="1618">
        <f t="shared" si="25"/>
        <v>0</v>
      </c>
      <c r="AB107" s="1617">
        <f t="shared" si="25"/>
        <v>0</v>
      </c>
    </row>
    <row r="108" spans="1:28" s="1581" customFormat="1" ht="34.5" customHeight="1">
      <c r="A108" s="1625">
        <f t="shared" si="14"/>
        <v>16</v>
      </c>
      <c r="B108" s="1624">
        <f t="shared" si="9"/>
        <v>0</v>
      </c>
      <c r="C108" s="430">
        <f t="shared" si="10"/>
        <v>0</v>
      </c>
      <c r="D108" s="430"/>
      <c r="E108" s="430">
        <f t="shared" si="10"/>
        <v>0</v>
      </c>
      <c r="F108" s="430">
        <f t="shared" si="10"/>
        <v>0</v>
      </c>
      <c r="G108" s="9">
        <f t="shared" si="10"/>
        <v>0</v>
      </c>
      <c r="H108" s="1623"/>
      <c r="I108" s="1622">
        <f t="shared" ref="I108:T108" si="30">I28+I68</f>
        <v>0</v>
      </c>
      <c r="J108" s="1622">
        <f t="shared" si="30"/>
        <v>0</v>
      </c>
      <c r="K108" s="1622">
        <f t="shared" si="30"/>
        <v>0</v>
      </c>
      <c r="L108" s="1622">
        <f t="shared" si="30"/>
        <v>0</v>
      </c>
      <c r="M108" s="1622">
        <f t="shared" si="30"/>
        <v>0</v>
      </c>
      <c r="N108" s="1622">
        <f t="shared" si="30"/>
        <v>0</v>
      </c>
      <c r="O108" s="1622">
        <f t="shared" si="30"/>
        <v>0</v>
      </c>
      <c r="P108" s="9">
        <f t="shared" si="30"/>
        <v>0</v>
      </c>
      <c r="Q108" s="9">
        <f t="shared" si="30"/>
        <v>0</v>
      </c>
      <c r="R108" s="9">
        <f t="shared" si="30"/>
        <v>0</v>
      </c>
      <c r="S108" s="9">
        <f t="shared" si="30"/>
        <v>0</v>
      </c>
      <c r="T108" s="9">
        <f t="shared" si="30"/>
        <v>0</v>
      </c>
      <c r="U108" s="9" t="e">
        <f t="shared" si="12"/>
        <v>#DIV/0!</v>
      </c>
      <c r="V108" s="9">
        <f t="shared" si="25"/>
        <v>0</v>
      </c>
      <c r="W108" s="1621">
        <f t="shared" si="25"/>
        <v>0</v>
      </c>
      <c r="X108" s="1620">
        <f t="shared" si="25"/>
        <v>0</v>
      </c>
      <c r="Y108" s="1619">
        <f t="shared" si="25"/>
        <v>0</v>
      </c>
      <c r="Z108" s="1618">
        <f t="shared" si="25"/>
        <v>0</v>
      </c>
      <c r="AA108" s="1618">
        <f t="shared" si="25"/>
        <v>0</v>
      </c>
      <c r="AB108" s="1617">
        <f t="shared" si="25"/>
        <v>0</v>
      </c>
    </row>
    <row r="109" spans="1:28" s="1581" customFormat="1" ht="15.75" thickBot="1">
      <c r="A109" s="1608"/>
      <c r="B109" s="1616"/>
      <c r="C109" s="1615"/>
      <c r="D109" s="1615"/>
      <c r="E109" s="1615"/>
      <c r="F109" s="1610"/>
      <c r="G109" s="1611"/>
      <c r="H109" s="1611"/>
      <c r="I109" s="1614"/>
      <c r="J109" s="1614"/>
      <c r="K109" s="1614"/>
      <c r="L109" s="1614"/>
      <c r="M109" s="1610"/>
      <c r="N109" s="1610"/>
      <c r="O109" s="1613"/>
      <c r="P109" s="1612"/>
      <c r="Q109" s="1611"/>
      <c r="R109" s="1611"/>
      <c r="S109" s="1610"/>
      <c r="T109" s="1610"/>
      <c r="U109" s="1610"/>
      <c r="V109" s="1610"/>
      <c r="W109" s="1609"/>
      <c r="X109" s="1608"/>
      <c r="Y109" s="1607"/>
      <c r="Z109" s="1606"/>
      <c r="AA109" s="1606"/>
      <c r="AB109" s="1605"/>
    </row>
    <row r="110" spans="1:28" s="1586" customFormat="1" ht="55.5" customHeight="1" thickBot="1">
      <c r="A110" s="1604"/>
      <c r="B110" s="1603" t="s">
        <v>1507</v>
      </c>
      <c r="C110" s="1602">
        <f t="shared" ref="C110:T110" si="31">SUM(C93:C108)</f>
        <v>800</v>
      </c>
      <c r="D110" s="1602"/>
      <c r="E110" s="1602">
        <f t="shared" si="31"/>
        <v>8601</v>
      </c>
      <c r="F110" s="1602">
        <f t="shared" si="31"/>
        <v>29340350000</v>
      </c>
      <c r="G110" s="1602">
        <f t="shared" si="31"/>
        <v>5280963000</v>
      </c>
      <c r="H110" s="1602">
        <f t="shared" si="31"/>
        <v>0</v>
      </c>
      <c r="I110" s="1602">
        <f t="shared" si="31"/>
        <v>25416591301.666664</v>
      </c>
      <c r="J110" s="1602">
        <f t="shared" si="31"/>
        <v>4405455900</v>
      </c>
      <c r="K110" s="1602">
        <f t="shared" si="31"/>
        <v>24313689100</v>
      </c>
      <c r="L110" s="1602">
        <f t="shared" si="31"/>
        <v>4208341600</v>
      </c>
      <c r="M110" s="1602">
        <f t="shared" si="31"/>
        <v>0</v>
      </c>
      <c r="N110" s="1602">
        <f t="shared" si="31"/>
        <v>545570300</v>
      </c>
      <c r="O110" s="1602">
        <f t="shared" si="31"/>
        <v>97423000</v>
      </c>
      <c r="P110" s="1602">
        <f t="shared" si="31"/>
        <v>0</v>
      </c>
      <c r="Q110" s="1602">
        <f t="shared" si="31"/>
        <v>24859259400</v>
      </c>
      <c r="R110" s="1602">
        <f t="shared" si="31"/>
        <v>4305764600</v>
      </c>
      <c r="S110" s="1602">
        <f t="shared" si="31"/>
        <v>0</v>
      </c>
      <c r="T110" s="1602">
        <f t="shared" si="31"/>
        <v>4481090600</v>
      </c>
      <c r="U110" s="2825">
        <f>SUM(Q110/I110)*100</f>
        <v>97.807212245529882</v>
      </c>
      <c r="V110" s="2823">
        <f t="shared" ref="V110:AB110" si="32">SUM(V93:V108)</f>
        <v>557331901.66666675</v>
      </c>
      <c r="W110" s="1601">
        <f t="shared" si="32"/>
        <v>90020800</v>
      </c>
      <c r="X110" s="1600">
        <f t="shared" si="32"/>
        <v>520225001.66666669</v>
      </c>
      <c r="Y110" s="1599">
        <f t="shared" si="32"/>
        <v>123286900</v>
      </c>
      <c r="Z110" s="1598">
        <f t="shared" si="32"/>
        <v>1250000</v>
      </c>
      <c r="AA110" s="1598">
        <f t="shared" si="32"/>
        <v>124613100</v>
      </c>
      <c r="AB110" s="1597">
        <f t="shared" si="32"/>
        <v>282434700</v>
      </c>
    </row>
    <row r="111" spans="1:28" s="1581" customFormat="1" ht="16.5" thickTop="1">
      <c r="G111" s="1586"/>
      <c r="I111" s="1586"/>
      <c r="J111" s="1586"/>
      <c r="K111" s="1586"/>
      <c r="L111" s="1586"/>
      <c r="M111" s="1594"/>
      <c r="N111" s="1594"/>
      <c r="O111" s="1596"/>
      <c r="P111" s="1595"/>
      <c r="Q111" s="1594"/>
      <c r="R111" s="1594"/>
    </row>
    <row r="112" spans="1:28" s="1581" customFormat="1" ht="16.5" customHeight="1">
      <c r="F112" s="1586"/>
      <c r="I112" s="1586"/>
      <c r="J112" s="1586"/>
      <c r="K112" s="1593">
        <f>K110-('Kas SPP'!$D$12+'Kas SPP'!$D$13)</f>
        <v>0</v>
      </c>
      <c r="L112" s="1593">
        <f>L110-('Kas SPP'!$E$12+'Kas SPP'!$E$13)</f>
        <v>0</v>
      </c>
      <c r="M112" s="1592"/>
      <c r="N112" s="1591">
        <f>N110-'Kas SPP'!$D$365</f>
        <v>0</v>
      </c>
      <c r="O112" s="1591">
        <f>O110-'Kas SPP'!$E$365</f>
        <v>0</v>
      </c>
      <c r="P112" s="1590"/>
      <c r="Q112" s="1589">
        <f>Q110-'Kas SPP'!$D$367</f>
        <v>0</v>
      </c>
      <c r="R112" s="1589">
        <f>R110-'Kas SPP'!$E$367</f>
        <v>0</v>
      </c>
      <c r="V112" s="1588">
        <f>V110+Q110-I110</f>
        <v>0</v>
      </c>
      <c r="W112" s="1588">
        <f>W110+R110-J110</f>
        <v>-9670500</v>
      </c>
    </row>
    <row r="113" spans="1:20" s="1581" customFormat="1" ht="15">
      <c r="A113" s="1587"/>
      <c r="B113" s="1587"/>
      <c r="K113" s="1586"/>
      <c r="L113" s="1586"/>
      <c r="O113" s="1585"/>
      <c r="P113" s="1584"/>
      <c r="Q113" s="1583"/>
      <c r="R113" s="1582"/>
      <c r="T113" s="1573" t="str">
        <f>T33</f>
        <v>Nagrak, 29 Februari 2016 2016</v>
      </c>
    </row>
    <row r="114" spans="1:20" s="1572" customFormat="1" ht="15">
      <c r="G114" s="1574" t="s">
        <v>21</v>
      </c>
      <c r="P114" s="1574"/>
      <c r="T114" s="1574" t="s">
        <v>22</v>
      </c>
    </row>
    <row r="115" spans="1:20" s="1572" customFormat="1" ht="20.25" customHeight="1">
      <c r="N115" s="1580"/>
      <c r="O115" s="1579"/>
      <c r="T115" s="1574"/>
    </row>
    <row r="116" spans="1:20" s="1572" customFormat="1" ht="20.25" customHeight="1">
      <c r="N116" s="1580"/>
      <c r="O116" s="1579"/>
      <c r="Q116" s="1578"/>
      <c r="T116" s="1574"/>
    </row>
    <row r="117" spans="1:20" s="1572" customFormat="1" ht="20.25" customHeight="1">
      <c r="P117" s="1574"/>
      <c r="T117" s="1574"/>
    </row>
    <row r="118" spans="1:20" s="1572" customFormat="1" ht="20.25" customHeight="1">
      <c r="P118" s="1574"/>
      <c r="Q118" s="1577"/>
      <c r="R118" s="1577"/>
      <c r="T118" s="1574"/>
    </row>
    <row r="119" spans="1:20" s="1572" customFormat="1" ht="15">
      <c r="G119" s="1575" t="str">
        <f>G39</f>
        <v>Endang Taryana</v>
      </c>
      <c r="N119" s="1576"/>
      <c r="P119" s="1575"/>
      <c r="T119" s="1575" t="str">
        <f>T39</f>
        <v>Arin Yustini, SE</v>
      </c>
    </row>
    <row r="120" spans="1:20" s="1572" customFormat="1" ht="15">
      <c r="G120" s="1574" t="s">
        <v>23</v>
      </c>
      <c r="P120" s="1573"/>
      <c r="T120" s="1573" t="s">
        <v>24</v>
      </c>
    </row>
  </sheetData>
  <sheetProtection formatColumns="0" formatRows="0"/>
  <protectedRanges>
    <protectedRange sqref="K112:R112" name="Range1"/>
  </protectedRanges>
  <mergeCells count="54">
    <mergeCell ref="N50:P50"/>
    <mergeCell ref="A83:W83"/>
    <mergeCell ref="F50:G50"/>
    <mergeCell ref="F90:G90"/>
    <mergeCell ref="Q50:S50"/>
    <mergeCell ref="A81:W81"/>
    <mergeCell ref="E90:E92"/>
    <mergeCell ref="A82:W82"/>
    <mergeCell ref="C90:C92"/>
    <mergeCell ref="A42:W42"/>
    <mergeCell ref="A84:W84"/>
    <mergeCell ref="I90:J90"/>
    <mergeCell ref="X90:X91"/>
    <mergeCell ref="K50:M50"/>
    <mergeCell ref="U90:U91"/>
    <mergeCell ref="A43:W43"/>
    <mergeCell ref="V90:W90"/>
    <mergeCell ref="Q90:S90"/>
    <mergeCell ref="H90:H91"/>
    <mergeCell ref="T50:T51"/>
    <mergeCell ref="K90:M90"/>
    <mergeCell ref="T90:T91"/>
    <mergeCell ref="N90:P90"/>
    <mergeCell ref="A90:A91"/>
    <mergeCell ref="B90:B91"/>
    <mergeCell ref="X10:X11"/>
    <mergeCell ref="F10:G10"/>
    <mergeCell ref="H10:H11"/>
    <mergeCell ref="E10:E12"/>
    <mergeCell ref="A50:A51"/>
    <mergeCell ref="A41:W41"/>
    <mergeCell ref="U50:U51"/>
    <mergeCell ref="I10:J10"/>
    <mergeCell ref="E50:E52"/>
    <mergeCell ref="I50:J50"/>
    <mergeCell ref="C50:C52"/>
    <mergeCell ref="B50:B51"/>
    <mergeCell ref="V50:W50"/>
    <mergeCell ref="A44:W44"/>
    <mergeCell ref="H50:H51"/>
    <mergeCell ref="X50:X51"/>
    <mergeCell ref="A1:W1"/>
    <mergeCell ref="A2:W2"/>
    <mergeCell ref="A3:W3"/>
    <mergeCell ref="A4:W4"/>
    <mergeCell ref="K10:M10"/>
    <mergeCell ref="N10:P10"/>
    <mergeCell ref="A10:A11"/>
    <mergeCell ref="Q10:S10"/>
    <mergeCell ref="U10:U11"/>
    <mergeCell ref="C10:C12"/>
    <mergeCell ref="B10:B11"/>
    <mergeCell ref="T10:T11"/>
    <mergeCell ref="V10:W10"/>
  </mergeCells>
  <pageMargins left="0.27559055118110237" right="0" top="0.86614173228346458" bottom="0.23622047244094491" header="0.35433070866141736" footer="0.51181102362204722"/>
  <pageSetup paperSize="9" scale="42" orientation="landscape" horizontalDpi="4294967293" verticalDpi="4294967293" r:id="rId1"/>
  <headerFooter alignWithMargins="0"/>
  <rowBreaks count="2" manualBreakCount="2">
    <brk id="40" max="21" man="1"/>
    <brk id="80" max="21" man="1"/>
  </rowBreaks>
  <drawing r:id="rId2"/>
  <legacyDrawing r:id="rId3"/>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11"/>
  </sheetPr>
  <dimension ref="A1:AB120"/>
  <sheetViews>
    <sheetView zoomScale="55" zoomScaleNormal="55" workbookViewId="0">
      <pane xSplit="2" ySplit="12" topLeftCell="C49" activePane="bottomRight" state="frozen"/>
      <selection activeCell="K118" sqref="K118"/>
      <selection pane="topRight" activeCell="K118" sqref="K118"/>
      <selection pane="bottomLeft" activeCell="K118" sqref="K118"/>
      <selection pane="bottomRight" activeCell="B13" sqref="B13"/>
    </sheetView>
  </sheetViews>
  <sheetFormatPr defaultColWidth="9.140625" defaultRowHeight="12.75"/>
  <cols>
    <col min="1" max="1" width="6" style="1570" customWidth="1"/>
    <col min="2" max="2" width="22.42578125" style="1570" customWidth="1"/>
    <col min="3" max="3" width="7" style="1570" customWidth="1"/>
    <col min="4" max="4" width="7.140625" style="1570" hidden="1" customWidth="1"/>
    <col min="5" max="5" width="7.140625" style="1570" customWidth="1"/>
    <col min="6" max="6" width="16" style="1570" customWidth="1"/>
    <col min="7" max="7" width="16.140625" style="1570" customWidth="1"/>
    <col min="8" max="8" width="16.85546875" style="1570" customWidth="1"/>
    <col min="9" max="9" width="16.7109375" style="1571" customWidth="1"/>
    <col min="10" max="10" width="14.85546875" style="1571" customWidth="1"/>
    <col min="11" max="11" width="16.140625" style="1571" customWidth="1"/>
    <col min="12" max="12" width="15.140625" style="1571" customWidth="1"/>
    <col min="13" max="13" width="9.42578125" style="1570" customWidth="1"/>
    <col min="14" max="14" width="14.7109375" style="1570" customWidth="1"/>
    <col min="15" max="15" width="13.42578125" style="1570" customWidth="1"/>
    <col min="16" max="16" width="9.42578125" style="1570" customWidth="1"/>
    <col min="17" max="17" width="17.140625" style="1570" customWidth="1"/>
    <col min="18" max="18" width="15.7109375" style="1570" customWidth="1"/>
    <col min="19" max="19" width="8.7109375" style="1570" customWidth="1"/>
    <col min="20" max="20" width="16.28515625" style="1570" customWidth="1"/>
    <col min="21" max="21" width="11.42578125" style="1570" customWidth="1"/>
    <col min="22" max="22" width="15.28515625" style="1570" customWidth="1"/>
    <col min="23" max="23" width="13.85546875" style="1570" customWidth="1"/>
    <col min="24" max="24" width="0.42578125" style="1570" customWidth="1"/>
    <col min="25" max="25" width="16.28515625" style="1570" customWidth="1"/>
    <col min="26" max="26" width="16.140625" style="1570" customWidth="1"/>
    <col min="27" max="27" width="15.5703125" style="1570" customWidth="1"/>
    <col min="28" max="28" width="15.7109375" style="1570" customWidth="1"/>
    <col min="29" max="16384" width="9.140625" style="1570"/>
  </cols>
  <sheetData>
    <row r="1" spans="1:28" ht="21.75" customHeight="1">
      <c r="A1" s="3410" t="s">
        <v>123</v>
      </c>
      <c r="B1" s="3410"/>
      <c r="C1" s="3410"/>
      <c r="D1" s="3410"/>
      <c r="E1" s="3410"/>
      <c r="F1" s="3410"/>
      <c r="G1" s="3410"/>
      <c r="H1" s="3410"/>
      <c r="I1" s="3410"/>
      <c r="J1" s="3410"/>
      <c r="K1" s="3410"/>
      <c r="L1" s="3410"/>
      <c r="M1" s="3410"/>
      <c r="N1" s="3410"/>
      <c r="O1" s="3410"/>
      <c r="P1" s="3410"/>
      <c r="Q1" s="3410"/>
      <c r="R1" s="3410"/>
      <c r="S1" s="3410"/>
      <c r="T1" s="3410"/>
      <c r="U1" s="3410"/>
      <c r="V1" s="3410"/>
      <c r="W1" s="3410"/>
      <c r="X1" s="1661"/>
      <c r="Y1" s="1661"/>
      <c r="Z1" s="1661"/>
      <c r="AA1" s="1661"/>
      <c r="AB1" s="1661"/>
    </row>
    <row r="2" spans="1:28" ht="21.75" customHeight="1">
      <c r="A2" s="3410" t="s">
        <v>1657</v>
      </c>
      <c r="B2" s="3410"/>
      <c r="C2" s="3410"/>
      <c r="D2" s="3410"/>
      <c r="E2" s="3410"/>
      <c r="F2" s="3410"/>
      <c r="G2" s="3410"/>
      <c r="H2" s="3410"/>
      <c r="I2" s="3410"/>
      <c r="J2" s="3410"/>
      <c r="K2" s="3410"/>
      <c r="L2" s="3410"/>
      <c r="M2" s="3410"/>
      <c r="N2" s="3410"/>
      <c r="O2" s="3410"/>
      <c r="P2" s="3410"/>
      <c r="Q2" s="3410"/>
      <c r="R2" s="3410"/>
      <c r="S2" s="3410"/>
      <c r="T2" s="3410"/>
      <c r="U2" s="3410"/>
      <c r="V2" s="3410"/>
      <c r="W2" s="3410"/>
      <c r="X2" s="1661"/>
      <c r="Y2" s="1661"/>
      <c r="Z2" s="1661"/>
      <c r="AA2" s="1661"/>
      <c r="AB2" s="1661"/>
    </row>
    <row r="3" spans="1:28"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1662"/>
      <c r="Y3" s="1661"/>
      <c r="Z3" s="1661"/>
      <c r="AA3" s="1661"/>
      <c r="AB3" s="1661"/>
    </row>
    <row r="4" spans="1:28" ht="21.75" customHeight="1">
      <c r="A4" s="3410" t="str">
        <f>"Per - "&amp;DT!D25&amp;" "&amp;DT!D26</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1661"/>
      <c r="Y4" s="1661"/>
      <c r="Z4" s="1661"/>
      <c r="AA4" s="1661"/>
      <c r="AB4" s="1661"/>
    </row>
    <row r="6" spans="1:28" s="1581" customFormat="1" ht="20.25" customHeight="1">
      <c r="A6" s="1659"/>
      <c r="B6" s="1659" t="s">
        <v>2</v>
      </c>
      <c r="C6" s="1595"/>
      <c r="D6" s="1595"/>
      <c r="E6" s="1595"/>
      <c r="F6" s="1658" t="str">
        <f>":  "&amp;DT!D3</f>
        <v>:  Nagrak</v>
      </c>
      <c r="I6" s="1586"/>
      <c r="J6" s="1586"/>
      <c r="K6" s="1586"/>
      <c r="L6" s="1586"/>
    </row>
    <row r="7" spans="1:28" s="1581" customFormat="1" ht="20.25" customHeight="1">
      <c r="A7" s="1659"/>
      <c r="B7" s="1659" t="s">
        <v>4</v>
      </c>
      <c r="C7" s="1595"/>
      <c r="D7" s="1595"/>
      <c r="E7" s="1595"/>
      <c r="F7" s="1658" t="str">
        <f>":  "&amp;DT!D4</f>
        <v>:  Sukabumi</v>
      </c>
      <c r="I7" s="1586"/>
      <c r="J7" s="1586"/>
      <c r="K7" s="1586"/>
      <c r="L7" s="1586"/>
      <c r="V7" s="1660"/>
    </row>
    <row r="8" spans="1:28" s="1581" customFormat="1" ht="20.25" customHeight="1">
      <c r="A8" s="1659"/>
      <c r="B8" s="1659" t="s">
        <v>1516</v>
      </c>
      <c r="C8" s="1595"/>
      <c r="D8" s="1595"/>
      <c r="E8" s="1595"/>
      <c r="F8" s="1658" t="str">
        <f>":  "&amp;DT!D5</f>
        <v>:  Jawa Barat</v>
      </c>
      <c r="I8" s="1586"/>
      <c r="J8" s="1586"/>
      <c r="K8" s="1586"/>
      <c r="L8" s="1586"/>
      <c r="M8" s="1586"/>
      <c r="N8" s="1586"/>
    </row>
    <row r="9" spans="1:28" s="1581" customFormat="1" ht="15.75" thickBot="1">
      <c r="G9" s="1657"/>
      <c r="H9" s="1657"/>
      <c r="I9" s="1657"/>
      <c r="J9" s="1657"/>
      <c r="K9" s="1657"/>
      <c r="L9" s="1657"/>
    </row>
    <row r="10" spans="1:28" s="1581" customFormat="1" ht="86.25" customHeight="1" thickTop="1">
      <c r="A10" s="3410" t="s">
        <v>36</v>
      </c>
      <c r="B10" s="3410" t="s">
        <v>1515</v>
      </c>
      <c r="C10" s="3410" t="s">
        <v>1505</v>
      </c>
      <c r="D10" s="1943"/>
      <c r="E10" s="3410" t="s">
        <v>1498</v>
      </c>
      <c r="F10" s="3410" t="s">
        <v>1497</v>
      </c>
      <c r="G10" s="3410"/>
      <c r="H10" s="3410" t="s">
        <v>1496</v>
      </c>
      <c r="I10" s="3410" t="s">
        <v>1514</v>
      </c>
      <c r="J10" s="3410"/>
      <c r="K10" s="3410" t="s">
        <v>1513</v>
      </c>
      <c r="L10" s="3410"/>
      <c r="M10" s="3410"/>
      <c r="N10" s="3410" t="s">
        <v>1489</v>
      </c>
      <c r="O10" s="3410"/>
      <c r="P10" s="3410"/>
      <c r="Q10" s="3410" t="s">
        <v>1488</v>
      </c>
      <c r="R10" s="3410"/>
      <c r="S10" s="3410"/>
      <c r="T10" s="3410" t="s">
        <v>1487</v>
      </c>
      <c r="U10" s="3410" t="s">
        <v>1486</v>
      </c>
      <c r="V10" s="3410" t="s">
        <v>1485</v>
      </c>
      <c r="W10" s="3410"/>
      <c r="X10" s="3410" t="s">
        <v>1512</v>
      </c>
      <c r="Y10" s="1656" t="s">
        <v>1511</v>
      </c>
      <c r="Z10" s="1655" t="s">
        <v>1510</v>
      </c>
      <c r="AA10" s="1655" t="s">
        <v>1509</v>
      </c>
      <c r="AB10" s="1654" t="s">
        <v>1508</v>
      </c>
    </row>
    <row r="11" spans="1:28" s="1581" customFormat="1" ht="26.25" customHeight="1" thickBot="1">
      <c r="A11" s="3410"/>
      <c r="B11" s="3410"/>
      <c r="C11" s="3410"/>
      <c r="D11" s="1944"/>
      <c r="E11" s="3410"/>
      <c r="F11" s="1653" t="s">
        <v>16</v>
      </c>
      <c r="G11" s="1653" t="s">
        <v>1476</v>
      </c>
      <c r="H11" s="3410"/>
      <c r="I11" s="1651" t="s">
        <v>16</v>
      </c>
      <c r="J11" s="1651" t="s">
        <v>1476</v>
      </c>
      <c r="K11" s="1651" t="s">
        <v>16</v>
      </c>
      <c r="L11" s="1651" t="s">
        <v>1476</v>
      </c>
      <c r="M11" s="1651" t="s">
        <v>1477</v>
      </c>
      <c r="N11" s="1651" t="s">
        <v>16</v>
      </c>
      <c r="O11" s="1651" t="s">
        <v>1476</v>
      </c>
      <c r="P11" s="1651" t="s">
        <v>1477</v>
      </c>
      <c r="Q11" s="1651" t="s">
        <v>16</v>
      </c>
      <c r="R11" s="1651" t="s">
        <v>1476</v>
      </c>
      <c r="S11" s="1652" t="s">
        <v>1477</v>
      </c>
      <c r="T11" s="3410"/>
      <c r="U11" s="3410"/>
      <c r="V11" s="1651" t="s">
        <v>16</v>
      </c>
      <c r="W11" s="1650" t="s">
        <v>1476</v>
      </c>
      <c r="X11" s="3410"/>
      <c r="Y11" s="1649" t="s">
        <v>1475</v>
      </c>
      <c r="Z11" s="1648" t="s">
        <v>1474</v>
      </c>
      <c r="AA11" s="1648" t="s">
        <v>1473</v>
      </c>
      <c r="AB11" s="1647" t="s">
        <v>1472</v>
      </c>
    </row>
    <row r="12" spans="1:28" s="1629" customFormat="1" ht="15.75" customHeight="1" thickTop="1" thickBot="1">
      <c r="A12" s="1641">
        <v>1</v>
      </c>
      <c r="B12" s="1646">
        <v>2</v>
      </c>
      <c r="C12" s="3410"/>
      <c r="D12" s="1945"/>
      <c r="E12" s="3410"/>
      <c r="F12" s="1644">
        <v>4</v>
      </c>
      <c r="G12" s="1645">
        <v>5</v>
      </c>
      <c r="H12" s="1644">
        <v>6</v>
      </c>
      <c r="I12" s="1644">
        <v>7</v>
      </c>
      <c r="J12" s="1644">
        <v>8</v>
      </c>
      <c r="K12" s="1644">
        <v>9</v>
      </c>
      <c r="L12" s="1644">
        <v>10</v>
      </c>
      <c r="M12" s="1644">
        <v>11</v>
      </c>
      <c r="N12" s="1644">
        <v>12</v>
      </c>
      <c r="O12" s="1644">
        <v>13</v>
      </c>
      <c r="P12" s="1644">
        <v>14</v>
      </c>
      <c r="Q12" s="1644" t="s">
        <v>1471</v>
      </c>
      <c r="R12" s="1644" t="s">
        <v>1470</v>
      </c>
      <c r="S12" s="1643" t="s">
        <v>1469</v>
      </c>
      <c r="T12" s="1643" t="s">
        <v>1468</v>
      </c>
      <c r="U12" s="1644" t="s">
        <v>1467</v>
      </c>
      <c r="V12" s="1643" t="s">
        <v>1466</v>
      </c>
      <c r="W12" s="1642" t="s">
        <v>1465</v>
      </c>
      <c r="X12" s="1646">
        <v>22</v>
      </c>
      <c r="Y12" s="1640">
        <v>23</v>
      </c>
      <c r="Z12" s="1639">
        <v>24</v>
      </c>
      <c r="AA12" s="1639">
        <v>25</v>
      </c>
      <c r="AB12" s="1638">
        <v>26</v>
      </c>
    </row>
    <row r="13" spans="1:28" s="1629" customFormat="1" ht="34.5" customHeight="1" thickTop="1">
      <c r="A13" s="1637">
        <v>1</v>
      </c>
      <c r="B13" s="1636" t="str">
        <f>DT!I3</f>
        <v>CIHANYAWAR</v>
      </c>
      <c r="C13" s="1675">
        <f>'SPP K3-1'!D49</f>
        <v>0</v>
      </c>
      <c r="D13" s="1675">
        <f>'SPP K3-1'!E49</f>
        <v>0</v>
      </c>
      <c r="E13" s="1635">
        <f>'SPP K3-1'!D48</f>
        <v>0</v>
      </c>
      <c r="F13" s="1635">
        <f>'SPP K3-1'!E48</f>
        <v>0</v>
      </c>
      <c r="G13" s="1635">
        <f>'SPP K3-1'!F48</f>
        <v>0</v>
      </c>
      <c r="H13" s="1627"/>
      <c r="I13" s="1635">
        <f>'SPP K3-1'!M48</f>
        <v>0</v>
      </c>
      <c r="J13" s="1635">
        <f>'SPP K3-1'!N48</f>
        <v>0</v>
      </c>
      <c r="K13" s="1635">
        <f>'SPP K3-1'!O48</f>
        <v>0</v>
      </c>
      <c r="L13" s="1635">
        <f>'SPP K3-1'!P48</f>
        <v>0</v>
      </c>
      <c r="M13" s="1635">
        <f>'SPP K3-1'!Q48</f>
        <v>0</v>
      </c>
      <c r="N13" s="1635">
        <f>'SPP K3-1'!R48</f>
        <v>0</v>
      </c>
      <c r="O13" s="1635">
        <f>'SPP K3-1'!S48</f>
        <v>0</v>
      </c>
      <c r="P13" s="1635">
        <f>'SPP K3-1'!T48</f>
        <v>0</v>
      </c>
      <c r="Q13" s="1635">
        <f>'SPP K3-1'!U48</f>
        <v>0</v>
      </c>
      <c r="R13" s="1635">
        <f>'SPP K3-1'!V48</f>
        <v>0</v>
      </c>
      <c r="S13" s="1635">
        <f>'SPP K3-1'!W48</f>
        <v>0</v>
      </c>
      <c r="T13" s="1635">
        <f>'SPP K3-1'!X48</f>
        <v>0</v>
      </c>
      <c r="U13" s="1635" t="e">
        <f>SUM(Q13/I13)*100</f>
        <v>#DIV/0!</v>
      </c>
      <c r="V13" s="1635">
        <f>'SPP K3-1'!Z48</f>
        <v>0</v>
      </c>
      <c r="W13" s="1634">
        <f>'SPP K3-1'!AA48</f>
        <v>0</v>
      </c>
      <c r="X13" s="1680">
        <f>'SPP K3-1'!AB48</f>
        <v>0</v>
      </c>
      <c r="Y13" s="1632">
        <f>'SPP K3-1'!AC48</f>
        <v>0</v>
      </c>
      <c r="Z13" s="1631">
        <f>'SPP K3-1'!AD48</f>
        <v>0</v>
      </c>
      <c r="AA13" s="1631">
        <f>'SPP K3-1'!AE48</f>
        <v>0</v>
      </c>
      <c r="AB13" s="1630">
        <f>'SPP K3-1'!AF48</f>
        <v>0</v>
      </c>
    </row>
    <row r="14" spans="1:28" s="1581" customFormat="1" ht="34.5" customHeight="1">
      <c r="A14" s="1625">
        <f>A13+1</f>
        <v>2</v>
      </c>
      <c r="B14" s="1628" t="str">
        <f>DT!I4</f>
        <v>NAGRAK UTARA</v>
      </c>
      <c r="C14" s="1672">
        <f>'SPP K3-2'!D49</f>
        <v>0</v>
      </c>
      <c r="D14" s="1672">
        <f>'SPP K3-2'!E49</f>
        <v>0</v>
      </c>
      <c r="E14" s="430">
        <f>'SPP K3-2'!D48</f>
        <v>0</v>
      </c>
      <c r="F14" s="430">
        <f>'SPP K3-2'!E48</f>
        <v>0</v>
      </c>
      <c r="G14" s="430">
        <f>'SPP K3-2'!F48</f>
        <v>0</v>
      </c>
      <c r="H14" s="1627"/>
      <c r="I14" s="430">
        <f>'SPP K3-2'!M48</f>
        <v>0</v>
      </c>
      <c r="J14" s="430">
        <f>'SPP K3-2'!N48</f>
        <v>0</v>
      </c>
      <c r="K14" s="430">
        <f>'SPP K3-2'!O48</f>
        <v>0</v>
      </c>
      <c r="L14" s="430">
        <f>'SPP K3-2'!P48</f>
        <v>0</v>
      </c>
      <c r="M14" s="430">
        <f>'SPP K3-2'!Q48</f>
        <v>0</v>
      </c>
      <c r="N14" s="430">
        <f>'SPP K3-2'!R48</f>
        <v>0</v>
      </c>
      <c r="O14" s="430">
        <f>'SPP K3-2'!S48</f>
        <v>0</v>
      </c>
      <c r="P14" s="430">
        <f>'SPP K3-2'!T48</f>
        <v>0</v>
      </c>
      <c r="Q14" s="430">
        <f>'SPP K3-2'!U48</f>
        <v>0</v>
      </c>
      <c r="R14" s="430">
        <f>'SPP K3-2'!V48</f>
        <v>0</v>
      </c>
      <c r="S14" s="430">
        <f>'SPP K3-2'!W48</f>
        <v>0</v>
      </c>
      <c r="T14" s="430">
        <f>'SPP K3-2'!X48</f>
        <v>0</v>
      </c>
      <c r="U14" s="9" t="e">
        <f>SUM(Q14/I14)*100</f>
        <v>#DIV/0!</v>
      </c>
      <c r="V14" s="430">
        <f>'SPP K3-2'!Z48</f>
        <v>0</v>
      </c>
      <c r="W14" s="1674">
        <f>'SPP K3-2'!AA48</f>
        <v>0</v>
      </c>
      <c r="X14" s="432">
        <f>'SPP K3-2'!AB48</f>
        <v>0</v>
      </c>
      <c r="Y14" s="1619">
        <f>'SPP K3-2'!AC48</f>
        <v>0</v>
      </c>
      <c r="Z14" s="1618">
        <f>'SPP K3-2'!AD48</f>
        <v>0</v>
      </c>
      <c r="AA14" s="1618">
        <f>'SPP K3-2'!AE48</f>
        <v>0</v>
      </c>
      <c r="AB14" s="1617">
        <f>'SPP K3-2'!AF48</f>
        <v>0</v>
      </c>
    </row>
    <row r="15" spans="1:28" s="1581" customFormat="1" ht="34.5" customHeight="1">
      <c r="A15" s="1625">
        <f t="shared" ref="A15:A27" si="0">A14+1</f>
        <v>3</v>
      </c>
      <c r="B15" s="1628" t="str">
        <f>DT!I5</f>
        <v>DARMAREJA</v>
      </c>
      <c r="C15" s="1672">
        <f>'SPP K3-3'!D49</f>
        <v>0</v>
      </c>
      <c r="D15" s="1672">
        <f>'SPP K3-3'!E49</f>
        <v>0</v>
      </c>
      <c r="E15" s="430">
        <f>'SPP K3-3'!D48</f>
        <v>0</v>
      </c>
      <c r="F15" s="430">
        <f>'SPP K3-3'!E48</f>
        <v>0</v>
      </c>
      <c r="G15" s="430">
        <f>'SPP K3-3'!F48</f>
        <v>0</v>
      </c>
      <c r="H15" s="1627"/>
      <c r="I15" s="430">
        <f>'SPP K3-3'!M48</f>
        <v>0</v>
      </c>
      <c r="J15" s="430">
        <f>'SPP K3-3'!N48</f>
        <v>0</v>
      </c>
      <c r="K15" s="430">
        <f>'SPP K3-3'!O48</f>
        <v>0</v>
      </c>
      <c r="L15" s="430">
        <f>'SPP K3-3'!P48</f>
        <v>0</v>
      </c>
      <c r="M15" s="430">
        <f>'SPP K3-3'!Q48</f>
        <v>0</v>
      </c>
      <c r="N15" s="430">
        <f>'SPP K3-3'!R48</f>
        <v>0</v>
      </c>
      <c r="O15" s="430">
        <f>'SPP K3-3'!S48</f>
        <v>0</v>
      </c>
      <c r="P15" s="430">
        <f>'SPP K3-3'!T48</f>
        <v>0</v>
      </c>
      <c r="Q15" s="430">
        <f>'SPP K3-3'!U48</f>
        <v>0</v>
      </c>
      <c r="R15" s="430">
        <f>'SPP K3-3'!V48</f>
        <v>0</v>
      </c>
      <c r="S15" s="430">
        <f>'SPP K3-3'!W48</f>
        <v>0</v>
      </c>
      <c r="T15" s="430">
        <f>'SPP K3-3'!X48</f>
        <v>0</v>
      </c>
      <c r="U15" s="9" t="e">
        <f t="shared" ref="U15:U30" si="1">SUM(Q15/I15)*100</f>
        <v>#DIV/0!</v>
      </c>
      <c r="V15" s="430">
        <f>'SPP K3-3'!Z48</f>
        <v>0</v>
      </c>
      <c r="W15" s="1674">
        <f>'SPP K3-3'!AA48</f>
        <v>0</v>
      </c>
      <c r="X15" s="432">
        <f>'SPP K3-3'!AB48</f>
        <v>0</v>
      </c>
      <c r="Y15" s="1619">
        <f>'SPP K3-3'!AC48</f>
        <v>0</v>
      </c>
      <c r="Z15" s="1618">
        <f>'SPP K3-3'!AD48</f>
        <v>0</v>
      </c>
      <c r="AA15" s="1618">
        <f>'SPP K3-3'!AE48</f>
        <v>0</v>
      </c>
      <c r="AB15" s="1617">
        <f>'SPP K3-3'!AF48</f>
        <v>0</v>
      </c>
    </row>
    <row r="16" spans="1:28" s="1581" customFormat="1" ht="34.5" customHeight="1">
      <c r="A16" s="1625">
        <f t="shared" si="0"/>
        <v>4</v>
      </c>
      <c r="B16" s="1628" t="str">
        <f>DT!I6</f>
        <v>BALEKAMBANG</v>
      </c>
      <c r="C16" s="1672">
        <f>'SPP K3-4'!D49</f>
        <v>0</v>
      </c>
      <c r="D16" s="1672">
        <f>'SPP K3-4'!E49</f>
        <v>0</v>
      </c>
      <c r="E16" s="430">
        <f>'SPP K3-4'!D48</f>
        <v>0</v>
      </c>
      <c r="F16" s="430">
        <f>'SPP K3-4'!E48</f>
        <v>0</v>
      </c>
      <c r="G16" s="430">
        <f>'SPP K3-4'!F48</f>
        <v>0</v>
      </c>
      <c r="H16" s="1627"/>
      <c r="I16" s="430">
        <f>'SPP K3-4'!M48</f>
        <v>0</v>
      </c>
      <c r="J16" s="430">
        <f>'SPP K3-4'!N48</f>
        <v>0</v>
      </c>
      <c r="K16" s="430">
        <f>'SPP K3-4'!O48</f>
        <v>0</v>
      </c>
      <c r="L16" s="430">
        <f>'SPP K3-4'!P48</f>
        <v>0</v>
      </c>
      <c r="M16" s="430">
        <f>'SPP K3-4'!Q48</f>
        <v>0</v>
      </c>
      <c r="N16" s="430">
        <f>'SPP K3-4'!R48</f>
        <v>0</v>
      </c>
      <c r="O16" s="430">
        <f>'SPP K3-4'!S48</f>
        <v>0</v>
      </c>
      <c r="P16" s="430">
        <f>'SPP K3-4'!T48</f>
        <v>0</v>
      </c>
      <c r="Q16" s="430">
        <f>'SPP K3-4'!U48</f>
        <v>0</v>
      </c>
      <c r="R16" s="430">
        <f>'SPP K3-4'!V48</f>
        <v>0</v>
      </c>
      <c r="S16" s="430">
        <f>'SPP K3-4'!W48</f>
        <v>0</v>
      </c>
      <c r="T16" s="430">
        <f>'SPP K3-4'!X48</f>
        <v>0</v>
      </c>
      <c r="U16" s="9" t="e">
        <f t="shared" si="1"/>
        <v>#DIV/0!</v>
      </c>
      <c r="V16" s="430">
        <f>'SPP K3-4'!Z48</f>
        <v>0</v>
      </c>
      <c r="W16" s="1674">
        <f>'SPP K3-4'!AA48</f>
        <v>0</v>
      </c>
      <c r="X16" s="432">
        <f>'SPP K3-4'!AB48</f>
        <v>0</v>
      </c>
      <c r="Y16" s="1619">
        <f>'SPP K3-4'!AC48</f>
        <v>0</v>
      </c>
      <c r="Z16" s="1618">
        <f>'SPP K3-4'!AD48</f>
        <v>0</v>
      </c>
      <c r="AA16" s="1618">
        <f>'SPP K3-4'!AE48</f>
        <v>0</v>
      </c>
      <c r="AB16" s="1617">
        <f>'SPP K3-4'!AF48</f>
        <v>0</v>
      </c>
    </row>
    <row r="17" spans="1:28" s="1581" customFormat="1" ht="34.5" customHeight="1">
      <c r="A17" s="1625">
        <f t="shared" si="0"/>
        <v>5</v>
      </c>
      <c r="B17" s="1628" t="str">
        <f>DT!I7</f>
        <v>NAGRAK SELATAN</v>
      </c>
      <c r="C17" s="1672">
        <f>'SPP K3-5'!D49</f>
        <v>0</v>
      </c>
      <c r="D17" s="1672">
        <f>'SPP K3-5'!E49</f>
        <v>0</v>
      </c>
      <c r="E17" s="430">
        <f>'SPP K3-5'!D48</f>
        <v>0</v>
      </c>
      <c r="F17" s="430">
        <f>'SPP K3-5'!E48</f>
        <v>0</v>
      </c>
      <c r="G17" s="430">
        <f>'SPP K3-5'!F48</f>
        <v>0</v>
      </c>
      <c r="H17" s="1627"/>
      <c r="I17" s="430">
        <f>'SPP K3-5'!M48</f>
        <v>0</v>
      </c>
      <c r="J17" s="430">
        <f>'SPP K3-5'!N48</f>
        <v>0</v>
      </c>
      <c r="K17" s="430">
        <f>'SPP K3-5'!O48</f>
        <v>0</v>
      </c>
      <c r="L17" s="430">
        <f>'SPP K3-5'!P48</f>
        <v>0</v>
      </c>
      <c r="M17" s="430">
        <f>'SPP K3-5'!Q48</f>
        <v>0</v>
      </c>
      <c r="N17" s="430">
        <f>'SPP K3-5'!R48</f>
        <v>0</v>
      </c>
      <c r="O17" s="430">
        <f>'SPP K3-5'!S48</f>
        <v>0</v>
      </c>
      <c r="P17" s="430">
        <f>'SPP K3-5'!T48</f>
        <v>0</v>
      </c>
      <c r="Q17" s="430">
        <f>'SPP K3-5'!U48</f>
        <v>0</v>
      </c>
      <c r="R17" s="430">
        <f>'SPP K3-5'!V48</f>
        <v>0</v>
      </c>
      <c r="S17" s="430">
        <f>'SPP K3-5'!W48</f>
        <v>0</v>
      </c>
      <c r="T17" s="430">
        <f>'SPP K3-5'!X48</f>
        <v>0</v>
      </c>
      <c r="U17" s="9" t="e">
        <f t="shared" si="1"/>
        <v>#DIV/0!</v>
      </c>
      <c r="V17" s="430">
        <f>'SPP K3-5'!Z48</f>
        <v>0</v>
      </c>
      <c r="W17" s="1674">
        <f>'SPP K3-5'!AA48</f>
        <v>0</v>
      </c>
      <c r="X17" s="432">
        <f>'SPP K3-5'!AB48</f>
        <v>0</v>
      </c>
      <c r="Y17" s="1619">
        <f>'SPP K3-5'!AC48</f>
        <v>0</v>
      </c>
      <c r="Z17" s="1618">
        <f>'SPP K3-5'!AD48</f>
        <v>0</v>
      </c>
      <c r="AA17" s="1618">
        <f>'SPP K3-5'!AE48</f>
        <v>0</v>
      </c>
      <c r="AB17" s="1617">
        <f>'SPP K3-5'!AF48</f>
        <v>0</v>
      </c>
    </row>
    <row r="18" spans="1:28" s="1581" customFormat="1" ht="34.5" customHeight="1">
      <c r="A18" s="1625">
        <f t="shared" si="0"/>
        <v>6</v>
      </c>
      <c r="B18" s="1628" t="str">
        <f>DT!I8</f>
        <v>KALAPAREA</v>
      </c>
      <c r="C18" s="1672">
        <f>'SPP K3-6'!D49</f>
        <v>0</v>
      </c>
      <c r="D18" s="1672">
        <f>'SPP K3-6'!E49</f>
        <v>0</v>
      </c>
      <c r="E18" s="430">
        <f>'SPP K3-6'!D48</f>
        <v>0</v>
      </c>
      <c r="F18" s="430">
        <f>'SPP K3-6'!E48</f>
        <v>0</v>
      </c>
      <c r="G18" s="430">
        <f>'SPP K3-6'!F48</f>
        <v>0</v>
      </c>
      <c r="H18" s="1627"/>
      <c r="I18" s="430">
        <f>'SPP K3-6'!M48</f>
        <v>0</v>
      </c>
      <c r="J18" s="430">
        <f>'SPP K3-6'!N48</f>
        <v>0</v>
      </c>
      <c r="K18" s="430">
        <f>'SPP K3-6'!O48</f>
        <v>0</v>
      </c>
      <c r="L18" s="430">
        <f>'SPP K3-6'!P48</f>
        <v>0</v>
      </c>
      <c r="M18" s="430">
        <f>'SPP K3-6'!Q48</f>
        <v>0</v>
      </c>
      <c r="N18" s="430">
        <f>'SPP K3-6'!R48</f>
        <v>0</v>
      </c>
      <c r="O18" s="430">
        <f>'SPP K3-6'!S48</f>
        <v>0</v>
      </c>
      <c r="P18" s="430">
        <f>'SPP K3-6'!T48</f>
        <v>0</v>
      </c>
      <c r="Q18" s="430">
        <f>'SPP K3-6'!U48</f>
        <v>0</v>
      </c>
      <c r="R18" s="430">
        <f>'SPP K3-6'!V48</f>
        <v>0</v>
      </c>
      <c r="S18" s="430">
        <f>'SPP K3-6'!W48</f>
        <v>0</v>
      </c>
      <c r="T18" s="430">
        <f>'SPP K3-6'!X48</f>
        <v>0</v>
      </c>
      <c r="U18" s="9" t="e">
        <f t="shared" si="1"/>
        <v>#DIV/0!</v>
      </c>
      <c r="V18" s="430">
        <f>'SPP K3-6'!Z48</f>
        <v>0</v>
      </c>
      <c r="W18" s="1674">
        <f>'SPP K3-6'!AA48</f>
        <v>0</v>
      </c>
      <c r="X18" s="432">
        <f>'SPP K3-6'!AB48</f>
        <v>0</v>
      </c>
      <c r="Y18" s="1619">
        <f>'SPP K3-6'!AC48</f>
        <v>0</v>
      </c>
      <c r="Z18" s="1618">
        <f>'SPP K3-6'!AD48</f>
        <v>0</v>
      </c>
      <c r="AA18" s="1618">
        <f>'SPP K3-6'!AE48</f>
        <v>0</v>
      </c>
      <c r="AB18" s="1617">
        <f>'SPP K3-6'!AF48</f>
        <v>0</v>
      </c>
    </row>
    <row r="19" spans="1:28" s="1581" customFormat="1" ht="34.5" customHeight="1">
      <c r="A19" s="1625">
        <f t="shared" si="0"/>
        <v>7</v>
      </c>
      <c r="B19" s="1628" t="str">
        <f>DT!I9</f>
        <v>BABAKAN PANJANG</v>
      </c>
      <c r="C19" s="1672">
        <f>'SPP K3-7'!D49</f>
        <v>0</v>
      </c>
      <c r="D19" s="1672">
        <f>'SPP K3-7'!E49</f>
        <v>0</v>
      </c>
      <c r="E19" s="430">
        <f>'SPP K3-7'!D48</f>
        <v>0</v>
      </c>
      <c r="F19" s="430">
        <f>'SPP K3-7'!E48</f>
        <v>0</v>
      </c>
      <c r="G19" s="430">
        <f>'SPP K3-7'!F48</f>
        <v>0</v>
      </c>
      <c r="H19" s="1627"/>
      <c r="I19" s="430">
        <f>'SPP K3-7'!M48</f>
        <v>0</v>
      </c>
      <c r="J19" s="430">
        <f>'SPP K3-7'!N48</f>
        <v>0</v>
      </c>
      <c r="K19" s="430">
        <f>'SPP K3-7'!O48</f>
        <v>0</v>
      </c>
      <c r="L19" s="430">
        <f>'SPP K3-7'!P48</f>
        <v>0</v>
      </c>
      <c r="M19" s="430">
        <f>'SPP K3-7'!Q48</f>
        <v>0</v>
      </c>
      <c r="N19" s="430">
        <f>'SPP K3-7'!R48</f>
        <v>0</v>
      </c>
      <c r="O19" s="430">
        <f>'SPP K3-7'!S48</f>
        <v>0</v>
      </c>
      <c r="P19" s="430">
        <f>'SPP K3-7'!T48</f>
        <v>0</v>
      </c>
      <c r="Q19" s="430">
        <f>'SPP K3-7'!U48</f>
        <v>0</v>
      </c>
      <c r="R19" s="430">
        <f>'SPP K3-7'!V48</f>
        <v>0</v>
      </c>
      <c r="S19" s="430">
        <f>'SPP K3-7'!W48</f>
        <v>0</v>
      </c>
      <c r="T19" s="430">
        <f>'SPP K3-7'!X48</f>
        <v>0</v>
      </c>
      <c r="U19" s="9" t="e">
        <f t="shared" si="1"/>
        <v>#DIV/0!</v>
      </c>
      <c r="V19" s="430">
        <f>'SPP K3-7'!Z48</f>
        <v>0</v>
      </c>
      <c r="W19" s="1674">
        <f>'SPP K3-7'!AA48</f>
        <v>0</v>
      </c>
      <c r="X19" s="432">
        <f>'SPP K3-7'!AB48</f>
        <v>0</v>
      </c>
      <c r="Y19" s="1619">
        <f>'SPP K3-7'!AC48</f>
        <v>0</v>
      </c>
      <c r="Z19" s="1618">
        <f>'SPP K3-7'!AD48</f>
        <v>0</v>
      </c>
      <c r="AA19" s="1618">
        <f>'SPP K3-7'!AE48</f>
        <v>0</v>
      </c>
      <c r="AB19" s="1617">
        <f>'SPP K3-7'!AF48</f>
        <v>0</v>
      </c>
    </row>
    <row r="20" spans="1:28" s="1581" customFormat="1" ht="34.5" customHeight="1">
      <c r="A20" s="1625">
        <f t="shared" si="0"/>
        <v>8</v>
      </c>
      <c r="B20" s="1628" t="str">
        <f>DT!I10</f>
        <v>PAWENANG</v>
      </c>
      <c r="C20" s="1672">
        <f>'SPP K3-8'!D49</f>
        <v>0</v>
      </c>
      <c r="D20" s="1672">
        <f>'SPP K3-8'!E49</f>
        <v>0</v>
      </c>
      <c r="E20" s="430">
        <f>'SPP K3-8'!D48</f>
        <v>0</v>
      </c>
      <c r="F20" s="430">
        <f>'SPP K3-8'!E48</f>
        <v>0</v>
      </c>
      <c r="G20" s="430">
        <f>'SPP K3-8'!F48</f>
        <v>0</v>
      </c>
      <c r="H20" s="1627"/>
      <c r="I20" s="430">
        <f>'SPP K3-8'!M48</f>
        <v>0</v>
      </c>
      <c r="J20" s="430">
        <f>'SPP K3-8'!N48</f>
        <v>0</v>
      </c>
      <c r="K20" s="430">
        <f>'SPP K3-8'!O48</f>
        <v>0</v>
      </c>
      <c r="L20" s="430">
        <f>'SPP K3-8'!P48</f>
        <v>0</v>
      </c>
      <c r="M20" s="430">
        <f>'SPP K3-8'!Q48</f>
        <v>0</v>
      </c>
      <c r="N20" s="430">
        <f>'SPP K3-8'!R48</f>
        <v>0</v>
      </c>
      <c r="O20" s="430">
        <f>'SPP K3-8'!S48</f>
        <v>0</v>
      </c>
      <c r="P20" s="430">
        <f>'SPP K3-8'!T48</f>
        <v>0</v>
      </c>
      <c r="Q20" s="430">
        <f>'SPP K3-8'!U48</f>
        <v>0</v>
      </c>
      <c r="R20" s="430">
        <f>'SPP K3-8'!V48</f>
        <v>0</v>
      </c>
      <c r="S20" s="430">
        <f>'SPP K3-8'!W48</f>
        <v>0</v>
      </c>
      <c r="T20" s="430">
        <f>'SPP K3-8'!X48</f>
        <v>0</v>
      </c>
      <c r="U20" s="9" t="e">
        <f t="shared" si="1"/>
        <v>#DIV/0!</v>
      </c>
      <c r="V20" s="430">
        <f>'SPP K3-8'!Z48</f>
        <v>0</v>
      </c>
      <c r="W20" s="1674">
        <f>'SPP K3-8'!AA48</f>
        <v>0</v>
      </c>
      <c r="X20" s="432">
        <f>'SPP K3-8'!AB48</f>
        <v>0</v>
      </c>
      <c r="Y20" s="1619">
        <f>'SPP K3-8'!AC48</f>
        <v>0</v>
      </c>
      <c r="Z20" s="1618">
        <f>'SPP K3-8'!AD48</f>
        <v>0</v>
      </c>
      <c r="AA20" s="1618">
        <f>'SPP K3-8'!AE48</f>
        <v>0</v>
      </c>
      <c r="AB20" s="1617">
        <f>'SPP K3-8'!AF48</f>
        <v>0</v>
      </c>
    </row>
    <row r="21" spans="1:28" s="1581" customFormat="1" ht="34.5" customHeight="1">
      <c r="A21" s="1625">
        <f t="shared" si="0"/>
        <v>9</v>
      </c>
      <c r="B21" s="1628" t="str">
        <f>DT!I11</f>
        <v>CISARUA</v>
      </c>
      <c r="C21" s="1672">
        <f>'SPP K3-9'!D49</f>
        <v>0</v>
      </c>
      <c r="D21" s="1672">
        <f>'SPP K3-9'!E49</f>
        <v>0</v>
      </c>
      <c r="E21" s="430">
        <f>'SPP K3-9'!D48</f>
        <v>0</v>
      </c>
      <c r="F21" s="430">
        <f>'SPP K3-9'!E48</f>
        <v>0</v>
      </c>
      <c r="G21" s="430">
        <f>'SPP K3-9'!F48</f>
        <v>0</v>
      </c>
      <c r="H21" s="1627"/>
      <c r="I21" s="430">
        <f>'SPP K3-9'!M48</f>
        <v>0</v>
      </c>
      <c r="J21" s="430">
        <f>'SPP K3-9'!N48</f>
        <v>0</v>
      </c>
      <c r="K21" s="430">
        <f>'SPP K3-9'!O48</f>
        <v>0</v>
      </c>
      <c r="L21" s="430">
        <f>'SPP K3-9'!P48</f>
        <v>0</v>
      </c>
      <c r="M21" s="430">
        <f>'SPP K3-9'!Q48</f>
        <v>0</v>
      </c>
      <c r="N21" s="430">
        <f>'SPP K3-9'!R48</f>
        <v>0</v>
      </c>
      <c r="O21" s="430">
        <f>'SPP K3-9'!S48</f>
        <v>0</v>
      </c>
      <c r="P21" s="430">
        <f>'SPP K3-9'!T48</f>
        <v>0</v>
      </c>
      <c r="Q21" s="430">
        <f>'SPP K3-9'!U48</f>
        <v>0</v>
      </c>
      <c r="R21" s="430">
        <f>'SPP K3-9'!V48</f>
        <v>0</v>
      </c>
      <c r="S21" s="430">
        <f>'SPP K3-9'!W48</f>
        <v>0</v>
      </c>
      <c r="T21" s="430">
        <f>'SPP K3-9'!X48</f>
        <v>0</v>
      </c>
      <c r="U21" s="9" t="e">
        <f t="shared" si="1"/>
        <v>#DIV/0!</v>
      </c>
      <c r="V21" s="430">
        <f>'SPP K3-9'!Z48</f>
        <v>0</v>
      </c>
      <c r="W21" s="1674">
        <f>'SPP K3-9'!AA48</f>
        <v>0</v>
      </c>
      <c r="X21" s="432">
        <f>'SPP K3-9'!AB48</f>
        <v>0</v>
      </c>
      <c r="Y21" s="1619">
        <f>'SPP K3-9'!AC48</f>
        <v>0</v>
      </c>
      <c r="Z21" s="1618">
        <f>'SPP K3-9'!AD48</f>
        <v>0</v>
      </c>
      <c r="AA21" s="1618">
        <f>'SPP K3-9'!AE48</f>
        <v>0</v>
      </c>
      <c r="AB21" s="1617">
        <f>'SPP K3-9'!AF48</f>
        <v>0</v>
      </c>
    </row>
    <row r="22" spans="1:28" s="1581" customFormat="1" ht="34.5" customHeight="1">
      <c r="A22" s="1625">
        <f t="shared" si="0"/>
        <v>10</v>
      </c>
      <c r="B22" s="1628" t="str">
        <f>DT!I12</f>
        <v>GIRIJAYA</v>
      </c>
      <c r="C22" s="1672">
        <f>'SPP K3-10'!D49</f>
        <v>0</v>
      </c>
      <c r="D22" s="1672">
        <f>'SPP K3-10'!E49</f>
        <v>0</v>
      </c>
      <c r="E22" s="430">
        <f>'SPP K3-10'!D48</f>
        <v>0</v>
      </c>
      <c r="F22" s="430">
        <f>'SPP K3-10'!E48</f>
        <v>0</v>
      </c>
      <c r="G22" s="430">
        <f>'SPP K3-10'!F48</f>
        <v>0</v>
      </c>
      <c r="H22" s="1623"/>
      <c r="I22" s="430">
        <f>'SPP K3-10'!M48</f>
        <v>0</v>
      </c>
      <c r="J22" s="430">
        <f>'SPP K3-10'!N48</f>
        <v>0</v>
      </c>
      <c r="K22" s="430">
        <f>'SPP K3-10'!O48</f>
        <v>0</v>
      </c>
      <c r="L22" s="430">
        <f>'SPP K3-10'!P48</f>
        <v>0</v>
      </c>
      <c r="M22" s="430">
        <f>'SPP K3-10'!Q48</f>
        <v>0</v>
      </c>
      <c r="N22" s="430">
        <f>'SPP K3-10'!R48</f>
        <v>0</v>
      </c>
      <c r="O22" s="430">
        <f>'SPP K3-10'!S48</f>
        <v>0</v>
      </c>
      <c r="P22" s="430">
        <f>'SPP K3-10'!T48</f>
        <v>0</v>
      </c>
      <c r="Q22" s="430">
        <f>'SPP K3-10'!U48</f>
        <v>0</v>
      </c>
      <c r="R22" s="430">
        <f>'SPP K3-10'!V48</f>
        <v>0</v>
      </c>
      <c r="S22" s="430">
        <f>'SPP K3-10'!W48</f>
        <v>0</v>
      </c>
      <c r="T22" s="430">
        <f>'SPP K3-10'!X48</f>
        <v>0</v>
      </c>
      <c r="U22" s="9" t="e">
        <f t="shared" si="1"/>
        <v>#DIV/0!</v>
      </c>
      <c r="V22" s="430">
        <f>'SPP K3-10'!Z48</f>
        <v>0</v>
      </c>
      <c r="W22" s="1674">
        <f>'SPP K3-10'!AA48</f>
        <v>0</v>
      </c>
      <c r="X22" s="432">
        <f>'SPP K3-10'!AB48</f>
        <v>0</v>
      </c>
      <c r="Y22" s="1619">
        <f>'SPP K3-10'!AC48</f>
        <v>0</v>
      </c>
      <c r="Z22" s="1618">
        <f>'SPP K3-10'!AD48</f>
        <v>0</v>
      </c>
      <c r="AA22" s="1618">
        <f>'SPP K3-10'!AE48</f>
        <v>0</v>
      </c>
      <c r="AB22" s="1617">
        <f>'SPP K3-10'!AF48</f>
        <v>0</v>
      </c>
    </row>
    <row r="23" spans="1:28" s="1581" customFormat="1" ht="34.5" customHeight="1">
      <c r="A23" s="1625">
        <f t="shared" si="0"/>
        <v>11</v>
      </c>
      <c r="B23" s="1628">
        <f>DT!I13</f>
        <v>0</v>
      </c>
      <c r="C23" s="1672">
        <f>'SPP K3-11'!D49</f>
        <v>0</v>
      </c>
      <c r="D23" s="1672">
        <f>'SPP K3-11'!E49</f>
        <v>0</v>
      </c>
      <c r="E23" s="430">
        <f>'SPP K3-11'!D48</f>
        <v>0</v>
      </c>
      <c r="F23" s="430">
        <f>'SPP K3-11'!E48</f>
        <v>0</v>
      </c>
      <c r="G23" s="430">
        <f>'SPP K3-11'!F48</f>
        <v>0</v>
      </c>
      <c r="H23" s="1623"/>
      <c r="I23" s="430">
        <f>'SPP K3-11'!M48</f>
        <v>0</v>
      </c>
      <c r="J23" s="430">
        <f>'SPP K3-11'!N48</f>
        <v>0</v>
      </c>
      <c r="K23" s="430">
        <f>'SPP K3-11'!O48</f>
        <v>0</v>
      </c>
      <c r="L23" s="430">
        <f>'SPP K3-11'!P48</f>
        <v>0</v>
      </c>
      <c r="M23" s="430">
        <f>'SPP K3-11'!Q48</f>
        <v>0</v>
      </c>
      <c r="N23" s="430">
        <f>'SPP K3-11'!R48</f>
        <v>0</v>
      </c>
      <c r="O23" s="430">
        <f>'SPP K3-11'!S48</f>
        <v>0</v>
      </c>
      <c r="P23" s="430">
        <f>'SPP K3-11'!T48</f>
        <v>0</v>
      </c>
      <c r="Q23" s="430">
        <f>'SPP K3-11'!U48</f>
        <v>0</v>
      </c>
      <c r="R23" s="430">
        <f>'SPP K3-11'!V48</f>
        <v>0</v>
      </c>
      <c r="S23" s="430">
        <f>'SPP K3-11'!W48</f>
        <v>0</v>
      </c>
      <c r="T23" s="430">
        <f>'SPP K3-11'!X48</f>
        <v>0</v>
      </c>
      <c r="U23" s="9" t="e">
        <f t="shared" si="1"/>
        <v>#DIV/0!</v>
      </c>
      <c r="V23" s="430">
        <f>'SPP K3-11'!Z48</f>
        <v>0</v>
      </c>
      <c r="W23" s="1674">
        <f>'SPP K3-11'!AA48</f>
        <v>0</v>
      </c>
      <c r="X23" s="432">
        <f>'SPP K3-11'!AB48</f>
        <v>0</v>
      </c>
      <c r="Y23" s="1619">
        <f>'SPP K3-11'!AC48</f>
        <v>0</v>
      </c>
      <c r="Z23" s="1618">
        <f>'SPP K3-11'!AD48</f>
        <v>0</v>
      </c>
      <c r="AA23" s="1618">
        <f>'SPP K3-11'!AE48</f>
        <v>0</v>
      </c>
      <c r="AB23" s="1617">
        <f>'SPP K3-11'!AF48</f>
        <v>0</v>
      </c>
    </row>
    <row r="24" spans="1:28" s="1581" customFormat="1" ht="34.5" customHeight="1">
      <c r="A24" s="1625">
        <f t="shared" si="0"/>
        <v>12</v>
      </c>
      <c r="B24" s="1628">
        <f>DT!I14</f>
        <v>0</v>
      </c>
      <c r="C24" s="1672">
        <f>'SPP K3-12'!D49</f>
        <v>0</v>
      </c>
      <c r="D24" s="1672">
        <f>'SPP K3-12'!E49</f>
        <v>0</v>
      </c>
      <c r="E24" s="430">
        <f>'SPP K3-12'!D48</f>
        <v>0</v>
      </c>
      <c r="F24" s="430">
        <f>'SPP K3-12'!E48</f>
        <v>0</v>
      </c>
      <c r="G24" s="430">
        <f>'SPP K3-12'!F48</f>
        <v>0</v>
      </c>
      <c r="H24" s="1623"/>
      <c r="I24" s="430">
        <f>'SPP K3-12'!M48</f>
        <v>0</v>
      </c>
      <c r="J24" s="430">
        <f>'SPP K3-12'!N48</f>
        <v>0</v>
      </c>
      <c r="K24" s="430">
        <f>'SPP K3-12'!O48</f>
        <v>0</v>
      </c>
      <c r="L24" s="430">
        <f>'SPP K3-12'!P48</f>
        <v>0</v>
      </c>
      <c r="M24" s="430">
        <f>'SPP K3-12'!Q48</f>
        <v>0</v>
      </c>
      <c r="N24" s="430">
        <f>'SPP K3-12'!R48</f>
        <v>0</v>
      </c>
      <c r="O24" s="430">
        <f>'SPP K3-12'!S48</f>
        <v>0</v>
      </c>
      <c r="P24" s="430">
        <f>'SPP K3-12'!T48</f>
        <v>0</v>
      </c>
      <c r="Q24" s="430">
        <f>'SPP K3-12'!U48</f>
        <v>0</v>
      </c>
      <c r="R24" s="430">
        <f>'SPP K3-12'!V48</f>
        <v>0</v>
      </c>
      <c r="S24" s="430">
        <f>'SPP K3-12'!W48</f>
        <v>0</v>
      </c>
      <c r="T24" s="430">
        <f>'SPP K3-12'!X48</f>
        <v>0</v>
      </c>
      <c r="U24" s="9" t="e">
        <f t="shared" si="1"/>
        <v>#DIV/0!</v>
      </c>
      <c r="V24" s="430">
        <f>'SPP K3-12'!Z48</f>
        <v>0</v>
      </c>
      <c r="W24" s="1674">
        <f>'SPP K3-12'!AA48</f>
        <v>0</v>
      </c>
      <c r="X24" s="432">
        <f>'SPP K3-12'!AB48</f>
        <v>0</v>
      </c>
      <c r="Y24" s="1619">
        <f>'SPP K3-12'!AC48</f>
        <v>0</v>
      </c>
      <c r="Z24" s="1618">
        <f>'SPP K3-12'!AD48</f>
        <v>0</v>
      </c>
      <c r="AA24" s="1618">
        <f>'SPP K3-12'!AE48</f>
        <v>0</v>
      </c>
      <c r="AB24" s="1617">
        <f>'SPP K3-12'!AF48</f>
        <v>0</v>
      </c>
    </row>
    <row r="25" spans="1:28" s="1581" customFormat="1" ht="34.5" customHeight="1">
      <c r="A25" s="1625">
        <f t="shared" si="0"/>
        <v>13</v>
      </c>
      <c r="B25" s="1679">
        <f>DT!I15</f>
        <v>0</v>
      </c>
      <c r="C25" s="1672">
        <f>'SPP K3-13'!D49</f>
        <v>0</v>
      </c>
      <c r="D25" s="1672">
        <f>'SPP K3-13'!E49</f>
        <v>0</v>
      </c>
      <c r="E25" s="430">
        <f>'SPP K3-13'!D48</f>
        <v>0</v>
      </c>
      <c r="F25" s="430">
        <f>'SPP K3-13'!E48</f>
        <v>0</v>
      </c>
      <c r="G25" s="430">
        <f>'SPP K3-13'!F48</f>
        <v>0</v>
      </c>
      <c r="H25" s="1623"/>
      <c r="I25" s="430">
        <f>'SPP K3-13'!M48</f>
        <v>0</v>
      </c>
      <c r="J25" s="430">
        <f>'SPP K3-13'!N48</f>
        <v>0</v>
      </c>
      <c r="K25" s="430">
        <f>'SPP K3-13'!O48</f>
        <v>0</v>
      </c>
      <c r="L25" s="430">
        <f>'SPP K3-13'!P48</f>
        <v>0</v>
      </c>
      <c r="M25" s="430">
        <f>'SPP K3-13'!Q48</f>
        <v>0</v>
      </c>
      <c r="N25" s="430">
        <f>'SPP K3-13'!R48</f>
        <v>0</v>
      </c>
      <c r="O25" s="430">
        <f>'SPP K3-13'!S48</f>
        <v>0</v>
      </c>
      <c r="P25" s="430">
        <f>'SPP K3-13'!T48</f>
        <v>0</v>
      </c>
      <c r="Q25" s="430">
        <f>'SPP K3-13'!U48</f>
        <v>0</v>
      </c>
      <c r="R25" s="430">
        <f>'SPP K3-13'!V48</f>
        <v>0</v>
      </c>
      <c r="S25" s="430">
        <f>'SPP K3-13'!W48</f>
        <v>0</v>
      </c>
      <c r="T25" s="430">
        <f>'SPP K3-13'!X48</f>
        <v>0</v>
      </c>
      <c r="U25" s="9" t="e">
        <f>SUM(Q25/I25)*100</f>
        <v>#DIV/0!</v>
      </c>
      <c r="V25" s="430">
        <f>'SPP K3-13'!Z48</f>
        <v>0</v>
      </c>
      <c r="W25" s="1621">
        <f>'SPP K3-13'!AA48</f>
        <v>0</v>
      </c>
      <c r="X25" s="432">
        <f>'SPP K3-13'!AB48</f>
        <v>0</v>
      </c>
      <c r="Y25" s="1619">
        <f>'SPP K3-13'!AC48</f>
        <v>0</v>
      </c>
      <c r="Z25" s="1618">
        <f>'SPP K3-13'!AD48</f>
        <v>0</v>
      </c>
      <c r="AA25" s="1618">
        <f>'SPP K3-13'!AE48</f>
        <v>0</v>
      </c>
      <c r="AB25" s="1617">
        <f>'SPP K3-13'!AF48</f>
        <v>0</v>
      </c>
    </row>
    <row r="26" spans="1:28" s="1581" customFormat="1" ht="34.5" customHeight="1">
      <c r="A26" s="1625">
        <f t="shared" si="0"/>
        <v>14</v>
      </c>
      <c r="B26" s="1679">
        <f>DT!I16</f>
        <v>0</v>
      </c>
      <c r="C26" s="1672">
        <f>'SPP K3-14'!D49</f>
        <v>0</v>
      </c>
      <c r="D26" s="1672">
        <f>'SPP K3-14'!E49</f>
        <v>0</v>
      </c>
      <c r="E26" s="430">
        <f>'SPP K3-14'!D48</f>
        <v>0</v>
      </c>
      <c r="F26" s="430">
        <f>'SPP K3-14'!E48</f>
        <v>0</v>
      </c>
      <c r="G26" s="430">
        <f>'SPP K3-14'!F48</f>
        <v>0</v>
      </c>
      <c r="H26" s="1623"/>
      <c r="I26" s="430">
        <f>'SPP K3-14'!M48</f>
        <v>0</v>
      </c>
      <c r="J26" s="430">
        <f>'SPP K3-14'!N48</f>
        <v>0</v>
      </c>
      <c r="K26" s="430">
        <f>'SPP K3-14'!O48</f>
        <v>0</v>
      </c>
      <c r="L26" s="430">
        <f>'SPP K3-14'!P48</f>
        <v>0</v>
      </c>
      <c r="M26" s="430">
        <f>'SPP K3-14'!Q48</f>
        <v>0</v>
      </c>
      <c r="N26" s="430">
        <f>'SPP K3-14'!R48</f>
        <v>0</v>
      </c>
      <c r="O26" s="430">
        <f>'SPP K3-14'!S48</f>
        <v>0</v>
      </c>
      <c r="P26" s="430">
        <f>'SPP K3-14'!T48</f>
        <v>0</v>
      </c>
      <c r="Q26" s="430">
        <f>'SPP K3-14'!U48</f>
        <v>0</v>
      </c>
      <c r="R26" s="430">
        <f>'SPP K3-14'!V48</f>
        <v>0</v>
      </c>
      <c r="S26" s="430">
        <f>'SPP K3-14'!W48</f>
        <v>0</v>
      </c>
      <c r="T26" s="430">
        <f>'SPP K3-14'!X48</f>
        <v>0</v>
      </c>
      <c r="U26" s="9" t="e">
        <f>SUM(Q26/I26)*100</f>
        <v>#DIV/0!</v>
      </c>
      <c r="V26" s="430">
        <f>'SPP K3-14'!Z48</f>
        <v>0</v>
      </c>
      <c r="W26" s="1674">
        <f>'SPP K3-14'!AA48</f>
        <v>0</v>
      </c>
      <c r="X26" s="432">
        <f>'SPP K3-14'!AB48</f>
        <v>0</v>
      </c>
      <c r="Y26" s="1619">
        <f>'SPP K3-14'!AC48</f>
        <v>0</v>
      </c>
      <c r="Z26" s="1618">
        <f>'SPP K3-14'!AD48</f>
        <v>0</v>
      </c>
      <c r="AA26" s="1618">
        <f>'SPP K3-14'!AE48</f>
        <v>0</v>
      </c>
      <c r="AB26" s="1617">
        <f>'SPP K3-14'!AF48</f>
        <v>0</v>
      </c>
    </row>
    <row r="27" spans="1:28" s="1581" customFormat="1" ht="34.5" customHeight="1">
      <c r="A27" s="1625">
        <f t="shared" si="0"/>
        <v>15</v>
      </c>
      <c r="B27" s="1679">
        <f>DT!I17</f>
        <v>0</v>
      </c>
      <c r="C27" s="1672">
        <f>'SPP K3-15'!D49</f>
        <v>0</v>
      </c>
      <c r="D27" s="1672">
        <f>'SPP K3-15'!E49</f>
        <v>0</v>
      </c>
      <c r="E27" s="1672">
        <f>'SPP K3-15'!D48</f>
        <v>0</v>
      </c>
      <c r="F27" s="1672">
        <f>'SPP K3-15'!E48</f>
        <v>0</v>
      </c>
      <c r="G27" s="1672">
        <f>'SPP K3-15'!F48</f>
        <v>0</v>
      </c>
      <c r="H27" s="1672"/>
      <c r="I27" s="1672">
        <f>'SPP K3-15'!M48</f>
        <v>0</v>
      </c>
      <c r="J27" s="1672">
        <f>'SPP K3-15'!N48</f>
        <v>0</v>
      </c>
      <c r="K27" s="1672">
        <f>'SPP K3-15'!O48</f>
        <v>0</v>
      </c>
      <c r="L27" s="1672">
        <f>'SPP K3-15'!P48</f>
        <v>0</v>
      </c>
      <c r="M27" s="1672">
        <f>'SPP K3-15'!Q48</f>
        <v>0</v>
      </c>
      <c r="N27" s="1672">
        <f>'SPP K3-15'!R48</f>
        <v>0</v>
      </c>
      <c r="O27" s="1672">
        <f>'SPP K3-15'!S48</f>
        <v>0</v>
      </c>
      <c r="P27" s="1672">
        <f>'SPP K3-15'!T48</f>
        <v>0</v>
      </c>
      <c r="Q27" s="1672">
        <f>'SPP K3-15'!U48</f>
        <v>0</v>
      </c>
      <c r="R27" s="1672">
        <f>'SPP K3-15'!V48</f>
        <v>0</v>
      </c>
      <c r="S27" s="1672">
        <f>'SPP K3-15'!W48</f>
        <v>0</v>
      </c>
      <c r="T27" s="1672">
        <f>'SPP K3-15'!X48</f>
        <v>0</v>
      </c>
      <c r="U27" s="9" t="e">
        <f>SUM(Q27/I27)*100</f>
        <v>#DIV/0!</v>
      </c>
      <c r="V27" s="1672">
        <f>'SPP K3-15'!Z48</f>
        <v>0</v>
      </c>
      <c r="W27" s="1678">
        <f>'SPP K3-15'!AA48</f>
        <v>0</v>
      </c>
      <c r="X27" s="432">
        <f>'SPP K3-15'!AB48</f>
        <v>0</v>
      </c>
      <c r="Y27" s="1619">
        <f>'SPP K3-15'!AC48</f>
        <v>0</v>
      </c>
      <c r="Z27" s="1618">
        <f>'SPP K3-15'!AD48</f>
        <v>0</v>
      </c>
      <c r="AA27" s="1618">
        <f>'SPP K3-15'!AE48</f>
        <v>0</v>
      </c>
      <c r="AB27" s="1617">
        <f>'SPP K3-15'!AF48</f>
        <v>0</v>
      </c>
    </row>
    <row r="28" spans="1:28" s="1581" customFormat="1" ht="34.5" customHeight="1">
      <c r="A28" s="1625">
        <f>A27+1</f>
        <v>16</v>
      </c>
      <c r="B28" s="1679">
        <f>DT!I18</f>
        <v>0</v>
      </c>
      <c r="C28" s="1672">
        <f>'SPP K3-16'!D49</f>
        <v>0</v>
      </c>
      <c r="D28" s="1672">
        <f>'SPP K3-16'!E49</f>
        <v>0</v>
      </c>
      <c r="E28" s="1672">
        <f>'SPP K3-16'!D48</f>
        <v>0</v>
      </c>
      <c r="F28" s="1672">
        <f>'SPP K3-16'!E48</f>
        <v>0</v>
      </c>
      <c r="G28" s="1672">
        <f>'SPP K3-16'!F48</f>
        <v>0</v>
      </c>
      <c r="H28" s="1672"/>
      <c r="I28" s="1672">
        <f>'SPP K3-16'!M48</f>
        <v>0</v>
      </c>
      <c r="J28" s="1672">
        <f>'SPP K3-16'!N48</f>
        <v>0</v>
      </c>
      <c r="K28" s="1672">
        <f>'SPP K3-16'!O48</f>
        <v>0</v>
      </c>
      <c r="L28" s="1672">
        <f>'SPP K3-16'!P48</f>
        <v>0</v>
      </c>
      <c r="M28" s="1672">
        <f>'SPP K3-16'!Q48</f>
        <v>0</v>
      </c>
      <c r="N28" s="1672">
        <f>'SPP K3-16'!R48</f>
        <v>0</v>
      </c>
      <c r="O28" s="1672">
        <f>'SPP K3-16'!S48</f>
        <v>0</v>
      </c>
      <c r="P28" s="1672">
        <f>'SPP K3-16'!T48</f>
        <v>0</v>
      </c>
      <c r="Q28" s="1672">
        <f>'SPP K3-16'!U48</f>
        <v>0</v>
      </c>
      <c r="R28" s="1672">
        <f>'SPP K3-16'!V48</f>
        <v>0</v>
      </c>
      <c r="S28" s="1672">
        <f>'SPP K3-16'!W48</f>
        <v>0</v>
      </c>
      <c r="T28" s="1672">
        <f>'SPP K3-16'!X48</f>
        <v>0</v>
      </c>
      <c r="U28" s="9" t="e">
        <f>SUM(Q28/I28)*100</f>
        <v>#DIV/0!</v>
      </c>
      <c r="V28" s="1672">
        <f>'SPP K3-16'!Z48</f>
        <v>0</v>
      </c>
      <c r="W28" s="1678">
        <f>'SPP K3-16'!AA48</f>
        <v>0</v>
      </c>
      <c r="X28" s="432">
        <f>'SPP K3-16'!AB48</f>
        <v>0</v>
      </c>
      <c r="Y28" s="1619">
        <f>'SPP K3-16'!AC48</f>
        <v>0</v>
      </c>
      <c r="Z28" s="1618">
        <f>'SPP K3-16'!AD48</f>
        <v>0</v>
      </c>
      <c r="AA28" s="1618">
        <f>'SPP K3-16'!AE48</f>
        <v>0</v>
      </c>
      <c r="AB28" s="1617">
        <f>'SPP K3-16'!AF48</f>
        <v>0</v>
      </c>
    </row>
    <row r="29" spans="1:28" s="1581" customFormat="1" ht="15.75" thickBot="1">
      <c r="A29" s="1608"/>
      <c r="B29" s="1616"/>
      <c r="C29" s="1615"/>
      <c r="D29" s="1615"/>
      <c r="E29" s="1615"/>
      <c r="F29" s="1610"/>
      <c r="G29" s="1611"/>
      <c r="H29" s="1611"/>
      <c r="I29" s="1614"/>
      <c r="J29" s="1614"/>
      <c r="K29" s="1614"/>
      <c r="L29" s="1614"/>
      <c r="M29" s="1610"/>
      <c r="N29" s="1610"/>
      <c r="O29" s="1613"/>
      <c r="P29" s="1612"/>
      <c r="Q29" s="1611"/>
      <c r="R29" s="1611"/>
      <c r="S29" s="1610"/>
      <c r="T29" s="1610"/>
      <c r="U29" s="1610"/>
      <c r="V29" s="1610"/>
      <c r="W29" s="1609"/>
      <c r="X29" s="1615"/>
      <c r="Y29" s="1607"/>
      <c r="Z29" s="1606"/>
      <c r="AA29" s="1606"/>
      <c r="AB29" s="1605"/>
    </row>
    <row r="30" spans="1:28" s="1586" customFormat="1" ht="55.5" customHeight="1" thickBot="1">
      <c r="A30" s="1604"/>
      <c r="B30" s="1677" t="s">
        <v>1507</v>
      </c>
      <c r="C30" s="1602">
        <f>SUM(C13:C28)</f>
        <v>0</v>
      </c>
      <c r="D30" s="1602"/>
      <c r="E30" s="1602">
        <f>SUM(E13:E28)</f>
        <v>0</v>
      </c>
      <c r="F30" s="1602">
        <f>SUM(F13:F28)</f>
        <v>0</v>
      </c>
      <c r="G30" s="1602">
        <f t="shared" ref="G30:T30" si="2">SUM(G13:G28)</f>
        <v>0</v>
      </c>
      <c r="H30" s="1602">
        <f t="shared" si="2"/>
        <v>0</v>
      </c>
      <c r="I30" s="1602">
        <f t="shared" si="2"/>
        <v>0</v>
      </c>
      <c r="J30" s="1602">
        <f t="shared" si="2"/>
        <v>0</v>
      </c>
      <c r="K30" s="1602">
        <f t="shared" si="2"/>
        <v>0</v>
      </c>
      <c r="L30" s="1602">
        <f t="shared" si="2"/>
        <v>0</v>
      </c>
      <c r="M30" s="1602">
        <f t="shared" si="2"/>
        <v>0</v>
      </c>
      <c r="N30" s="1602">
        <f t="shared" si="2"/>
        <v>0</v>
      </c>
      <c r="O30" s="1602">
        <f t="shared" si="2"/>
        <v>0</v>
      </c>
      <c r="P30" s="1602">
        <f t="shared" si="2"/>
        <v>0</v>
      </c>
      <c r="Q30" s="1602">
        <f t="shared" si="2"/>
        <v>0</v>
      </c>
      <c r="R30" s="1602">
        <f t="shared" si="2"/>
        <v>0</v>
      </c>
      <c r="S30" s="1602">
        <f t="shared" si="2"/>
        <v>0</v>
      </c>
      <c r="T30" s="1602">
        <f t="shared" si="2"/>
        <v>0</v>
      </c>
      <c r="U30" s="1602" t="e">
        <f t="shared" si="1"/>
        <v>#DIV/0!</v>
      </c>
      <c r="V30" s="1602">
        <f t="shared" ref="V30:AB30" si="3">SUM(V13:V28)</f>
        <v>0</v>
      </c>
      <c r="W30" s="1601">
        <f t="shared" si="3"/>
        <v>0</v>
      </c>
      <c r="X30" s="1676">
        <f t="shared" si="3"/>
        <v>0</v>
      </c>
      <c r="Y30" s="1599">
        <f t="shared" si="3"/>
        <v>0</v>
      </c>
      <c r="Z30" s="1598">
        <f t="shared" si="3"/>
        <v>0</v>
      </c>
      <c r="AA30" s="1598">
        <f t="shared" si="3"/>
        <v>0</v>
      </c>
      <c r="AB30" s="1597">
        <f t="shared" si="3"/>
        <v>0</v>
      </c>
    </row>
    <row r="31" spans="1:28" s="1581" customFormat="1" ht="16.5" thickTop="1">
      <c r="G31" s="1586"/>
      <c r="I31" s="1586"/>
      <c r="J31" s="1586"/>
      <c r="K31" s="1586"/>
      <c r="L31" s="1586"/>
      <c r="M31" s="1594"/>
      <c r="N31" s="1594"/>
      <c r="O31" s="1596"/>
      <c r="P31" s="1595"/>
      <c r="Q31" s="1594"/>
      <c r="R31" s="1594"/>
    </row>
    <row r="32" spans="1:28" s="1581" customFormat="1" ht="16.5" customHeight="1">
      <c r="F32" s="1586"/>
      <c r="I32" s="1586"/>
      <c r="J32" s="1586"/>
      <c r="K32" s="1593"/>
      <c r="L32" s="1593"/>
      <c r="M32" s="1592"/>
      <c r="N32" s="1591"/>
      <c r="O32" s="1591"/>
      <c r="P32" s="1590"/>
      <c r="Q32" s="1589"/>
      <c r="R32" s="1589"/>
      <c r="V32" s="1588"/>
      <c r="W32" s="1588"/>
    </row>
    <row r="33" spans="1:28" s="1581" customFormat="1" ht="15">
      <c r="A33" s="1587"/>
      <c r="B33" s="1587"/>
      <c r="K33" s="1586"/>
      <c r="L33" s="1586"/>
      <c r="O33" s="1585"/>
      <c r="P33" s="1584"/>
      <c r="Q33" s="1583"/>
      <c r="R33" s="1582"/>
      <c r="T33" s="1584" t="str">
        <f>DT!D28</f>
        <v>Nagrak, 29 Februari 2016 2016</v>
      </c>
    </row>
    <row r="34" spans="1:28" s="1572" customFormat="1" ht="15">
      <c r="G34" s="1574" t="s">
        <v>21</v>
      </c>
      <c r="P34" s="1574"/>
      <c r="T34" s="1574" t="s">
        <v>22</v>
      </c>
    </row>
    <row r="35" spans="1:28" s="1572" customFormat="1" ht="20.25" customHeight="1">
      <c r="N35" s="1580"/>
      <c r="O35" s="1579"/>
      <c r="T35" s="1574"/>
    </row>
    <row r="36" spans="1:28" s="1572" customFormat="1" ht="20.25" customHeight="1">
      <c r="N36" s="1580"/>
      <c r="O36" s="1579"/>
      <c r="Q36" s="1578"/>
      <c r="T36" s="1574"/>
    </row>
    <row r="37" spans="1:28" s="1572" customFormat="1" ht="20.25" customHeight="1">
      <c r="P37" s="1574"/>
      <c r="T37" s="1574"/>
    </row>
    <row r="38" spans="1:28" s="1572" customFormat="1" ht="20.25" customHeight="1">
      <c r="P38" s="1574"/>
      <c r="Q38" s="1577"/>
      <c r="R38" s="1577"/>
      <c r="T38" s="1574"/>
    </row>
    <row r="39" spans="1:28" s="1572" customFormat="1" ht="15">
      <c r="G39" s="1663" t="str">
        <f>DT!D14</f>
        <v>Endang Taryana</v>
      </c>
      <c r="N39" s="1576"/>
      <c r="P39" s="1575"/>
      <c r="T39" s="1575" t="str">
        <f>DT!D15</f>
        <v>Arin Yustini, SE</v>
      </c>
    </row>
    <row r="40" spans="1:28" s="1572" customFormat="1" ht="15">
      <c r="G40" s="1574" t="s">
        <v>23</v>
      </c>
      <c r="P40" s="1573"/>
      <c r="T40" s="1573" t="s">
        <v>24</v>
      </c>
    </row>
    <row r="41" spans="1:28" ht="21.75" customHeight="1">
      <c r="A41" s="3410" t="s">
        <v>123</v>
      </c>
      <c r="B41" s="3410"/>
      <c r="C41" s="3410"/>
      <c r="D41" s="3410"/>
      <c r="E41" s="3410"/>
      <c r="F41" s="3410"/>
      <c r="G41" s="3410"/>
      <c r="H41" s="3410"/>
      <c r="I41" s="3410"/>
      <c r="J41" s="3410"/>
      <c r="K41" s="3410"/>
      <c r="L41" s="3410"/>
      <c r="M41" s="3410"/>
      <c r="N41" s="3410"/>
      <c r="O41" s="3410"/>
      <c r="P41" s="3410"/>
      <c r="Q41" s="3410"/>
      <c r="R41" s="3410"/>
      <c r="S41" s="3410"/>
      <c r="T41" s="3410"/>
      <c r="U41" s="3410"/>
      <c r="V41" s="3410"/>
      <c r="W41" s="3410"/>
      <c r="X41" s="1661"/>
      <c r="Y41" s="1661"/>
      <c r="Z41" s="1661"/>
      <c r="AA41" s="1661"/>
      <c r="AB41" s="1661"/>
    </row>
    <row r="42" spans="1:28" ht="21.75" customHeight="1">
      <c r="A42" s="3410" t="str">
        <f>A2</f>
        <v>LAPORAN PERKEMBANGAN PINJAMAN  SPP PIHAK KE-3</v>
      </c>
      <c r="B42" s="3410"/>
      <c r="C42" s="3410"/>
      <c r="D42" s="3410"/>
      <c r="E42" s="3410"/>
      <c r="F42" s="3410"/>
      <c r="G42" s="3410"/>
      <c r="H42" s="3410"/>
      <c r="I42" s="3410"/>
      <c r="J42" s="3410"/>
      <c r="K42" s="3410"/>
      <c r="L42" s="3410"/>
      <c r="M42" s="3410"/>
      <c r="N42" s="3410"/>
      <c r="O42" s="3410"/>
      <c r="P42" s="3410"/>
      <c r="Q42" s="3410"/>
      <c r="R42" s="3410"/>
      <c r="S42" s="3410"/>
      <c r="T42" s="3410"/>
      <c r="U42" s="3410"/>
      <c r="V42" s="3410"/>
      <c r="W42" s="3410"/>
      <c r="X42" s="1661"/>
      <c r="Y42" s="1661"/>
      <c r="Z42" s="1661"/>
      <c r="AA42" s="1661"/>
      <c r="AB42" s="1661"/>
    </row>
    <row r="43" spans="1:28" ht="34.5">
      <c r="A43" s="3410" t="s">
        <v>1504</v>
      </c>
      <c r="B43" s="3410"/>
      <c r="C43" s="3410"/>
      <c r="D43" s="3410"/>
      <c r="E43" s="3410"/>
      <c r="F43" s="3410"/>
      <c r="G43" s="3410"/>
      <c r="H43" s="3410"/>
      <c r="I43" s="3410"/>
      <c r="J43" s="3410"/>
      <c r="K43" s="3410"/>
      <c r="L43" s="3410"/>
      <c r="M43" s="3410"/>
      <c r="N43" s="3410"/>
      <c r="O43" s="3410"/>
      <c r="P43" s="3410"/>
      <c r="Q43" s="3410"/>
      <c r="R43" s="3410"/>
      <c r="S43" s="3410"/>
      <c r="T43" s="3410"/>
      <c r="U43" s="3410"/>
      <c r="V43" s="3410"/>
      <c r="W43" s="3410"/>
      <c r="X43" s="1662"/>
      <c r="Y43" s="1661"/>
      <c r="Z43" s="1661"/>
      <c r="AA43" s="1661"/>
      <c r="AB43" s="1661"/>
    </row>
    <row r="44" spans="1:28" ht="21.75" customHeight="1">
      <c r="A44" s="3410" t="str">
        <f>A4</f>
        <v>Per - Februari 2016 2016</v>
      </c>
      <c r="B44" s="3410"/>
      <c r="C44" s="3410"/>
      <c r="D44" s="3410"/>
      <c r="E44" s="3410"/>
      <c r="F44" s="3410"/>
      <c r="G44" s="3410"/>
      <c r="H44" s="3410"/>
      <c r="I44" s="3410"/>
      <c r="J44" s="3410"/>
      <c r="K44" s="3410"/>
      <c r="L44" s="3410"/>
      <c r="M44" s="3410"/>
      <c r="N44" s="3410"/>
      <c r="O44" s="3410"/>
      <c r="P44" s="3410"/>
      <c r="Q44" s="3410"/>
      <c r="R44" s="3410"/>
      <c r="S44" s="3410"/>
      <c r="T44" s="3410"/>
      <c r="U44" s="3410"/>
      <c r="V44" s="3410"/>
      <c r="W44" s="3410"/>
      <c r="X44" s="1661"/>
      <c r="Y44" s="1661"/>
      <c r="Z44" s="1661"/>
      <c r="AA44" s="1661"/>
      <c r="AB44" s="1661"/>
    </row>
    <row r="46" spans="1:28" s="1581" customFormat="1" ht="20.25" customHeight="1">
      <c r="A46" s="1659"/>
      <c r="B46" s="1659" t="s">
        <v>2</v>
      </c>
      <c r="C46" s="1595"/>
      <c r="D46" s="1595"/>
      <c r="E46" s="1595"/>
      <c r="F46" s="1658" t="str">
        <f>F6</f>
        <v>:  Nagrak</v>
      </c>
      <c r="I46" s="1586"/>
      <c r="J46" s="1586"/>
      <c r="K46" s="1586"/>
      <c r="L46" s="1586"/>
    </row>
    <row r="47" spans="1:28" s="1581" customFormat="1" ht="20.25" customHeight="1">
      <c r="A47" s="1659"/>
      <c r="B47" s="1659" t="s">
        <v>4</v>
      </c>
      <c r="C47" s="1595"/>
      <c r="D47" s="1595"/>
      <c r="E47" s="1595"/>
      <c r="F47" s="1658" t="str">
        <f>F7</f>
        <v>:  Sukabumi</v>
      </c>
      <c r="I47" s="1586"/>
      <c r="J47" s="1586"/>
      <c r="K47" s="1586"/>
      <c r="L47" s="1586"/>
      <c r="V47" s="1660"/>
    </row>
    <row r="48" spans="1:28" s="1581" customFormat="1" ht="20.25" customHeight="1">
      <c r="A48" s="1659"/>
      <c r="B48" s="1659" t="s">
        <v>1516</v>
      </c>
      <c r="C48" s="1595"/>
      <c r="D48" s="1595"/>
      <c r="E48" s="1595"/>
      <c r="F48" s="1658" t="str">
        <f>F8</f>
        <v>:  Jawa Barat</v>
      </c>
      <c r="I48" s="1586"/>
      <c r="J48" s="1586"/>
      <c r="K48" s="1586"/>
      <c r="L48" s="1586"/>
      <c r="M48" s="1586"/>
      <c r="N48" s="1586"/>
    </row>
    <row r="49" spans="1:28" s="1581" customFormat="1" ht="15.75" thickBot="1">
      <c r="G49" s="1657"/>
      <c r="H49" s="1657"/>
      <c r="I49" s="1657"/>
      <c r="J49" s="1657"/>
      <c r="K49" s="1657"/>
      <c r="L49" s="1657"/>
    </row>
    <row r="50" spans="1:28" s="1581" customFormat="1" ht="83.25" customHeight="1" thickTop="1">
      <c r="A50" s="3410" t="s">
        <v>36</v>
      </c>
      <c r="B50" s="3410" t="s">
        <v>1515</v>
      </c>
      <c r="C50" s="3410" t="s">
        <v>1505</v>
      </c>
      <c r="D50" s="1943"/>
      <c r="E50" s="3410" t="s">
        <v>1498</v>
      </c>
      <c r="F50" s="3410" t="s">
        <v>1497</v>
      </c>
      <c r="G50" s="3410"/>
      <c r="H50" s="3410" t="s">
        <v>1496</v>
      </c>
      <c r="I50" s="3410" t="s">
        <v>1514</v>
      </c>
      <c r="J50" s="3410"/>
      <c r="K50" s="3410" t="s">
        <v>1513</v>
      </c>
      <c r="L50" s="3410"/>
      <c r="M50" s="3410"/>
      <c r="N50" s="3410" t="s">
        <v>1489</v>
      </c>
      <c r="O50" s="3410"/>
      <c r="P50" s="3410"/>
      <c r="Q50" s="3410" t="s">
        <v>1488</v>
      </c>
      <c r="R50" s="3410"/>
      <c r="S50" s="3410"/>
      <c r="T50" s="3410" t="s">
        <v>1487</v>
      </c>
      <c r="U50" s="3410" t="s">
        <v>1486</v>
      </c>
      <c r="V50" s="3410" t="s">
        <v>1485</v>
      </c>
      <c r="W50" s="3410"/>
      <c r="X50" s="3410" t="s">
        <v>1512</v>
      </c>
      <c r="Y50" s="1656" t="s">
        <v>1511</v>
      </c>
      <c r="Z50" s="1655" t="s">
        <v>1510</v>
      </c>
      <c r="AA50" s="1655" t="s">
        <v>1509</v>
      </c>
      <c r="AB50" s="1654" t="s">
        <v>1508</v>
      </c>
    </row>
    <row r="51" spans="1:28" s="1581" customFormat="1" ht="26.25" customHeight="1" thickBot="1">
      <c r="A51" s="3410"/>
      <c r="B51" s="3410"/>
      <c r="C51" s="3410"/>
      <c r="D51" s="1944"/>
      <c r="E51" s="3410"/>
      <c r="F51" s="1653" t="s">
        <v>16</v>
      </c>
      <c r="G51" s="1653" t="s">
        <v>1476</v>
      </c>
      <c r="H51" s="3410"/>
      <c r="I51" s="1651" t="s">
        <v>16</v>
      </c>
      <c r="J51" s="1651" t="s">
        <v>1476</v>
      </c>
      <c r="K51" s="1651" t="s">
        <v>16</v>
      </c>
      <c r="L51" s="1651" t="s">
        <v>1476</v>
      </c>
      <c r="M51" s="1651" t="s">
        <v>1477</v>
      </c>
      <c r="N51" s="1651" t="s">
        <v>16</v>
      </c>
      <c r="O51" s="1651" t="s">
        <v>1476</v>
      </c>
      <c r="P51" s="1651" t="s">
        <v>1477</v>
      </c>
      <c r="Q51" s="1651" t="s">
        <v>16</v>
      </c>
      <c r="R51" s="1651" t="s">
        <v>1476</v>
      </c>
      <c r="S51" s="1652" t="s">
        <v>1477</v>
      </c>
      <c r="T51" s="3410"/>
      <c r="U51" s="3410"/>
      <c r="V51" s="1651" t="s">
        <v>16</v>
      </c>
      <c r="W51" s="1650" t="s">
        <v>1476</v>
      </c>
      <c r="X51" s="3410"/>
      <c r="Y51" s="1649" t="s">
        <v>1475</v>
      </c>
      <c r="Z51" s="1648" t="s">
        <v>1474</v>
      </c>
      <c r="AA51" s="1648" t="s">
        <v>1473</v>
      </c>
      <c r="AB51" s="1647" t="s">
        <v>1472</v>
      </c>
    </row>
    <row r="52" spans="1:28" s="1629" customFormat="1" ht="15.75" customHeight="1" thickTop="1" thickBot="1">
      <c r="A52" s="1641">
        <v>1</v>
      </c>
      <c r="B52" s="1646">
        <v>2</v>
      </c>
      <c r="C52" s="3410"/>
      <c r="D52" s="1945"/>
      <c r="E52" s="3410"/>
      <c r="F52" s="1644">
        <v>4</v>
      </c>
      <c r="G52" s="1645">
        <v>5</v>
      </c>
      <c r="H52" s="1644">
        <v>6</v>
      </c>
      <c r="I52" s="1644">
        <v>7</v>
      </c>
      <c r="J52" s="1644">
        <v>8</v>
      </c>
      <c r="K52" s="1644">
        <v>9</v>
      </c>
      <c r="L52" s="1644">
        <v>10</v>
      </c>
      <c r="M52" s="1644">
        <v>11</v>
      </c>
      <c r="N52" s="1644">
        <v>12</v>
      </c>
      <c r="O52" s="1644">
        <v>13</v>
      </c>
      <c r="P52" s="1644">
        <v>14</v>
      </c>
      <c r="Q52" s="1644" t="s">
        <v>1471</v>
      </c>
      <c r="R52" s="1644" t="s">
        <v>1470</v>
      </c>
      <c r="S52" s="1643" t="s">
        <v>1469</v>
      </c>
      <c r="T52" s="1643" t="s">
        <v>1468</v>
      </c>
      <c r="U52" s="1644" t="s">
        <v>1467</v>
      </c>
      <c r="V52" s="1643" t="s">
        <v>1466</v>
      </c>
      <c r="W52" s="1642" t="s">
        <v>1465</v>
      </c>
      <c r="X52" s="1641">
        <v>22</v>
      </c>
      <c r="Y52" s="1640">
        <v>23</v>
      </c>
      <c r="Z52" s="1639">
        <v>24</v>
      </c>
      <c r="AA52" s="1639">
        <v>25</v>
      </c>
      <c r="AB52" s="1638">
        <v>26</v>
      </c>
    </row>
    <row r="53" spans="1:28" s="1629" customFormat="1" ht="34.5" customHeight="1" thickTop="1">
      <c r="A53" s="1637">
        <v>1</v>
      </c>
      <c r="B53" s="1636" t="str">
        <f>B13</f>
        <v>CIHANYAWAR</v>
      </c>
      <c r="C53" s="1675">
        <f>'SPP K3-1'!D103</f>
        <v>0</v>
      </c>
      <c r="D53" s="1675"/>
      <c r="E53" s="1635">
        <f>'SPP K3-1'!D102</f>
        <v>0</v>
      </c>
      <c r="F53" s="1635">
        <f>'SPP K3-1'!E102</f>
        <v>0</v>
      </c>
      <c r="G53" s="1635">
        <f>'SPP K3-1'!F102</f>
        <v>0</v>
      </c>
      <c r="H53" s="1635"/>
      <c r="I53" s="1635">
        <f>'SPP K3-1'!M102</f>
        <v>0</v>
      </c>
      <c r="J53" s="1635">
        <f>'SPP K3-1'!N102</f>
        <v>0</v>
      </c>
      <c r="K53" s="1635">
        <f>'SPP K3-1'!O102</f>
        <v>0</v>
      </c>
      <c r="L53" s="1635">
        <f>'SPP K3-1'!P102</f>
        <v>0</v>
      </c>
      <c r="M53" s="1635">
        <f>'SPP K3-1'!Q102</f>
        <v>0</v>
      </c>
      <c r="N53" s="1635">
        <f>'SPP K3-1'!R102</f>
        <v>0</v>
      </c>
      <c r="O53" s="1635">
        <f>'SPP K3-1'!S102</f>
        <v>0</v>
      </c>
      <c r="P53" s="1635">
        <f>'SPP K3-1'!T102</f>
        <v>0</v>
      </c>
      <c r="Q53" s="1635">
        <f>'SPP K3-1'!U102</f>
        <v>0</v>
      </c>
      <c r="R53" s="1635">
        <f>'SPP K3-1'!V102</f>
        <v>0</v>
      </c>
      <c r="S53" s="1635">
        <f>'SPP K3-1'!W102</f>
        <v>0</v>
      </c>
      <c r="T53" s="1635">
        <f>'SPP K3-1'!X102</f>
        <v>0</v>
      </c>
      <c r="U53" s="1635" t="e">
        <f>SUM(Q53/I53)*100</f>
        <v>#DIV/0!</v>
      </c>
      <c r="V53" s="1635">
        <f>'SPP K3-1'!Z102</f>
        <v>0</v>
      </c>
      <c r="W53" s="1634">
        <f>'SPP K3-1'!AA102</f>
        <v>0</v>
      </c>
      <c r="X53" s="1633">
        <f>'SPP K3-1'!AB102</f>
        <v>0</v>
      </c>
      <c r="Y53" s="1632">
        <f>'SPP K3-1'!AC102</f>
        <v>0</v>
      </c>
      <c r="Z53" s="1631">
        <f>'SPP K3-1'!AD102</f>
        <v>0</v>
      </c>
      <c r="AA53" s="1631">
        <f>'SPP K3-1'!AE102</f>
        <v>0</v>
      </c>
      <c r="AB53" s="1630">
        <f>'SPP K3-1'!AF102</f>
        <v>0</v>
      </c>
    </row>
    <row r="54" spans="1:28" s="1581" customFormat="1" ht="34.5" customHeight="1">
      <c r="A54" s="1625">
        <f>A53+1</f>
        <v>2</v>
      </c>
      <c r="B54" s="1628" t="str">
        <f>B14</f>
        <v>NAGRAK UTARA</v>
      </c>
      <c r="C54" s="1672">
        <f>'SPP K3-2'!D103</f>
        <v>0</v>
      </c>
      <c r="D54" s="1946"/>
      <c r="E54" s="430">
        <f>'SPP K3-2'!D102</f>
        <v>0</v>
      </c>
      <c r="F54" s="430">
        <f>'SPP K3-2'!E102</f>
        <v>0</v>
      </c>
      <c r="G54" s="430">
        <f>'SPP K3-2'!F102</f>
        <v>0</v>
      </c>
      <c r="H54" s="430"/>
      <c r="I54" s="430">
        <f>'SPP K3-2'!M102</f>
        <v>0</v>
      </c>
      <c r="J54" s="430">
        <f>'SPP K3-2'!N102</f>
        <v>0</v>
      </c>
      <c r="K54" s="430">
        <f>'SPP K3-2'!O102</f>
        <v>0</v>
      </c>
      <c r="L54" s="430">
        <f>'SPP K3-2'!P102</f>
        <v>0</v>
      </c>
      <c r="M54" s="430">
        <f>'SPP K3-2'!Q102</f>
        <v>0</v>
      </c>
      <c r="N54" s="430">
        <f>'SPP K3-2'!R102</f>
        <v>0</v>
      </c>
      <c r="O54" s="430">
        <f>'SPP K3-2'!S102</f>
        <v>0</v>
      </c>
      <c r="P54" s="430">
        <f>'SPP K3-2'!T102</f>
        <v>0</v>
      </c>
      <c r="Q54" s="430">
        <f>'SPP K3-2'!U102</f>
        <v>0</v>
      </c>
      <c r="R54" s="430">
        <f>'SPP K3-2'!V102</f>
        <v>0</v>
      </c>
      <c r="S54" s="430">
        <f>'SPP K3-2'!W102</f>
        <v>0</v>
      </c>
      <c r="T54" s="430">
        <f>'SPP K3-2'!X102</f>
        <v>0</v>
      </c>
      <c r="U54" s="9" t="e">
        <f>SUM(Q54/I54)*100</f>
        <v>#DIV/0!</v>
      </c>
      <c r="V54" s="430">
        <f>'SPP K3-2'!Z102</f>
        <v>0</v>
      </c>
      <c r="W54" s="1674">
        <f>'SPP K3-2'!AA102</f>
        <v>0</v>
      </c>
      <c r="X54" s="1673">
        <f>'SPP K3-2'!Z102</f>
        <v>0</v>
      </c>
      <c r="Y54" s="1619">
        <f>'SPP K3-2'!AC102</f>
        <v>0</v>
      </c>
      <c r="Z54" s="1618">
        <f>'SPP K3-2'!AD102</f>
        <v>0</v>
      </c>
      <c r="AA54" s="1618">
        <f>'SPP K3-2'!AE102</f>
        <v>0</v>
      </c>
      <c r="AB54" s="1617">
        <f>'SPP K3-2'!AF102</f>
        <v>0</v>
      </c>
    </row>
    <row r="55" spans="1:28" s="1581" customFormat="1" ht="34.5" customHeight="1">
      <c r="A55" s="1625">
        <f t="shared" ref="A55:A64" si="4">A54+1</f>
        <v>3</v>
      </c>
      <c r="B55" s="1628" t="str">
        <f t="shared" ref="B55:B68" si="5">B15</f>
        <v>DARMAREJA</v>
      </c>
      <c r="C55" s="1672">
        <f>'SPP K3-3'!D103</f>
        <v>0</v>
      </c>
      <c r="D55" s="1946"/>
      <c r="E55" s="430">
        <f>'SPP K3-3'!D102</f>
        <v>0</v>
      </c>
      <c r="F55" s="430">
        <f>'SPP K3-3'!E102</f>
        <v>0</v>
      </c>
      <c r="G55" s="430">
        <f>'SPP K3-3'!F102</f>
        <v>0</v>
      </c>
      <c r="H55" s="430"/>
      <c r="I55" s="430">
        <f>'SPP K3-3'!M102</f>
        <v>0</v>
      </c>
      <c r="J55" s="430">
        <f>'SPP K3-3'!N102</f>
        <v>0</v>
      </c>
      <c r="K55" s="430">
        <f>'SPP K3-3'!O102</f>
        <v>0</v>
      </c>
      <c r="L55" s="430">
        <f>'SPP K3-3'!P102</f>
        <v>0</v>
      </c>
      <c r="M55" s="430">
        <f>'SPP K3-3'!Q102</f>
        <v>0</v>
      </c>
      <c r="N55" s="430">
        <f>'SPP K3-3'!R102</f>
        <v>0</v>
      </c>
      <c r="O55" s="430">
        <f>'SPP K3-3'!S102</f>
        <v>0</v>
      </c>
      <c r="P55" s="430">
        <f>'SPP K3-3'!T102</f>
        <v>0</v>
      </c>
      <c r="Q55" s="430">
        <f>'SPP K3-3'!U102</f>
        <v>0</v>
      </c>
      <c r="R55" s="430">
        <f>'SPP K3-3'!V102</f>
        <v>0</v>
      </c>
      <c r="S55" s="430">
        <f>'SPP K3-3'!W102</f>
        <v>0</v>
      </c>
      <c r="T55" s="430">
        <f>'SPP K3-3'!X102</f>
        <v>0</v>
      </c>
      <c r="U55" s="9" t="e">
        <f t="shared" ref="U55:U66" si="6">SUM(Q55/I55)*100</f>
        <v>#DIV/0!</v>
      </c>
      <c r="V55" s="430">
        <f>'SPP K3-3'!Z102</f>
        <v>0</v>
      </c>
      <c r="W55" s="1674">
        <f>'SPP K3-3'!AA102</f>
        <v>0</v>
      </c>
      <c r="X55" s="1673">
        <f>'SPP K3-3'!Z102</f>
        <v>0</v>
      </c>
      <c r="Y55" s="1619">
        <f>'SPP K3-3'!AC102</f>
        <v>0</v>
      </c>
      <c r="Z55" s="1618">
        <f>'SPP K3-3'!AD102</f>
        <v>0</v>
      </c>
      <c r="AA55" s="1618">
        <f>'SPP K3-3'!AE102</f>
        <v>0</v>
      </c>
      <c r="AB55" s="1617">
        <f>'SPP K3-3'!AF102</f>
        <v>0</v>
      </c>
    </row>
    <row r="56" spans="1:28" s="1581" customFormat="1" ht="34.5" customHeight="1">
      <c r="A56" s="1625">
        <f t="shared" si="4"/>
        <v>4</v>
      </c>
      <c r="B56" s="1628" t="str">
        <f t="shared" si="5"/>
        <v>BALEKAMBANG</v>
      </c>
      <c r="C56" s="1672">
        <f>'SPP K3-4'!D103</f>
        <v>0</v>
      </c>
      <c r="D56" s="1946"/>
      <c r="E56" s="430">
        <f>'SPP K3-4'!D102</f>
        <v>0</v>
      </c>
      <c r="F56" s="430">
        <f>'SPP K3-4'!E102</f>
        <v>0</v>
      </c>
      <c r="G56" s="430">
        <f>'SPP K3-4'!F102</f>
        <v>0</v>
      </c>
      <c r="H56" s="430"/>
      <c r="I56" s="430">
        <f>'SPP K3-4'!M102</f>
        <v>0</v>
      </c>
      <c r="J56" s="430">
        <f>'SPP K3-4'!N102</f>
        <v>0</v>
      </c>
      <c r="K56" s="430">
        <f>'SPP K3-4'!O102</f>
        <v>0</v>
      </c>
      <c r="L56" s="430">
        <f>'SPP K3-4'!P102</f>
        <v>0</v>
      </c>
      <c r="M56" s="430">
        <f>'SPP K3-4'!Q102</f>
        <v>0</v>
      </c>
      <c r="N56" s="430">
        <f>'SPP K3-4'!R102</f>
        <v>0</v>
      </c>
      <c r="O56" s="430">
        <f>'SPP K3-4'!S102</f>
        <v>0</v>
      </c>
      <c r="P56" s="430">
        <f>'SPP K3-4'!T102</f>
        <v>0</v>
      </c>
      <c r="Q56" s="430">
        <f>'SPP K3-4'!U102</f>
        <v>0</v>
      </c>
      <c r="R56" s="430">
        <f>'SPP K3-4'!V102</f>
        <v>0</v>
      </c>
      <c r="S56" s="430">
        <f>'SPP K3-4'!W102</f>
        <v>0</v>
      </c>
      <c r="T56" s="430">
        <f>'SPP K3-4'!X102</f>
        <v>0</v>
      </c>
      <c r="U56" s="9" t="e">
        <f t="shared" si="6"/>
        <v>#DIV/0!</v>
      </c>
      <c r="V56" s="430">
        <f>'SPP K3-4'!Z102</f>
        <v>0</v>
      </c>
      <c r="W56" s="1674">
        <f>'SPP K3-4'!AA102</f>
        <v>0</v>
      </c>
      <c r="X56" s="1673">
        <f>'SPP K3-4'!Z102</f>
        <v>0</v>
      </c>
      <c r="Y56" s="1619">
        <f>'SPP K3-4'!AC102</f>
        <v>0</v>
      </c>
      <c r="Z56" s="1618">
        <f>'SPP K3-4'!AD102</f>
        <v>0</v>
      </c>
      <c r="AA56" s="1618">
        <f>'SPP K3-4'!AE102</f>
        <v>0</v>
      </c>
      <c r="AB56" s="1617">
        <f>'SPP K3-4'!AF102</f>
        <v>0</v>
      </c>
    </row>
    <row r="57" spans="1:28" s="1581" customFormat="1" ht="34.5" customHeight="1">
      <c r="A57" s="1625">
        <f t="shared" si="4"/>
        <v>5</v>
      </c>
      <c r="B57" s="1628" t="str">
        <f t="shared" si="5"/>
        <v>NAGRAK SELATAN</v>
      </c>
      <c r="C57" s="1672">
        <f>'SPP K3-5'!D103</f>
        <v>0</v>
      </c>
      <c r="D57" s="1946"/>
      <c r="E57" s="430">
        <f>'SPP K3-5'!D102</f>
        <v>0</v>
      </c>
      <c r="F57" s="430">
        <f>'SPP K3-5'!E102</f>
        <v>0</v>
      </c>
      <c r="G57" s="430">
        <f>'SPP K3-5'!F102</f>
        <v>0</v>
      </c>
      <c r="H57" s="430"/>
      <c r="I57" s="430">
        <f>'SPP K3-5'!M102</f>
        <v>0</v>
      </c>
      <c r="J57" s="430">
        <f>'SPP K3-5'!N102</f>
        <v>0</v>
      </c>
      <c r="K57" s="430">
        <f>'SPP K3-5'!O102</f>
        <v>0</v>
      </c>
      <c r="L57" s="430">
        <f>'SPP K3-5'!P102</f>
        <v>0</v>
      </c>
      <c r="M57" s="430">
        <f>'SPP K3-5'!Q102</f>
        <v>0</v>
      </c>
      <c r="N57" s="430">
        <f>'SPP K3-5'!R102</f>
        <v>0</v>
      </c>
      <c r="O57" s="430">
        <f>'SPP K3-5'!S102</f>
        <v>0</v>
      </c>
      <c r="P57" s="430">
        <f>'SPP K3-5'!T102</f>
        <v>0</v>
      </c>
      <c r="Q57" s="430">
        <f>'SPP K3-5'!U102</f>
        <v>0</v>
      </c>
      <c r="R57" s="430">
        <f>'SPP K3-5'!V102</f>
        <v>0</v>
      </c>
      <c r="S57" s="430">
        <f>'SPP K3-5'!W102</f>
        <v>0</v>
      </c>
      <c r="T57" s="430">
        <f>'SPP K3-5'!X102</f>
        <v>0</v>
      </c>
      <c r="U57" s="9" t="e">
        <f t="shared" si="6"/>
        <v>#DIV/0!</v>
      </c>
      <c r="V57" s="430">
        <f>'SPP K3-5'!Z102</f>
        <v>0</v>
      </c>
      <c r="W57" s="1674">
        <f>'SPP K3-5'!AA102</f>
        <v>0</v>
      </c>
      <c r="X57" s="1673">
        <f>'SPP K3-5'!Z102</f>
        <v>0</v>
      </c>
      <c r="Y57" s="1619">
        <f>'SPP K3-5'!AC102</f>
        <v>0</v>
      </c>
      <c r="Z57" s="1618">
        <f>'SPP K3-5'!AD102</f>
        <v>0</v>
      </c>
      <c r="AA57" s="1618">
        <f>'SPP K3-5'!AE102</f>
        <v>0</v>
      </c>
      <c r="AB57" s="1617">
        <f>'SPP K3-5'!AF102</f>
        <v>0</v>
      </c>
    </row>
    <row r="58" spans="1:28" s="1581" customFormat="1" ht="34.5" customHeight="1">
      <c r="A58" s="1625">
        <f t="shared" si="4"/>
        <v>6</v>
      </c>
      <c r="B58" s="1628" t="str">
        <f t="shared" si="5"/>
        <v>KALAPAREA</v>
      </c>
      <c r="C58" s="1672">
        <f>'SPP K3-6'!D103</f>
        <v>0</v>
      </c>
      <c r="D58" s="1946"/>
      <c r="E58" s="430">
        <f>'SPP K3-6'!D102</f>
        <v>0</v>
      </c>
      <c r="F58" s="430">
        <f>'SPP K3-6'!E102</f>
        <v>0</v>
      </c>
      <c r="G58" s="430">
        <f>'SPP K3-6'!F102</f>
        <v>0</v>
      </c>
      <c r="H58" s="430"/>
      <c r="I58" s="430">
        <f>'SPP K3-6'!M102</f>
        <v>0</v>
      </c>
      <c r="J58" s="430">
        <f>'SPP K3-6'!N102</f>
        <v>0</v>
      </c>
      <c r="K58" s="430">
        <f>'SPP K3-6'!O102</f>
        <v>0</v>
      </c>
      <c r="L58" s="430">
        <f>'SPP K3-6'!P102</f>
        <v>0</v>
      </c>
      <c r="M58" s="430">
        <f>'SPP K3-6'!Q102</f>
        <v>0</v>
      </c>
      <c r="N58" s="430">
        <f>'SPP K3-6'!R102</f>
        <v>0</v>
      </c>
      <c r="O58" s="430">
        <f>'SPP K3-6'!S102</f>
        <v>0</v>
      </c>
      <c r="P58" s="430">
        <f>'SPP K3-6'!T102</f>
        <v>0</v>
      </c>
      <c r="Q58" s="430">
        <f>'SPP K3-6'!U102</f>
        <v>0</v>
      </c>
      <c r="R58" s="430">
        <f>'SPP K3-6'!V102</f>
        <v>0</v>
      </c>
      <c r="S58" s="430">
        <f>'SPP K3-6'!W102</f>
        <v>0</v>
      </c>
      <c r="T58" s="430">
        <f>'SPP K3-6'!X102</f>
        <v>0</v>
      </c>
      <c r="U58" s="9" t="e">
        <f t="shared" si="6"/>
        <v>#DIV/0!</v>
      </c>
      <c r="V58" s="430">
        <f>'SPP K3-6'!Z102</f>
        <v>0</v>
      </c>
      <c r="W58" s="1674">
        <f>'SPP K3-6'!AA102</f>
        <v>0</v>
      </c>
      <c r="X58" s="1673">
        <f>'SPP K3-6'!Z102</f>
        <v>0</v>
      </c>
      <c r="Y58" s="1619">
        <f>'SPP K3-6'!AC102</f>
        <v>0</v>
      </c>
      <c r="Z58" s="1618">
        <f>'SPP K3-6'!AD102</f>
        <v>0</v>
      </c>
      <c r="AA58" s="1618">
        <f>'SPP K3-6'!AE102</f>
        <v>0</v>
      </c>
      <c r="AB58" s="1617">
        <f>'SPP K3-6'!AF102</f>
        <v>0</v>
      </c>
    </row>
    <row r="59" spans="1:28" s="1581" customFormat="1" ht="34.5" customHeight="1">
      <c r="A59" s="1625">
        <f t="shared" si="4"/>
        <v>7</v>
      </c>
      <c r="B59" s="1628" t="str">
        <f t="shared" si="5"/>
        <v>BABAKAN PANJANG</v>
      </c>
      <c r="C59" s="1672">
        <f>'SPP K3-7'!D103</f>
        <v>0</v>
      </c>
      <c r="D59" s="1946"/>
      <c r="E59" s="430">
        <f>'SPP K3-7'!D102</f>
        <v>0</v>
      </c>
      <c r="F59" s="430">
        <f>'SPP K3-7'!E102</f>
        <v>0</v>
      </c>
      <c r="G59" s="430">
        <f>'SPP K3-7'!F102</f>
        <v>0</v>
      </c>
      <c r="H59" s="430"/>
      <c r="I59" s="430">
        <f>'SPP K3-7'!M102</f>
        <v>0</v>
      </c>
      <c r="J59" s="430">
        <f>'SPP K3-7'!N102</f>
        <v>0</v>
      </c>
      <c r="K59" s="430">
        <f>'SPP K3-7'!O102</f>
        <v>0</v>
      </c>
      <c r="L59" s="430">
        <f>'SPP K3-7'!P102</f>
        <v>0</v>
      </c>
      <c r="M59" s="430">
        <f>'SPP K3-7'!Q102</f>
        <v>0</v>
      </c>
      <c r="N59" s="430">
        <f>'SPP K3-7'!R102</f>
        <v>0</v>
      </c>
      <c r="O59" s="430">
        <f>'SPP K3-7'!S102</f>
        <v>0</v>
      </c>
      <c r="P59" s="430">
        <f>'SPP K3-7'!T102</f>
        <v>0</v>
      </c>
      <c r="Q59" s="430">
        <f>'SPP K3-7'!U102</f>
        <v>0</v>
      </c>
      <c r="R59" s="430">
        <f>'SPP K3-7'!V102</f>
        <v>0</v>
      </c>
      <c r="S59" s="430">
        <f>'SPP K3-7'!W102</f>
        <v>0</v>
      </c>
      <c r="T59" s="430">
        <f>'SPP K3-7'!X102</f>
        <v>0</v>
      </c>
      <c r="U59" s="9" t="e">
        <f t="shared" si="6"/>
        <v>#DIV/0!</v>
      </c>
      <c r="V59" s="430">
        <f>'SPP K3-7'!Z102</f>
        <v>0</v>
      </c>
      <c r="W59" s="1674">
        <f>'SPP K3-7'!AA102</f>
        <v>0</v>
      </c>
      <c r="X59" s="1673">
        <f>'SPP K3-7'!Z102</f>
        <v>0</v>
      </c>
      <c r="Y59" s="1619">
        <f>'SPP K3-7'!AC102</f>
        <v>0</v>
      </c>
      <c r="Z59" s="1618">
        <f>'SPP K3-7'!AD102</f>
        <v>0</v>
      </c>
      <c r="AA59" s="1618">
        <f>'SPP K3-7'!AE102</f>
        <v>0</v>
      </c>
      <c r="AB59" s="1617">
        <f>'SPP K3-7'!AF102</f>
        <v>0</v>
      </c>
    </row>
    <row r="60" spans="1:28" s="1581" customFormat="1" ht="34.5" customHeight="1">
      <c r="A60" s="1625">
        <f t="shared" si="4"/>
        <v>8</v>
      </c>
      <c r="B60" s="1628" t="str">
        <f t="shared" si="5"/>
        <v>PAWENANG</v>
      </c>
      <c r="C60" s="1672">
        <f>'SPP K3-8'!D103</f>
        <v>0</v>
      </c>
      <c r="D60" s="1946"/>
      <c r="E60" s="430">
        <f>'SPP K3-8'!D102</f>
        <v>0</v>
      </c>
      <c r="F60" s="430">
        <f>'SPP K3-8'!E102</f>
        <v>0</v>
      </c>
      <c r="G60" s="430">
        <f>'SPP K3-8'!F102</f>
        <v>0</v>
      </c>
      <c r="H60" s="430"/>
      <c r="I60" s="430">
        <f>'SPP K3-8'!M102</f>
        <v>0</v>
      </c>
      <c r="J60" s="430">
        <f>'SPP K3-8'!N102</f>
        <v>0</v>
      </c>
      <c r="K60" s="430">
        <f>'SPP K3-8'!O102</f>
        <v>0</v>
      </c>
      <c r="L60" s="430">
        <f>'SPP K3-8'!P102</f>
        <v>0</v>
      </c>
      <c r="M60" s="430">
        <f>'SPP K3-8'!Q102</f>
        <v>0</v>
      </c>
      <c r="N60" s="430">
        <f>'SPP K3-8'!R102</f>
        <v>0</v>
      </c>
      <c r="O60" s="430">
        <f>'SPP K3-8'!S102</f>
        <v>0</v>
      </c>
      <c r="P60" s="430">
        <f>'SPP K3-8'!T102</f>
        <v>0</v>
      </c>
      <c r="Q60" s="430">
        <f>'SPP K3-8'!U102</f>
        <v>0</v>
      </c>
      <c r="R60" s="430">
        <f>'SPP K3-8'!V102</f>
        <v>0</v>
      </c>
      <c r="S60" s="430">
        <f>'SPP K3-8'!W102</f>
        <v>0</v>
      </c>
      <c r="T60" s="430">
        <f>'SPP K3-8'!X102</f>
        <v>0</v>
      </c>
      <c r="U60" s="9" t="e">
        <f t="shared" si="6"/>
        <v>#DIV/0!</v>
      </c>
      <c r="V60" s="430">
        <f>'SPP K3-8'!Z102</f>
        <v>0</v>
      </c>
      <c r="W60" s="1674">
        <f>'SPP K3-8'!AA102</f>
        <v>0</v>
      </c>
      <c r="X60" s="1673">
        <f>'SPP K3-8'!Z102</f>
        <v>0</v>
      </c>
      <c r="Y60" s="1619">
        <f>'SPP K3-8'!AC102</f>
        <v>0</v>
      </c>
      <c r="Z60" s="1618">
        <f>'SPP K3-8'!AD102</f>
        <v>0</v>
      </c>
      <c r="AA60" s="1618">
        <f>'SPP K3-8'!AE102</f>
        <v>0</v>
      </c>
      <c r="AB60" s="1617">
        <f>'SPP K3-8'!AF102</f>
        <v>0</v>
      </c>
    </row>
    <row r="61" spans="1:28" s="1581" customFormat="1" ht="34.5" customHeight="1">
      <c r="A61" s="1625">
        <f t="shared" si="4"/>
        <v>9</v>
      </c>
      <c r="B61" s="1628" t="str">
        <f t="shared" si="5"/>
        <v>CISARUA</v>
      </c>
      <c r="C61" s="1672">
        <f>'SPP K3-9'!D103</f>
        <v>0</v>
      </c>
      <c r="D61" s="1946"/>
      <c r="E61" s="430">
        <f>'SPP K3-9'!D102</f>
        <v>0</v>
      </c>
      <c r="F61" s="430">
        <f>'SPP K3-9'!E102</f>
        <v>0</v>
      </c>
      <c r="G61" s="430">
        <f>'SPP K3-9'!F102</f>
        <v>0</v>
      </c>
      <c r="H61" s="430"/>
      <c r="I61" s="430">
        <f>'SPP K3-9'!M102</f>
        <v>0</v>
      </c>
      <c r="J61" s="430">
        <f>'SPP K3-9'!N102</f>
        <v>0</v>
      </c>
      <c r="K61" s="430">
        <f>'SPP K3-9'!O102</f>
        <v>0</v>
      </c>
      <c r="L61" s="430">
        <f>'SPP K3-9'!P102</f>
        <v>0</v>
      </c>
      <c r="M61" s="430">
        <f>'SPP K3-9'!Q102</f>
        <v>0</v>
      </c>
      <c r="N61" s="430">
        <f>'SPP K3-9'!R102</f>
        <v>0</v>
      </c>
      <c r="O61" s="430">
        <f>'SPP K3-9'!S102</f>
        <v>0</v>
      </c>
      <c r="P61" s="430">
        <f>'SPP K3-9'!T102</f>
        <v>0</v>
      </c>
      <c r="Q61" s="430">
        <f>'SPP K3-9'!U102</f>
        <v>0</v>
      </c>
      <c r="R61" s="430">
        <f>'SPP K3-9'!V102</f>
        <v>0</v>
      </c>
      <c r="S61" s="430">
        <f>'SPP K3-9'!W102</f>
        <v>0</v>
      </c>
      <c r="T61" s="430">
        <f>'SPP K3-9'!X102</f>
        <v>0</v>
      </c>
      <c r="U61" s="9" t="e">
        <f t="shared" si="6"/>
        <v>#DIV/0!</v>
      </c>
      <c r="V61" s="430">
        <f>'SPP K3-9'!Z102</f>
        <v>0</v>
      </c>
      <c r="W61" s="1674">
        <f>'SPP K3-9'!AA102</f>
        <v>0</v>
      </c>
      <c r="X61" s="1673">
        <f>'SPP K3-9'!Z102</f>
        <v>0</v>
      </c>
      <c r="Y61" s="1619">
        <f>'SPP K3-9'!AC102</f>
        <v>0</v>
      </c>
      <c r="Z61" s="1618">
        <f>'SPP K3-9'!AD102</f>
        <v>0</v>
      </c>
      <c r="AA61" s="1618">
        <f>'SPP K3-9'!AE102</f>
        <v>0</v>
      </c>
      <c r="AB61" s="1617">
        <f>'SPP K3-9'!AF102</f>
        <v>0</v>
      </c>
    </row>
    <row r="62" spans="1:28" s="1581" customFormat="1" ht="34.5" customHeight="1">
      <c r="A62" s="1625">
        <f t="shared" si="4"/>
        <v>10</v>
      </c>
      <c r="B62" s="1628" t="str">
        <f t="shared" si="5"/>
        <v>GIRIJAYA</v>
      </c>
      <c r="C62" s="1672">
        <f>'SPP K3-10'!D103</f>
        <v>0</v>
      </c>
      <c r="D62" s="1946"/>
      <c r="E62" s="430">
        <f>'SPP K3-10'!D102</f>
        <v>0</v>
      </c>
      <c r="F62" s="430">
        <f>'SPP K3-10'!E102</f>
        <v>0</v>
      </c>
      <c r="G62" s="430">
        <f>'SPP K3-10'!F102</f>
        <v>0</v>
      </c>
      <c r="H62" s="430"/>
      <c r="I62" s="430">
        <f>'SPP K3-10'!M102</f>
        <v>0</v>
      </c>
      <c r="J62" s="430">
        <f>'SPP K3-10'!N102</f>
        <v>0</v>
      </c>
      <c r="K62" s="430">
        <f>'SPP K3-10'!O102</f>
        <v>0</v>
      </c>
      <c r="L62" s="430">
        <f>'SPP K3-10'!P102</f>
        <v>0</v>
      </c>
      <c r="M62" s="430">
        <f>'SPP K3-10'!Q102</f>
        <v>0</v>
      </c>
      <c r="N62" s="430">
        <f>'SPP K3-10'!R102</f>
        <v>0</v>
      </c>
      <c r="O62" s="430">
        <f>'SPP K3-10'!S102</f>
        <v>0</v>
      </c>
      <c r="P62" s="430">
        <f>'SPP K3-10'!T102</f>
        <v>0</v>
      </c>
      <c r="Q62" s="430">
        <f>'SPP K3-10'!U102</f>
        <v>0</v>
      </c>
      <c r="R62" s="430">
        <f>'SPP K3-10'!V102</f>
        <v>0</v>
      </c>
      <c r="S62" s="430">
        <f>'SPP K3-10'!W102</f>
        <v>0</v>
      </c>
      <c r="T62" s="430">
        <f>'SPP K3-10'!X102</f>
        <v>0</v>
      </c>
      <c r="U62" s="9" t="e">
        <f t="shared" si="6"/>
        <v>#DIV/0!</v>
      </c>
      <c r="V62" s="430">
        <f>'SPP K3-10'!Z102</f>
        <v>0</v>
      </c>
      <c r="W62" s="1674">
        <f>'SPP K3-10'!AA102</f>
        <v>0</v>
      </c>
      <c r="X62" s="1673">
        <f>'SPP K3-10'!Z102</f>
        <v>0</v>
      </c>
      <c r="Y62" s="1619">
        <f>'SPP K3-10'!AC102</f>
        <v>0</v>
      </c>
      <c r="Z62" s="1618">
        <f>'SPP K3-10'!AD102</f>
        <v>0</v>
      </c>
      <c r="AA62" s="1618">
        <f>'SPP K3-10'!AE102</f>
        <v>0</v>
      </c>
      <c r="AB62" s="1617">
        <f>'SPP K3-10'!AF102</f>
        <v>0</v>
      </c>
    </row>
    <row r="63" spans="1:28" s="1581" customFormat="1" ht="34.5" customHeight="1">
      <c r="A63" s="1625">
        <f t="shared" si="4"/>
        <v>11</v>
      </c>
      <c r="B63" s="1628">
        <f t="shared" si="5"/>
        <v>0</v>
      </c>
      <c r="C63" s="1672">
        <f>'SPP K3-11'!D103</f>
        <v>0</v>
      </c>
      <c r="D63" s="1946"/>
      <c r="E63" s="430">
        <f>'SPP K3-11'!D102</f>
        <v>0</v>
      </c>
      <c r="F63" s="430">
        <f>'SPP K3-11'!E102</f>
        <v>0</v>
      </c>
      <c r="G63" s="430">
        <f>'SPP K3-11'!F102</f>
        <v>0</v>
      </c>
      <c r="H63" s="430"/>
      <c r="I63" s="430">
        <f>'SPP K3-11'!M102</f>
        <v>0</v>
      </c>
      <c r="J63" s="430">
        <f>'SPP K3-11'!N102</f>
        <v>0</v>
      </c>
      <c r="K63" s="430">
        <f>'SPP K3-11'!O102</f>
        <v>0</v>
      </c>
      <c r="L63" s="430">
        <f>'SPP K3-11'!P102</f>
        <v>0</v>
      </c>
      <c r="M63" s="430">
        <f>'SPP K3-11'!Q102</f>
        <v>0</v>
      </c>
      <c r="N63" s="430">
        <f>'SPP K3-11'!R102</f>
        <v>0</v>
      </c>
      <c r="O63" s="430">
        <f>'SPP K3-11'!S102</f>
        <v>0</v>
      </c>
      <c r="P63" s="430">
        <f>'SPP K3-11'!T102</f>
        <v>0</v>
      </c>
      <c r="Q63" s="430">
        <f>'SPP K3-11'!U102</f>
        <v>0</v>
      </c>
      <c r="R63" s="430">
        <f>'SPP K3-11'!V102</f>
        <v>0</v>
      </c>
      <c r="S63" s="430">
        <f>'SPP K3-11'!W102</f>
        <v>0</v>
      </c>
      <c r="T63" s="430">
        <f>'SPP K3-11'!X102</f>
        <v>0</v>
      </c>
      <c r="U63" s="9" t="e">
        <f t="shared" si="6"/>
        <v>#DIV/0!</v>
      </c>
      <c r="V63" s="430">
        <f>'SPP K3-11'!Z102</f>
        <v>0</v>
      </c>
      <c r="W63" s="1674">
        <f>'SPP K3-11'!AA102</f>
        <v>0</v>
      </c>
      <c r="X63" s="1673">
        <f>'SPP K3-11'!Z102</f>
        <v>0</v>
      </c>
      <c r="Y63" s="1619">
        <f>'SPP K3-11'!AC102</f>
        <v>0</v>
      </c>
      <c r="Z63" s="1618">
        <f>'SPP K3-11'!AD102</f>
        <v>0</v>
      </c>
      <c r="AA63" s="1618">
        <f>'SPP K3-11'!AE102</f>
        <v>0</v>
      </c>
      <c r="AB63" s="1617">
        <f>'SPP K3-11'!AF102</f>
        <v>0</v>
      </c>
    </row>
    <row r="64" spans="1:28" s="1581" customFormat="1" ht="34.5" customHeight="1">
      <c r="A64" s="1625">
        <f t="shared" si="4"/>
        <v>12</v>
      </c>
      <c r="B64" s="1628">
        <f t="shared" si="5"/>
        <v>0</v>
      </c>
      <c r="C64" s="1672">
        <f>'SPP K3-12'!D103</f>
        <v>0</v>
      </c>
      <c r="D64" s="1946"/>
      <c r="E64" s="430">
        <f>'SPP K3-12'!D102</f>
        <v>0</v>
      </c>
      <c r="F64" s="430">
        <f>'SPP K3-12'!E102</f>
        <v>0</v>
      </c>
      <c r="G64" s="430">
        <f>'SPP K3-12'!F102</f>
        <v>0</v>
      </c>
      <c r="H64" s="430"/>
      <c r="I64" s="430">
        <f>'SPP K3-12'!M102</f>
        <v>0</v>
      </c>
      <c r="J64" s="430">
        <f>'SPP K3-12'!N102</f>
        <v>0</v>
      </c>
      <c r="K64" s="430">
        <f>'SPP K3-12'!O102</f>
        <v>0</v>
      </c>
      <c r="L64" s="430">
        <f>'SPP K3-12'!P102</f>
        <v>0</v>
      </c>
      <c r="M64" s="430">
        <f>'SPP K3-12'!Q102</f>
        <v>0</v>
      </c>
      <c r="N64" s="430">
        <f>'SPP K3-12'!R102</f>
        <v>0</v>
      </c>
      <c r="O64" s="430">
        <f>'SPP K3-12'!S102</f>
        <v>0</v>
      </c>
      <c r="P64" s="430">
        <f>'SPP K3-12'!T102</f>
        <v>0</v>
      </c>
      <c r="Q64" s="430">
        <f>'SPP K3-12'!U102</f>
        <v>0</v>
      </c>
      <c r="R64" s="430">
        <f>'SPP K3-12'!V102</f>
        <v>0</v>
      </c>
      <c r="S64" s="430">
        <f>'SPP K3-12'!W102</f>
        <v>0</v>
      </c>
      <c r="T64" s="430">
        <f>'SPP K3-12'!X102</f>
        <v>0</v>
      </c>
      <c r="U64" s="9" t="e">
        <f t="shared" si="6"/>
        <v>#DIV/0!</v>
      </c>
      <c r="V64" s="430">
        <f>'SPP K3-12'!Z102</f>
        <v>0</v>
      </c>
      <c r="W64" s="1674">
        <f>'SPP K3-12'!AA102</f>
        <v>0</v>
      </c>
      <c r="X64" s="1673">
        <f>'SPP K3-12'!Z102</f>
        <v>0</v>
      </c>
      <c r="Y64" s="1619">
        <f>'SPP K3-12'!AC102</f>
        <v>0</v>
      </c>
      <c r="Z64" s="1618">
        <f>'SPP K3-12'!AD102</f>
        <v>0</v>
      </c>
      <c r="AA64" s="1618">
        <f>'SPP K3-12'!AE102</f>
        <v>0</v>
      </c>
      <c r="AB64" s="1617">
        <f>'SPP K3-12'!AF102</f>
        <v>0</v>
      </c>
    </row>
    <row r="65" spans="1:28" s="1581" customFormat="1" ht="34.5" customHeight="1">
      <c r="A65" s="1625">
        <f>A64+1</f>
        <v>13</v>
      </c>
      <c r="B65" s="1628">
        <f t="shared" si="5"/>
        <v>0</v>
      </c>
      <c r="C65" s="1672">
        <f>'SPP K3-13'!D103</f>
        <v>0</v>
      </c>
      <c r="D65" s="1946"/>
      <c r="E65" s="430">
        <f>'SPP K3-13'!D102</f>
        <v>0</v>
      </c>
      <c r="F65" s="430">
        <f>'SPP K3-13'!E102</f>
        <v>0</v>
      </c>
      <c r="G65" s="430">
        <f>'SPP K3-13'!F102</f>
        <v>0</v>
      </c>
      <c r="H65" s="430"/>
      <c r="I65" s="430">
        <f>'SPP K3-13'!M102</f>
        <v>0</v>
      </c>
      <c r="J65" s="430">
        <f>'SPP K3-13'!N102</f>
        <v>0</v>
      </c>
      <c r="K65" s="430">
        <f>'SPP K3-13'!O102</f>
        <v>0</v>
      </c>
      <c r="L65" s="430">
        <f>'SPP K3-13'!P102</f>
        <v>0</v>
      </c>
      <c r="M65" s="430">
        <f>'SPP K3-13'!Q102</f>
        <v>0</v>
      </c>
      <c r="N65" s="430">
        <f>'SPP K3-13'!R102</f>
        <v>0</v>
      </c>
      <c r="O65" s="430">
        <f>'SPP K3-13'!S102</f>
        <v>0</v>
      </c>
      <c r="P65" s="430">
        <f>'SPP K3-13'!T102</f>
        <v>0</v>
      </c>
      <c r="Q65" s="430">
        <f>'SPP K3-13'!U102</f>
        <v>0</v>
      </c>
      <c r="R65" s="430">
        <f>'SPP K3-13'!V102</f>
        <v>0</v>
      </c>
      <c r="S65" s="430">
        <f>'SPP K3-13'!W102</f>
        <v>0</v>
      </c>
      <c r="T65" s="430">
        <f>'SPP K3-13'!X102</f>
        <v>0</v>
      </c>
      <c r="U65" s="9" t="e">
        <f t="shared" si="6"/>
        <v>#DIV/0!</v>
      </c>
      <c r="V65" s="430">
        <f>'SPP K3-13'!Z102</f>
        <v>0</v>
      </c>
      <c r="W65" s="1674">
        <f>'SPP K3-13'!AA102</f>
        <v>0</v>
      </c>
      <c r="X65" s="1673">
        <f>'SPP K3-13'!Z102</f>
        <v>0</v>
      </c>
      <c r="Y65" s="1619">
        <f>'SPP K3-13'!AC102</f>
        <v>0</v>
      </c>
      <c r="Z65" s="1618">
        <f>'SPP K3-13'!AD102</f>
        <v>0</v>
      </c>
      <c r="AA65" s="1618">
        <f>'SPP K3-13'!AE102</f>
        <v>0</v>
      </c>
      <c r="AB65" s="1617">
        <f>'SPP K3-13'!AF102</f>
        <v>0</v>
      </c>
    </row>
    <row r="66" spans="1:28" s="1581" customFormat="1" ht="34.5" customHeight="1">
      <c r="A66" s="1625">
        <f>A65+1</f>
        <v>14</v>
      </c>
      <c r="B66" s="1628">
        <f t="shared" si="5"/>
        <v>0</v>
      </c>
      <c r="C66" s="1672">
        <f>'SPP K3-14'!D103</f>
        <v>0</v>
      </c>
      <c r="D66" s="1946"/>
      <c r="E66" s="430">
        <f>'SPP K3-14'!D102</f>
        <v>0</v>
      </c>
      <c r="F66" s="430">
        <f>'SPP K3-14'!E102</f>
        <v>0</v>
      </c>
      <c r="G66" s="9">
        <f>'SPP K3-14'!F102</f>
        <v>0</v>
      </c>
      <c r="H66" s="9"/>
      <c r="I66" s="9">
        <f>'SPP K3-14'!M102</f>
        <v>0</v>
      </c>
      <c r="J66" s="9">
        <f>'SPP K3-14'!N102</f>
        <v>0</v>
      </c>
      <c r="K66" s="9">
        <f>'SPP K3-14'!O102</f>
        <v>0</v>
      </c>
      <c r="L66" s="9">
        <f>'SPP K3-14'!P102</f>
        <v>0</v>
      </c>
      <c r="M66" s="9">
        <f>'SPP K3-14'!Q102</f>
        <v>0</v>
      </c>
      <c r="N66" s="9">
        <f>'SPP K3-14'!R102</f>
        <v>0</v>
      </c>
      <c r="O66" s="9">
        <f>'SPP K3-14'!S102</f>
        <v>0</v>
      </c>
      <c r="P66" s="9">
        <f>'SPP K3-14'!T102</f>
        <v>0</v>
      </c>
      <c r="Q66" s="9">
        <f>'SPP K3-14'!U102</f>
        <v>0</v>
      </c>
      <c r="R66" s="9">
        <f>'SPP K3-14'!V102</f>
        <v>0</v>
      </c>
      <c r="S66" s="9">
        <f>'SPP K3-14'!W102</f>
        <v>0</v>
      </c>
      <c r="T66" s="9">
        <f>'SPP K3-14'!X102</f>
        <v>0</v>
      </c>
      <c r="U66" s="9" t="e">
        <f t="shared" si="6"/>
        <v>#DIV/0!</v>
      </c>
      <c r="V66" s="9">
        <f>'SPP K3-14'!Z102</f>
        <v>0</v>
      </c>
      <c r="W66" s="1621">
        <f>'SPP K3-14'!AA102</f>
        <v>0</v>
      </c>
      <c r="X66" s="1671">
        <f>'SPP K3-14'!Z102</f>
        <v>0</v>
      </c>
      <c r="Y66" s="1670">
        <f>'SPP K3-14'!AC102</f>
        <v>0</v>
      </c>
      <c r="Z66" s="1669">
        <f>'SPP K3-14'!AD102</f>
        <v>0</v>
      </c>
      <c r="AA66" s="1669">
        <f>'SPP K3-14'!AE102</f>
        <v>0</v>
      </c>
      <c r="AB66" s="1668">
        <f>'SPP K3-14'!AF102</f>
        <v>0</v>
      </c>
    </row>
    <row r="67" spans="1:28" s="1581" customFormat="1" ht="34.5" customHeight="1">
      <c r="A67" s="1625">
        <f>A66+1</f>
        <v>15</v>
      </c>
      <c r="B67" s="1628">
        <f t="shared" si="5"/>
        <v>0</v>
      </c>
      <c r="C67" s="1672">
        <f>'SPP K3-15'!D103</f>
        <v>0</v>
      </c>
      <c r="D67" s="1946"/>
      <c r="E67" s="430">
        <f>'SPP K3-15'!D102</f>
        <v>0</v>
      </c>
      <c r="F67" s="430">
        <f>'SPP K3-15'!E102</f>
        <v>0</v>
      </c>
      <c r="G67" s="430">
        <f>'SPP K3-15'!F102</f>
        <v>0</v>
      </c>
      <c r="H67" s="9"/>
      <c r="I67" s="9">
        <f>'SPP K3-15'!M102</f>
        <v>0</v>
      </c>
      <c r="J67" s="9">
        <f>'SPP K3-15'!N102</f>
        <v>0</v>
      </c>
      <c r="K67" s="9">
        <f>'SPP K3-15'!O102</f>
        <v>0</v>
      </c>
      <c r="L67" s="9">
        <f>'SPP K3-15'!P102</f>
        <v>0</v>
      </c>
      <c r="M67" s="9">
        <f>'SPP K3-15'!Q102</f>
        <v>0</v>
      </c>
      <c r="N67" s="9">
        <f>'SPP K3-15'!R102</f>
        <v>0</v>
      </c>
      <c r="O67" s="9">
        <f>'SPP K3-15'!S102</f>
        <v>0</v>
      </c>
      <c r="P67" s="9">
        <f>'SPP K3-15'!T102</f>
        <v>0</v>
      </c>
      <c r="Q67" s="9">
        <f>'SPP K3-15'!U102</f>
        <v>0</v>
      </c>
      <c r="R67" s="9">
        <f>'SPP K3-15'!V102</f>
        <v>0</v>
      </c>
      <c r="S67" s="9">
        <f>'SPP K3-15'!W102</f>
        <v>0</v>
      </c>
      <c r="T67" s="9">
        <f>'SPP K3-15'!X102</f>
        <v>0</v>
      </c>
      <c r="U67" s="9" t="e">
        <f>SUM(Q67/I67)*100</f>
        <v>#DIV/0!</v>
      </c>
      <c r="V67" s="9">
        <f>'SPP K3-15'!Z102</f>
        <v>0</v>
      </c>
      <c r="W67" s="1621">
        <f>'SPP K3-15'!AA102</f>
        <v>0</v>
      </c>
      <c r="X67" s="1673">
        <f>'SPP K3-15'!AB102</f>
        <v>0</v>
      </c>
      <c r="Y67" s="1619">
        <f>'SPP K3-15'!AC102</f>
        <v>0</v>
      </c>
      <c r="Z67" s="1618">
        <f>'SPP K3-15'!AD102</f>
        <v>0</v>
      </c>
      <c r="AA67" s="1618">
        <f>'SPP K3-15'!AE102</f>
        <v>0</v>
      </c>
      <c r="AB67" s="1617">
        <f>'SPP K3-15'!AF102</f>
        <v>0</v>
      </c>
    </row>
    <row r="68" spans="1:28" s="1581" customFormat="1" ht="34.5" customHeight="1">
      <c r="A68" s="1625">
        <f>A67+1</f>
        <v>16</v>
      </c>
      <c r="B68" s="1628">
        <f t="shared" si="5"/>
        <v>0</v>
      </c>
      <c r="C68" s="1672">
        <f>'SPP K3-16'!D103</f>
        <v>0</v>
      </c>
      <c r="D68" s="1946"/>
      <c r="E68" s="430">
        <f>'SPP K3-16'!D102</f>
        <v>0</v>
      </c>
      <c r="F68" s="430">
        <f>'SPP K3-16'!E102</f>
        <v>0</v>
      </c>
      <c r="G68" s="430">
        <f>'SPP K3-16'!F102</f>
        <v>0</v>
      </c>
      <c r="H68" s="9"/>
      <c r="I68" s="9">
        <f>'SPP K3-16'!M102</f>
        <v>0</v>
      </c>
      <c r="J68" s="9">
        <f>'SPP K3-16'!N102</f>
        <v>0</v>
      </c>
      <c r="K68" s="9">
        <f>'SPP K3-16'!O102</f>
        <v>0</v>
      </c>
      <c r="L68" s="9">
        <f>'SPP K3-16'!P102</f>
        <v>0</v>
      </c>
      <c r="M68" s="9">
        <f>'SPP K3-16'!Q102</f>
        <v>0</v>
      </c>
      <c r="N68" s="9">
        <f>'SPP K3-16'!R102</f>
        <v>0</v>
      </c>
      <c r="O68" s="9">
        <f>'SPP K3-16'!S102</f>
        <v>0</v>
      </c>
      <c r="P68" s="9">
        <f>'SPP K3-16'!T102</f>
        <v>0</v>
      </c>
      <c r="Q68" s="9">
        <f>'SPP K3-16'!U102</f>
        <v>0</v>
      </c>
      <c r="R68" s="9">
        <f>'SPP K3-16'!V102</f>
        <v>0</v>
      </c>
      <c r="S68" s="9">
        <f>'SPP K3-16'!W102</f>
        <v>0</v>
      </c>
      <c r="T68" s="9">
        <f>'SPP K3-16'!X102</f>
        <v>0</v>
      </c>
      <c r="U68" s="9" t="e">
        <f>SUM(Q68/I68)*100</f>
        <v>#DIV/0!</v>
      </c>
      <c r="V68" s="9">
        <f>'SPP K3-16'!Z102</f>
        <v>0</v>
      </c>
      <c r="W68" s="1621">
        <f>'SPP K3-16'!AA102</f>
        <v>0</v>
      </c>
      <c r="X68" s="1671">
        <f>'SPP K3-16'!AB102</f>
        <v>0</v>
      </c>
      <c r="Y68" s="1670">
        <f>'SPP K3-16'!AC102</f>
        <v>0</v>
      </c>
      <c r="Z68" s="1669">
        <f>'SPP K3-16'!AD102</f>
        <v>0</v>
      </c>
      <c r="AA68" s="1669">
        <f>'SPP K3-16'!AE102</f>
        <v>0</v>
      </c>
      <c r="AB68" s="1668">
        <f>'SPP K3-16'!AF102</f>
        <v>0</v>
      </c>
    </row>
    <row r="69" spans="1:28" s="1581" customFormat="1" ht="15.75" thickBot="1">
      <c r="A69" s="1608"/>
      <c r="B69" s="1616"/>
      <c r="C69" s="1615"/>
      <c r="D69" s="1615"/>
      <c r="E69" s="1615"/>
      <c r="F69" s="1610"/>
      <c r="G69" s="1665"/>
      <c r="H69" s="1665"/>
      <c r="I69" s="1667"/>
      <c r="J69" s="1667"/>
      <c r="K69" s="1667"/>
      <c r="L69" s="1667"/>
      <c r="M69" s="1613"/>
      <c r="N69" s="1613"/>
      <c r="O69" s="1613"/>
      <c r="P69" s="1666"/>
      <c r="Q69" s="1665"/>
      <c r="R69" s="1665"/>
      <c r="S69" s="1613"/>
      <c r="T69" s="1613"/>
      <c r="U69" s="1613"/>
      <c r="V69" s="1613"/>
      <c r="W69" s="1664"/>
      <c r="X69" s="1608"/>
      <c r="Y69" s="1607"/>
      <c r="Z69" s="1606"/>
      <c r="AA69" s="1606"/>
      <c r="AB69" s="1605"/>
    </row>
    <row r="70" spans="1:28" s="1586" customFormat="1" ht="55.5" customHeight="1" thickBot="1">
      <c r="A70" s="1604"/>
      <c r="B70" s="1603" t="s">
        <v>1507</v>
      </c>
      <c r="C70" s="1602">
        <f>SUM(C53:C68)</f>
        <v>0</v>
      </c>
      <c r="D70" s="1602"/>
      <c r="E70" s="1602">
        <f>SUM(E53:E68)</f>
        <v>0</v>
      </c>
      <c r="F70" s="1602">
        <f>SUM(F53:F68)</f>
        <v>0</v>
      </c>
      <c r="G70" s="1602">
        <f t="shared" ref="G70:T70" si="7">SUM(G53:G68)</f>
        <v>0</v>
      </c>
      <c r="H70" s="1602">
        <f t="shared" si="7"/>
        <v>0</v>
      </c>
      <c r="I70" s="1602">
        <f t="shared" si="7"/>
        <v>0</v>
      </c>
      <c r="J70" s="1602">
        <f t="shared" si="7"/>
        <v>0</v>
      </c>
      <c r="K70" s="1602">
        <f t="shared" si="7"/>
        <v>0</v>
      </c>
      <c r="L70" s="1602">
        <f t="shared" si="7"/>
        <v>0</v>
      </c>
      <c r="M70" s="1602">
        <f t="shared" si="7"/>
        <v>0</v>
      </c>
      <c r="N70" s="1602">
        <f t="shared" si="7"/>
        <v>0</v>
      </c>
      <c r="O70" s="1602">
        <f t="shared" si="7"/>
        <v>0</v>
      </c>
      <c r="P70" s="1602">
        <f t="shared" si="7"/>
        <v>0</v>
      </c>
      <c r="Q70" s="1602">
        <f>SUM(Q53:Q68)</f>
        <v>0</v>
      </c>
      <c r="R70" s="1602">
        <f t="shared" si="7"/>
        <v>0</v>
      </c>
      <c r="S70" s="1602">
        <f>SUM(S53:S68)</f>
        <v>0</v>
      </c>
      <c r="T70" s="1602">
        <f t="shared" si="7"/>
        <v>0</v>
      </c>
      <c r="U70" s="1602" t="e">
        <f>SUM(Q70/I70)*100</f>
        <v>#DIV/0!</v>
      </c>
      <c r="V70" s="1602">
        <f t="shared" ref="V70:AB70" si="8">SUM(V53:V68)</f>
        <v>0</v>
      </c>
      <c r="W70" s="1601">
        <f t="shared" si="8"/>
        <v>0</v>
      </c>
      <c r="X70" s="1600">
        <f t="shared" si="8"/>
        <v>0</v>
      </c>
      <c r="Y70" s="1599">
        <f t="shared" si="8"/>
        <v>0</v>
      </c>
      <c r="Z70" s="1598">
        <f t="shared" si="8"/>
        <v>0</v>
      </c>
      <c r="AA70" s="1598">
        <f t="shared" si="8"/>
        <v>0</v>
      </c>
      <c r="AB70" s="1597">
        <f t="shared" si="8"/>
        <v>0</v>
      </c>
    </row>
    <row r="71" spans="1:28" s="1581" customFormat="1" ht="16.5" thickTop="1">
      <c r="G71" s="1586"/>
      <c r="I71" s="1586"/>
      <c r="J71" s="1586"/>
      <c r="K71" s="1586"/>
      <c r="L71" s="1586"/>
      <c r="M71" s="1594"/>
      <c r="N71" s="1594"/>
      <c r="O71" s="1596"/>
      <c r="P71" s="1595"/>
      <c r="Q71" s="1594"/>
      <c r="R71" s="1594"/>
    </row>
    <row r="72" spans="1:28" s="1581" customFormat="1" ht="16.5" customHeight="1">
      <c r="F72" s="1586"/>
      <c r="I72" s="1586"/>
      <c r="J72" s="1586"/>
      <c r="K72" s="1593"/>
      <c r="L72" s="1593"/>
      <c r="M72" s="1592"/>
      <c r="N72" s="1591"/>
      <c r="O72" s="1591"/>
      <c r="P72" s="1590"/>
      <c r="Q72" s="1589"/>
      <c r="R72" s="1589"/>
      <c r="V72" s="1588"/>
      <c r="W72" s="1588"/>
    </row>
    <row r="73" spans="1:28" s="1581" customFormat="1" ht="15">
      <c r="A73" s="1587"/>
      <c r="B73" s="1587"/>
      <c r="K73" s="1586"/>
      <c r="L73" s="1586"/>
      <c r="O73" s="1585"/>
      <c r="P73" s="1584"/>
      <c r="Q73" s="1583"/>
      <c r="R73" s="1582"/>
      <c r="T73" s="1574" t="str">
        <f>T33</f>
        <v>Nagrak, 29 Februari 2016 2016</v>
      </c>
    </row>
    <row r="74" spans="1:28" s="1572" customFormat="1" ht="15">
      <c r="G74" s="1574" t="s">
        <v>21</v>
      </c>
      <c r="P74" s="1574"/>
      <c r="T74" s="1574" t="s">
        <v>22</v>
      </c>
    </row>
    <row r="75" spans="1:28" s="1572" customFormat="1" ht="20.25" customHeight="1">
      <c r="N75" s="1580"/>
      <c r="O75" s="1579"/>
      <c r="T75" s="1574"/>
    </row>
    <row r="76" spans="1:28" s="1572" customFormat="1" ht="20.25" customHeight="1">
      <c r="N76" s="1580"/>
      <c r="O76" s="1579"/>
      <c r="Q76" s="1578"/>
      <c r="T76" s="1574"/>
    </row>
    <row r="77" spans="1:28" s="1572" customFormat="1" ht="20.25" customHeight="1">
      <c r="P77" s="1574"/>
      <c r="T77" s="1574"/>
    </row>
    <row r="78" spans="1:28" s="1572" customFormat="1" ht="20.25" customHeight="1">
      <c r="P78" s="1574"/>
      <c r="Q78" s="1577"/>
      <c r="R78" s="1577"/>
      <c r="T78" s="1574"/>
    </row>
    <row r="79" spans="1:28" s="1572" customFormat="1" ht="15">
      <c r="G79" s="1663" t="str">
        <f>G39</f>
        <v>Endang Taryana</v>
      </c>
      <c r="N79" s="1576"/>
      <c r="P79" s="1575"/>
      <c r="T79" s="1663" t="str">
        <f>T39</f>
        <v>Arin Yustini, SE</v>
      </c>
    </row>
    <row r="80" spans="1:28" s="1572" customFormat="1" ht="15">
      <c r="G80" s="1574" t="s">
        <v>23</v>
      </c>
      <c r="P80" s="1573"/>
      <c r="T80" s="1573" t="s">
        <v>24</v>
      </c>
    </row>
    <row r="81" spans="1:28" ht="21.75" customHeight="1">
      <c r="A81" s="3410" t="s">
        <v>123</v>
      </c>
      <c r="B81" s="3410"/>
      <c r="C81" s="3410"/>
      <c r="D81" s="3410"/>
      <c r="E81" s="3410"/>
      <c r="F81" s="3410"/>
      <c r="G81" s="3410"/>
      <c r="H81" s="3410"/>
      <c r="I81" s="3410"/>
      <c r="J81" s="3410"/>
      <c r="K81" s="3410"/>
      <c r="L81" s="3410"/>
      <c r="M81" s="3410"/>
      <c r="N81" s="3410"/>
      <c r="O81" s="3410"/>
      <c r="P81" s="3410"/>
      <c r="Q81" s="3410"/>
      <c r="R81" s="3410"/>
      <c r="S81" s="3410"/>
      <c r="T81" s="3410"/>
      <c r="U81" s="3410"/>
      <c r="V81" s="3410"/>
      <c r="W81" s="3410"/>
      <c r="X81" s="1661"/>
      <c r="Y81" s="1661"/>
      <c r="Z81" s="1661"/>
      <c r="AA81" s="1661"/>
      <c r="AB81" s="1661"/>
    </row>
    <row r="82" spans="1:28" ht="21.75" customHeight="1">
      <c r="A82" s="3410" t="str">
        <f>A2</f>
        <v>LAPORAN PERKEMBANGAN PINJAMAN  SPP PIHAK KE-3</v>
      </c>
      <c r="B82" s="3410"/>
      <c r="C82" s="3410"/>
      <c r="D82" s="3410"/>
      <c r="E82" s="3410"/>
      <c r="F82" s="3410"/>
      <c r="G82" s="3410"/>
      <c r="H82" s="3410"/>
      <c r="I82" s="3410"/>
      <c r="J82" s="3410"/>
      <c r="K82" s="3410"/>
      <c r="L82" s="3410"/>
      <c r="M82" s="3410"/>
      <c r="N82" s="3410"/>
      <c r="O82" s="3410"/>
      <c r="P82" s="3410"/>
      <c r="Q82" s="3410"/>
      <c r="R82" s="3410"/>
      <c r="S82" s="3410"/>
      <c r="T82" s="3410"/>
      <c r="U82" s="3410"/>
      <c r="V82" s="3410"/>
      <c r="W82" s="3410"/>
      <c r="X82" s="1661"/>
      <c r="Y82" s="1661"/>
      <c r="Z82" s="1661"/>
      <c r="AA82" s="1661"/>
      <c r="AB82" s="1661"/>
    </row>
    <row r="83" spans="1:28" ht="34.5">
      <c r="A83" s="3410" t="s">
        <v>1517</v>
      </c>
      <c r="B83" s="3410"/>
      <c r="C83" s="3410"/>
      <c r="D83" s="3410"/>
      <c r="E83" s="3410"/>
      <c r="F83" s="3410"/>
      <c r="G83" s="3410"/>
      <c r="H83" s="3410"/>
      <c r="I83" s="3410"/>
      <c r="J83" s="3410"/>
      <c r="K83" s="3410"/>
      <c r="L83" s="3410"/>
      <c r="M83" s="3410"/>
      <c r="N83" s="3410"/>
      <c r="O83" s="3410"/>
      <c r="P83" s="3410"/>
      <c r="Q83" s="3410"/>
      <c r="R83" s="3410"/>
      <c r="S83" s="3410"/>
      <c r="T83" s="3410"/>
      <c r="U83" s="3410"/>
      <c r="V83" s="3410"/>
      <c r="W83" s="3410"/>
      <c r="X83" s="1662"/>
      <c r="Y83" s="1661"/>
      <c r="Z83" s="1661"/>
      <c r="AA83" s="1661"/>
      <c r="AB83" s="1661"/>
    </row>
    <row r="84" spans="1:28" ht="21.75" customHeight="1">
      <c r="A84" s="3410" t="str">
        <f>A4</f>
        <v>Per - Februari 2016 2016</v>
      </c>
      <c r="B84" s="3410"/>
      <c r="C84" s="3410"/>
      <c r="D84" s="3410"/>
      <c r="E84" s="3410"/>
      <c r="F84" s="3410"/>
      <c r="G84" s="3410"/>
      <c r="H84" s="3410"/>
      <c r="I84" s="3410"/>
      <c r="J84" s="3410"/>
      <c r="K84" s="3410"/>
      <c r="L84" s="3410"/>
      <c r="M84" s="3410"/>
      <c r="N84" s="3410"/>
      <c r="O84" s="3410"/>
      <c r="P84" s="3410"/>
      <c r="Q84" s="3410"/>
      <c r="R84" s="3410"/>
      <c r="S84" s="3410"/>
      <c r="T84" s="3410"/>
      <c r="U84" s="3410"/>
      <c r="V84" s="3410"/>
      <c r="W84" s="3410"/>
      <c r="X84" s="1661"/>
      <c r="Y84" s="1661"/>
      <c r="Z84" s="1661"/>
      <c r="AA84" s="1661"/>
      <c r="AB84" s="1661"/>
    </row>
    <row r="86" spans="1:28" s="1581" customFormat="1" ht="20.25" customHeight="1">
      <c r="A86" s="1659"/>
      <c r="B86" s="1659" t="s">
        <v>2</v>
      </c>
      <c r="C86" s="1595"/>
      <c r="D86" s="1595"/>
      <c r="E86" s="1595"/>
      <c r="F86" s="1658" t="str">
        <f>F6</f>
        <v>:  Nagrak</v>
      </c>
      <c r="I86" s="1586"/>
      <c r="J86" s="1586"/>
      <c r="K86" s="1586"/>
      <c r="L86" s="1586"/>
    </row>
    <row r="87" spans="1:28" s="1581" customFormat="1" ht="20.25" customHeight="1">
      <c r="A87" s="1659"/>
      <c r="B87" s="1659" t="s">
        <v>4</v>
      </c>
      <c r="C87" s="1595"/>
      <c r="D87" s="1595"/>
      <c r="E87" s="1595"/>
      <c r="F87" s="1658" t="str">
        <f>F7</f>
        <v>:  Sukabumi</v>
      </c>
      <c r="I87" s="1586"/>
      <c r="J87" s="1586"/>
      <c r="K87" s="1586"/>
      <c r="L87" s="1586"/>
      <c r="V87" s="1660"/>
    </row>
    <row r="88" spans="1:28" s="1581" customFormat="1" ht="20.25" customHeight="1">
      <c r="A88" s="1659"/>
      <c r="B88" s="1659" t="s">
        <v>1516</v>
      </c>
      <c r="C88" s="1595"/>
      <c r="D88" s="1595"/>
      <c r="E88" s="1595"/>
      <c r="F88" s="1658" t="str">
        <f>F8</f>
        <v>:  Jawa Barat</v>
      </c>
      <c r="I88" s="1586"/>
      <c r="J88" s="1586"/>
      <c r="K88" s="1586"/>
      <c r="L88" s="1586"/>
      <c r="M88" s="1586"/>
      <c r="N88" s="1586"/>
    </row>
    <row r="89" spans="1:28" s="1581" customFormat="1" ht="15.75" thickBot="1">
      <c r="G89" s="1657"/>
      <c r="H89" s="1657"/>
      <c r="I89" s="1657"/>
      <c r="J89" s="1657"/>
      <c r="K89" s="1657"/>
      <c r="L89" s="1657"/>
    </row>
    <row r="90" spans="1:28" s="1581" customFormat="1" ht="87.75" customHeight="1" thickTop="1">
      <c r="A90" s="3410" t="s">
        <v>36</v>
      </c>
      <c r="B90" s="3410" t="s">
        <v>1515</v>
      </c>
      <c r="C90" s="3410" t="s">
        <v>1505</v>
      </c>
      <c r="D90" s="1943"/>
      <c r="E90" s="3410" t="s">
        <v>1498</v>
      </c>
      <c r="F90" s="3410" t="s">
        <v>1497</v>
      </c>
      <c r="G90" s="3410"/>
      <c r="H90" s="3410" t="s">
        <v>1496</v>
      </c>
      <c r="I90" s="3410" t="s">
        <v>1514</v>
      </c>
      <c r="J90" s="3410"/>
      <c r="K90" s="3410" t="s">
        <v>1513</v>
      </c>
      <c r="L90" s="3410"/>
      <c r="M90" s="3410"/>
      <c r="N90" s="3410" t="s">
        <v>1489</v>
      </c>
      <c r="O90" s="3410"/>
      <c r="P90" s="3410"/>
      <c r="Q90" s="3410" t="s">
        <v>1488</v>
      </c>
      <c r="R90" s="3410"/>
      <c r="S90" s="3410"/>
      <c r="T90" s="3410" t="s">
        <v>1487</v>
      </c>
      <c r="U90" s="3410" t="s">
        <v>1486</v>
      </c>
      <c r="V90" s="3410" t="s">
        <v>1485</v>
      </c>
      <c r="W90" s="3410"/>
      <c r="X90" s="3410" t="s">
        <v>1512</v>
      </c>
      <c r="Y90" s="1656" t="s">
        <v>1511</v>
      </c>
      <c r="Z90" s="1655" t="s">
        <v>1510</v>
      </c>
      <c r="AA90" s="1655" t="s">
        <v>1509</v>
      </c>
      <c r="AB90" s="1654" t="s">
        <v>1508</v>
      </c>
    </row>
    <row r="91" spans="1:28" s="1581" customFormat="1" ht="26.25" customHeight="1" thickBot="1">
      <c r="A91" s="3410"/>
      <c r="B91" s="3410"/>
      <c r="C91" s="3410"/>
      <c r="D91" s="1944"/>
      <c r="E91" s="3410"/>
      <c r="F91" s="1653" t="s">
        <v>16</v>
      </c>
      <c r="G91" s="1653" t="s">
        <v>1476</v>
      </c>
      <c r="H91" s="3410"/>
      <c r="I91" s="1651" t="s">
        <v>16</v>
      </c>
      <c r="J91" s="1651" t="s">
        <v>1476</v>
      </c>
      <c r="K91" s="1651" t="s">
        <v>16</v>
      </c>
      <c r="L91" s="1651" t="s">
        <v>1476</v>
      </c>
      <c r="M91" s="1651" t="s">
        <v>1477</v>
      </c>
      <c r="N91" s="1651" t="s">
        <v>16</v>
      </c>
      <c r="O91" s="1651" t="s">
        <v>1476</v>
      </c>
      <c r="P91" s="1651" t="s">
        <v>1477</v>
      </c>
      <c r="Q91" s="1651" t="s">
        <v>16</v>
      </c>
      <c r="R91" s="1651" t="s">
        <v>1476</v>
      </c>
      <c r="S91" s="1652" t="s">
        <v>1477</v>
      </c>
      <c r="T91" s="3410"/>
      <c r="U91" s="3410"/>
      <c r="V91" s="1651" t="s">
        <v>16</v>
      </c>
      <c r="W91" s="1650" t="s">
        <v>1476</v>
      </c>
      <c r="X91" s="3410"/>
      <c r="Y91" s="1649" t="s">
        <v>1475</v>
      </c>
      <c r="Z91" s="1648" t="s">
        <v>1474</v>
      </c>
      <c r="AA91" s="1648" t="s">
        <v>1473</v>
      </c>
      <c r="AB91" s="1647" t="s">
        <v>1472</v>
      </c>
    </row>
    <row r="92" spans="1:28" s="1629" customFormat="1" ht="15.75" customHeight="1" thickTop="1" thickBot="1">
      <c r="A92" s="1641">
        <v>1</v>
      </c>
      <c r="B92" s="1646">
        <v>2</v>
      </c>
      <c r="C92" s="3410"/>
      <c r="D92" s="1945"/>
      <c r="E92" s="3410"/>
      <c r="F92" s="1644">
        <v>4</v>
      </c>
      <c r="G92" s="1645">
        <v>5</v>
      </c>
      <c r="H92" s="1644">
        <v>6</v>
      </c>
      <c r="I92" s="1644">
        <v>7</v>
      </c>
      <c r="J92" s="1644">
        <v>8</v>
      </c>
      <c r="K92" s="1644">
        <v>9</v>
      </c>
      <c r="L92" s="1644">
        <v>10</v>
      </c>
      <c r="M92" s="1644">
        <v>11</v>
      </c>
      <c r="N92" s="1644">
        <v>12</v>
      </c>
      <c r="O92" s="1644">
        <v>13</v>
      </c>
      <c r="P92" s="1644">
        <v>14</v>
      </c>
      <c r="Q92" s="1644" t="s">
        <v>1471</v>
      </c>
      <c r="R92" s="1644" t="s">
        <v>1470</v>
      </c>
      <c r="S92" s="1643" t="s">
        <v>1469</v>
      </c>
      <c r="T92" s="1643" t="s">
        <v>1468</v>
      </c>
      <c r="U92" s="1644" t="s">
        <v>1467</v>
      </c>
      <c r="V92" s="1643" t="s">
        <v>1466</v>
      </c>
      <c r="W92" s="1642" t="s">
        <v>1465</v>
      </c>
      <c r="X92" s="1641">
        <v>22</v>
      </c>
      <c r="Y92" s="1640">
        <v>23</v>
      </c>
      <c r="Z92" s="1639">
        <v>24</v>
      </c>
      <c r="AA92" s="1639">
        <v>25</v>
      </c>
      <c r="AB92" s="1638">
        <v>26</v>
      </c>
    </row>
    <row r="93" spans="1:28" s="1629" customFormat="1" ht="34.5" customHeight="1" thickTop="1">
      <c r="A93" s="1637">
        <v>1</v>
      </c>
      <c r="B93" s="1636" t="str">
        <f t="shared" ref="B93:B108" si="9">B13</f>
        <v>CIHANYAWAR</v>
      </c>
      <c r="C93" s="1635">
        <f t="shared" ref="C93:G108" si="10">C13+C53</f>
        <v>0</v>
      </c>
      <c r="D93" s="1635"/>
      <c r="E93" s="1635">
        <f t="shared" si="10"/>
        <v>0</v>
      </c>
      <c r="F93" s="1635">
        <f t="shared" si="10"/>
        <v>0</v>
      </c>
      <c r="G93" s="430">
        <f t="shared" si="10"/>
        <v>0</v>
      </c>
      <c r="H93" s="1627"/>
      <c r="I93" s="1626">
        <f t="shared" ref="I93:T108" si="11">I13+I53</f>
        <v>0</v>
      </c>
      <c r="J93" s="1626">
        <f t="shared" si="11"/>
        <v>0</v>
      </c>
      <c r="K93" s="1626">
        <f t="shared" si="11"/>
        <v>0</v>
      </c>
      <c r="L93" s="1626">
        <f t="shared" si="11"/>
        <v>0</v>
      </c>
      <c r="M93" s="1626">
        <f t="shared" si="11"/>
        <v>0</v>
      </c>
      <c r="N93" s="1626">
        <f t="shared" si="11"/>
        <v>0</v>
      </c>
      <c r="O93" s="1626">
        <f t="shared" si="11"/>
        <v>0</v>
      </c>
      <c r="P93" s="1635">
        <f t="shared" si="11"/>
        <v>0</v>
      </c>
      <c r="Q93" s="1635">
        <f t="shared" si="11"/>
        <v>0</v>
      </c>
      <c r="R93" s="1635">
        <f t="shared" si="11"/>
        <v>0</v>
      </c>
      <c r="S93" s="1635">
        <f t="shared" si="11"/>
        <v>0</v>
      </c>
      <c r="T93" s="1635">
        <f t="shared" si="11"/>
        <v>0</v>
      </c>
      <c r="U93" s="1635" t="e">
        <f>SUM(Q93/I93)*100</f>
        <v>#DIV/0!</v>
      </c>
      <c r="V93" s="1635">
        <f t="shared" ref="V93:AB108" si="12">V13+V53</f>
        <v>0</v>
      </c>
      <c r="W93" s="1634">
        <f t="shared" si="12"/>
        <v>0</v>
      </c>
      <c r="X93" s="1633">
        <f t="shared" si="12"/>
        <v>0</v>
      </c>
      <c r="Y93" s="1632">
        <f t="shared" si="12"/>
        <v>0</v>
      </c>
      <c r="Z93" s="1631">
        <f t="shared" si="12"/>
        <v>0</v>
      </c>
      <c r="AA93" s="1631">
        <f t="shared" si="12"/>
        <v>0</v>
      </c>
      <c r="AB93" s="1630">
        <f t="shared" si="12"/>
        <v>0</v>
      </c>
    </row>
    <row r="94" spans="1:28" s="1581" customFormat="1" ht="34.5" customHeight="1">
      <c r="A94" s="1625">
        <f>A93+1</f>
        <v>2</v>
      </c>
      <c r="B94" s="1628" t="str">
        <f t="shared" si="9"/>
        <v>NAGRAK UTARA</v>
      </c>
      <c r="C94" s="430">
        <f t="shared" si="10"/>
        <v>0</v>
      </c>
      <c r="D94" s="430"/>
      <c r="E94" s="430">
        <f t="shared" si="10"/>
        <v>0</v>
      </c>
      <c r="F94" s="430">
        <f t="shared" si="10"/>
        <v>0</v>
      </c>
      <c r="G94" s="430">
        <f t="shared" si="10"/>
        <v>0</v>
      </c>
      <c r="H94" s="1627"/>
      <c r="I94" s="1626">
        <f t="shared" si="11"/>
        <v>0</v>
      </c>
      <c r="J94" s="1626">
        <f t="shared" si="11"/>
        <v>0</v>
      </c>
      <c r="K94" s="1626">
        <f t="shared" si="11"/>
        <v>0</v>
      </c>
      <c r="L94" s="1626">
        <f t="shared" si="11"/>
        <v>0</v>
      </c>
      <c r="M94" s="1626">
        <f t="shared" si="11"/>
        <v>0</v>
      </c>
      <c r="N94" s="1626">
        <f t="shared" si="11"/>
        <v>0</v>
      </c>
      <c r="O94" s="1626">
        <f t="shared" si="11"/>
        <v>0</v>
      </c>
      <c r="P94" s="9">
        <f t="shared" si="11"/>
        <v>0</v>
      </c>
      <c r="Q94" s="9">
        <f t="shared" si="11"/>
        <v>0</v>
      </c>
      <c r="R94" s="9">
        <f t="shared" si="11"/>
        <v>0</v>
      </c>
      <c r="S94" s="9">
        <f t="shared" si="11"/>
        <v>0</v>
      </c>
      <c r="T94" s="9">
        <f t="shared" si="11"/>
        <v>0</v>
      </c>
      <c r="U94" s="9" t="e">
        <f t="shared" ref="U94:U106" si="13">SUM(Q94/I94)*100</f>
        <v>#DIV/0!</v>
      </c>
      <c r="V94" s="9">
        <f t="shared" si="12"/>
        <v>0</v>
      </c>
      <c r="W94" s="1621">
        <f t="shared" si="12"/>
        <v>0</v>
      </c>
      <c r="X94" s="1620">
        <f t="shared" si="12"/>
        <v>0</v>
      </c>
      <c r="Y94" s="1619">
        <f t="shared" si="12"/>
        <v>0</v>
      </c>
      <c r="Z94" s="1618">
        <f t="shared" si="12"/>
        <v>0</v>
      </c>
      <c r="AA94" s="1618">
        <f t="shared" si="12"/>
        <v>0</v>
      </c>
      <c r="AB94" s="1617">
        <f t="shared" si="12"/>
        <v>0</v>
      </c>
    </row>
    <row r="95" spans="1:28" s="1581" customFormat="1" ht="34.5" customHeight="1">
      <c r="A95" s="1625">
        <f t="shared" ref="A95:A108" si="14">A94+1</f>
        <v>3</v>
      </c>
      <c r="B95" s="1628" t="str">
        <f t="shared" si="9"/>
        <v>DARMAREJA</v>
      </c>
      <c r="C95" s="430">
        <f t="shared" si="10"/>
        <v>0</v>
      </c>
      <c r="D95" s="430"/>
      <c r="E95" s="430">
        <f t="shared" si="10"/>
        <v>0</v>
      </c>
      <c r="F95" s="430">
        <f t="shared" si="10"/>
        <v>0</v>
      </c>
      <c r="G95" s="430">
        <f t="shared" si="10"/>
        <v>0</v>
      </c>
      <c r="H95" s="1627"/>
      <c r="I95" s="1626">
        <f t="shared" si="11"/>
        <v>0</v>
      </c>
      <c r="J95" s="1626">
        <f t="shared" si="11"/>
        <v>0</v>
      </c>
      <c r="K95" s="1626">
        <f t="shared" si="11"/>
        <v>0</v>
      </c>
      <c r="L95" s="1626">
        <f t="shared" si="11"/>
        <v>0</v>
      </c>
      <c r="M95" s="1626">
        <f t="shared" si="11"/>
        <v>0</v>
      </c>
      <c r="N95" s="1626">
        <f t="shared" si="11"/>
        <v>0</v>
      </c>
      <c r="O95" s="1626">
        <f t="shared" si="11"/>
        <v>0</v>
      </c>
      <c r="P95" s="9">
        <f t="shared" si="11"/>
        <v>0</v>
      </c>
      <c r="Q95" s="9">
        <f t="shared" si="11"/>
        <v>0</v>
      </c>
      <c r="R95" s="9">
        <f t="shared" si="11"/>
        <v>0</v>
      </c>
      <c r="S95" s="9">
        <f t="shared" si="11"/>
        <v>0</v>
      </c>
      <c r="T95" s="9">
        <f t="shared" si="11"/>
        <v>0</v>
      </c>
      <c r="U95" s="9" t="e">
        <f t="shared" si="13"/>
        <v>#DIV/0!</v>
      </c>
      <c r="V95" s="9">
        <f t="shared" si="12"/>
        <v>0</v>
      </c>
      <c r="W95" s="1621">
        <f t="shared" si="12"/>
        <v>0</v>
      </c>
      <c r="X95" s="1620">
        <f t="shared" si="12"/>
        <v>0</v>
      </c>
      <c r="Y95" s="1619">
        <f t="shared" si="12"/>
        <v>0</v>
      </c>
      <c r="Z95" s="1618">
        <f t="shared" si="12"/>
        <v>0</v>
      </c>
      <c r="AA95" s="1618">
        <f t="shared" si="12"/>
        <v>0</v>
      </c>
      <c r="AB95" s="1617">
        <f t="shared" si="12"/>
        <v>0</v>
      </c>
    </row>
    <row r="96" spans="1:28" s="1581" customFormat="1" ht="34.5" customHeight="1">
      <c r="A96" s="1625">
        <f t="shared" si="14"/>
        <v>4</v>
      </c>
      <c r="B96" s="1628" t="str">
        <f t="shared" si="9"/>
        <v>BALEKAMBANG</v>
      </c>
      <c r="C96" s="430">
        <f t="shared" si="10"/>
        <v>0</v>
      </c>
      <c r="D96" s="430"/>
      <c r="E96" s="430">
        <f t="shared" si="10"/>
        <v>0</v>
      </c>
      <c r="F96" s="430">
        <f t="shared" si="10"/>
        <v>0</v>
      </c>
      <c r="G96" s="430">
        <f t="shared" si="10"/>
        <v>0</v>
      </c>
      <c r="H96" s="1627"/>
      <c r="I96" s="1626">
        <f t="shared" si="11"/>
        <v>0</v>
      </c>
      <c r="J96" s="1626">
        <f t="shared" si="11"/>
        <v>0</v>
      </c>
      <c r="K96" s="1626">
        <f t="shared" si="11"/>
        <v>0</v>
      </c>
      <c r="L96" s="1626">
        <f t="shared" si="11"/>
        <v>0</v>
      </c>
      <c r="M96" s="1626">
        <f t="shared" si="11"/>
        <v>0</v>
      </c>
      <c r="N96" s="1626">
        <f t="shared" si="11"/>
        <v>0</v>
      </c>
      <c r="O96" s="1626">
        <f t="shared" si="11"/>
        <v>0</v>
      </c>
      <c r="P96" s="9">
        <f t="shared" si="11"/>
        <v>0</v>
      </c>
      <c r="Q96" s="9">
        <f t="shared" si="11"/>
        <v>0</v>
      </c>
      <c r="R96" s="9">
        <f t="shared" si="11"/>
        <v>0</v>
      </c>
      <c r="S96" s="9">
        <f t="shared" si="11"/>
        <v>0</v>
      </c>
      <c r="T96" s="9">
        <f t="shared" si="11"/>
        <v>0</v>
      </c>
      <c r="U96" s="9" t="e">
        <f t="shared" si="13"/>
        <v>#DIV/0!</v>
      </c>
      <c r="V96" s="9">
        <f t="shared" si="12"/>
        <v>0</v>
      </c>
      <c r="W96" s="1621">
        <f t="shared" si="12"/>
        <v>0</v>
      </c>
      <c r="X96" s="1620">
        <f t="shared" si="12"/>
        <v>0</v>
      </c>
      <c r="Y96" s="1619">
        <f t="shared" si="12"/>
        <v>0</v>
      </c>
      <c r="Z96" s="1618">
        <f t="shared" si="12"/>
        <v>0</v>
      </c>
      <c r="AA96" s="1618">
        <f t="shared" si="12"/>
        <v>0</v>
      </c>
      <c r="AB96" s="1617">
        <f t="shared" si="12"/>
        <v>0</v>
      </c>
    </row>
    <row r="97" spans="1:28" s="1581" customFormat="1" ht="34.5" customHeight="1">
      <c r="A97" s="1625">
        <f t="shared" si="14"/>
        <v>5</v>
      </c>
      <c r="B97" s="1628" t="str">
        <f t="shared" si="9"/>
        <v>NAGRAK SELATAN</v>
      </c>
      <c r="C97" s="430">
        <f t="shared" si="10"/>
        <v>0</v>
      </c>
      <c r="D97" s="430"/>
      <c r="E97" s="430">
        <f t="shared" si="10"/>
        <v>0</v>
      </c>
      <c r="F97" s="430">
        <f t="shared" si="10"/>
        <v>0</v>
      </c>
      <c r="G97" s="430">
        <f t="shared" si="10"/>
        <v>0</v>
      </c>
      <c r="H97" s="1627"/>
      <c r="I97" s="1626">
        <f t="shared" si="11"/>
        <v>0</v>
      </c>
      <c r="J97" s="1626">
        <f t="shared" si="11"/>
        <v>0</v>
      </c>
      <c r="K97" s="1626">
        <f t="shared" si="11"/>
        <v>0</v>
      </c>
      <c r="L97" s="1626">
        <f t="shared" si="11"/>
        <v>0</v>
      </c>
      <c r="M97" s="1626">
        <f t="shared" si="11"/>
        <v>0</v>
      </c>
      <c r="N97" s="1626">
        <f t="shared" si="11"/>
        <v>0</v>
      </c>
      <c r="O97" s="1626">
        <f t="shared" si="11"/>
        <v>0</v>
      </c>
      <c r="P97" s="9">
        <f t="shared" si="11"/>
        <v>0</v>
      </c>
      <c r="Q97" s="9">
        <f t="shared" si="11"/>
        <v>0</v>
      </c>
      <c r="R97" s="9">
        <f t="shared" si="11"/>
        <v>0</v>
      </c>
      <c r="S97" s="9">
        <f t="shared" si="11"/>
        <v>0</v>
      </c>
      <c r="T97" s="9">
        <f t="shared" si="11"/>
        <v>0</v>
      </c>
      <c r="U97" s="9" t="e">
        <f t="shared" si="13"/>
        <v>#DIV/0!</v>
      </c>
      <c r="V97" s="9">
        <f t="shared" si="12"/>
        <v>0</v>
      </c>
      <c r="W97" s="1621">
        <f t="shared" si="12"/>
        <v>0</v>
      </c>
      <c r="X97" s="1620">
        <f t="shared" si="12"/>
        <v>0</v>
      </c>
      <c r="Y97" s="1619">
        <f t="shared" si="12"/>
        <v>0</v>
      </c>
      <c r="Z97" s="1618">
        <f t="shared" si="12"/>
        <v>0</v>
      </c>
      <c r="AA97" s="1618">
        <f t="shared" si="12"/>
        <v>0</v>
      </c>
      <c r="AB97" s="1617">
        <f t="shared" si="12"/>
        <v>0</v>
      </c>
    </row>
    <row r="98" spans="1:28" s="1581" customFormat="1" ht="34.5" customHeight="1">
      <c r="A98" s="1625">
        <f t="shared" si="14"/>
        <v>6</v>
      </c>
      <c r="B98" s="1628" t="str">
        <f t="shared" si="9"/>
        <v>KALAPAREA</v>
      </c>
      <c r="C98" s="430">
        <f t="shared" si="10"/>
        <v>0</v>
      </c>
      <c r="D98" s="430"/>
      <c r="E98" s="430">
        <f t="shared" si="10"/>
        <v>0</v>
      </c>
      <c r="F98" s="430">
        <f t="shared" si="10"/>
        <v>0</v>
      </c>
      <c r="G98" s="430">
        <f t="shared" si="10"/>
        <v>0</v>
      </c>
      <c r="H98" s="1627"/>
      <c r="I98" s="1626">
        <f t="shared" si="11"/>
        <v>0</v>
      </c>
      <c r="J98" s="1626">
        <f t="shared" si="11"/>
        <v>0</v>
      </c>
      <c r="K98" s="1626">
        <f t="shared" si="11"/>
        <v>0</v>
      </c>
      <c r="L98" s="1626">
        <f t="shared" si="11"/>
        <v>0</v>
      </c>
      <c r="M98" s="1626">
        <f t="shared" si="11"/>
        <v>0</v>
      </c>
      <c r="N98" s="1626">
        <f t="shared" si="11"/>
        <v>0</v>
      </c>
      <c r="O98" s="1626">
        <f t="shared" si="11"/>
        <v>0</v>
      </c>
      <c r="P98" s="9">
        <f t="shared" si="11"/>
        <v>0</v>
      </c>
      <c r="Q98" s="9">
        <f t="shared" si="11"/>
        <v>0</v>
      </c>
      <c r="R98" s="9">
        <f t="shared" si="11"/>
        <v>0</v>
      </c>
      <c r="S98" s="9">
        <f t="shared" si="11"/>
        <v>0</v>
      </c>
      <c r="T98" s="9">
        <f t="shared" si="11"/>
        <v>0</v>
      </c>
      <c r="U98" s="9" t="e">
        <f t="shared" si="13"/>
        <v>#DIV/0!</v>
      </c>
      <c r="V98" s="9">
        <f t="shared" si="12"/>
        <v>0</v>
      </c>
      <c r="W98" s="1621">
        <f t="shared" si="12"/>
        <v>0</v>
      </c>
      <c r="X98" s="1620">
        <f t="shared" si="12"/>
        <v>0</v>
      </c>
      <c r="Y98" s="1619">
        <f t="shared" si="12"/>
        <v>0</v>
      </c>
      <c r="Z98" s="1618">
        <f t="shared" si="12"/>
        <v>0</v>
      </c>
      <c r="AA98" s="1618">
        <f t="shared" si="12"/>
        <v>0</v>
      </c>
      <c r="AB98" s="1617">
        <f t="shared" si="12"/>
        <v>0</v>
      </c>
    </row>
    <row r="99" spans="1:28" s="1581" customFormat="1" ht="34.5" customHeight="1">
      <c r="A99" s="1625">
        <f t="shared" si="14"/>
        <v>7</v>
      </c>
      <c r="B99" s="1628" t="str">
        <f t="shared" si="9"/>
        <v>BABAKAN PANJANG</v>
      </c>
      <c r="C99" s="430">
        <f t="shared" si="10"/>
        <v>0</v>
      </c>
      <c r="D99" s="430"/>
      <c r="E99" s="430">
        <f t="shared" si="10"/>
        <v>0</v>
      </c>
      <c r="F99" s="430">
        <f t="shared" si="10"/>
        <v>0</v>
      </c>
      <c r="G99" s="430">
        <f t="shared" si="10"/>
        <v>0</v>
      </c>
      <c r="H99" s="1627"/>
      <c r="I99" s="1626">
        <f t="shared" si="11"/>
        <v>0</v>
      </c>
      <c r="J99" s="1626">
        <f t="shared" si="11"/>
        <v>0</v>
      </c>
      <c r="K99" s="1626">
        <f t="shared" si="11"/>
        <v>0</v>
      </c>
      <c r="L99" s="1626">
        <f t="shared" si="11"/>
        <v>0</v>
      </c>
      <c r="M99" s="1626">
        <f t="shared" si="11"/>
        <v>0</v>
      </c>
      <c r="N99" s="1626">
        <f t="shared" si="11"/>
        <v>0</v>
      </c>
      <c r="O99" s="1626">
        <f t="shared" si="11"/>
        <v>0</v>
      </c>
      <c r="P99" s="9">
        <f t="shared" si="11"/>
        <v>0</v>
      </c>
      <c r="Q99" s="9">
        <f t="shared" si="11"/>
        <v>0</v>
      </c>
      <c r="R99" s="9">
        <f t="shared" si="11"/>
        <v>0</v>
      </c>
      <c r="S99" s="9">
        <f t="shared" si="11"/>
        <v>0</v>
      </c>
      <c r="T99" s="9">
        <f t="shared" si="11"/>
        <v>0</v>
      </c>
      <c r="U99" s="9" t="e">
        <f t="shared" si="13"/>
        <v>#DIV/0!</v>
      </c>
      <c r="V99" s="9">
        <f t="shared" si="12"/>
        <v>0</v>
      </c>
      <c r="W99" s="1621">
        <f t="shared" si="12"/>
        <v>0</v>
      </c>
      <c r="X99" s="1620">
        <f t="shared" si="12"/>
        <v>0</v>
      </c>
      <c r="Y99" s="1619">
        <f t="shared" si="12"/>
        <v>0</v>
      </c>
      <c r="Z99" s="1618">
        <f t="shared" si="12"/>
        <v>0</v>
      </c>
      <c r="AA99" s="1618">
        <f t="shared" si="12"/>
        <v>0</v>
      </c>
      <c r="AB99" s="1617">
        <f t="shared" si="12"/>
        <v>0</v>
      </c>
    </row>
    <row r="100" spans="1:28" s="1581" customFormat="1" ht="34.5" customHeight="1">
      <c r="A100" s="1625">
        <f t="shared" si="14"/>
        <v>8</v>
      </c>
      <c r="B100" s="1628" t="str">
        <f t="shared" si="9"/>
        <v>PAWENANG</v>
      </c>
      <c r="C100" s="430">
        <f t="shared" si="10"/>
        <v>0</v>
      </c>
      <c r="D100" s="430"/>
      <c r="E100" s="430">
        <f t="shared" si="10"/>
        <v>0</v>
      </c>
      <c r="F100" s="430">
        <f t="shared" si="10"/>
        <v>0</v>
      </c>
      <c r="G100" s="430">
        <f t="shared" si="10"/>
        <v>0</v>
      </c>
      <c r="H100" s="1627"/>
      <c r="I100" s="1626">
        <f t="shared" si="11"/>
        <v>0</v>
      </c>
      <c r="J100" s="1626">
        <f t="shared" si="11"/>
        <v>0</v>
      </c>
      <c r="K100" s="1626">
        <f t="shared" si="11"/>
        <v>0</v>
      </c>
      <c r="L100" s="1626">
        <f t="shared" si="11"/>
        <v>0</v>
      </c>
      <c r="M100" s="1626">
        <f t="shared" si="11"/>
        <v>0</v>
      </c>
      <c r="N100" s="1626">
        <f t="shared" si="11"/>
        <v>0</v>
      </c>
      <c r="O100" s="1626">
        <f t="shared" si="11"/>
        <v>0</v>
      </c>
      <c r="P100" s="9">
        <f t="shared" si="11"/>
        <v>0</v>
      </c>
      <c r="Q100" s="9">
        <f t="shared" si="11"/>
        <v>0</v>
      </c>
      <c r="R100" s="9">
        <f t="shared" si="11"/>
        <v>0</v>
      </c>
      <c r="S100" s="9">
        <f t="shared" si="11"/>
        <v>0</v>
      </c>
      <c r="T100" s="9">
        <f t="shared" si="11"/>
        <v>0</v>
      </c>
      <c r="U100" s="9" t="e">
        <f t="shared" si="13"/>
        <v>#DIV/0!</v>
      </c>
      <c r="V100" s="9">
        <f t="shared" si="12"/>
        <v>0</v>
      </c>
      <c r="W100" s="1621">
        <f t="shared" si="12"/>
        <v>0</v>
      </c>
      <c r="X100" s="1620">
        <f t="shared" si="12"/>
        <v>0</v>
      </c>
      <c r="Y100" s="1619">
        <f t="shared" si="12"/>
        <v>0</v>
      </c>
      <c r="Z100" s="1618">
        <f t="shared" si="12"/>
        <v>0</v>
      </c>
      <c r="AA100" s="1618">
        <f t="shared" si="12"/>
        <v>0</v>
      </c>
      <c r="AB100" s="1617">
        <f t="shared" si="12"/>
        <v>0</v>
      </c>
    </row>
    <row r="101" spans="1:28" s="1581" customFormat="1" ht="34.5" customHeight="1">
      <c r="A101" s="1625">
        <f t="shared" si="14"/>
        <v>9</v>
      </c>
      <c r="B101" s="1628" t="str">
        <f t="shared" si="9"/>
        <v>CISARUA</v>
      </c>
      <c r="C101" s="430">
        <f t="shared" si="10"/>
        <v>0</v>
      </c>
      <c r="D101" s="430"/>
      <c r="E101" s="430">
        <f t="shared" si="10"/>
        <v>0</v>
      </c>
      <c r="F101" s="430">
        <f t="shared" si="10"/>
        <v>0</v>
      </c>
      <c r="G101" s="430">
        <f t="shared" si="10"/>
        <v>0</v>
      </c>
      <c r="H101" s="1627"/>
      <c r="I101" s="1626">
        <f t="shared" si="11"/>
        <v>0</v>
      </c>
      <c r="J101" s="1626">
        <f t="shared" si="11"/>
        <v>0</v>
      </c>
      <c r="K101" s="1626">
        <f t="shared" si="11"/>
        <v>0</v>
      </c>
      <c r="L101" s="1626">
        <f t="shared" si="11"/>
        <v>0</v>
      </c>
      <c r="M101" s="1626">
        <f t="shared" si="11"/>
        <v>0</v>
      </c>
      <c r="N101" s="1626">
        <f t="shared" si="11"/>
        <v>0</v>
      </c>
      <c r="O101" s="1626">
        <f t="shared" si="11"/>
        <v>0</v>
      </c>
      <c r="P101" s="9">
        <f t="shared" si="11"/>
        <v>0</v>
      </c>
      <c r="Q101" s="9">
        <f t="shared" si="11"/>
        <v>0</v>
      </c>
      <c r="R101" s="9">
        <f t="shared" si="11"/>
        <v>0</v>
      </c>
      <c r="S101" s="9">
        <f t="shared" si="11"/>
        <v>0</v>
      </c>
      <c r="T101" s="9">
        <f t="shared" si="11"/>
        <v>0</v>
      </c>
      <c r="U101" s="9" t="e">
        <f t="shared" si="13"/>
        <v>#DIV/0!</v>
      </c>
      <c r="V101" s="9">
        <f t="shared" si="12"/>
        <v>0</v>
      </c>
      <c r="W101" s="1621">
        <f t="shared" si="12"/>
        <v>0</v>
      </c>
      <c r="X101" s="1620">
        <f t="shared" si="12"/>
        <v>0</v>
      </c>
      <c r="Y101" s="1619">
        <f t="shared" si="12"/>
        <v>0</v>
      </c>
      <c r="Z101" s="1618">
        <f t="shared" si="12"/>
        <v>0</v>
      </c>
      <c r="AA101" s="1618">
        <f t="shared" si="12"/>
        <v>0</v>
      </c>
      <c r="AB101" s="1617">
        <f t="shared" si="12"/>
        <v>0</v>
      </c>
    </row>
    <row r="102" spans="1:28" s="1581" customFormat="1" ht="34.5" customHeight="1">
      <c r="A102" s="1625">
        <f t="shared" si="14"/>
        <v>10</v>
      </c>
      <c r="B102" s="1624" t="str">
        <f t="shared" si="9"/>
        <v>GIRIJAYA</v>
      </c>
      <c r="C102" s="430">
        <f t="shared" si="10"/>
        <v>0</v>
      </c>
      <c r="D102" s="430"/>
      <c r="E102" s="430">
        <f t="shared" si="10"/>
        <v>0</v>
      </c>
      <c r="F102" s="430">
        <f t="shared" si="10"/>
        <v>0</v>
      </c>
      <c r="G102" s="9">
        <f t="shared" si="10"/>
        <v>0</v>
      </c>
      <c r="H102" s="1623"/>
      <c r="I102" s="1622">
        <f t="shared" si="11"/>
        <v>0</v>
      </c>
      <c r="J102" s="1622">
        <f t="shared" si="11"/>
        <v>0</v>
      </c>
      <c r="K102" s="1622">
        <f t="shared" si="11"/>
        <v>0</v>
      </c>
      <c r="L102" s="1622">
        <f t="shared" si="11"/>
        <v>0</v>
      </c>
      <c r="M102" s="1622">
        <f t="shared" si="11"/>
        <v>0</v>
      </c>
      <c r="N102" s="1622">
        <f t="shared" si="11"/>
        <v>0</v>
      </c>
      <c r="O102" s="1622">
        <f t="shared" si="11"/>
        <v>0</v>
      </c>
      <c r="P102" s="9">
        <f t="shared" si="11"/>
        <v>0</v>
      </c>
      <c r="Q102" s="9">
        <f t="shared" si="11"/>
        <v>0</v>
      </c>
      <c r="R102" s="9">
        <f t="shared" si="11"/>
        <v>0</v>
      </c>
      <c r="S102" s="9">
        <f t="shared" si="11"/>
        <v>0</v>
      </c>
      <c r="T102" s="9">
        <f t="shared" si="11"/>
        <v>0</v>
      </c>
      <c r="U102" s="9" t="e">
        <f t="shared" si="13"/>
        <v>#DIV/0!</v>
      </c>
      <c r="V102" s="9">
        <f t="shared" si="12"/>
        <v>0</v>
      </c>
      <c r="W102" s="1621">
        <f t="shared" si="12"/>
        <v>0</v>
      </c>
      <c r="X102" s="1620">
        <f t="shared" si="12"/>
        <v>0</v>
      </c>
      <c r="Y102" s="1619">
        <f t="shared" si="12"/>
        <v>0</v>
      </c>
      <c r="Z102" s="1618">
        <f t="shared" si="12"/>
        <v>0</v>
      </c>
      <c r="AA102" s="1618">
        <f t="shared" si="12"/>
        <v>0</v>
      </c>
      <c r="AB102" s="1617">
        <f t="shared" si="12"/>
        <v>0</v>
      </c>
    </row>
    <row r="103" spans="1:28" s="1581" customFormat="1" ht="34.5" customHeight="1">
      <c r="A103" s="1625">
        <f t="shared" si="14"/>
        <v>11</v>
      </c>
      <c r="B103" s="1624">
        <f t="shared" si="9"/>
        <v>0</v>
      </c>
      <c r="C103" s="430">
        <f t="shared" si="10"/>
        <v>0</v>
      </c>
      <c r="D103" s="430"/>
      <c r="E103" s="430">
        <f t="shared" si="10"/>
        <v>0</v>
      </c>
      <c r="F103" s="430">
        <f t="shared" si="10"/>
        <v>0</v>
      </c>
      <c r="G103" s="9">
        <f t="shared" si="10"/>
        <v>0</v>
      </c>
      <c r="H103" s="1623"/>
      <c r="I103" s="1622">
        <f t="shared" si="11"/>
        <v>0</v>
      </c>
      <c r="J103" s="1622">
        <f t="shared" si="11"/>
        <v>0</v>
      </c>
      <c r="K103" s="1622">
        <f t="shared" si="11"/>
        <v>0</v>
      </c>
      <c r="L103" s="1622">
        <f t="shared" si="11"/>
        <v>0</v>
      </c>
      <c r="M103" s="1622">
        <f t="shared" si="11"/>
        <v>0</v>
      </c>
      <c r="N103" s="1622">
        <f t="shared" si="11"/>
        <v>0</v>
      </c>
      <c r="O103" s="1622">
        <f t="shared" si="11"/>
        <v>0</v>
      </c>
      <c r="P103" s="9">
        <f t="shared" si="11"/>
        <v>0</v>
      </c>
      <c r="Q103" s="9">
        <f t="shared" si="11"/>
        <v>0</v>
      </c>
      <c r="R103" s="9">
        <f t="shared" si="11"/>
        <v>0</v>
      </c>
      <c r="S103" s="9">
        <f t="shared" si="11"/>
        <v>0</v>
      </c>
      <c r="T103" s="9">
        <f t="shared" si="11"/>
        <v>0</v>
      </c>
      <c r="U103" s="9" t="e">
        <f t="shared" si="13"/>
        <v>#DIV/0!</v>
      </c>
      <c r="V103" s="9">
        <f t="shared" si="12"/>
        <v>0</v>
      </c>
      <c r="W103" s="1621">
        <f t="shared" si="12"/>
        <v>0</v>
      </c>
      <c r="X103" s="1620">
        <f t="shared" si="12"/>
        <v>0</v>
      </c>
      <c r="Y103" s="1619">
        <f t="shared" si="12"/>
        <v>0</v>
      </c>
      <c r="Z103" s="1618">
        <f t="shared" si="12"/>
        <v>0</v>
      </c>
      <c r="AA103" s="1618">
        <f t="shared" si="12"/>
        <v>0</v>
      </c>
      <c r="AB103" s="1617">
        <f t="shared" si="12"/>
        <v>0</v>
      </c>
    </row>
    <row r="104" spans="1:28" s="1581" customFormat="1" ht="34.5" customHeight="1">
      <c r="A104" s="1625">
        <f t="shared" si="14"/>
        <v>12</v>
      </c>
      <c r="B104" s="1624">
        <f t="shared" si="9"/>
        <v>0</v>
      </c>
      <c r="C104" s="430">
        <f t="shared" si="10"/>
        <v>0</v>
      </c>
      <c r="D104" s="430"/>
      <c r="E104" s="430">
        <f t="shared" si="10"/>
        <v>0</v>
      </c>
      <c r="F104" s="430">
        <f t="shared" si="10"/>
        <v>0</v>
      </c>
      <c r="G104" s="9">
        <f t="shared" si="10"/>
        <v>0</v>
      </c>
      <c r="H104" s="1623"/>
      <c r="I104" s="1622">
        <f t="shared" si="11"/>
        <v>0</v>
      </c>
      <c r="J104" s="1622">
        <f t="shared" si="11"/>
        <v>0</v>
      </c>
      <c r="K104" s="1622">
        <f t="shared" si="11"/>
        <v>0</v>
      </c>
      <c r="L104" s="1622">
        <f t="shared" si="11"/>
        <v>0</v>
      </c>
      <c r="M104" s="1622">
        <f t="shared" si="11"/>
        <v>0</v>
      </c>
      <c r="N104" s="1622">
        <f t="shared" si="11"/>
        <v>0</v>
      </c>
      <c r="O104" s="1622">
        <f t="shared" si="11"/>
        <v>0</v>
      </c>
      <c r="P104" s="9">
        <f t="shared" si="11"/>
        <v>0</v>
      </c>
      <c r="Q104" s="9">
        <f t="shared" si="11"/>
        <v>0</v>
      </c>
      <c r="R104" s="9">
        <f t="shared" si="11"/>
        <v>0</v>
      </c>
      <c r="S104" s="9">
        <f t="shared" si="11"/>
        <v>0</v>
      </c>
      <c r="T104" s="9">
        <f t="shared" si="11"/>
        <v>0</v>
      </c>
      <c r="U104" s="9" t="e">
        <f t="shared" si="13"/>
        <v>#DIV/0!</v>
      </c>
      <c r="V104" s="9">
        <f t="shared" si="12"/>
        <v>0</v>
      </c>
      <c r="W104" s="1621">
        <f t="shared" si="12"/>
        <v>0</v>
      </c>
      <c r="X104" s="1620">
        <f t="shared" si="12"/>
        <v>0</v>
      </c>
      <c r="Y104" s="1619">
        <f t="shared" si="12"/>
        <v>0</v>
      </c>
      <c r="Z104" s="1618">
        <f t="shared" si="12"/>
        <v>0</v>
      </c>
      <c r="AA104" s="1618">
        <f t="shared" si="12"/>
        <v>0</v>
      </c>
      <c r="AB104" s="1617">
        <f t="shared" si="12"/>
        <v>0</v>
      </c>
    </row>
    <row r="105" spans="1:28" s="1581" customFormat="1" ht="34.5" customHeight="1">
      <c r="A105" s="1625">
        <f t="shared" si="14"/>
        <v>13</v>
      </c>
      <c r="B105" s="1624">
        <f t="shared" si="9"/>
        <v>0</v>
      </c>
      <c r="C105" s="430">
        <f t="shared" si="10"/>
        <v>0</v>
      </c>
      <c r="D105" s="430"/>
      <c r="E105" s="430">
        <f t="shared" si="10"/>
        <v>0</v>
      </c>
      <c r="F105" s="430">
        <f t="shared" si="10"/>
        <v>0</v>
      </c>
      <c r="G105" s="9">
        <f t="shared" si="10"/>
        <v>0</v>
      </c>
      <c r="H105" s="1623"/>
      <c r="I105" s="1622">
        <f t="shared" si="11"/>
        <v>0</v>
      </c>
      <c r="J105" s="1622">
        <f t="shared" si="11"/>
        <v>0</v>
      </c>
      <c r="K105" s="1622">
        <f t="shared" si="11"/>
        <v>0</v>
      </c>
      <c r="L105" s="1622">
        <f t="shared" si="11"/>
        <v>0</v>
      </c>
      <c r="M105" s="1622">
        <f t="shared" si="11"/>
        <v>0</v>
      </c>
      <c r="N105" s="1622">
        <f t="shared" si="11"/>
        <v>0</v>
      </c>
      <c r="O105" s="1622">
        <f t="shared" si="11"/>
        <v>0</v>
      </c>
      <c r="P105" s="9">
        <f t="shared" si="11"/>
        <v>0</v>
      </c>
      <c r="Q105" s="9">
        <f t="shared" si="11"/>
        <v>0</v>
      </c>
      <c r="R105" s="9">
        <f t="shared" si="11"/>
        <v>0</v>
      </c>
      <c r="S105" s="9">
        <f t="shared" si="11"/>
        <v>0</v>
      </c>
      <c r="T105" s="9">
        <f t="shared" si="11"/>
        <v>0</v>
      </c>
      <c r="U105" s="9" t="e">
        <f t="shared" si="13"/>
        <v>#DIV/0!</v>
      </c>
      <c r="V105" s="9">
        <f t="shared" si="12"/>
        <v>0</v>
      </c>
      <c r="W105" s="1621">
        <f t="shared" si="12"/>
        <v>0</v>
      </c>
      <c r="X105" s="1620">
        <f t="shared" si="12"/>
        <v>0</v>
      </c>
      <c r="Y105" s="1619">
        <f t="shared" si="12"/>
        <v>0</v>
      </c>
      <c r="Z105" s="1618">
        <f t="shared" si="12"/>
        <v>0</v>
      </c>
      <c r="AA105" s="1618">
        <f t="shared" si="12"/>
        <v>0</v>
      </c>
      <c r="AB105" s="1617">
        <f t="shared" si="12"/>
        <v>0</v>
      </c>
    </row>
    <row r="106" spans="1:28" s="1581" customFormat="1" ht="34.5" customHeight="1">
      <c r="A106" s="1625">
        <f t="shared" si="14"/>
        <v>14</v>
      </c>
      <c r="B106" s="1624">
        <f t="shared" si="9"/>
        <v>0</v>
      </c>
      <c r="C106" s="430">
        <f t="shared" si="10"/>
        <v>0</v>
      </c>
      <c r="D106" s="430"/>
      <c r="E106" s="430">
        <f t="shared" si="10"/>
        <v>0</v>
      </c>
      <c r="F106" s="430">
        <f t="shared" si="10"/>
        <v>0</v>
      </c>
      <c r="G106" s="9">
        <f t="shared" si="10"/>
        <v>0</v>
      </c>
      <c r="H106" s="1623"/>
      <c r="I106" s="1622">
        <f t="shared" si="11"/>
        <v>0</v>
      </c>
      <c r="J106" s="1622">
        <f t="shared" si="11"/>
        <v>0</v>
      </c>
      <c r="K106" s="1622">
        <f t="shared" si="11"/>
        <v>0</v>
      </c>
      <c r="L106" s="1622">
        <f t="shared" si="11"/>
        <v>0</v>
      </c>
      <c r="M106" s="1622">
        <f t="shared" si="11"/>
        <v>0</v>
      </c>
      <c r="N106" s="1622">
        <f t="shared" si="11"/>
        <v>0</v>
      </c>
      <c r="O106" s="1622">
        <f t="shared" si="11"/>
        <v>0</v>
      </c>
      <c r="P106" s="9">
        <f t="shared" si="11"/>
        <v>0</v>
      </c>
      <c r="Q106" s="9">
        <f t="shared" si="11"/>
        <v>0</v>
      </c>
      <c r="R106" s="9">
        <f t="shared" si="11"/>
        <v>0</v>
      </c>
      <c r="S106" s="9">
        <f t="shared" si="11"/>
        <v>0</v>
      </c>
      <c r="T106" s="9">
        <f t="shared" si="11"/>
        <v>0</v>
      </c>
      <c r="U106" s="9" t="e">
        <f t="shared" si="13"/>
        <v>#DIV/0!</v>
      </c>
      <c r="V106" s="9">
        <f t="shared" si="12"/>
        <v>0</v>
      </c>
      <c r="W106" s="1621">
        <f t="shared" si="12"/>
        <v>0</v>
      </c>
      <c r="X106" s="1620">
        <f t="shared" si="12"/>
        <v>0</v>
      </c>
      <c r="Y106" s="1619">
        <f t="shared" si="12"/>
        <v>0</v>
      </c>
      <c r="Z106" s="1618">
        <f t="shared" si="12"/>
        <v>0</v>
      </c>
      <c r="AA106" s="1618">
        <f t="shared" si="12"/>
        <v>0</v>
      </c>
      <c r="AB106" s="1617">
        <f t="shared" si="12"/>
        <v>0</v>
      </c>
    </row>
    <row r="107" spans="1:28" s="1581" customFormat="1" ht="34.5" customHeight="1">
      <c r="A107" s="1625">
        <f t="shared" si="14"/>
        <v>15</v>
      </c>
      <c r="B107" s="1624">
        <f t="shared" si="9"/>
        <v>0</v>
      </c>
      <c r="C107" s="430">
        <f t="shared" si="10"/>
        <v>0</v>
      </c>
      <c r="D107" s="430"/>
      <c r="E107" s="430">
        <f t="shared" si="10"/>
        <v>0</v>
      </c>
      <c r="F107" s="430">
        <f t="shared" si="10"/>
        <v>0</v>
      </c>
      <c r="G107" s="9">
        <f t="shared" si="10"/>
        <v>0</v>
      </c>
      <c r="H107" s="1623"/>
      <c r="I107" s="1622">
        <f t="shared" si="11"/>
        <v>0</v>
      </c>
      <c r="J107" s="1622">
        <f t="shared" si="11"/>
        <v>0</v>
      </c>
      <c r="K107" s="1622">
        <f t="shared" si="11"/>
        <v>0</v>
      </c>
      <c r="L107" s="1622">
        <f t="shared" si="11"/>
        <v>0</v>
      </c>
      <c r="M107" s="1622">
        <f t="shared" si="11"/>
        <v>0</v>
      </c>
      <c r="N107" s="1622">
        <f t="shared" si="11"/>
        <v>0</v>
      </c>
      <c r="O107" s="1622">
        <f t="shared" si="11"/>
        <v>0</v>
      </c>
      <c r="P107" s="9">
        <f t="shared" si="11"/>
        <v>0</v>
      </c>
      <c r="Q107" s="9">
        <f t="shared" si="11"/>
        <v>0</v>
      </c>
      <c r="R107" s="9">
        <f t="shared" si="11"/>
        <v>0</v>
      </c>
      <c r="S107" s="9">
        <f t="shared" si="11"/>
        <v>0</v>
      </c>
      <c r="T107" s="9">
        <f t="shared" si="11"/>
        <v>0</v>
      </c>
      <c r="U107" s="9" t="e">
        <f>SUM(Q107/I107)*100</f>
        <v>#DIV/0!</v>
      </c>
      <c r="V107" s="9">
        <f t="shared" si="12"/>
        <v>0</v>
      </c>
      <c r="W107" s="1621">
        <f t="shared" si="12"/>
        <v>0</v>
      </c>
      <c r="X107" s="1620">
        <f t="shared" si="12"/>
        <v>0</v>
      </c>
      <c r="Y107" s="1619">
        <f t="shared" si="12"/>
        <v>0</v>
      </c>
      <c r="Z107" s="1618">
        <f t="shared" si="12"/>
        <v>0</v>
      </c>
      <c r="AA107" s="1618">
        <f t="shared" si="12"/>
        <v>0</v>
      </c>
      <c r="AB107" s="1617">
        <f t="shared" si="12"/>
        <v>0</v>
      </c>
    </row>
    <row r="108" spans="1:28" s="1581" customFormat="1" ht="34.5" customHeight="1">
      <c r="A108" s="1625">
        <f t="shared" si="14"/>
        <v>16</v>
      </c>
      <c r="B108" s="1624">
        <f t="shared" si="9"/>
        <v>0</v>
      </c>
      <c r="C108" s="430">
        <f t="shared" si="10"/>
        <v>0</v>
      </c>
      <c r="D108" s="430"/>
      <c r="E108" s="430">
        <f t="shared" si="10"/>
        <v>0</v>
      </c>
      <c r="F108" s="430">
        <f t="shared" si="10"/>
        <v>0</v>
      </c>
      <c r="G108" s="9">
        <f t="shared" si="10"/>
        <v>0</v>
      </c>
      <c r="H108" s="1623"/>
      <c r="I108" s="1622">
        <f t="shared" si="11"/>
        <v>0</v>
      </c>
      <c r="J108" s="1622">
        <f t="shared" si="11"/>
        <v>0</v>
      </c>
      <c r="K108" s="1622">
        <f t="shared" si="11"/>
        <v>0</v>
      </c>
      <c r="L108" s="1622">
        <f t="shared" si="11"/>
        <v>0</v>
      </c>
      <c r="M108" s="1622">
        <f t="shared" si="11"/>
        <v>0</v>
      </c>
      <c r="N108" s="1622">
        <f t="shared" si="11"/>
        <v>0</v>
      </c>
      <c r="O108" s="1622">
        <f t="shared" si="11"/>
        <v>0</v>
      </c>
      <c r="P108" s="9">
        <f t="shared" si="11"/>
        <v>0</v>
      </c>
      <c r="Q108" s="9">
        <f t="shared" si="11"/>
        <v>0</v>
      </c>
      <c r="R108" s="9">
        <f t="shared" si="11"/>
        <v>0</v>
      </c>
      <c r="S108" s="9">
        <f t="shared" si="11"/>
        <v>0</v>
      </c>
      <c r="T108" s="9">
        <f t="shared" si="11"/>
        <v>0</v>
      </c>
      <c r="U108" s="9" t="e">
        <f>SUM(Q108/I108)*100</f>
        <v>#DIV/0!</v>
      </c>
      <c r="V108" s="9">
        <f t="shared" si="12"/>
        <v>0</v>
      </c>
      <c r="W108" s="1621">
        <f t="shared" si="12"/>
        <v>0</v>
      </c>
      <c r="X108" s="1620">
        <f t="shared" si="12"/>
        <v>0</v>
      </c>
      <c r="Y108" s="1619">
        <f t="shared" si="12"/>
        <v>0</v>
      </c>
      <c r="Z108" s="1618">
        <f t="shared" si="12"/>
        <v>0</v>
      </c>
      <c r="AA108" s="1618">
        <f t="shared" si="12"/>
        <v>0</v>
      </c>
      <c r="AB108" s="1617">
        <f t="shared" si="12"/>
        <v>0</v>
      </c>
    </row>
    <row r="109" spans="1:28" s="1581" customFormat="1" ht="15.75" thickBot="1">
      <c r="A109" s="1608"/>
      <c r="B109" s="1616"/>
      <c r="C109" s="1615"/>
      <c r="D109" s="1615"/>
      <c r="E109" s="1615"/>
      <c r="F109" s="1610"/>
      <c r="G109" s="1611"/>
      <c r="H109" s="1611"/>
      <c r="I109" s="1614"/>
      <c r="J109" s="1614"/>
      <c r="K109" s="1614"/>
      <c r="L109" s="1614"/>
      <c r="M109" s="1610"/>
      <c r="N109" s="1610"/>
      <c r="O109" s="1613"/>
      <c r="P109" s="1612"/>
      <c r="Q109" s="1611"/>
      <c r="R109" s="1611"/>
      <c r="S109" s="1610"/>
      <c r="T109" s="1610"/>
      <c r="U109" s="1610"/>
      <c r="V109" s="1610"/>
      <c r="W109" s="1609"/>
      <c r="X109" s="1608"/>
      <c r="Y109" s="1607"/>
      <c r="Z109" s="1606"/>
      <c r="AA109" s="1606"/>
      <c r="AB109" s="1605"/>
    </row>
    <row r="110" spans="1:28" s="1586" customFormat="1" ht="55.5" customHeight="1" thickBot="1">
      <c r="A110" s="1604"/>
      <c r="B110" s="1603" t="s">
        <v>1507</v>
      </c>
      <c r="C110" s="1602">
        <f>SUM(C93:C108)</f>
        <v>0</v>
      </c>
      <c r="D110" s="1602"/>
      <c r="E110" s="1602">
        <f>SUM(E93:E108)</f>
        <v>0</v>
      </c>
      <c r="F110" s="1602">
        <f>SUM(F93:F108)</f>
        <v>0</v>
      </c>
      <c r="G110" s="1602">
        <f t="shared" ref="G110:T110" si="15">SUM(G93:G108)</f>
        <v>0</v>
      </c>
      <c r="H110" s="1602">
        <f t="shared" si="15"/>
        <v>0</v>
      </c>
      <c r="I110" s="1602">
        <f t="shared" si="15"/>
        <v>0</v>
      </c>
      <c r="J110" s="1602">
        <f t="shared" si="15"/>
        <v>0</v>
      </c>
      <c r="K110" s="1602">
        <f t="shared" si="15"/>
        <v>0</v>
      </c>
      <c r="L110" s="1602">
        <f t="shared" si="15"/>
        <v>0</v>
      </c>
      <c r="M110" s="1602">
        <f t="shared" si="15"/>
        <v>0</v>
      </c>
      <c r="N110" s="1602">
        <f t="shared" si="15"/>
        <v>0</v>
      </c>
      <c r="O110" s="1602">
        <f t="shared" si="15"/>
        <v>0</v>
      </c>
      <c r="P110" s="1602">
        <f t="shared" si="15"/>
        <v>0</v>
      </c>
      <c r="Q110" s="1602">
        <f>SUM(Q93:Q108)</f>
        <v>0</v>
      </c>
      <c r="R110" s="1602">
        <f t="shared" si="15"/>
        <v>0</v>
      </c>
      <c r="S110" s="1602">
        <f t="shared" si="15"/>
        <v>0</v>
      </c>
      <c r="T110" s="1602">
        <f t="shared" si="15"/>
        <v>0</v>
      </c>
      <c r="U110" s="1602" t="e">
        <f>SUM(Q110/I110)*100</f>
        <v>#DIV/0!</v>
      </c>
      <c r="V110" s="1602">
        <f t="shared" ref="V110:AB110" si="16">SUM(V93:V108)</f>
        <v>0</v>
      </c>
      <c r="W110" s="1601">
        <f t="shared" si="16"/>
        <v>0</v>
      </c>
      <c r="X110" s="1600">
        <f t="shared" si="16"/>
        <v>0</v>
      </c>
      <c r="Y110" s="1599">
        <f t="shared" si="16"/>
        <v>0</v>
      </c>
      <c r="Z110" s="1598">
        <f t="shared" si="16"/>
        <v>0</v>
      </c>
      <c r="AA110" s="1598">
        <f t="shared" si="16"/>
        <v>0</v>
      </c>
      <c r="AB110" s="1597">
        <f t="shared" si="16"/>
        <v>0</v>
      </c>
    </row>
    <row r="111" spans="1:28" s="1581" customFormat="1" ht="16.5" thickTop="1">
      <c r="G111" s="1586"/>
      <c r="I111" s="1586"/>
      <c r="J111" s="1586"/>
      <c r="K111" s="1586"/>
      <c r="L111" s="1586"/>
      <c r="M111" s="1594"/>
      <c r="N111" s="1594"/>
      <c r="O111" s="1596"/>
      <c r="P111" s="1595"/>
      <c r="Q111" s="1594"/>
      <c r="R111" s="1594"/>
    </row>
    <row r="112" spans="1:28" s="1581" customFormat="1" ht="16.5" customHeight="1">
      <c r="F112" s="1586"/>
      <c r="I112" s="1586"/>
      <c r="J112" s="1586"/>
      <c r="K112" s="1593">
        <f>K110-('Kas SPP Pihak ke-3'!$D$12+'Kas SPP Pihak ke-3'!$D$13)</f>
        <v>0</v>
      </c>
      <c r="L112" s="1593">
        <f>L110-('Kas SPP Pihak ke-3'!$E$12+'Kas SPP Pihak ke-3'!$E$13)</f>
        <v>0</v>
      </c>
      <c r="M112" s="1592"/>
      <c r="N112" s="1591">
        <f>N110-'Kas SPP Pihak ke-3'!$D$40</f>
        <v>0</v>
      </c>
      <c r="O112" s="1591">
        <f>O110-'Kas SPP Pihak ke-3'!$E$40</f>
        <v>0</v>
      </c>
      <c r="P112" s="1590"/>
      <c r="Q112" s="1589">
        <f>Q110-'Kas SPP Pihak ke-3'!$D$42</f>
        <v>0</v>
      </c>
      <c r="R112" s="1589">
        <f>R110-'Kas SPP Pihak ke-3'!$E$42</f>
        <v>0</v>
      </c>
      <c r="V112" s="1588">
        <f>V110+Q110-I110</f>
        <v>0</v>
      </c>
      <c r="W112" s="1588">
        <f>W110+R110-J110</f>
        <v>0</v>
      </c>
    </row>
    <row r="113" spans="1:20" s="1581" customFormat="1" ht="15">
      <c r="A113" s="1587"/>
      <c r="B113" s="1587"/>
      <c r="K113" s="1586"/>
      <c r="L113" s="1586"/>
      <c r="O113" s="1585"/>
      <c r="P113" s="1584"/>
      <c r="Q113" s="1583"/>
      <c r="R113" s="1582"/>
      <c r="T113" s="1573" t="str">
        <f>T33</f>
        <v>Nagrak, 29 Februari 2016 2016</v>
      </c>
    </row>
    <row r="114" spans="1:20" s="1572" customFormat="1" ht="15">
      <c r="G114" s="1574" t="s">
        <v>21</v>
      </c>
      <c r="P114" s="1574"/>
      <c r="T114" s="1574" t="s">
        <v>22</v>
      </c>
    </row>
    <row r="115" spans="1:20" s="1572" customFormat="1" ht="20.25" customHeight="1">
      <c r="N115" s="1580"/>
      <c r="O115" s="1579"/>
      <c r="T115" s="1574"/>
    </row>
    <row r="116" spans="1:20" s="1572" customFormat="1" ht="20.25" customHeight="1">
      <c r="N116" s="1580"/>
      <c r="O116" s="1579"/>
      <c r="Q116" s="1578"/>
      <c r="T116" s="1574"/>
    </row>
    <row r="117" spans="1:20" s="1572" customFormat="1" ht="20.25" customHeight="1">
      <c r="P117" s="1574"/>
      <c r="T117" s="1574"/>
    </row>
    <row r="118" spans="1:20" s="1572" customFormat="1" ht="20.25" customHeight="1">
      <c r="P118" s="1574"/>
      <c r="Q118" s="1577"/>
      <c r="R118" s="1577"/>
      <c r="T118" s="1574"/>
    </row>
    <row r="119" spans="1:20" s="1572" customFormat="1" ht="15">
      <c r="G119" s="1575" t="str">
        <f>G39</f>
        <v>Endang Taryana</v>
      </c>
      <c r="N119" s="1576"/>
      <c r="P119" s="1575"/>
      <c r="T119" s="1575" t="str">
        <f>T39</f>
        <v>Arin Yustini, SE</v>
      </c>
    </row>
    <row r="120" spans="1:20" s="1572" customFormat="1" ht="15">
      <c r="G120" s="1574" t="s">
        <v>23</v>
      </c>
      <c r="P120" s="1573"/>
      <c r="T120" s="1573" t="s">
        <v>24</v>
      </c>
    </row>
  </sheetData>
  <sheetProtection password="C13C" sheet="1" formatColumns="0" formatRows="0"/>
  <protectedRanges>
    <protectedRange sqref="K112:R112" name="Range1"/>
  </protectedRanges>
  <mergeCells count="54">
    <mergeCell ref="H90:H91"/>
    <mergeCell ref="V90:W90"/>
    <mergeCell ref="X90:X91"/>
    <mergeCell ref="I90:J90"/>
    <mergeCell ref="K90:M90"/>
    <mergeCell ref="N90:P90"/>
    <mergeCell ref="Q90:S90"/>
    <mergeCell ref="T90:T91"/>
    <mergeCell ref="U90:U91"/>
    <mergeCell ref="A90:A91"/>
    <mergeCell ref="B90:B91"/>
    <mergeCell ref="C90:C92"/>
    <mergeCell ref="E90:E92"/>
    <mergeCell ref="F90:G90"/>
    <mergeCell ref="A84:W84"/>
    <mergeCell ref="I50:J50"/>
    <mergeCell ref="K50:M50"/>
    <mergeCell ref="N50:P50"/>
    <mergeCell ref="Q50:S50"/>
    <mergeCell ref="V50:W50"/>
    <mergeCell ref="X50:X51"/>
    <mergeCell ref="A81:W81"/>
    <mergeCell ref="A82:W82"/>
    <mergeCell ref="A83:W83"/>
    <mergeCell ref="T50:T51"/>
    <mergeCell ref="U50:U51"/>
    <mergeCell ref="A50:A51"/>
    <mergeCell ref="B50:B51"/>
    <mergeCell ref="C50:C52"/>
    <mergeCell ref="E50:E52"/>
    <mergeCell ref="F50:G50"/>
    <mergeCell ref="H50:H51"/>
    <mergeCell ref="A43:W43"/>
    <mergeCell ref="A44:W44"/>
    <mergeCell ref="I10:J10"/>
    <mergeCell ref="K10:M10"/>
    <mergeCell ref="N10:P10"/>
    <mergeCell ref="Q10:S10"/>
    <mergeCell ref="C10:C12"/>
    <mergeCell ref="E10:E12"/>
    <mergeCell ref="V10:W10"/>
    <mergeCell ref="X10:X11"/>
    <mergeCell ref="A41:W41"/>
    <mergeCell ref="A42:W42"/>
    <mergeCell ref="F10:G10"/>
    <mergeCell ref="H10:H11"/>
    <mergeCell ref="T10:T11"/>
    <mergeCell ref="U10:U11"/>
    <mergeCell ref="A1:W1"/>
    <mergeCell ref="A2:W2"/>
    <mergeCell ref="A3:W3"/>
    <mergeCell ref="A4:W4"/>
    <mergeCell ref="A10:A11"/>
    <mergeCell ref="B10:B11"/>
  </mergeCells>
  <printOptions horizontalCentered="1" verticalCentered="1"/>
  <pageMargins left="0.15748031496063" right="0" top="0.86614173228346503" bottom="0.23622047244094499" header="0.35433070866141703" footer="0.511811023622047"/>
  <pageSetup paperSize="9" scale="47" orientation="landscape" r:id="rId1"/>
  <headerFooter alignWithMargins="0"/>
  <rowBreaks count="2" manualBreakCount="2">
    <brk id="40" max="21" man="1"/>
    <brk id="80" max="21" man="1"/>
  </rowBreaks>
  <drawing r:id="rId2"/>
  <legacyDrawing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FF33"/>
  </sheetPr>
  <dimension ref="A1:AB40"/>
  <sheetViews>
    <sheetView zoomScale="50" zoomScaleNormal="50" zoomScaleSheetLayoutView="30" workbookViewId="0">
      <selection sqref="A1:W1"/>
    </sheetView>
  </sheetViews>
  <sheetFormatPr defaultColWidth="9.140625" defaultRowHeight="12.75"/>
  <cols>
    <col min="1" max="1" width="6" style="1570" customWidth="1"/>
    <col min="2" max="2" width="22.42578125" style="1570" customWidth="1"/>
    <col min="3" max="3" width="7.140625" style="1570" customWidth="1"/>
    <col min="4" max="4" width="7.140625" style="1570" hidden="1" customWidth="1"/>
    <col min="5" max="5" width="7.140625" style="1570" customWidth="1"/>
    <col min="6" max="6" width="16" style="1570" customWidth="1"/>
    <col min="7" max="7" width="16.140625" style="1570" customWidth="1"/>
    <col min="8" max="8" width="16.85546875" style="1570" customWidth="1"/>
    <col min="9" max="9" width="16.7109375" style="1571" customWidth="1"/>
    <col min="10" max="10" width="14.85546875" style="1571" customWidth="1"/>
    <col min="11" max="11" width="16.140625" style="1571" customWidth="1"/>
    <col min="12" max="12" width="15.140625" style="1571" customWidth="1"/>
    <col min="13" max="13" width="9.42578125" style="1570" customWidth="1"/>
    <col min="14" max="14" width="14.7109375" style="1570" customWidth="1"/>
    <col min="15" max="15" width="13.42578125" style="1570" customWidth="1"/>
    <col min="16" max="16" width="9.42578125" style="1570" customWidth="1"/>
    <col min="17" max="17" width="17.140625" style="1570" customWidth="1"/>
    <col min="18" max="18" width="15.7109375" style="1570" customWidth="1"/>
    <col min="19" max="19" width="8.7109375" style="1570" customWidth="1"/>
    <col min="20" max="20" width="16.28515625" style="1570" customWidth="1"/>
    <col min="21" max="21" width="11.42578125" style="1570" customWidth="1"/>
    <col min="22" max="22" width="15.28515625" style="1570" customWidth="1"/>
    <col min="23" max="23" width="13.85546875" style="1570" customWidth="1"/>
    <col min="24" max="24" width="0.42578125" style="1570" customWidth="1"/>
    <col min="25" max="25" width="16.28515625" style="1570" customWidth="1"/>
    <col min="26" max="26" width="16.140625" style="1570" customWidth="1"/>
    <col min="27" max="27" width="15.5703125" style="1570" customWidth="1"/>
    <col min="28" max="28" width="15.7109375" style="1570" customWidth="1"/>
    <col min="29" max="16384" width="9.140625" style="1570"/>
  </cols>
  <sheetData>
    <row r="1" spans="1:28" ht="21.75" customHeight="1">
      <c r="A1" s="3410" t="s">
        <v>123</v>
      </c>
      <c r="B1" s="3410"/>
      <c r="C1" s="3410"/>
      <c r="D1" s="3410"/>
      <c r="E1" s="3410"/>
      <c r="F1" s="3410"/>
      <c r="G1" s="3410"/>
      <c r="H1" s="3410"/>
      <c r="I1" s="3410"/>
      <c r="J1" s="3410"/>
      <c r="K1" s="3410"/>
      <c r="L1" s="3410"/>
      <c r="M1" s="3410"/>
      <c r="N1" s="3410"/>
      <c r="O1" s="3410"/>
      <c r="P1" s="3410"/>
      <c r="Q1" s="3410"/>
      <c r="R1" s="3410"/>
      <c r="S1" s="3410"/>
      <c r="T1" s="3410"/>
      <c r="U1" s="3410"/>
      <c r="V1" s="3410"/>
      <c r="W1" s="3410"/>
      <c r="X1" s="1661"/>
      <c r="Y1" s="1661"/>
      <c r="Z1" s="1661"/>
      <c r="AA1" s="1661"/>
      <c r="AB1" s="1661"/>
    </row>
    <row r="2" spans="1:28" ht="21.75" customHeight="1">
      <c r="A2" s="3410" t="s">
        <v>1655</v>
      </c>
      <c r="B2" s="3410"/>
      <c r="C2" s="3410"/>
      <c r="D2" s="3410"/>
      <c r="E2" s="3410"/>
      <c r="F2" s="3410"/>
      <c r="G2" s="3410"/>
      <c r="H2" s="3410"/>
      <c r="I2" s="3410"/>
      <c r="J2" s="3410"/>
      <c r="K2" s="3410"/>
      <c r="L2" s="3410"/>
      <c r="M2" s="3410"/>
      <c r="N2" s="3410"/>
      <c r="O2" s="3410"/>
      <c r="P2" s="3410"/>
      <c r="Q2" s="3410"/>
      <c r="R2" s="3410"/>
      <c r="S2" s="3410"/>
      <c r="T2" s="3410"/>
      <c r="U2" s="3410"/>
      <c r="V2" s="3410"/>
      <c r="W2" s="3410"/>
      <c r="X2" s="1661"/>
      <c r="Y2" s="1661"/>
      <c r="Z2" s="1661"/>
      <c r="AA2" s="1661"/>
      <c r="AB2" s="1661"/>
    </row>
    <row r="3" spans="1:28" ht="34.5">
      <c r="A3" s="3410" t="s">
        <v>1517</v>
      </c>
      <c r="B3" s="3410"/>
      <c r="C3" s="3410"/>
      <c r="D3" s="3410"/>
      <c r="E3" s="3410"/>
      <c r="F3" s="3410"/>
      <c r="G3" s="3410"/>
      <c r="H3" s="3410"/>
      <c r="I3" s="3410"/>
      <c r="J3" s="3410"/>
      <c r="K3" s="3410"/>
      <c r="L3" s="3410"/>
      <c r="M3" s="3410"/>
      <c r="N3" s="3410"/>
      <c r="O3" s="3410"/>
      <c r="P3" s="3410"/>
      <c r="Q3" s="3410"/>
      <c r="R3" s="3410"/>
      <c r="S3" s="3410"/>
      <c r="T3" s="3410"/>
      <c r="U3" s="3410"/>
      <c r="V3" s="3410"/>
      <c r="W3" s="3410"/>
      <c r="X3" s="1662"/>
      <c r="Y3" s="1661"/>
      <c r="Z3" s="1661"/>
      <c r="AA3" s="1661"/>
      <c r="AB3" s="1661"/>
    </row>
    <row r="4" spans="1:28" ht="21.75" customHeight="1">
      <c r="A4" s="3410" t="str">
        <f>'LPP-SPP'!A4:W4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1661"/>
      <c r="Y4" s="1661"/>
      <c r="Z4" s="1661"/>
      <c r="AA4" s="1661"/>
      <c r="AB4" s="1661"/>
    </row>
    <row r="6" spans="1:28" s="1581" customFormat="1" ht="20.25" customHeight="1">
      <c r="A6" s="1659"/>
      <c r="B6" s="1659" t="s">
        <v>2</v>
      </c>
      <c r="C6" s="1595"/>
      <c r="D6" s="1595"/>
      <c r="E6" s="1595"/>
      <c r="F6" s="1658" t="str">
        <f>'LPP-SPP'!F6</f>
        <v>:  Nagrak</v>
      </c>
      <c r="I6" s="1586"/>
      <c r="J6" s="1586"/>
      <c r="K6" s="1586"/>
      <c r="L6" s="1586"/>
    </row>
    <row r="7" spans="1:28" s="1581" customFormat="1" ht="20.25" customHeight="1">
      <c r="A7" s="1659"/>
      <c r="B7" s="1659" t="s">
        <v>4</v>
      </c>
      <c r="C7" s="1595"/>
      <c r="D7" s="1595"/>
      <c r="E7" s="1595"/>
      <c r="F7" s="1658" t="str">
        <f>'LPP-SPP'!F7</f>
        <v>:  Sukabumi</v>
      </c>
      <c r="I7" s="1586"/>
      <c r="J7" s="1586"/>
      <c r="K7" s="1586"/>
      <c r="L7" s="1586"/>
      <c r="V7" s="1660"/>
    </row>
    <row r="8" spans="1:28" s="1581" customFormat="1" ht="20.25" customHeight="1">
      <c r="A8" s="1659"/>
      <c r="B8" s="1659" t="s">
        <v>1516</v>
      </c>
      <c r="C8" s="1595"/>
      <c r="D8" s="1595"/>
      <c r="E8" s="1595"/>
      <c r="F8" s="1658" t="str">
        <f>'LPP-SPP'!F8</f>
        <v>:  Jawa Barat</v>
      </c>
      <c r="I8" s="1586"/>
      <c r="J8" s="1586"/>
      <c r="K8" s="1586"/>
      <c r="L8" s="1586"/>
      <c r="M8" s="1586"/>
      <c r="N8" s="1586"/>
    </row>
    <row r="9" spans="1:28" s="1581" customFormat="1" ht="15.75" thickBot="1">
      <c r="G9" s="1657"/>
      <c r="H9" s="1657"/>
      <c r="I9" s="1657"/>
      <c r="J9" s="1657"/>
      <c r="K9" s="1657"/>
      <c r="L9" s="1657"/>
    </row>
    <row r="10" spans="1:28" s="1581" customFormat="1" ht="87.75" customHeight="1" thickTop="1">
      <c r="A10" s="3410" t="s">
        <v>36</v>
      </c>
      <c r="B10" s="3410" t="s">
        <v>1515</v>
      </c>
      <c r="C10" s="3410" t="s">
        <v>1505</v>
      </c>
      <c r="D10" s="1943"/>
      <c r="E10" s="3410" t="s">
        <v>1498</v>
      </c>
      <c r="F10" s="3410" t="s">
        <v>1497</v>
      </c>
      <c r="G10" s="3410"/>
      <c r="H10" s="3410" t="s">
        <v>1496</v>
      </c>
      <c r="I10" s="3410" t="s">
        <v>1514</v>
      </c>
      <c r="J10" s="3410"/>
      <c r="K10" s="3410" t="s">
        <v>1513</v>
      </c>
      <c r="L10" s="3410"/>
      <c r="M10" s="3410"/>
      <c r="N10" s="3410" t="s">
        <v>1489</v>
      </c>
      <c r="O10" s="3410"/>
      <c r="P10" s="3410"/>
      <c r="Q10" s="3410" t="s">
        <v>1488</v>
      </c>
      <c r="R10" s="3410"/>
      <c r="S10" s="3410"/>
      <c r="T10" s="3410" t="s">
        <v>1487</v>
      </c>
      <c r="U10" s="3410" t="s">
        <v>1486</v>
      </c>
      <c r="V10" s="3410" t="s">
        <v>1485</v>
      </c>
      <c r="W10" s="3410"/>
      <c r="X10" s="3410" t="s">
        <v>1512</v>
      </c>
      <c r="Y10" s="1656" t="s">
        <v>1511</v>
      </c>
      <c r="Z10" s="1655" t="s">
        <v>1510</v>
      </c>
      <c r="AA10" s="1655" t="s">
        <v>1509</v>
      </c>
      <c r="AB10" s="1654" t="s">
        <v>1508</v>
      </c>
    </row>
    <row r="11" spans="1:28" s="1581" customFormat="1" ht="26.25" customHeight="1" thickBot="1">
      <c r="A11" s="3410"/>
      <c r="B11" s="3410"/>
      <c r="C11" s="3410"/>
      <c r="D11" s="1944"/>
      <c r="E11" s="3410"/>
      <c r="F11" s="1653" t="s">
        <v>16</v>
      </c>
      <c r="G11" s="1653" t="s">
        <v>1476</v>
      </c>
      <c r="H11" s="3410"/>
      <c r="I11" s="1651" t="s">
        <v>16</v>
      </c>
      <c r="J11" s="1651" t="s">
        <v>1476</v>
      </c>
      <c r="K11" s="1651" t="s">
        <v>16</v>
      </c>
      <c r="L11" s="1651" t="s">
        <v>1476</v>
      </c>
      <c r="M11" s="1651" t="s">
        <v>1477</v>
      </c>
      <c r="N11" s="1651" t="s">
        <v>16</v>
      </c>
      <c r="O11" s="1651" t="s">
        <v>1476</v>
      </c>
      <c r="P11" s="1651" t="s">
        <v>1477</v>
      </c>
      <c r="Q11" s="1651" t="s">
        <v>16</v>
      </c>
      <c r="R11" s="1651" t="s">
        <v>1476</v>
      </c>
      <c r="S11" s="1652" t="s">
        <v>1477</v>
      </c>
      <c r="T11" s="3410"/>
      <c r="U11" s="3410"/>
      <c r="V11" s="1651" t="s">
        <v>16</v>
      </c>
      <c r="W11" s="1650" t="s">
        <v>1476</v>
      </c>
      <c r="X11" s="3410"/>
      <c r="Y11" s="1649" t="s">
        <v>1475</v>
      </c>
      <c r="Z11" s="1648" t="s">
        <v>1474</v>
      </c>
      <c r="AA11" s="1648" t="s">
        <v>1473</v>
      </c>
      <c r="AB11" s="1647" t="s">
        <v>1472</v>
      </c>
    </row>
    <row r="12" spans="1:28" s="1629" customFormat="1" ht="15.75" customHeight="1" thickTop="1" thickBot="1">
      <c r="A12" s="1641">
        <v>1</v>
      </c>
      <c r="B12" s="1646">
        <v>2</v>
      </c>
      <c r="C12" s="3410"/>
      <c r="D12" s="1945"/>
      <c r="E12" s="3410"/>
      <c r="F12" s="1644">
        <v>4</v>
      </c>
      <c r="G12" s="1645">
        <v>5</v>
      </c>
      <c r="H12" s="1644">
        <v>6</v>
      </c>
      <c r="I12" s="1644">
        <v>7</v>
      </c>
      <c r="J12" s="1644">
        <v>8</v>
      </c>
      <c r="K12" s="1644">
        <v>9</v>
      </c>
      <c r="L12" s="1644">
        <v>10</v>
      </c>
      <c r="M12" s="1644">
        <v>11</v>
      </c>
      <c r="N12" s="1644">
        <v>12</v>
      </c>
      <c r="O12" s="1644">
        <v>13</v>
      </c>
      <c r="P12" s="1644">
        <v>14</v>
      </c>
      <c r="Q12" s="1644" t="s">
        <v>1471</v>
      </c>
      <c r="R12" s="1644" t="s">
        <v>1470</v>
      </c>
      <c r="S12" s="1643" t="s">
        <v>1469</v>
      </c>
      <c r="T12" s="1643" t="s">
        <v>1468</v>
      </c>
      <c r="U12" s="1644" t="s">
        <v>1467</v>
      </c>
      <c r="V12" s="1643" t="s">
        <v>1466</v>
      </c>
      <c r="W12" s="1642" t="s">
        <v>1465</v>
      </c>
      <c r="X12" s="1641">
        <v>22</v>
      </c>
      <c r="Y12" s="1640">
        <v>23</v>
      </c>
      <c r="Z12" s="1639">
        <v>24</v>
      </c>
      <c r="AA12" s="1639">
        <v>25</v>
      </c>
      <c r="AB12" s="1638">
        <v>26</v>
      </c>
    </row>
    <row r="13" spans="1:28" s="1629" customFormat="1" ht="34.5" customHeight="1" thickTop="1">
      <c r="A13" s="1637">
        <v>1</v>
      </c>
      <c r="B13" s="1636" t="str">
        <f>'LPP-SPP'!B13</f>
        <v>CIHANYAWAR</v>
      </c>
      <c r="C13" s="1635">
        <f>'LPP-SPP'!C93+'LPP-SPP PIHAK KE-3'!C93</f>
        <v>79</v>
      </c>
      <c r="D13" s="1635"/>
      <c r="E13" s="1635">
        <f>'LPP-SPP'!E93+'LPP-SPP PIHAK KE-3'!E93</f>
        <v>912</v>
      </c>
      <c r="F13" s="1635">
        <f>'LPP-SPP'!F93+'LPP-SPP PIHAK KE-3'!F93</f>
        <v>3706700000</v>
      </c>
      <c r="G13" s="1635">
        <f>'LPP-SPP'!G93+'LPP-SPP PIHAK KE-3'!G93</f>
        <v>667206000</v>
      </c>
      <c r="H13" s="1627"/>
      <c r="I13" s="1635">
        <f>'LPP-SPP'!I93+'LPP-SPP PIHAK KE-3'!I93</f>
        <v>3190367500</v>
      </c>
      <c r="J13" s="1635">
        <f>'LPP-SPP'!J93+'LPP-SPP PIHAK KE-3'!J93</f>
        <v>546621000</v>
      </c>
      <c r="K13" s="1635">
        <f>'LPP-SPP'!K93+'LPP-SPP PIHAK KE-3'!K93</f>
        <v>3087407900</v>
      </c>
      <c r="L13" s="1635">
        <f>'LPP-SPP'!L93+'LPP-SPP PIHAK KE-3'!L93</f>
        <v>528218000</v>
      </c>
      <c r="M13" s="1635">
        <f>'LPP-SPP'!M93+'LPP-SPP PIHAK KE-3'!M93</f>
        <v>0</v>
      </c>
      <c r="N13" s="1635">
        <f>'LPP-SPP'!N93+'LPP-SPP PIHAK KE-3'!N93</f>
        <v>68333700</v>
      </c>
      <c r="O13" s="1635">
        <f>'LPP-SPP'!O93+'LPP-SPP PIHAK KE-3'!O93</f>
        <v>12400000</v>
      </c>
      <c r="P13" s="1635">
        <f>'LPP-SPP'!P93+'LPP-SPP PIHAK KE-3'!P93</f>
        <v>0</v>
      </c>
      <c r="Q13" s="1635">
        <f>'LPP-SPP'!Q93+'LPP-SPP PIHAK KE-3'!Q93</f>
        <v>3155741600</v>
      </c>
      <c r="R13" s="1635">
        <f>'LPP-SPP'!R93+'LPP-SPP PIHAK KE-3'!R93</f>
        <v>540618000</v>
      </c>
      <c r="S13" s="1635">
        <f>'LPP-SPP'!S93+'LPP-SPP PIHAK KE-3'!S93</f>
        <v>0</v>
      </c>
      <c r="T13" s="1635">
        <f>'LPP-SPP'!T93+'LPP-SPP PIHAK KE-3'!T93</f>
        <v>550958400</v>
      </c>
      <c r="U13" s="1635">
        <f t="shared" ref="U13:U28" si="0">SUM(Q13/I13)*100</f>
        <v>98.914673623023049</v>
      </c>
      <c r="V13" s="1635">
        <f>'LPP-SPP'!V93+'LPP-SPP PIHAK KE-3'!V93</f>
        <v>34625900</v>
      </c>
      <c r="W13" s="1635">
        <f>'LPP-SPP'!W93+'LPP-SPP PIHAK KE-3'!W93</f>
        <v>5733000</v>
      </c>
      <c r="X13" s="1633" t="e">
        <f>#REF!+#REF!</f>
        <v>#REF!</v>
      </c>
      <c r="Y13" s="1632">
        <f>'LPP-SPP'!Y93+'LPP-SPP PIHAK KE-3'!Y93</f>
        <v>0</v>
      </c>
      <c r="Z13" s="1631">
        <f>'LPP-SPP'!Z93+'LPP-SPP PIHAK KE-3'!Z93</f>
        <v>1250000</v>
      </c>
      <c r="AA13" s="1631">
        <f>'LPP-SPP'!AA93+'LPP-SPP PIHAK KE-3'!AA93</f>
        <v>0</v>
      </c>
      <c r="AB13" s="1630">
        <f>'LPP-SPP'!AB93+'LPP-SPP PIHAK KE-3'!AB93</f>
        <v>29209200</v>
      </c>
    </row>
    <row r="14" spans="1:28" s="1581" customFormat="1" ht="34.5" customHeight="1">
      <c r="A14" s="1625">
        <f t="shared" ref="A14:A28" si="1">A13+1</f>
        <v>2</v>
      </c>
      <c r="B14" s="1628" t="str">
        <f>'LPP-SPP'!B14</f>
        <v>NAGRAK UTARA</v>
      </c>
      <c r="C14" s="430">
        <f>'LPP-SPP'!C94+'LPP-SPP PIHAK KE-3'!C94</f>
        <v>126</v>
      </c>
      <c r="D14" s="430"/>
      <c r="E14" s="430">
        <f>'LPP-SPP'!E94+'LPP-SPP PIHAK KE-3'!E94</f>
        <v>1401</v>
      </c>
      <c r="F14" s="430">
        <f>'LPP-SPP'!F94+'LPP-SPP PIHAK KE-3'!F94</f>
        <v>4853100000</v>
      </c>
      <c r="G14" s="430">
        <f>'LPP-SPP'!G94+'LPP-SPP PIHAK KE-3'!G94</f>
        <v>873558000</v>
      </c>
      <c r="H14" s="1627"/>
      <c r="I14" s="430">
        <f>'LPP-SPP'!I94+'LPP-SPP PIHAK KE-3'!I94</f>
        <v>4198707501.6666665</v>
      </c>
      <c r="J14" s="430">
        <f>'LPP-SPP'!J94+'LPP-SPP PIHAK KE-3'!J94</f>
        <v>734688000</v>
      </c>
      <c r="K14" s="430">
        <f>'LPP-SPP'!K94+'LPP-SPP PIHAK KE-3'!K94</f>
        <v>4020603900</v>
      </c>
      <c r="L14" s="430">
        <f>'LPP-SPP'!L94+'LPP-SPP PIHAK KE-3'!L94</f>
        <v>702926700</v>
      </c>
      <c r="M14" s="430">
        <f>'LPP-SPP'!M94+'LPP-SPP PIHAK KE-3'!M94</f>
        <v>0</v>
      </c>
      <c r="N14" s="430">
        <f>'LPP-SPP'!N94+'LPP-SPP PIHAK KE-3'!N94</f>
        <v>91076600</v>
      </c>
      <c r="O14" s="430">
        <f>'LPP-SPP'!O94+'LPP-SPP PIHAK KE-3'!O94</f>
        <v>16248000</v>
      </c>
      <c r="P14" s="430">
        <f>'LPP-SPP'!P94+'LPP-SPP PIHAK KE-3'!P94</f>
        <v>0</v>
      </c>
      <c r="Q14" s="430">
        <f>'LPP-SPP'!Q94+'LPP-SPP PIHAK KE-3'!Q94</f>
        <v>4111680500</v>
      </c>
      <c r="R14" s="430">
        <f>'LPP-SPP'!R94+'LPP-SPP PIHAK KE-3'!R94</f>
        <v>719174700</v>
      </c>
      <c r="S14" s="430">
        <f>'LPP-SPP'!S94+'LPP-SPP PIHAK KE-3'!S94</f>
        <v>0</v>
      </c>
      <c r="T14" s="430">
        <f>'LPP-SPP'!T94+'LPP-SPP PIHAK KE-3'!T94</f>
        <v>741419500</v>
      </c>
      <c r="U14" s="9">
        <f t="shared" si="0"/>
        <v>97.927290680950719</v>
      </c>
      <c r="V14" s="430">
        <f>'LPP-SPP'!V94+'LPP-SPP PIHAK KE-3'!V94</f>
        <v>87027001.666666672</v>
      </c>
      <c r="W14" s="430">
        <f>'LPP-SPP'!W94+'LPP-SPP PIHAK KE-3'!W94</f>
        <v>14463300</v>
      </c>
      <c r="X14" s="1620" t="e">
        <f>#REF!+#REF!</f>
        <v>#REF!</v>
      </c>
      <c r="Y14" s="1619">
        <f>'LPP-SPP'!Y94+'LPP-SPP PIHAK KE-3'!Y94</f>
        <v>13671000</v>
      </c>
      <c r="Z14" s="1618">
        <f>'LPP-SPP'!Z94+'LPP-SPP PIHAK KE-3'!Z94</f>
        <v>0</v>
      </c>
      <c r="AA14" s="1618">
        <f>'LPP-SPP'!AA94+'LPP-SPP PIHAK KE-3'!AA94</f>
        <v>0</v>
      </c>
      <c r="AB14" s="1617">
        <f>'LPP-SPP'!AB94+'LPP-SPP PIHAK KE-3'!AB94</f>
        <v>75481000</v>
      </c>
    </row>
    <row r="15" spans="1:28" s="1581" customFormat="1" ht="34.5" customHeight="1">
      <c r="A15" s="1625">
        <f t="shared" si="1"/>
        <v>3</v>
      </c>
      <c r="B15" s="1628" t="str">
        <f>'LPP-SPP'!B15</f>
        <v>DARMAREJA</v>
      </c>
      <c r="C15" s="430">
        <f>'LPP-SPP'!C95+'LPP-SPP PIHAK KE-3'!C95</f>
        <v>83</v>
      </c>
      <c r="D15" s="430"/>
      <c r="E15" s="430">
        <f>'LPP-SPP'!E95+'LPP-SPP PIHAK KE-3'!E95</f>
        <v>877</v>
      </c>
      <c r="F15" s="430">
        <f>'LPP-SPP'!F95+'LPP-SPP PIHAK KE-3'!F95</f>
        <v>3129200000</v>
      </c>
      <c r="G15" s="430">
        <f>'LPP-SPP'!G95+'LPP-SPP PIHAK KE-3'!G95</f>
        <v>563256000</v>
      </c>
      <c r="H15" s="1627"/>
      <c r="I15" s="430">
        <f>'LPP-SPP'!I95+'LPP-SPP PIHAK KE-3'!I95</f>
        <v>2699400500</v>
      </c>
      <c r="J15" s="430">
        <f>'LPP-SPP'!J95+'LPP-SPP PIHAK KE-3'!J95</f>
        <v>458790000</v>
      </c>
      <c r="K15" s="430">
        <f>'LPP-SPP'!K95+'LPP-SPP PIHAK KE-3'!K95</f>
        <v>2597645300</v>
      </c>
      <c r="L15" s="430">
        <f>'LPP-SPP'!L95+'LPP-SPP PIHAK KE-3'!L95</f>
        <v>435001000</v>
      </c>
      <c r="M15" s="430">
        <f>'LPP-SPP'!M95+'LPP-SPP PIHAK KE-3'!M95</f>
        <v>0</v>
      </c>
      <c r="N15" s="430">
        <f>'LPP-SPP'!N95+'LPP-SPP PIHAK KE-3'!N95</f>
        <v>60975100</v>
      </c>
      <c r="O15" s="430">
        <f>'LPP-SPP'!O95+'LPP-SPP PIHAK KE-3'!O95</f>
        <v>11244000</v>
      </c>
      <c r="P15" s="430">
        <f>'LPP-SPP'!P95+'LPP-SPP PIHAK KE-3'!P95</f>
        <v>0</v>
      </c>
      <c r="Q15" s="430">
        <f>'LPP-SPP'!Q95+'LPP-SPP PIHAK KE-3'!Q95</f>
        <v>2658620400</v>
      </c>
      <c r="R15" s="430">
        <f>'LPP-SPP'!R95+'LPP-SPP PIHAK KE-3'!R95</f>
        <v>446245000</v>
      </c>
      <c r="S15" s="430">
        <f>'LPP-SPP'!S95+'LPP-SPP PIHAK KE-3'!S95</f>
        <v>0</v>
      </c>
      <c r="T15" s="430">
        <f>'LPP-SPP'!T95+'LPP-SPP PIHAK KE-3'!T95</f>
        <v>470579600</v>
      </c>
      <c r="U15" s="9">
        <f t="shared" si="0"/>
        <v>98.489290492463041</v>
      </c>
      <c r="V15" s="430">
        <f>'LPP-SPP'!V95+'LPP-SPP PIHAK KE-3'!V95</f>
        <v>40780100</v>
      </c>
      <c r="W15" s="430">
        <f>'LPP-SPP'!W95+'LPP-SPP PIHAK KE-3'!W95</f>
        <v>6234500</v>
      </c>
      <c r="X15" s="1620" t="e">
        <f>#REF!+#REF!</f>
        <v>#REF!</v>
      </c>
      <c r="Y15" s="1619">
        <f>'LPP-SPP'!Y95+'LPP-SPP PIHAK KE-3'!Y95</f>
        <v>8233200</v>
      </c>
      <c r="Z15" s="1618">
        <f>'LPP-SPP'!Z95+'LPP-SPP PIHAK KE-3'!Z95</f>
        <v>0</v>
      </c>
      <c r="AA15" s="1618">
        <f>'LPP-SPP'!AA95+'LPP-SPP PIHAK KE-3'!AA95</f>
        <v>0</v>
      </c>
      <c r="AB15" s="1617">
        <f>'LPP-SPP'!AB95+'LPP-SPP PIHAK KE-3'!AB95</f>
        <v>37255000</v>
      </c>
    </row>
    <row r="16" spans="1:28" s="1581" customFormat="1" ht="34.5" customHeight="1">
      <c r="A16" s="1625">
        <f t="shared" si="1"/>
        <v>4</v>
      </c>
      <c r="B16" s="1628" t="str">
        <f>'LPP-SPP'!B16</f>
        <v>BALEKAMBANG</v>
      </c>
      <c r="C16" s="430">
        <f>'LPP-SPP'!C96+'LPP-SPP PIHAK KE-3'!C96</f>
        <v>48</v>
      </c>
      <c r="D16" s="430"/>
      <c r="E16" s="430">
        <f>'LPP-SPP'!E96+'LPP-SPP PIHAK KE-3'!E96</f>
        <v>501</v>
      </c>
      <c r="F16" s="430">
        <f>'LPP-SPP'!F96+'LPP-SPP PIHAK KE-3'!F96</f>
        <v>2005000000</v>
      </c>
      <c r="G16" s="430">
        <f>'LPP-SPP'!G96+'LPP-SPP PIHAK KE-3'!G96</f>
        <v>360900000</v>
      </c>
      <c r="H16" s="1627"/>
      <c r="I16" s="430">
        <f>'LPP-SPP'!I96+'LPP-SPP PIHAK KE-3'!I96</f>
        <v>1684083900</v>
      </c>
      <c r="J16" s="430">
        <f>'LPP-SPP'!J96+'LPP-SPP PIHAK KE-3'!J96</f>
        <v>297615000</v>
      </c>
      <c r="K16" s="430">
        <f>'LPP-SPP'!K96+'LPP-SPP PIHAK KE-3'!K96</f>
        <v>1625455800</v>
      </c>
      <c r="L16" s="430">
        <f>'LPP-SPP'!L96+'LPP-SPP PIHAK KE-3'!L96</f>
        <v>286415200</v>
      </c>
      <c r="M16" s="430">
        <f>'LPP-SPP'!M96+'LPP-SPP PIHAK KE-3'!M96</f>
        <v>0</v>
      </c>
      <c r="N16" s="430">
        <f>'LPP-SPP'!N96+'LPP-SPP PIHAK KE-3'!N96</f>
        <v>38666700</v>
      </c>
      <c r="O16" s="430">
        <f>'LPP-SPP'!O96+'LPP-SPP PIHAK KE-3'!O96</f>
        <v>6960000</v>
      </c>
      <c r="P16" s="430">
        <f>'LPP-SPP'!P96+'LPP-SPP PIHAK KE-3'!P96</f>
        <v>0</v>
      </c>
      <c r="Q16" s="430">
        <f>'LPP-SPP'!Q96+'LPP-SPP PIHAK KE-3'!Q96</f>
        <v>1664122500</v>
      </c>
      <c r="R16" s="430">
        <f>'LPP-SPP'!R96+'LPP-SPP PIHAK KE-3'!R96</f>
        <v>293375200</v>
      </c>
      <c r="S16" s="430">
        <f>'LPP-SPP'!S96+'LPP-SPP PIHAK KE-3'!S96</f>
        <v>0</v>
      </c>
      <c r="T16" s="430">
        <f>'LPP-SPP'!T96+'LPP-SPP PIHAK KE-3'!T96</f>
        <v>340877500</v>
      </c>
      <c r="U16" s="9">
        <f t="shared" si="0"/>
        <v>98.814702759167758</v>
      </c>
      <c r="V16" s="430">
        <f>'LPP-SPP'!V96+'LPP-SPP PIHAK KE-3'!V96</f>
        <v>19961400</v>
      </c>
      <c r="W16" s="430">
        <f>'LPP-SPP'!W96+'LPP-SPP PIHAK KE-3'!W96</f>
        <v>3129800</v>
      </c>
      <c r="X16" s="1620" t="e">
        <f>#REF!+#REF!</f>
        <v>#REF!</v>
      </c>
      <c r="Y16" s="1619">
        <f>'LPP-SPP'!Y96+'LPP-SPP PIHAK KE-3'!Y96</f>
        <v>0</v>
      </c>
      <c r="Z16" s="1618">
        <f>'LPP-SPP'!Z96+'LPP-SPP PIHAK KE-3'!Z96</f>
        <v>0</v>
      </c>
      <c r="AA16" s="1618">
        <f>'LPP-SPP'!AA96+'LPP-SPP PIHAK KE-3'!AA96</f>
        <v>14935100</v>
      </c>
      <c r="AB16" s="1617">
        <f>'LPP-SPP'!AB96+'LPP-SPP PIHAK KE-3'!AB96</f>
        <v>416300</v>
      </c>
    </row>
    <row r="17" spans="1:28" s="1581" customFormat="1" ht="34.5" customHeight="1">
      <c r="A17" s="1625">
        <f t="shared" si="1"/>
        <v>5</v>
      </c>
      <c r="B17" s="1628" t="str">
        <f>'LPP-SPP'!B17</f>
        <v>NAGRAK SELATAN</v>
      </c>
      <c r="C17" s="430">
        <f>'LPP-SPP'!C97+'LPP-SPP PIHAK KE-3'!C97</f>
        <v>65</v>
      </c>
      <c r="D17" s="430"/>
      <c r="E17" s="430">
        <f>'LPP-SPP'!E97+'LPP-SPP PIHAK KE-3'!E97</f>
        <v>706</v>
      </c>
      <c r="F17" s="430">
        <f>'LPP-SPP'!F97+'LPP-SPP PIHAK KE-3'!F97</f>
        <v>2373750000</v>
      </c>
      <c r="G17" s="430">
        <f>'LPP-SPP'!G97+'LPP-SPP PIHAK KE-3'!G97</f>
        <v>426975000</v>
      </c>
      <c r="H17" s="1627"/>
      <c r="I17" s="430">
        <f>'LPP-SPP'!I97+'LPP-SPP PIHAK KE-3'!I97</f>
        <v>2111400000</v>
      </c>
      <c r="J17" s="430">
        <f>'LPP-SPP'!J97+'LPP-SPP PIHAK KE-3'!J97</f>
        <v>367881900</v>
      </c>
      <c r="K17" s="430">
        <f>'LPP-SPP'!K97+'LPP-SPP PIHAK KE-3'!K97</f>
        <v>2025223300</v>
      </c>
      <c r="L17" s="430">
        <f>'LPP-SPP'!L97+'LPP-SPP PIHAK KE-3'!L97</f>
        <v>354129900</v>
      </c>
      <c r="M17" s="430">
        <f>'LPP-SPP'!M97+'LPP-SPP PIHAK KE-3'!M97</f>
        <v>0</v>
      </c>
      <c r="N17" s="430">
        <f>'LPP-SPP'!N97+'LPP-SPP PIHAK KE-3'!N97</f>
        <v>42133700</v>
      </c>
      <c r="O17" s="430">
        <f>'LPP-SPP'!O97+'LPP-SPP PIHAK KE-3'!O97</f>
        <v>7314000</v>
      </c>
      <c r="P17" s="430">
        <f>'LPP-SPP'!P97+'LPP-SPP PIHAK KE-3'!P97</f>
        <v>0</v>
      </c>
      <c r="Q17" s="430">
        <f>'LPP-SPP'!Q97+'LPP-SPP PIHAK KE-3'!Q97</f>
        <v>2067357000</v>
      </c>
      <c r="R17" s="430">
        <f>'LPP-SPP'!R97+'LPP-SPP PIHAK KE-3'!R97</f>
        <v>361443900</v>
      </c>
      <c r="S17" s="430">
        <f>'LPP-SPP'!S97+'LPP-SPP PIHAK KE-3'!S97</f>
        <v>0</v>
      </c>
      <c r="T17" s="430">
        <f>'LPP-SPP'!T97+'LPP-SPP PIHAK KE-3'!T97</f>
        <v>306393000</v>
      </c>
      <c r="U17" s="9">
        <f t="shared" si="0"/>
        <v>97.914038078999724</v>
      </c>
      <c r="V17" s="430">
        <f>'LPP-SPP'!V97+'LPP-SPP PIHAK KE-3'!V97</f>
        <v>44043000</v>
      </c>
      <c r="W17" s="430">
        <f>'LPP-SPP'!W97+'LPP-SPP PIHAK KE-3'!W97</f>
        <v>6438000</v>
      </c>
      <c r="X17" s="1620" t="e">
        <f>#REF!+#REF!</f>
        <v>#REF!</v>
      </c>
      <c r="Y17" s="1619">
        <f>'LPP-SPP'!Y97+'LPP-SPP PIHAK KE-3'!Y97</f>
        <v>19452000</v>
      </c>
      <c r="Z17" s="1618">
        <f>'LPP-SPP'!Z97+'LPP-SPP PIHAK KE-3'!Z97</f>
        <v>0</v>
      </c>
      <c r="AA17" s="1618">
        <f>'LPP-SPP'!AA97+'LPP-SPP PIHAK KE-3'!AA97</f>
        <v>0</v>
      </c>
      <c r="AB17" s="1617">
        <f>'LPP-SPP'!AB97+'LPP-SPP PIHAK KE-3'!AB97</f>
        <v>22591000</v>
      </c>
    </row>
    <row r="18" spans="1:28" s="1581" customFormat="1" ht="34.5" customHeight="1">
      <c r="A18" s="1625">
        <f t="shared" si="1"/>
        <v>6</v>
      </c>
      <c r="B18" s="1628" t="str">
        <f>'LPP-SPP'!B18</f>
        <v>KALAPAREA</v>
      </c>
      <c r="C18" s="430">
        <f>'LPP-SPP'!C98+'LPP-SPP PIHAK KE-3'!C98</f>
        <v>93</v>
      </c>
      <c r="D18" s="430"/>
      <c r="E18" s="430">
        <f>'LPP-SPP'!E98+'LPP-SPP PIHAK KE-3'!E98</f>
        <v>990</v>
      </c>
      <c r="F18" s="430">
        <f>'LPP-SPP'!F98+'LPP-SPP PIHAK KE-3'!F98</f>
        <v>3165400000</v>
      </c>
      <c r="G18" s="430">
        <f>'LPP-SPP'!G98+'LPP-SPP PIHAK KE-3'!G98</f>
        <v>569772000</v>
      </c>
      <c r="H18" s="1627"/>
      <c r="I18" s="430">
        <f>'LPP-SPP'!I98+'LPP-SPP PIHAK KE-3'!I98</f>
        <v>2775123200</v>
      </c>
      <c r="J18" s="430">
        <f>'LPP-SPP'!J98+'LPP-SPP PIHAK KE-3'!J98</f>
        <v>482611500</v>
      </c>
      <c r="K18" s="430">
        <f>'LPP-SPP'!K98+'LPP-SPP PIHAK KE-3'!K98</f>
        <v>2645075700</v>
      </c>
      <c r="L18" s="430">
        <f>'LPP-SPP'!L98+'LPP-SPP PIHAK KE-3'!L98</f>
        <v>459199500</v>
      </c>
      <c r="M18" s="430">
        <f>'LPP-SPP'!M98+'LPP-SPP PIHAK KE-3'!M98</f>
        <v>0</v>
      </c>
      <c r="N18" s="430">
        <f>'LPP-SPP'!N98+'LPP-SPP PIHAK KE-3'!N98</f>
        <v>56044700</v>
      </c>
      <c r="O18" s="430">
        <f>'LPP-SPP'!O98+'LPP-SPP PIHAK KE-3'!O98</f>
        <v>10827000</v>
      </c>
      <c r="P18" s="430">
        <f>'LPP-SPP'!P98+'LPP-SPP PIHAK KE-3'!P98</f>
        <v>0</v>
      </c>
      <c r="Q18" s="430">
        <f>'LPP-SPP'!Q98+'LPP-SPP PIHAK KE-3'!Q98</f>
        <v>2701120400</v>
      </c>
      <c r="R18" s="430">
        <f>'LPP-SPP'!R98+'LPP-SPP PIHAK KE-3'!R98</f>
        <v>470026500</v>
      </c>
      <c r="S18" s="430">
        <f>'LPP-SPP'!S98+'LPP-SPP PIHAK KE-3'!S98</f>
        <v>0</v>
      </c>
      <c r="T18" s="430">
        <f>'LPP-SPP'!T98+'LPP-SPP PIHAK KE-3'!T98</f>
        <v>464279600</v>
      </c>
      <c r="U18" s="9">
        <f t="shared" si="0"/>
        <v>97.333350822046384</v>
      </c>
      <c r="V18" s="430">
        <f>'LPP-SPP'!V98+'LPP-SPP PIHAK KE-3'!V98</f>
        <v>74002800</v>
      </c>
      <c r="W18" s="430">
        <f>'LPP-SPP'!W98+'LPP-SPP PIHAK KE-3'!W98</f>
        <v>11655000</v>
      </c>
      <c r="X18" s="1620" t="e">
        <f>#REF!+#REF!</f>
        <v>#REF!</v>
      </c>
      <c r="Y18" s="1619">
        <f>'LPP-SPP'!Y98+'LPP-SPP PIHAK KE-3'!Y98</f>
        <v>16042300</v>
      </c>
      <c r="Z18" s="1618">
        <f>'LPP-SPP'!Z98+'LPP-SPP PIHAK KE-3'!Z98</f>
        <v>0</v>
      </c>
      <c r="AA18" s="1618">
        <f>'LPP-SPP'!AA98+'LPP-SPP PIHAK KE-3'!AA98</f>
        <v>59944600</v>
      </c>
      <c r="AB18" s="1617">
        <f>'LPP-SPP'!AB98+'LPP-SPP PIHAK KE-3'!AB98</f>
        <v>11004600</v>
      </c>
    </row>
    <row r="19" spans="1:28" s="1581" customFormat="1" ht="34.5" customHeight="1">
      <c r="A19" s="1625">
        <f t="shared" si="1"/>
        <v>7</v>
      </c>
      <c r="B19" s="1628" t="str">
        <f>'LPP-SPP'!B19</f>
        <v>BABAKAN PANJANG</v>
      </c>
      <c r="C19" s="430">
        <f>'LPP-SPP'!C99+'LPP-SPP PIHAK KE-3'!C99</f>
        <v>54</v>
      </c>
      <c r="D19" s="430"/>
      <c r="E19" s="430">
        <f>'LPP-SPP'!E99+'LPP-SPP PIHAK KE-3'!E99</f>
        <v>600</v>
      </c>
      <c r="F19" s="430">
        <f>'LPP-SPP'!F99+'LPP-SPP PIHAK KE-3'!F99</f>
        <v>2028000000</v>
      </c>
      <c r="G19" s="430">
        <f>'LPP-SPP'!G99+'LPP-SPP PIHAK KE-3'!G99</f>
        <v>365040000</v>
      </c>
      <c r="H19" s="1627"/>
      <c r="I19" s="430">
        <f>'LPP-SPP'!I99+'LPP-SPP PIHAK KE-3'!I99</f>
        <v>1764542300</v>
      </c>
      <c r="J19" s="430">
        <f>'LPP-SPP'!J99+'LPP-SPP PIHAK KE-3'!J99</f>
        <v>306622500</v>
      </c>
      <c r="K19" s="430">
        <f>'LPP-SPP'!K99+'LPP-SPP PIHAK KE-3'!K99</f>
        <v>1689013000</v>
      </c>
      <c r="L19" s="430">
        <f>'LPP-SPP'!L99+'LPP-SPP PIHAK KE-3'!L99</f>
        <v>294772500</v>
      </c>
      <c r="M19" s="430">
        <f>'LPP-SPP'!M99+'LPP-SPP PIHAK KE-3'!M99</f>
        <v>0</v>
      </c>
      <c r="N19" s="430">
        <f>'LPP-SPP'!N99+'LPP-SPP PIHAK KE-3'!N99</f>
        <v>44833700</v>
      </c>
      <c r="O19" s="430">
        <f>'LPP-SPP'!O99+'LPP-SPP PIHAK KE-3'!O99</f>
        <v>7140000</v>
      </c>
      <c r="P19" s="430">
        <f>'LPP-SPP'!P99+'LPP-SPP PIHAK KE-3'!P99</f>
        <v>0</v>
      </c>
      <c r="Q19" s="430">
        <f>'LPP-SPP'!Q99+'LPP-SPP PIHAK KE-3'!Q99</f>
        <v>1733846700</v>
      </c>
      <c r="R19" s="430">
        <f>'LPP-SPP'!R99+'LPP-SPP PIHAK KE-3'!R99</f>
        <v>301912500</v>
      </c>
      <c r="S19" s="430">
        <f>'LPP-SPP'!S99+'LPP-SPP PIHAK KE-3'!S99</f>
        <v>0</v>
      </c>
      <c r="T19" s="430">
        <f>'LPP-SPP'!T99+'LPP-SPP PIHAK KE-3'!T99</f>
        <v>294153300</v>
      </c>
      <c r="U19" s="9">
        <f t="shared" si="0"/>
        <v>98.260421413530295</v>
      </c>
      <c r="V19" s="430">
        <f>'LPP-SPP'!V99+'LPP-SPP PIHAK KE-3'!V99</f>
        <v>30695600</v>
      </c>
      <c r="W19" s="430">
        <f>'LPP-SPP'!W99+'LPP-SPP PIHAK KE-3'!W99</f>
        <v>4710000</v>
      </c>
      <c r="X19" s="1620" t="e">
        <f>#REF!+#REF!</f>
        <v>#REF!</v>
      </c>
      <c r="Y19" s="1619">
        <f>'LPP-SPP'!Y99+'LPP-SPP PIHAK KE-3'!Y99</f>
        <v>6987600</v>
      </c>
      <c r="Z19" s="1618">
        <f>'LPP-SPP'!Z99+'LPP-SPP PIHAK KE-3'!Z99</f>
        <v>0</v>
      </c>
      <c r="AA19" s="1618">
        <f>'LPP-SPP'!AA99+'LPP-SPP PIHAK KE-3'!AA99</f>
        <v>0</v>
      </c>
      <c r="AB19" s="1617">
        <f>'LPP-SPP'!AB99+'LPP-SPP PIHAK KE-3'!AB99</f>
        <v>8976000</v>
      </c>
    </row>
    <row r="20" spans="1:28" s="1581" customFormat="1" ht="34.5" customHeight="1">
      <c r="A20" s="1625">
        <f t="shared" si="1"/>
        <v>8</v>
      </c>
      <c r="B20" s="1628" t="str">
        <f>'LPP-SPP'!B20</f>
        <v>PAWENANG</v>
      </c>
      <c r="C20" s="430">
        <f>'LPP-SPP'!C100+'LPP-SPP PIHAK KE-3'!C100</f>
        <v>66</v>
      </c>
      <c r="D20" s="430"/>
      <c r="E20" s="430">
        <f>'LPP-SPP'!E100+'LPP-SPP PIHAK KE-3'!E100</f>
        <v>684</v>
      </c>
      <c r="F20" s="430">
        <f>'LPP-SPP'!F100+'LPP-SPP PIHAK KE-3'!F100</f>
        <v>2165200000</v>
      </c>
      <c r="G20" s="430">
        <f>'LPP-SPP'!G100+'LPP-SPP PIHAK KE-3'!G100</f>
        <v>389736000</v>
      </c>
      <c r="H20" s="1627"/>
      <c r="I20" s="430">
        <f>'LPP-SPP'!I100+'LPP-SPP PIHAK KE-3'!I100</f>
        <v>1790466100</v>
      </c>
      <c r="J20" s="430">
        <f>'LPP-SPP'!J100+'LPP-SPP PIHAK KE-3'!J100</f>
        <v>308745000</v>
      </c>
      <c r="K20" s="430">
        <f>'LPP-SPP'!K100+'LPP-SPP PIHAK KE-3'!K100</f>
        <v>1720062100</v>
      </c>
      <c r="L20" s="430">
        <f>'LPP-SPP'!L100+'LPP-SPP PIHAK KE-3'!L100</f>
        <v>296377500</v>
      </c>
      <c r="M20" s="430">
        <f>'LPP-SPP'!M100+'LPP-SPP PIHAK KE-3'!M100</f>
        <v>0</v>
      </c>
      <c r="N20" s="430">
        <f>'LPP-SPP'!N100+'LPP-SPP PIHAK KE-3'!N100</f>
        <v>39040600</v>
      </c>
      <c r="O20" s="430">
        <f>'LPP-SPP'!O100+'LPP-SPP PIHAK KE-3'!O100</f>
        <v>6787500</v>
      </c>
      <c r="P20" s="430">
        <f>'LPP-SPP'!P100+'LPP-SPP PIHAK KE-3'!P100</f>
        <v>0</v>
      </c>
      <c r="Q20" s="430">
        <f>'LPP-SPP'!Q100+'LPP-SPP PIHAK KE-3'!Q100</f>
        <v>1759102700</v>
      </c>
      <c r="R20" s="430">
        <f>'LPP-SPP'!R100+'LPP-SPP PIHAK KE-3'!R100</f>
        <v>303165000</v>
      </c>
      <c r="S20" s="430">
        <f>'LPP-SPP'!S100+'LPP-SPP PIHAK KE-3'!S100</f>
        <v>0</v>
      </c>
      <c r="T20" s="430">
        <f>'LPP-SPP'!T100+'LPP-SPP PIHAK KE-3'!T100</f>
        <v>406097300</v>
      </c>
      <c r="U20" s="9">
        <f t="shared" si="0"/>
        <v>98.248310872794519</v>
      </c>
      <c r="V20" s="430">
        <f>'LPP-SPP'!V100+'LPP-SPP PIHAK KE-3'!V100</f>
        <v>31363400</v>
      </c>
      <c r="W20" s="430">
        <f>'LPP-SPP'!W100+'LPP-SPP PIHAK KE-3'!W100</f>
        <v>5580000</v>
      </c>
      <c r="X20" s="1620" t="e">
        <f>#REF!+#REF!</f>
        <v>#REF!</v>
      </c>
      <c r="Y20" s="1619">
        <f>'LPP-SPP'!Y100+'LPP-SPP PIHAK KE-3'!Y100</f>
        <v>0</v>
      </c>
      <c r="Z20" s="1618">
        <f>'LPP-SPP'!Z100+'LPP-SPP PIHAK KE-3'!Z100</f>
        <v>0</v>
      </c>
      <c r="AA20" s="1618">
        <f>'LPP-SPP'!AA100+'LPP-SPP PIHAK KE-3'!AA100</f>
        <v>0</v>
      </c>
      <c r="AB20" s="1617">
        <f>'LPP-SPP'!AB100+'LPP-SPP PIHAK KE-3'!AB100</f>
        <v>15030100</v>
      </c>
    </row>
    <row r="21" spans="1:28" s="1581" customFormat="1" ht="34.5" customHeight="1">
      <c r="A21" s="1625">
        <f t="shared" si="1"/>
        <v>9</v>
      </c>
      <c r="B21" s="1628" t="str">
        <f>'LPP-SPP'!B21</f>
        <v>CISARUA</v>
      </c>
      <c r="C21" s="430">
        <f>'LPP-SPP'!C101+'LPP-SPP PIHAK KE-3'!C101</f>
        <v>109</v>
      </c>
      <c r="D21" s="430"/>
      <c r="E21" s="430">
        <f>'LPP-SPP'!E101+'LPP-SPP PIHAK KE-3'!E101</f>
        <v>1109</v>
      </c>
      <c r="F21" s="430">
        <f>'LPP-SPP'!F101+'LPP-SPP PIHAK KE-3'!F101</f>
        <v>3192500000</v>
      </c>
      <c r="G21" s="430">
        <f>'LPP-SPP'!G101+'LPP-SPP PIHAK KE-3'!G101</f>
        <v>574650000</v>
      </c>
      <c r="H21" s="1627"/>
      <c r="I21" s="430">
        <f>'LPP-SPP'!I101+'LPP-SPP PIHAK KE-3'!I101</f>
        <v>2840332800</v>
      </c>
      <c r="J21" s="430">
        <f>'LPP-SPP'!J101+'LPP-SPP PIHAK KE-3'!J101</f>
        <v>492346500</v>
      </c>
      <c r="K21" s="430">
        <f>'LPP-SPP'!K101+'LPP-SPP PIHAK KE-3'!K101</f>
        <v>2656093000</v>
      </c>
      <c r="L21" s="430">
        <f>'LPP-SPP'!L101+'LPP-SPP PIHAK KE-3'!L101</f>
        <v>461704800</v>
      </c>
      <c r="M21" s="430">
        <f>'LPP-SPP'!M101+'LPP-SPP PIHAK KE-3'!M101</f>
        <v>0</v>
      </c>
      <c r="N21" s="430">
        <f>'LPP-SPP'!N101+'LPP-SPP PIHAK KE-3'!N101</f>
        <v>50757100</v>
      </c>
      <c r="O21" s="430">
        <f>'LPP-SPP'!O101+'LPP-SPP PIHAK KE-3'!O101</f>
        <v>9135000</v>
      </c>
      <c r="P21" s="430">
        <f>'LPP-SPP'!P101+'LPP-SPP PIHAK KE-3'!P101</f>
        <v>0</v>
      </c>
      <c r="Q21" s="430">
        <f>'LPP-SPP'!Q101+'LPP-SPP PIHAK KE-3'!Q101</f>
        <v>2706850100</v>
      </c>
      <c r="R21" s="430">
        <f>'LPP-SPP'!R101+'LPP-SPP PIHAK KE-3'!R101</f>
        <v>470839800</v>
      </c>
      <c r="S21" s="430">
        <f>'LPP-SPP'!S101+'LPP-SPP PIHAK KE-3'!S101</f>
        <v>0</v>
      </c>
      <c r="T21" s="430">
        <f>'LPP-SPP'!T101+'LPP-SPP PIHAK KE-3'!T101</f>
        <v>485649900</v>
      </c>
      <c r="U21" s="9">
        <f t="shared" si="0"/>
        <v>95.300455636747913</v>
      </c>
      <c r="V21" s="430">
        <f>'LPP-SPP'!V101+'LPP-SPP PIHAK KE-3'!V101</f>
        <v>133482700</v>
      </c>
      <c r="W21" s="430">
        <f>'LPP-SPP'!W101+'LPP-SPP PIHAK KE-3'!W101</f>
        <v>21506700</v>
      </c>
      <c r="X21" s="1620" t="e">
        <f>#REF!+#REF!</f>
        <v>#REF!</v>
      </c>
      <c r="Y21" s="1619">
        <f>'LPP-SPP'!Y101+'LPP-SPP PIHAK KE-3'!Y101</f>
        <v>53510100</v>
      </c>
      <c r="Z21" s="1618">
        <f>'LPP-SPP'!Z101+'LPP-SPP PIHAK KE-3'!Z101</f>
        <v>0</v>
      </c>
      <c r="AA21" s="1618">
        <f>'LPP-SPP'!AA101+'LPP-SPP PIHAK KE-3'!AA101</f>
        <v>49733400</v>
      </c>
      <c r="AB21" s="1617">
        <f>'LPP-SPP'!AB101+'LPP-SPP PIHAK KE-3'!AB101</f>
        <v>29429200</v>
      </c>
    </row>
    <row r="22" spans="1:28" s="1581" customFormat="1" ht="34.5" customHeight="1">
      <c r="A22" s="1625">
        <f t="shared" si="1"/>
        <v>10</v>
      </c>
      <c r="B22" s="1624" t="str">
        <f>'LPP-SPP'!B22</f>
        <v>GIRIJAYA</v>
      </c>
      <c r="C22" s="430">
        <f>'LPP-SPP'!C102+'LPP-SPP PIHAK KE-3'!C102</f>
        <v>77</v>
      </c>
      <c r="D22" s="430"/>
      <c r="E22" s="430">
        <f>'LPP-SPP'!E102+'LPP-SPP PIHAK KE-3'!E102</f>
        <v>821</v>
      </c>
      <c r="F22" s="430">
        <f>'LPP-SPP'!F102+'LPP-SPP PIHAK KE-3'!F102</f>
        <v>2721500000</v>
      </c>
      <c r="G22" s="430">
        <f>'LPP-SPP'!G102+'LPP-SPP PIHAK KE-3'!G102</f>
        <v>489870000</v>
      </c>
      <c r="H22" s="1623"/>
      <c r="I22" s="430">
        <f>'LPP-SPP'!I102+'LPP-SPP PIHAK KE-3'!I102</f>
        <v>2362167500</v>
      </c>
      <c r="J22" s="430">
        <f>'LPP-SPP'!J102+'LPP-SPP PIHAK KE-3'!J102</f>
        <v>409534500</v>
      </c>
      <c r="K22" s="430">
        <f>'LPP-SPP'!K102+'LPP-SPP PIHAK KE-3'!K102</f>
        <v>2247109100</v>
      </c>
      <c r="L22" s="430">
        <f>'LPP-SPP'!L102+'LPP-SPP PIHAK KE-3'!L102</f>
        <v>389596500</v>
      </c>
      <c r="M22" s="430">
        <f>'LPP-SPP'!M102+'LPP-SPP PIHAK KE-3'!M102</f>
        <v>0</v>
      </c>
      <c r="N22" s="430">
        <f>'LPP-SPP'!N102+'LPP-SPP PIHAK KE-3'!N102</f>
        <v>53708400</v>
      </c>
      <c r="O22" s="430">
        <f>'LPP-SPP'!O102+'LPP-SPP PIHAK KE-3'!O102</f>
        <v>9367500</v>
      </c>
      <c r="P22" s="430">
        <f>'LPP-SPP'!P102+'LPP-SPP PIHAK KE-3'!P102</f>
        <v>0</v>
      </c>
      <c r="Q22" s="430">
        <f>'LPP-SPP'!Q102+'LPP-SPP PIHAK KE-3'!Q102</f>
        <v>2300817500</v>
      </c>
      <c r="R22" s="430">
        <f>'LPP-SPP'!R102+'LPP-SPP PIHAK KE-3'!R102</f>
        <v>398964000</v>
      </c>
      <c r="S22" s="430">
        <f>'LPP-SPP'!S102+'LPP-SPP PIHAK KE-3'!S102</f>
        <v>0</v>
      </c>
      <c r="T22" s="430">
        <f>'LPP-SPP'!T102+'LPP-SPP PIHAK KE-3'!T102</f>
        <v>420682500</v>
      </c>
      <c r="U22" s="9">
        <f t="shared" si="0"/>
        <v>97.402809072599638</v>
      </c>
      <c r="V22" s="430">
        <f>'LPP-SPP'!V102+'LPP-SPP PIHAK KE-3'!V102</f>
        <v>61350000</v>
      </c>
      <c r="W22" s="430">
        <f>'LPP-SPP'!W102+'LPP-SPP PIHAK KE-3'!W102</f>
        <v>10570500</v>
      </c>
      <c r="X22" s="1620" t="e">
        <f>#REF!+#REF!</f>
        <v>#REF!</v>
      </c>
      <c r="Y22" s="1619">
        <f>'LPP-SPP'!Y102+'LPP-SPP PIHAK KE-3'!Y102</f>
        <v>5390700</v>
      </c>
      <c r="Z22" s="1618">
        <f>'LPP-SPP'!Z102+'LPP-SPP PIHAK KE-3'!Z102</f>
        <v>0</v>
      </c>
      <c r="AA22" s="1618">
        <f>'LPP-SPP'!AA102+'LPP-SPP PIHAK KE-3'!AA102</f>
        <v>0</v>
      </c>
      <c r="AB22" s="1617">
        <f>'LPP-SPP'!AB102+'LPP-SPP PIHAK KE-3'!AB102</f>
        <v>53042300</v>
      </c>
    </row>
    <row r="23" spans="1:28" s="1581" customFormat="1" ht="34.5" customHeight="1">
      <c r="A23" s="1625">
        <f t="shared" si="1"/>
        <v>11</v>
      </c>
      <c r="B23" s="1624">
        <f>'LPP-SPP'!B23</f>
        <v>0</v>
      </c>
      <c r="C23" s="430">
        <f>'LPP-SPP'!C103+'LPP-SPP PIHAK KE-3'!C103</f>
        <v>0</v>
      </c>
      <c r="D23" s="430"/>
      <c r="E23" s="430">
        <f>'LPP-SPP'!E103+'LPP-SPP PIHAK KE-3'!E103</f>
        <v>0</v>
      </c>
      <c r="F23" s="430">
        <f>'LPP-SPP'!F103+'LPP-SPP PIHAK KE-3'!F103</f>
        <v>0</v>
      </c>
      <c r="G23" s="430">
        <f>'LPP-SPP'!G103+'LPP-SPP PIHAK KE-3'!G103</f>
        <v>0</v>
      </c>
      <c r="H23" s="1623"/>
      <c r="I23" s="430">
        <f>'LPP-SPP'!I103+'LPP-SPP PIHAK KE-3'!I103</f>
        <v>0</v>
      </c>
      <c r="J23" s="430">
        <f>'LPP-SPP'!J103+'LPP-SPP PIHAK KE-3'!J103</f>
        <v>0</v>
      </c>
      <c r="K23" s="430">
        <f>'LPP-SPP'!K103+'LPP-SPP PIHAK KE-3'!K103</f>
        <v>0</v>
      </c>
      <c r="L23" s="430">
        <f>'LPP-SPP'!L103+'LPP-SPP PIHAK KE-3'!L103</f>
        <v>0</v>
      </c>
      <c r="M23" s="430">
        <f>'LPP-SPP'!M103+'LPP-SPP PIHAK KE-3'!M103</f>
        <v>0</v>
      </c>
      <c r="N23" s="430">
        <f>'LPP-SPP'!N103+'LPP-SPP PIHAK KE-3'!N103</f>
        <v>0</v>
      </c>
      <c r="O23" s="430">
        <f>'LPP-SPP'!O103+'LPP-SPP PIHAK KE-3'!O103</f>
        <v>0</v>
      </c>
      <c r="P23" s="430">
        <f>'LPP-SPP'!P103+'LPP-SPP PIHAK KE-3'!P103</f>
        <v>0</v>
      </c>
      <c r="Q23" s="430">
        <f>'LPP-SPP'!Q103+'LPP-SPP PIHAK KE-3'!Q103</f>
        <v>0</v>
      </c>
      <c r="R23" s="430">
        <f>'LPP-SPP'!R103+'LPP-SPP PIHAK KE-3'!R103</f>
        <v>0</v>
      </c>
      <c r="S23" s="430">
        <f>'LPP-SPP'!S103+'LPP-SPP PIHAK KE-3'!S103</f>
        <v>0</v>
      </c>
      <c r="T23" s="430">
        <f>'LPP-SPP'!T103+'LPP-SPP PIHAK KE-3'!T103</f>
        <v>0</v>
      </c>
      <c r="U23" s="9" t="e">
        <f t="shared" si="0"/>
        <v>#DIV/0!</v>
      </c>
      <c r="V23" s="430">
        <f>'LPP-SPP'!V103+'LPP-SPP PIHAK KE-3'!V103</f>
        <v>0</v>
      </c>
      <c r="W23" s="430">
        <f>'LPP-SPP'!W103+'LPP-SPP PIHAK KE-3'!W103</f>
        <v>0</v>
      </c>
      <c r="X23" s="1620" t="e">
        <f>#REF!+#REF!</f>
        <v>#REF!</v>
      </c>
      <c r="Y23" s="1619">
        <f>'LPP-SPP'!Y103+'LPP-SPP PIHAK KE-3'!Y103</f>
        <v>0</v>
      </c>
      <c r="Z23" s="1618">
        <f>'LPP-SPP'!Z103+'LPP-SPP PIHAK KE-3'!Z103</f>
        <v>0</v>
      </c>
      <c r="AA23" s="1618">
        <f>'LPP-SPP'!AA103+'LPP-SPP PIHAK KE-3'!AA103</f>
        <v>0</v>
      </c>
      <c r="AB23" s="1617">
        <f>'LPP-SPP'!AB103+'LPP-SPP PIHAK KE-3'!AB103</f>
        <v>0</v>
      </c>
    </row>
    <row r="24" spans="1:28" s="1581" customFormat="1" ht="34.5" customHeight="1">
      <c r="A24" s="1625">
        <f t="shared" si="1"/>
        <v>12</v>
      </c>
      <c r="B24" s="1624">
        <f>'LPP-SPP'!B24</f>
        <v>0</v>
      </c>
      <c r="C24" s="430">
        <f>'LPP-SPP'!C104+'LPP-SPP PIHAK KE-3'!C104</f>
        <v>0</v>
      </c>
      <c r="D24" s="430"/>
      <c r="E24" s="430">
        <f>'LPP-SPP'!E104+'LPP-SPP PIHAK KE-3'!E104</f>
        <v>0</v>
      </c>
      <c r="F24" s="430">
        <f>'LPP-SPP'!F104+'LPP-SPP PIHAK KE-3'!F104</f>
        <v>0</v>
      </c>
      <c r="G24" s="430">
        <f>'LPP-SPP'!G104+'LPP-SPP PIHAK KE-3'!G104</f>
        <v>0</v>
      </c>
      <c r="H24" s="1623"/>
      <c r="I24" s="430">
        <f>'LPP-SPP'!I104+'LPP-SPP PIHAK KE-3'!I104</f>
        <v>0</v>
      </c>
      <c r="J24" s="430">
        <f>'LPP-SPP'!J104+'LPP-SPP PIHAK KE-3'!J104</f>
        <v>0</v>
      </c>
      <c r="K24" s="430">
        <f>'LPP-SPP'!K104+'LPP-SPP PIHAK KE-3'!K104</f>
        <v>0</v>
      </c>
      <c r="L24" s="430">
        <f>'LPP-SPP'!L104+'LPP-SPP PIHAK KE-3'!L104</f>
        <v>0</v>
      </c>
      <c r="M24" s="430">
        <f>'LPP-SPP'!M104+'LPP-SPP PIHAK KE-3'!M104</f>
        <v>0</v>
      </c>
      <c r="N24" s="430">
        <f>'LPP-SPP'!N104+'LPP-SPP PIHAK KE-3'!N104</f>
        <v>0</v>
      </c>
      <c r="O24" s="430">
        <f>'LPP-SPP'!O104+'LPP-SPP PIHAK KE-3'!O104</f>
        <v>0</v>
      </c>
      <c r="P24" s="430">
        <f>'LPP-SPP'!P104+'LPP-SPP PIHAK KE-3'!P104</f>
        <v>0</v>
      </c>
      <c r="Q24" s="430">
        <f>'LPP-SPP'!Q104+'LPP-SPP PIHAK KE-3'!Q104</f>
        <v>0</v>
      </c>
      <c r="R24" s="430">
        <f>'LPP-SPP'!R104+'LPP-SPP PIHAK KE-3'!R104</f>
        <v>0</v>
      </c>
      <c r="S24" s="430">
        <f>'LPP-SPP'!S104+'LPP-SPP PIHAK KE-3'!S104</f>
        <v>0</v>
      </c>
      <c r="T24" s="430">
        <f>'LPP-SPP'!T104+'LPP-SPP PIHAK KE-3'!T104</f>
        <v>0</v>
      </c>
      <c r="U24" s="9" t="e">
        <f t="shared" si="0"/>
        <v>#DIV/0!</v>
      </c>
      <c r="V24" s="430">
        <f>'LPP-SPP'!V104+'LPP-SPP PIHAK KE-3'!V104</f>
        <v>0</v>
      </c>
      <c r="W24" s="430">
        <f>'LPP-SPP'!W104+'LPP-SPP PIHAK KE-3'!W104</f>
        <v>0</v>
      </c>
      <c r="X24" s="1620" t="e">
        <f>#REF!+#REF!</f>
        <v>#REF!</v>
      </c>
      <c r="Y24" s="1619">
        <f>'LPP-SPP'!Y104+'LPP-SPP PIHAK KE-3'!Y104</f>
        <v>0</v>
      </c>
      <c r="Z24" s="1618">
        <f>'LPP-SPP'!Z104+'LPP-SPP PIHAK KE-3'!Z104</f>
        <v>0</v>
      </c>
      <c r="AA24" s="1618">
        <f>'LPP-SPP'!AA104+'LPP-SPP PIHAK KE-3'!AA104</f>
        <v>0</v>
      </c>
      <c r="AB24" s="1617">
        <f>'LPP-SPP'!AB104+'LPP-SPP PIHAK KE-3'!AB104</f>
        <v>0</v>
      </c>
    </row>
    <row r="25" spans="1:28" s="1581" customFormat="1" ht="34.5" customHeight="1">
      <c r="A25" s="1625">
        <f t="shared" si="1"/>
        <v>13</v>
      </c>
      <c r="B25" s="1624">
        <f>'LPP-SPP'!B25</f>
        <v>0</v>
      </c>
      <c r="C25" s="430">
        <f>'LPP-SPP'!C105+'LPP-SPP PIHAK KE-3'!C105</f>
        <v>0</v>
      </c>
      <c r="D25" s="430"/>
      <c r="E25" s="430">
        <f>'LPP-SPP'!E105+'LPP-SPP PIHAK KE-3'!E105</f>
        <v>0</v>
      </c>
      <c r="F25" s="430">
        <f>'LPP-SPP'!F105+'LPP-SPP PIHAK KE-3'!F105</f>
        <v>0</v>
      </c>
      <c r="G25" s="430">
        <f>'LPP-SPP'!G105+'LPP-SPP PIHAK KE-3'!G105</f>
        <v>0</v>
      </c>
      <c r="H25" s="1623"/>
      <c r="I25" s="430">
        <f>'LPP-SPP'!I105+'LPP-SPP PIHAK KE-3'!I105</f>
        <v>0</v>
      </c>
      <c r="J25" s="430">
        <f>'LPP-SPP'!J105+'LPP-SPP PIHAK KE-3'!J105</f>
        <v>0</v>
      </c>
      <c r="K25" s="430">
        <f>'LPP-SPP'!K105+'LPP-SPP PIHAK KE-3'!K105</f>
        <v>0</v>
      </c>
      <c r="L25" s="430">
        <f>'LPP-SPP'!L105+'LPP-SPP PIHAK KE-3'!L105</f>
        <v>0</v>
      </c>
      <c r="M25" s="430">
        <f>'LPP-SPP'!M105+'LPP-SPP PIHAK KE-3'!M105</f>
        <v>0</v>
      </c>
      <c r="N25" s="430">
        <f>'LPP-SPP'!N105+'LPP-SPP PIHAK KE-3'!N105</f>
        <v>0</v>
      </c>
      <c r="O25" s="430">
        <f>'LPP-SPP'!O105+'LPP-SPP PIHAK KE-3'!O105</f>
        <v>0</v>
      </c>
      <c r="P25" s="430">
        <f>'LPP-SPP'!P105+'LPP-SPP PIHAK KE-3'!P105</f>
        <v>0</v>
      </c>
      <c r="Q25" s="430">
        <f>'LPP-SPP'!Q105+'LPP-SPP PIHAK KE-3'!Q105</f>
        <v>0</v>
      </c>
      <c r="R25" s="430">
        <f>'LPP-SPP'!R105+'LPP-SPP PIHAK KE-3'!R105</f>
        <v>0</v>
      </c>
      <c r="S25" s="430">
        <f>'LPP-SPP'!S105+'LPP-SPP PIHAK KE-3'!S105</f>
        <v>0</v>
      </c>
      <c r="T25" s="430">
        <f>'LPP-SPP'!T105+'LPP-SPP PIHAK KE-3'!T105</f>
        <v>0</v>
      </c>
      <c r="U25" s="9" t="e">
        <f t="shared" si="0"/>
        <v>#DIV/0!</v>
      </c>
      <c r="V25" s="430">
        <f>'LPP-SPP'!V105+'LPP-SPP PIHAK KE-3'!V105</f>
        <v>0</v>
      </c>
      <c r="W25" s="430">
        <f>'LPP-SPP'!W105+'LPP-SPP PIHAK KE-3'!W105</f>
        <v>0</v>
      </c>
      <c r="X25" s="1620" t="e">
        <f>#REF!+#REF!</f>
        <v>#REF!</v>
      </c>
      <c r="Y25" s="1619">
        <f>'LPP-SPP'!Y105+'LPP-SPP PIHAK KE-3'!Y105</f>
        <v>0</v>
      </c>
      <c r="Z25" s="1618">
        <f>'LPP-SPP'!Z105+'LPP-SPP PIHAK KE-3'!Z105</f>
        <v>0</v>
      </c>
      <c r="AA25" s="1618">
        <f>'LPP-SPP'!AA105+'LPP-SPP PIHAK KE-3'!AA105</f>
        <v>0</v>
      </c>
      <c r="AB25" s="1617">
        <f>'LPP-SPP'!AB105+'LPP-SPP PIHAK KE-3'!AB105</f>
        <v>0</v>
      </c>
    </row>
    <row r="26" spans="1:28" s="1581" customFormat="1" ht="34.5" customHeight="1">
      <c r="A26" s="1625">
        <f t="shared" si="1"/>
        <v>14</v>
      </c>
      <c r="B26" s="1624">
        <f>'LPP-SPP'!B26</f>
        <v>0</v>
      </c>
      <c r="C26" s="430">
        <f>'LPP-SPP'!C106+'LPP-SPP PIHAK KE-3'!C106</f>
        <v>0</v>
      </c>
      <c r="D26" s="430"/>
      <c r="E26" s="430">
        <f>'LPP-SPP'!E106+'LPP-SPP PIHAK KE-3'!E106</f>
        <v>0</v>
      </c>
      <c r="F26" s="430">
        <f>'LPP-SPP'!F106+'LPP-SPP PIHAK KE-3'!F106</f>
        <v>0</v>
      </c>
      <c r="G26" s="430">
        <f>'LPP-SPP'!G106+'LPP-SPP PIHAK KE-3'!G106</f>
        <v>0</v>
      </c>
      <c r="H26" s="1623"/>
      <c r="I26" s="430">
        <f>'LPP-SPP'!I106+'LPP-SPP PIHAK KE-3'!I106</f>
        <v>0</v>
      </c>
      <c r="J26" s="430">
        <f>'LPP-SPP'!J106+'LPP-SPP PIHAK KE-3'!J106</f>
        <v>0</v>
      </c>
      <c r="K26" s="430">
        <f>'LPP-SPP'!K106+'LPP-SPP PIHAK KE-3'!K106</f>
        <v>0</v>
      </c>
      <c r="L26" s="430">
        <f>'LPP-SPP'!L106+'LPP-SPP PIHAK KE-3'!L106</f>
        <v>0</v>
      </c>
      <c r="M26" s="430">
        <f>'LPP-SPP'!M106+'LPP-SPP PIHAK KE-3'!M106</f>
        <v>0</v>
      </c>
      <c r="N26" s="430">
        <f>'LPP-SPP'!N106+'LPP-SPP PIHAK KE-3'!N106</f>
        <v>0</v>
      </c>
      <c r="O26" s="430">
        <f>'LPP-SPP'!O106+'LPP-SPP PIHAK KE-3'!O106</f>
        <v>0</v>
      </c>
      <c r="P26" s="430">
        <f>'LPP-SPP'!P106+'LPP-SPP PIHAK KE-3'!P106</f>
        <v>0</v>
      </c>
      <c r="Q26" s="430">
        <f>'LPP-SPP'!Q106+'LPP-SPP PIHAK KE-3'!Q106</f>
        <v>0</v>
      </c>
      <c r="R26" s="430">
        <f>'LPP-SPP'!R106+'LPP-SPP PIHAK KE-3'!R106</f>
        <v>0</v>
      </c>
      <c r="S26" s="430">
        <f>'LPP-SPP'!S106+'LPP-SPP PIHAK KE-3'!S106</f>
        <v>0</v>
      </c>
      <c r="T26" s="430">
        <f>'LPP-SPP'!T106+'LPP-SPP PIHAK KE-3'!T106</f>
        <v>0</v>
      </c>
      <c r="U26" s="9" t="e">
        <f t="shared" si="0"/>
        <v>#DIV/0!</v>
      </c>
      <c r="V26" s="430">
        <f>'LPP-SPP'!V106+'LPP-SPP PIHAK KE-3'!V106</f>
        <v>0</v>
      </c>
      <c r="W26" s="430">
        <f>'LPP-SPP'!W106+'LPP-SPP PIHAK KE-3'!W106</f>
        <v>0</v>
      </c>
      <c r="X26" s="1620" t="e">
        <f>#REF!+#REF!</f>
        <v>#REF!</v>
      </c>
      <c r="Y26" s="1619">
        <f>'LPP-SPP'!Y106+'LPP-SPP PIHAK KE-3'!Y106</f>
        <v>0</v>
      </c>
      <c r="Z26" s="1618">
        <f>'LPP-SPP'!Z106+'LPP-SPP PIHAK KE-3'!Z106</f>
        <v>0</v>
      </c>
      <c r="AA26" s="1618">
        <f>'LPP-SPP'!AA106+'LPP-SPP PIHAK KE-3'!AA106</f>
        <v>0</v>
      </c>
      <c r="AB26" s="1617">
        <f>'LPP-SPP'!AB106+'LPP-SPP PIHAK KE-3'!AB106</f>
        <v>0</v>
      </c>
    </row>
    <row r="27" spans="1:28" s="1581" customFormat="1" ht="34.5" customHeight="1">
      <c r="A27" s="1625">
        <f t="shared" si="1"/>
        <v>15</v>
      </c>
      <c r="B27" s="1624">
        <f>'LPP-SPP'!B27</f>
        <v>0</v>
      </c>
      <c r="C27" s="430">
        <f>'LPP-SPP'!C107+'LPP-SPP PIHAK KE-3'!C107</f>
        <v>0</v>
      </c>
      <c r="D27" s="430"/>
      <c r="E27" s="430">
        <f>'LPP-SPP'!E107+'LPP-SPP PIHAK KE-3'!E107</f>
        <v>0</v>
      </c>
      <c r="F27" s="430">
        <f>'LPP-SPP'!F107+'LPP-SPP PIHAK KE-3'!F107</f>
        <v>0</v>
      </c>
      <c r="G27" s="430">
        <f>'LPP-SPP'!G107+'LPP-SPP PIHAK KE-3'!G107</f>
        <v>0</v>
      </c>
      <c r="H27" s="1623"/>
      <c r="I27" s="430">
        <f>'LPP-SPP'!I107+'LPP-SPP PIHAK KE-3'!I107</f>
        <v>0</v>
      </c>
      <c r="J27" s="430">
        <f>'LPP-SPP'!J107+'LPP-SPP PIHAK KE-3'!J107</f>
        <v>0</v>
      </c>
      <c r="K27" s="430">
        <f>'LPP-SPP'!K107+'LPP-SPP PIHAK KE-3'!K107</f>
        <v>0</v>
      </c>
      <c r="L27" s="430">
        <f>'LPP-SPP'!L107+'LPP-SPP PIHAK KE-3'!L107</f>
        <v>0</v>
      </c>
      <c r="M27" s="430">
        <f>'LPP-SPP'!M107+'LPP-SPP PIHAK KE-3'!M107</f>
        <v>0</v>
      </c>
      <c r="N27" s="430">
        <f>'LPP-SPP'!N107+'LPP-SPP PIHAK KE-3'!N107</f>
        <v>0</v>
      </c>
      <c r="O27" s="430">
        <f>'LPP-SPP'!O107+'LPP-SPP PIHAK KE-3'!O107</f>
        <v>0</v>
      </c>
      <c r="P27" s="430">
        <f>'LPP-SPP'!P107+'LPP-SPP PIHAK KE-3'!P107</f>
        <v>0</v>
      </c>
      <c r="Q27" s="430">
        <f>'LPP-SPP'!Q107+'LPP-SPP PIHAK KE-3'!Q107</f>
        <v>0</v>
      </c>
      <c r="R27" s="430">
        <f>'LPP-SPP'!R107+'LPP-SPP PIHAK KE-3'!R107</f>
        <v>0</v>
      </c>
      <c r="S27" s="430">
        <f>'LPP-SPP'!S107+'LPP-SPP PIHAK KE-3'!S107</f>
        <v>0</v>
      </c>
      <c r="T27" s="430">
        <f>'LPP-SPP'!T107+'LPP-SPP PIHAK KE-3'!T107</f>
        <v>0</v>
      </c>
      <c r="U27" s="9" t="e">
        <f t="shared" si="0"/>
        <v>#DIV/0!</v>
      </c>
      <c r="V27" s="430">
        <f>'LPP-SPP'!V107+'LPP-SPP PIHAK KE-3'!V107</f>
        <v>0</v>
      </c>
      <c r="W27" s="430">
        <f>'LPP-SPP'!W107+'LPP-SPP PIHAK KE-3'!W107</f>
        <v>0</v>
      </c>
      <c r="X27" s="1620" t="e">
        <f>#REF!+#REF!</f>
        <v>#REF!</v>
      </c>
      <c r="Y27" s="1619">
        <f>'LPP-SPP'!Y107+'LPP-SPP PIHAK KE-3'!Y107</f>
        <v>0</v>
      </c>
      <c r="Z27" s="1618">
        <f>'LPP-SPP'!Z107+'LPP-SPP PIHAK KE-3'!Z107</f>
        <v>0</v>
      </c>
      <c r="AA27" s="1618">
        <f>'LPP-SPP'!AA107+'LPP-SPP PIHAK KE-3'!AA107</f>
        <v>0</v>
      </c>
      <c r="AB27" s="1617">
        <f>'LPP-SPP'!AB107+'LPP-SPP PIHAK KE-3'!AB107</f>
        <v>0</v>
      </c>
    </row>
    <row r="28" spans="1:28" s="1581" customFormat="1" ht="34.5" customHeight="1">
      <c r="A28" s="1625">
        <f t="shared" si="1"/>
        <v>16</v>
      </c>
      <c r="B28" s="1624">
        <f>'LPP-SPP'!B28</f>
        <v>0</v>
      </c>
      <c r="C28" s="430">
        <f>'LPP-SPP'!C108+'LPP-SPP PIHAK KE-3'!C108</f>
        <v>0</v>
      </c>
      <c r="D28" s="430"/>
      <c r="E28" s="430">
        <f>'LPP-SPP'!E108+'LPP-SPP PIHAK KE-3'!E108</f>
        <v>0</v>
      </c>
      <c r="F28" s="430">
        <f>'LPP-SPP'!F108+'LPP-SPP PIHAK KE-3'!F108</f>
        <v>0</v>
      </c>
      <c r="G28" s="430">
        <f>'LPP-SPP'!G108+'LPP-SPP PIHAK KE-3'!G108</f>
        <v>0</v>
      </c>
      <c r="H28" s="1623"/>
      <c r="I28" s="430">
        <f>'LPP-SPP'!I108+'LPP-SPP PIHAK KE-3'!I108</f>
        <v>0</v>
      </c>
      <c r="J28" s="430">
        <f>'LPP-SPP'!J108+'LPP-SPP PIHAK KE-3'!J108</f>
        <v>0</v>
      </c>
      <c r="K28" s="430">
        <f>'LPP-SPP'!K108+'LPP-SPP PIHAK KE-3'!K108</f>
        <v>0</v>
      </c>
      <c r="L28" s="430">
        <f>'LPP-SPP'!L108+'LPP-SPP PIHAK KE-3'!L108</f>
        <v>0</v>
      </c>
      <c r="M28" s="430">
        <f>'LPP-SPP'!M108+'LPP-SPP PIHAK KE-3'!M108</f>
        <v>0</v>
      </c>
      <c r="N28" s="430">
        <f>'LPP-SPP'!N108+'LPP-SPP PIHAK KE-3'!N108</f>
        <v>0</v>
      </c>
      <c r="O28" s="430">
        <f>'LPP-SPP'!O108+'LPP-SPP PIHAK KE-3'!O108</f>
        <v>0</v>
      </c>
      <c r="P28" s="430">
        <f>'LPP-SPP'!P108+'LPP-SPP PIHAK KE-3'!P108</f>
        <v>0</v>
      </c>
      <c r="Q28" s="430">
        <f>'LPP-SPP'!Q108+'LPP-SPP PIHAK KE-3'!Q108</f>
        <v>0</v>
      </c>
      <c r="R28" s="430">
        <f>'LPP-SPP'!R108+'LPP-SPP PIHAK KE-3'!R108</f>
        <v>0</v>
      </c>
      <c r="S28" s="430">
        <f>'LPP-SPP'!S108+'LPP-SPP PIHAK KE-3'!S108</f>
        <v>0</v>
      </c>
      <c r="T28" s="430">
        <f>'LPP-SPP'!T108+'LPP-SPP PIHAK KE-3'!T108</f>
        <v>0</v>
      </c>
      <c r="U28" s="9" t="e">
        <f t="shared" si="0"/>
        <v>#DIV/0!</v>
      </c>
      <c r="V28" s="430">
        <f>'LPP-SPP'!V108+'LPP-SPP PIHAK KE-3'!V108</f>
        <v>0</v>
      </c>
      <c r="W28" s="430">
        <f>'LPP-SPP'!W108+'LPP-SPP PIHAK KE-3'!W108</f>
        <v>0</v>
      </c>
      <c r="X28" s="1620" t="e">
        <f>#REF!+#REF!</f>
        <v>#REF!</v>
      </c>
      <c r="Y28" s="1619">
        <f>'LPP-SPP'!Y108+'LPP-SPP PIHAK KE-3'!Y108</f>
        <v>0</v>
      </c>
      <c r="Z28" s="1618">
        <f>'LPP-SPP'!Z108+'LPP-SPP PIHAK KE-3'!Z108</f>
        <v>0</v>
      </c>
      <c r="AA28" s="1618">
        <f>'LPP-SPP'!AA108+'LPP-SPP PIHAK KE-3'!AA108</f>
        <v>0</v>
      </c>
      <c r="AB28" s="1617">
        <f>'LPP-SPP'!AB108+'LPP-SPP PIHAK KE-3'!AB108</f>
        <v>0</v>
      </c>
    </row>
    <row r="29" spans="1:28" s="1581" customFormat="1" ht="15.75" thickBot="1">
      <c r="A29" s="1608"/>
      <c r="B29" s="1616"/>
      <c r="C29" s="1615"/>
      <c r="D29" s="1615"/>
      <c r="E29" s="1615"/>
      <c r="F29" s="1610"/>
      <c r="G29" s="1611"/>
      <c r="H29" s="1611"/>
      <c r="I29" s="1614"/>
      <c r="J29" s="1614"/>
      <c r="K29" s="1614"/>
      <c r="L29" s="1614"/>
      <c r="M29" s="1610"/>
      <c r="N29" s="1610"/>
      <c r="O29" s="1613"/>
      <c r="P29" s="1612"/>
      <c r="Q29" s="1611"/>
      <c r="R29" s="1611"/>
      <c r="S29" s="1610"/>
      <c r="T29" s="1610"/>
      <c r="U29" s="1610"/>
      <c r="V29" s="1610"/>
      <c r="W29" s="1609"/>
      <c r="X29" s="1608"/>
      <c r="Y29" s="1607"/>
      <c r="Z29" s="1606"/>
      <c r="AA29" s="1606"/>
      <c r="AB29" s="1605"/>
    </row>
    <row r="30" spans="1:28" s="1586" customFormat="1" ht="55.5" customHeight="1" thickBot="1">
      <c r="A30" s="1604"/>
      <c r="B30" s="1603" t="s">
        <v>1507</v>
      </c>
      <c r="C30" s="1602">
        <f t="shared" ref="C30:T30" si="2">SUM(C13:C28)</f>
        <v>800</v>
      </c>
      <c r="D30" s="1602"/>
      <c r="E30" s="1602">
        <f t="shared" si="2"/>
        <v>8601</v>
      </c>
      <c r="F30" s="1602">
        <f t="shared" si="2"/>
        <v>29340350000</v>
      </c>
      <c r="G30" s="1602">
        <f t="shared" si="2"/>
        <v>5280963000</v>
      </c>
      <c r="H30" s="1602">
        <f t="shared" si="2"/>
        <v>0</v>
      </c>
      <c r="I30" s="1602">
        <f t="shared" si="2"/>
        <v>25416591301.666664</v>
      </c>
      <c r="J30" s="1602">
        <f t="shared" si="2"/>
        <v>4405455900</v>
      </c>
      <c r="K30" s="1602">
        <f t="shared" si="2"/>
        <v>24313689100</v>
      </c>
      <c r="L30" s="1602">
        <f t="shared" si="2"/>
        <v>4208341600</v>
      </c>
      <c r="M30" s="1602">
        <f t="shared" si="2"/>
        <v>0</v>
      </c>
      <c r="N30" s="1602">
        <f t="shared" si="2"/>
        <v>545570300</v>
      </c>
      <c r="O30" s="1602">
        <f t="shared" si="2"/>
        <v>97423000</v>
      </c>
      <c r="P30" s="1602">
        <f t="shared" si="2"/>
        <v>0</v>
      </c>
      <c r="Q30" s="1602">
        <f t="shared" si="2"/>
        <v>24859259400</v>
      </c>
      <c r="R30" s="1602">
        <f t="shared" si="2"/>
        <v>4305764600</v>
      </c>
      <c r="S30" s="1602">
        <f t="shared" si="2"/>
        <v>0</v>
      </c>
      <c r="T30" s="1602">
        <f t="shared" si="2"/>
        <v>4481090600</v>
      </c>
      <c r="U30" s="1602">
        <f>SUM(Q30/I30)*100</f>
        <v>97.807212245529882</v>
      </c>
      <c r="V30" s="1602">
        <f t="shared" ref="V30:AB30" si="3">SUM(V13:V28)</f>
        <v>557331901.66666675</v>
      </c>
      <c r="W30" s="1601">
        <f t="shared" si="3"/>
        <v>90020800</v>
      </c>
      <c r="X30" s="1600" t="e">
        <f t="shared" si="3"/>
        <v>#REF!</v>
      </c>
      <c r="Y30" s="1599">
        <f t="shared" si="3"/>
        <v>123286900</v>
      </c>
      <c r="Z30" s="1598">
        <f t="shared" si="3"/>
        <v>1250000</v>
      </c>
      <c r="AA30" s="1598">
        <f t="shared" si="3"/>
        <v>124613100</v>
      </c>
      <c r="AB30" s="1597">
        <f t="shared" si="3"/>
        <v>282434700</v>
      </c>
    </row>
    <row r="31" spans="1:28" s="1581" customFormat="1" ht="16.5" thickTop="1">
      <c r="G31" s="1586"/>
      <c r="I31" s="1586"/>
      <c r="J31" s="1586"/>
      <c r="K31" s="1586"/>
      <c r="L31" s="1586"/>
      <c r="M31" s="1594"/>
      <c r="N31" s="1594"/>
      <c r="O31" s="1596"/>
      <c r="P31" s="1595"/>
      <c r="Q31" s="1594"/>
      <c r="R31" s="1594"/>
    </row>
    <row r="32" spans="1:28" s="1581" customFormat="1" ht="16.5" customHeight="1">
      <c r="F32" s="1586"/>
      <c r="I32" s="1586"/>
      <c r="J32" s="1586"/>
      <c r="K32" s="1593"/>
      <c r="L32" s="1593"/>
      <c r="M32" s="1592"/>
      <c r="N32" s="1591"/>
      <c r="O32" s="1591"/>
      <c r="P32" s="1590"/>
      <c r="Q32" s="1589"/>
      <c r="R32" s="1589"/>
      <c r="V32" s="1588"/>
      <c r="W32" s="1588"/>
    </row>
    <row r="33" spans="1:20" s="1581" customFormat="1" ht="15">
      <c r="A33" s="1587"/>
      <c r="B33" s="1587"/>
      <c r="K33" s="1586"/>
      <c r="L33" s="1586"/>
      <c r="O33" s="1585"/>
      <c r="P33" s="1584"/>
      <c r="Q33" s="1583"/>
      <c r="R33" s="1582"/>
      <c r="T33" s="1573" t="str">
        <f>'LPP-SPP'!T33</f>
        <v>Nagrak, 29 Februari 2016 2016</v>
      </c>
    </row>
    <row r="34" spans="1:20" s="1572" customFormat="1" ht="15">
      <c r="G34" s="1574" t="s">
        <v>21</v>
      </c>
      <c r="P34" s="1574"/>
      <c r="T34" s="1574" t="s">
        <v>22</v>
      </c>
    </row>
    <row r="35" spans="1:20" s="1572" customFormat="1" ht="20.25" customHeight="1">
      <c r="N35" s="1580"/>
      <c r="O35" s="1579"/>
      <c r="T35" s="1574"/>
    </row>
    <row r="36" spans="1:20" s="1572" customFormat="1" ht="20.25" customHeight="1">
      <c r="N36" s="1580"/>
      <c r="O36" s="1579"/>
      <c r="Q36" s="1578"/>
      <c r="T36" s="1574"/>
    </row>
    <row r="37" spans="1:20" s="1572" customFormat="1" ht="20.25" customHeight="1">
      <c r="P37" s="1574"/>
      <c r="T37" s="1574"/>
    </row>
    <row r="38" spans="1:20" s="1572" customFormat="1" ht="20.25" customHeight="1">
      <c r="P38" s="1574"/>
      <c r="Q38" s="1577"/>
      <c r="R38" s="1577"/>
      <c r="T38" s="1574"/>
    </row>
    <row r="39" spans="1:20" s="1572" customFormat="1" ht="15">
      <c r="G39" s="1575" t="str">
        <f>'LPP-SPP'!G39</f>
        <v>Endang Taryana</v>
      </c>
      <c r="N39" s="1576"/>
      <c r="P39" s="1575"/>
      <c r="T39" s="1575" t="str">
        <f>'LPP-SPP'!T39</f>
        <v>Arin Yustini, SE</v>
      </c>
    </row>
    <row r="40" spans="1:20" s="1572" customFormat="1" ht="15">
      <c r="G40" s="1574" t="s">
        <v>23</v>
      </c>
      <c r="P40" s="1573"/>
      <c r="T40" s="1573" t="s">
        <v>24</v>
      </c>
    </row>
  </sheetData>
  <sheetProtection password="C13C" sheet="1" formatColumns="0" formatRows="0"/>
  <protectedRanges>
    <protectedRange sqref="K32:R32" name="Range1_1"/>
  </protectedRanges>
  <mergeCells count="18">
    <mergeCell ref="A1:W1"/>
    <mergeCell ref="A2:W2"/>
    <mergeCell ref="A3:W3"/>
    <mergeCell ref="A4:W4"/>
    <mergeCell ref="A10:A11"/>
    <mergeCell ref="B10:B11"/>
    <mergeCell ref="C10:C12"/>
    <mergeCell ref="E10:E12"/>
    <mergeCell ref="F10:G10"/>
    <mergeCell ref="H10:H11"/>
    <mergeCell ref="V10:W10"/>
    <mergeCell ref="X10:X11"/>
    <mergeCell ref="I10:J10"/>
    <mergeCell ref="K10:M10"/>
    <mergeCell ref="N10:P10"/>
    <mergeCell ref="Q10:S10"/>
    <mergeCell ref="T10:T11"/>
    <mergeCell ref="U10:U11"/>
  </mergeCells>
  <printOptions horizontalCentered="1" verticalCentered="1"/>
  <pageMargins left="0.15748031496063" right="0" top="0.86614173228346503" bottom="0.23622047244094499" header="0.35433070866141703" footer="0.511811023622047"/>
  <pageSetup paperSize="9" scale="47" orientation="landscape" r:id="rId1"/>
  <headerFooter alignWithMargins="0"/>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3"/>
  </sheetPr>
  <dimension ref="A1:K48"/>
  <sheetViews>
    <sheetView topLeftCell="C13" zoomScale="70" zoomScaleNormal="70" workbookViewId="0">
      <selection activeCell="F37" sqref="F37"/>
    </sheetView>
  </sheetViews>
  <sheetFormatPr defaultColWidth="9.140625" defaultRowHeight="12.75"/>
  <cols>
    <col min="1" max="1" width="4.5703125" style="1681" customWidth="1"/>
    <col min="2" max="2" width="20.85546875" style="1681" customWidth="1"/>
    <col min="3" max="3" width="33.7109375" style="1681" customWidth="1"/>
    <col min="4" max="4" width="26" style="1681" customWidth="1"/>
    <col min="5" max="5" width="26.5703125" style="1681" customWidth="1"/>
    <col min="6" max="6" width="26.42578125" style="1681" customWidth="1"/>
    <col min="7" max="7" width="27" style="1681" customWidth="1"/>
    <col min="8" max="8" width="31.28515625" style="1681" customWidth="1"/>
    <col min="9" max="9" width="13.7109375" style="1681" customWidth="1"/>
    <col min="10" max="10" width="17" style="1681" customWidth="1"/>
    <col min="11" max="11" width="13" style="1681" customWidth="1"/>
    <col min="12" max="16384" width="9.140625" style="1681"/>
  </cols>
  <sheetData>
    <row r="1" spans="1:11" ht="23.25">
      <c r="A1" s="3614" t="s">
        <v>123</v>
      </c>
      <c r="B1" s="3614"/>
      <c r="C1" s="3614"/>
      <c r="D1" s="3614"/>
      <c r="E1" s="3614"/>
      <c r="F1" s="3614"/>
      <c r="G1" s="3614"/>
      <c r="H1" s="3614"/>
    </row>
    <row r="2" spans="1:11" ht="23.25">
      <c r="A2" s="3614" t="s">
        <v>1557</v>
      </c>
      <c r="B2" s="3614"/>
      <c r="C2" s="3614"/>
      <c r="D2" s="3614"/>
      <c r="E2" s="3614"/>
      <c r="F2" s="3614"/>
      <c r="G2" s="3614"/>
      <c r="H2" s="3614"/>
    </row>
    <row r="3" spans="1:11" ht="23.25">
      <c r="A3" s="3614" t="str">
        <f>'LPP-UEP'!A4</f>
        <v>Per - Februari 2016 2016</v>
      </c>
      <c r="B3" s="3614"/>
      <c r="C3" s="3614"/>
      <c r="D3" s="3614"/>
      <c r="E3" s="3614"/>
      <c r="F3" s="3614"/>
      <c r="G3" s="3614"/>
      <c r="H3" s="3614"/>
    </row>
    <row r="4" spans="1:11" ht="4.5" customHeight="1"/>
    <row r="5" spans="1:11" s="1687" customFormat="1" ht="15.75">
      <c r="B5" s="1743" t="s">
        <v>2</v>
      </c>
      <c r="C5" s="1744" t="str">
        <f>'LPP-UEP'!F6</f>
        <v>:  Nagrak</v>
      </c>
      <c r="D5" s="1658"/>
    </row>
    <row r="6" spans="1:11" s="1687" customFormat="1" ht="15.75">
      <c r="B6" s="1743" t="s">
        <v>4</v>
      </c>
      <c r="C6" s="1742" t="str">
        <f>'LPP-UEP'!F7</f>
        <v>:  Sukabumi</v>
      </c>
      <c r="D6" s="1658"/>
    </row>
    <row r="7" spans="1:11" s="1687" customFormat="1" ht="16.5" thickBot="1">
      <c r="B7" s="1743" t="s">
        <v>6</v>
      </c>
      <c r="C7" s="1742" t="str">
        <f>'LPP-UEP'!F8</f>
        <v>:  Jawa Barat</v>
      </c>
      <c r="D7" s="1658"/>
    </row>
    <row r="8" spans="1:11" s="1687" customFormat="1" ht="15">
      <c r="A8" s="3715" t="s">
        <v>978</v>
      </c>
      <c r="B8" s="3713" t="s">
        <v>1556</v>
      </c>
      <c r="C8" s="1710" t="s">
        <v>1224</v>
      </c>
      <c r="D8" s="1710" t="s">
        <v>1555</v>
      </c>
      <c r="E8" s="1710" t="s">
        <v>1555</v>
      </c>
      <c r="F8" s="1710" t="s">
        <v>1555</v>
      </c>
      <c r="G8" s="1710" t="s">
        <v>1555</v>
      </c>
      <c r="H8" s="1741" t="s">
        <v>1555</v>
      </c>
    </row>
    <row r="9" spans="1:11" s="1687" customFormat="1" ht="15">
      <c r="A9" s="3716"/>
      <c r="B9" s="3714"/>
      <c r="C9" s="1708" t="s">
        <v>1554</v>
      </c>
      <c r="D9" s="1708" t="s">
        <v>1553</v>
      </c>
      <c r="E9" s="1708" t="s">
        <v>1552</v>
      </c>
      <c r="F9" s="1708" t="s">
        <v>1552</v>
      </c>
      <c r="G9" s="1708" t="s">
        <v>1552</v>
      </c>
      <c r="H9" s="1740" t="s">
        <v>1551</v>
      </c>
    </row>
    <row r="10" spans="1:11" s="1687" customFormat="1" ht="15.75">
      <c r="A10" s="3716"/>
      <c r="B10" s="3714"/>
      <c r="C10" s="1708" t="s">
        <v>1550</v>
      </c>
      <c r="D10" s="1708" t="s">
        <v>1549</v>
      </c>
      <c r="E10" s="1708" t="s">
        <v>1548</v>
      </c>
      <c r="F10" s="1708" t="s">
        <v>1547</v>
      </c>
      <c r="G10" s="1708" t="s">
        <v>1546</v>
      </c>
      <c r="H10" s="1740" t="s">
        <v>1545</v>
      </c>
      <c r="J10" s="1734" t="s">
        <v>1544</v>
      </c>
    </row>
    <row r="11" spans="1:11" s="1687" customFormat="1" ht="15.75">
      <c r="A11" s="3716"/>
      <c r="B11" s="3714"/>
      <c r="C11" s="2597" t="s">
        <v>1543</v>
      </c>
      <c r="D11" s="2598" t="s">
        <v>1542</v>
      </c>
      <c r="E11" s="2598" t="s">
        <v>1541</v>
      </c>
      <c r="F11" s="2598" t="s">
        <v>1540</v>
      </c>
      <c r="G11" s="2598" t="s">
        <v>1539</v>
      </c>
      <c r="H11" s="2599" t="s">
        <v>1538</v>
      </c>
      <c r="J11" s="1734" t="s">
        <v>1537</v>
      </c>
    </row>
    <row r="12" spans="1:11" s="1687" customFormat="1" ht="13.5" customHeight="1">
      <c r="A12" s="1726">
        <v>1</v>
      </c>
      <c r="B12" s="1724" t="str">
        <f>'LPP-UEP'!B13</f>
        <v>CIHANYAWAR</v>
      </c>
      <c r="C12" s="1724">
        <f>'LPP-UEP'!T93</f>
        <v>0</v>
      </c>
      <c r="D12" s="1724">
        <f t="shared" ref="D12:D27" si="0">C12-E12-F12-G12-H12</f>
        <v>0</v>
      </c>
      <c r="E12" s="1724">
        <f>'LPP-UEP'!Y93</f>
        <v>0</v>
      </c>
      <c r="F12" s="1724">
        <f>'LPP-UEP'!Z93</f>
        <v>0</v>
      </c>
      <c r="G12" s="1724">
        <f>'LPP-UEP'!AA93</f>
        <v>0</v>
      </c>
      <c r="H12" s="1723">
        <f>'LPP-UEP'!AB93</f>
        <v>0</v>
      </c>
      <c r="J12" s="1722">
        <f t="shared" ref="J12:J27" si="1">C12-D12-E12-F12-G12-H12</f>
        <v>0</v>
      </c>
      <c r="K12" s="1715"/>
    </row>
    <row r="13" spans="1:11" s="1687" customFormat="1" ht="13.5" customHeight="1">
      <c r="A13" s="1726">
        <f t="shared" ref="A13:A27" si="2">A12+1</f>
        <v>2</v>
      </c>
      <c r="B13" s="2592" t="str">
        <f>'LPP-UEP'!B14</f>
        <v>NAGRAK UTARA</v>
      </c>
      <c r="C13" s="1724">
        <f>'LPP-UEP'!T94</f>
        <v>0</v>
      </c>
      <c r="D13" s="1724">
        <f t="shared" si="0"/>
        <v>0</v>
      </c>
      <c r="E13" s="1724">
        <f>'LPP-UEP'!Y94</f>
        <v>0</v>
      </c>
      <c r="F13" s="1724">
        <f>'LPP-UEP'!Z94</f>
        <v>0</v>
      </c>
      <c r="G13" s="1724">
        <f>'LPP-UEP'!AA94</f>
        <v>0</v>
      </c>
      <c r="H13" s="1723">
        <f>'LPP-UEP'!AB94</f>
        <v>0</v>
      </c>
      <c r="J13" s="1722">
        <f t="shared" si="1"/>
        <v>0</v>
      </c>
      <c r="K13" s="1715"/>
    </row>
    <row r="14" spans="1:11" s="1687" customFormat="1" ht="13.5" customHeight="1">
      <c r="A14" s="1726">
        <f t="shared" si="2"/>
        <v>3</v>
      </c>
      <c r="B14" s="1727" t="str">
        <f>'LPP-UEP'!B15</f>
        <v>DARMAREJA</v>
      </c>
      <c r="C14" s="1724">
        <f>'LPP-UEP'!T95</f>
        <v>0</v>
      </c>
      <c r="D14" s="1724">
        <f t="shared" si="0"/>
        <v>0</v>
      </c>
      <c r="E14" s="1724">
        <f>'LPP-UEP'!Y95</f>
        <v>0</v>
      </c>
      <c r="F14" s="1724">
        <f>'LPP-UEP'!Z95</f>
        <v>0</v>
      </c>
      <c r="G14" s="1724">
        <f>'LPP-UEP'!AA95</f>
        <v>0</v>
      </c>
      <c r="H14" s="1723">
        <f>'LPP-UEP'!AB95</f>
        <v>0</v>
      </c>
      <c r="J14" s="1722">
        <f t="shared" si="1"/>
        <v>0</v>
      </c>
      <c r="K14" s="1715"/>
    </row>
    <row r="15" spans="1:11" s="1687" customFormat="1" ht="13.5" customHeight="1">
      <c r="A15" s="1726">
        <f t="shared" si="2"/>
        <v>4</v>
      </c>
      <c r="B15" s="1727" t="str">
        <f>'LPP-UEP'!B16</f>
        <v>BALEKAMBANG</v>
      </c>
      <c r="C15" s="1724">
        <f>'LPP-UEP'!T96</f>
        <v>0</v>
      </c>
      <c r="D15" s="1724">
        <f t="shared" si="0"/>
        <v>0</v>
      </c>
      <c r="E15" s="1724">
        <f>'LPP-UEP'!Y96</f>
        <v>0</v>
      </c>
      <c r="F15" s="1724">
        <f>'LPP-UEP'!Z96</f>
        <v>0</v>
      </c>
      <c r="G15" s="1724">
        <f>'LPP-UEP'!AA96</f>
        <v>0</v>
      </c>
      <c r="H15" s="1723">
        <f>'LPP-UEP'!AB96</f>
        <v>0</v>
      </c>
      <c r="J15" s="1722">
        <f t="shared" si="1"/>
        <v>0</v>
      </c>
      <c r="K15" s="1715"/>
    </row>
    <row r="16" spans="1:11" s="1687" customFormat="1" ht="13.5" customHeight="1">
      <c r="A16" s="1726">
        <f t="shared" si="2"/>
        <v>5</v>
      </c>
      <c r="B16" s="1727" t="str">
        <f>'LPP-UEP'!B17</f>
        <v>NAGRAK SELATAN</v>
      </c>
      <c r="C16" s="1724">
        <f>'LPP-UEP'!T97</f>
        <v>0</v>
      </c>
      <c r="D16" s="1724">
        <f t="shared" si="0"/>
        <v>0</v>
      </c>
      <c r="E16" s="1724">
        <f>'LPP-UEP'!Y97</f>
        <v>0</v>
      </c>
      <c r="F16" s="1724">
        <f>'LPP-UEP'!Z97</f>
        <v>0</v>
      </c>
      <c r="G16" s="1724">
        <f>'LPP-UEP'!AA97</f>
        <v>0</v>
      </c>
      <c r="H16" s="1723">
        <f>'LPP-UEP'!AB97</f>
        <v>0</v>
      </c>
      <c r="J16" s="1722">
        <f t="shared" si="1"/>
        <v>0</v>
      </c>
      <c r="K16" s="1715"/>
    </row>
    <row r="17" spans="1:11" s="1687" customFormat="1" ht="13.5" customHeight="1">
      <c r="A17" s="1726">
        <f t="shared" si="2"/>
        <v>6</v>
      </c>
      <c r="B17" s="1727" t="str">
        <f>'LPP-UEP'!B18</f>
        <v>KALAPAREA</v>
      </c>
      <c r="C17" s="1724">
        <f>'LPP-UEP'!T98</f>
        <v>0</v>
      </c>
      <c r="D17" s="1724">
        <f t="shared" si="0"/>
        <v>0</v>
      </c>
      <c r="E17" s="1724">
        <f>'LPP-UEP'!Y98</f>
        <v>0</v>
      </c>
      <c r="F17" s="1724">
        <f>'LPP-UEP'!Z98</f>
        <v>0</v>
      </c>
      <c r="G17" s="1724">
        <f>'LPP-UEP'!AA98</f>
        <v>0</v>
      </c>
      <c r="H17" s="1723">
        <f>'LPP-UEP'!AB98</f>
        <v>0</v>
      </c>
      <c r="J17" s="1722">
        <f t="shared" si="1"/>
        <v>0</v>
      </c>
      <c r="K17" s="1715"/>
    </row>
    <row r="18" spans="1:11" s="1687" customFormat="1" ht="13.5" customHeight="1">
      <c r="A18" s="1726">
        <f t="shared" si="2"/>
        <v>7</v>
      </c>
      <c r="B18" s="1727" t="str">
        <f>'LPP-UEP'!B19</f>
        <v>BABAKAN PANJANG</v>
      </c>
      <c r="C18" s="1724">
        <f>'LPP-UEP'!T99</f>
        <v>0</v>
      </c>
      <c r="D18" s="1724">
        <f t="shared" si="0"/>
        <v>0</v>
      </c>
      <c r="E18" s="1724">
        <f>'LPP-UEP'!Y99</f>
        <v>0</v>
      </c>
      <c r="F18" s="1724">
        <f>'LPP-UEP'!Z99</f>
        <v>0</v>
      </c>
      <c r="G18" s="1724">
        <f>'LPP-UEP'!AA99</f>
        <v>0</v>
      </c>
      <c r="H18" s="1723">
        <f>'LPP-UEP'!AB99</f>
        <v>0</v>
      </c>
      <c r="J18" s="1722">
        <f t="shared" si="1"/>
        <v>0</v>
      </c>
      <c r="K18" s="1715"/>
    </row>
    <row r="19" spans="1:11" s="1687" customFormat="1" ht="13.5" customHeight="1">
      <c r="A19" s="1726">
        <f t="shared" si="2"/>
        <v>8</v>
      </c>
      <c r="B19" s="1727" t="str">
        <f>'LPP-UEP'!B20</f>
        <v>PAWENANG</v>
      </c>
      <c r="C19" s="1724">
        <f>'LPP-UEP'!T100</f>
        <v>0</v>
      </c>
      <c r="D19" s="1724">
        <f t="shared" si="0"/>
        <v>0</v>
      </c>
      <c r="E19" s="1724">
        <f>'LPP-UEP'!Y100</f>
        <v>0</v>
      </c>
      <c r="F19" s="1724">
        <f>'LPP-UEP'!Z100</f>
        <v>0</v>
      </c>
      <c r="G19" s="1724">
        <f>'LPP-UEP'!AA100</f>
        <v>0</v>
      </c>
      <c r="H19" s="1723">
        <f>'LPP-UEP'!AB100</f>
        <v>0</v>
      </c>
      <c r="J19" s="1722">
        <f t="shared" si="1"/>
        <v>0</v>
      </c>
      <c r="K19" s="1715"/>
    </row>
    <row r="20" spans="1:11" s="1687" customFormat="1" ht="13.5" customHeight="1">
      <c r="A20" s="1726">
        <f t="shared" si="2"/>
        <v>9</v>
      </c>
      <c r="B20" s="1727" t="str">
        <f>'LPP-UEP'!B21</f>
        <v>CISARUA</v>
      </c>
      <c r="C20" s="1724">
        <f>'LPP-UEP'!T101</f>
        <v>0</v>
      </c>
      <c r="D20" s="1724">
        <f t="shared" si="0"/>
        <v>0</v>
      </c>
      <c r="E20" s="1724">
        <f>'LPP-UEP'!Y101</f>
        <v>0</v>
      </c>
      <c r="F20" s="1724">
        <f>'LPP-UEP'!Z101</f>
        <v>0</v>
      </c>
      <c r="G20" s="1724">
        <f>'LPP-UEP'!AA101</f>
        <v>0</v>
      </c>
      <c r="H20" s="1723">
        <f>'LPP-UEP'!AB101</f>
        <v>0</v>
      </c>
      <c r="J20" s="1722">
        <f t="shared" si="1"/>
        <v>0</v>
      </c>
      <c r="K20" s="1715"/>
    </row>
    <row r="21" spans="1:11" s="1687" customFormat="1" ht="13.5" customHeight="1">
      <c r="A21" s="1726">
        <f t="shared" si="2"/>
        <v>10</v>
      </c>
      <c r="B21" s="1727" t="str">
        <f>'LPP-UEP'!B22</f>
        <v>GIRIJAYA</v>
      </c>
      <c r="C21" s="1724">
        <f>'LPP-UEP'!T102</f>
        <v>0</v>
      </c>
      <c r="D21" s="1724">
        <f t="shared" si="0"/>
        <v>0</v>
      </c>
      <c r="E21" s="1724">
        <f>'LPP-UEP'!Y102</f>
        <v>0</v>
      </c>
      <c r="F21" s="1724">
        <f>'LPP-UEP'!Z102</f>
        <v>0</v>
      </c>
      <c r="G21" s="1724">
        <f>'LPP-UEP'!AA102</f>
        <v>0</v>
      </c>
      <c r="H21" s="1723">
        <f>'LPP-UEP'!AB102</f>
        <v>0</v>
      </c>
      <c r="J21" s="1722">
        <f t="shared" si="1"/>
        <v>0</v>
      </c>
      <c r="K21" s="1715"/>
    </row>
    <row r="22" spans="1:11" s="1687" customFormat="1" ht="13.5" customHeight="1">
      <c r="A22" s="1726">
        <f t="shared" si="2"/>
        <v>11</v>
      </c>
      <c r="B22" s="1727">
        <f>'LPP-UEP'!B23</f>
        <v>0</v>
      </c>
      <c r="C22" s="1724">
        <f>'LPP-UEP'!T103</f>
        <v>0</v>
      </c>
      <c r="D22" s="1724">
        <f t="shared" si="0"/>
        <v>0</v>
      </c>
      <c r="E22" s="1724">
        <f>'LPP-UEP'!Y103</f>
        <v>0</v>
      </c>
      <c r="F22" s="1724">
        <f>'LPP-UEP'!Z103</f>
        <v>0</v>
      </c>
      <c r="G22" s="1724">
        <f>'LPP-UEP'!AA103</f>
        <v>0</v>
      </c>
      <c r="H22" s="1723">
        <f>'LPP-UEP'!AB103</f>
        <v>0</v>
      </c>
      <c r="J22" s="1722">
        <f t="shared" si="1"/>
        <v>0</v>
      </c>
      <c r="K22" s="1715"/>
    </row>
    <row r="23" spans="1:11" s="1687" customFormat="1" ht="13.5" customHeight="1">
      <c r="A23" s="1726">
        <f t="shared" si="2"/>
        <v>12</v>
      </c>
      <c r="B23" s="1727">
        <f>'LPP-UEP'!B24</f>
        <v>0</v>
      </c>
      <c r="C23" s="1724">
        <f>'LPP-UEP'!T104</f>
        <v>0</v>
      </c>
      <c r="D23" s="1724">
        <f t="shared" si="0"/>
        <v>0</v>
      </c>
      <c r="E23" s="1724">
        <f>'LPP-UEP'!Y104</f>
        <v>0</v>
      </c>
      <c r="F23" s="1724">
        <f>'LPP-UEP'!Z104</f>
        <v>0</v>
      </c>
      <c r="G23" s="1724">
        <f>'LPP-UEP'!AA104</f>
        <v>0</v>
      </c>
      <c r="H23" s="1723">
        <f>'LPP-UEP'!AB104</f>
        <v>0</v>
      </c>
      <c r="J23" s="1722">
        <f t="shared" si="1"/>
        <v>0</v>
      </c>
      <c r="K23" s="1715"/>
    </row>
    <row r="24" spans="1:11" s="1687" customFormat="1" ht="13.5" customHeight="1">
      <c r="A24" s="1726">
        <f t="shared" si="2"/>
        <v>13</v>
      </c>
      <c r="B24" s="1727">
        <f>'LPP-UEP'!B25</f>
        <v>0</v>
      </c>
      <c r="C24" s="1724">
        <f>'LPP-UEP'!T105</f>
        <v>0</v>
      </c>
      <c r="D24" s="1724">
        <f t="shared" si="0"/>
        <v>0</v>
      </c>
      <c r="E24" s="1724">
        <f>'LPP-UEP'!Y105</f>
        <v>0</v>
      </c>
      <c r="F24" s="1724">
        <f>'LPP-UEP'!Z105</f>
        <v>0</v>
      </c>
      <c r="G24" s="1724">
        <f>'LPP-UEP'!AA105</f>
        <v>0</v>
      </c>
      <c r="H24" s="1723">
        <f>'LPP-UEP'!AB105</f>
        <v>0</v>
      </c>
      <c r="J24" s="1722">
        <f t="shared" si="1"/>
        <v>0</v>
      </c>
      <c r="K24" s="1715"/>
    </row>
    <row r="25" spans="1:11" s="1687" customFormat="1" ht="13.5" customHeight="1">
      <c r="A25" s="1726">
        <f t="shared" si="2"/>
        <v>14</v>
      </c>
      <c r="B25" s="1727">
        <f>'LPP-UEP'!B26</f>
        <v>0</v>
      </c>
      <c r="C25" s="1724">
        <f>'LPP-UEP'!T106</f>
        <v>0</v>
      </c>
      <c r="D25" s="1724">
        <f t="shared" si="0"/>
        <v>0</v>
      </c>
      <c r="E25" s="1724">
        <f>'LPP-UEP'!Y106</f>
        <v>0</v>
      </c>
      <c r="F25" s="1724">
        <f>'LPP-UEP'!Z106</f>
        <v>0</v>
      </c>
      <c r="G25" s="1724">
        <f>'LPP-UEP'!AA106</f>
        <v>0</v>
      </c>
      <c r="H25" s="1723">
        <f>'LPP-UEP'!AB106</f>
        <v>0</v>
      </c>
      <c r="J25" s="1722">
        <f t="shared" si="1"/>
        <v>0</v>
      </c>
      <c r="K25" s="1715"/>
    </row>
    <row r="26" spans="1:11" s="1687" customFormat="1" ht="13.5" customHeight="1">
      <c r="A26" s="1726">
        <f t="shared" si="2"/>
        <v>15</v>
      </c>
      <c r="B26" s="1727">
        <f>'LPP-UEP'!B27</f>
        <v>0</v>
      </c>
      <c r="C26" s="1724">
        <f>'LPP-UEP'!T107</f>
        <v>0</v>
      </c>
      <c r="D26" s="1724">
        <f t="shared" si="0"/>
        <v>0</v>
      </c>
      <c r="E26" s="1724">
        <f>'LPP-UEP'!Y107</f>
        <v>0</v>
      </c>
      <c r="F26" s="1724">
        <f>'LPP-UEP'!Z107</f>
        <v>0</v>
      </c>
      <c r="G26" s="1724">
        <f>'LPP-UEP'!AA107</f>
        <v>0</v>
      </c>
      <c r="H26" s="1723">
        <f>'LPP-UEP'!AB107</f>
        <v>0</v>
      </c>
      <c r="J26" s="1722">
        <f t="shared" si="1"/>
        <v>0</v>
      </c>
      <c r="K26" s="1715"/>
    </row>
    <row r="27" spans="1:11" s="1687" customFormat="1" ht="13.5" customHeight="1">
      <c r="A27" s="1726">
        <f t="shared" si="2"/>
        <v>16</v>
      </c>
      <c r="B27" s="1727">
        <f>'LPP-UEP'!B28</f>
        <v>0</v>
      </c>
      <c r="C27" s="1724">
        <f>'LPP-UEP'!T108</f>
        <v>0</v>
      </c>
      <c r="D27" s="1724">
        <f t="shared" si="0"/>
        <v>0</v>
      </c>
      <c r="E27" s="1724">
        <f>'LPP-UEP'!Y108</f>
        <v>0</v>
      </c>
      <c r="F27" s="1724">
        <f>'LPP-UEP'!Z108</f>
        <v>0</v>
      </c>
      <c r="G27" s="1724">
        <f>'LPP-UEP'!AA108</f>
        <v>0</v>
      </c>
      <c r="H27" s="1723">
        <f>'LPP-UEP'!AB108</f>
        <v>0</v>
      </c>
      <c r="J27" s="1722">
        <f t="shared" si="1"/>
        <v>0</v>
      </c>
      <c r="K27" s="1715"/>
    </row>
    <row r="28" spans="1:11" s="1687" customFormat="1" ht="15">
      <c r="A28" s="1726"/>
      <c r="B28" s="2592"/>
      <c r="C28" s="2593"/>
      <c r="D28" s="2593"/>
      <c r="E28" s="2593"/>
      <c r="F28" s="2593"/>
      <c r="G28" s="2593"/>
      <c r="H28" s="2594"/>
      <c r="J28" s="1715"/>
      <c r="K28" s="1715"/>
    </row>
    <row r="29" spans="1:11" s="1687" customFormat="1" ht="24.75" customHeight="1" thickBot="1">
      <c r="A29" s="3612" t="s">
        <v>934</v>
      </c>
      <c r="B29" s="3613"/>
      <c r="C29" s="2595">
        <f t="shared" ref="C29:H29" si="3">SUM(C12:C28)</f>
        <v>0</v>
      </c>
      <c r="D29" s="2595">
        <f t="shared" si="3"/>
        <v>0</v>
      </c>
      <c r="E29" s="2595">
        <f t="shared" si="3"/>
        <v>0</v>
      </c>
      <c r="F29" s="2595">
        <f t="shared" si="3"/>
        <v>0</v>
      </c>
      <c r="G29" s="2595">
        <f t="shared" si="3"/>
        <v>0</v>
      </c>
      <c r="H29" s="2596">
        <f t="shared" si="3"/>
        <v>0</v>
      </c>
      <c r="J29" s="1715"/>
      <c r="K29" s="1715"/>
    </row>
    <row r="30" spans="1:11" s="1687" customFormat="1" ht="7.5" customHeight="1">
      <c r="A30" s="1706"/>
      <c r="B30" s="1706"/>
      <c r="C30" s="1706"/>
      <c r="D30" s="1706"/>
      <c r="E30" s="1706"/>
      <c r="F30" s="1706"/>
      <c r="G30" s="1706"/>
      <c r="H30" s="1706"/>
      <c r="J30" s="1713"/>
      <c r="K30" s="1713"/>
    </row>
    <row r="31" spans="1:11" s="1687" customFormat="1" ht="7.5" customHeight="1" thickBot="1">
      <c r="A31" s="1706"/>
      <c r="B31" s="1706"/>
      <c r="C31" s="1706"/>
      <c r="D31" s="1706"/>
      <c r="E31" s="1706"/>
      <c r="F31" s="1706"/>
      <c r="G31" s="1706"/>
      <c r="H31" s="1706"/>
      <c r="J31" s="1714"/>
      <c r="K31" s="1713"/>
    </row>
    <row r="32" spans="1:11" s="1687" customFormat="1" ht="15">
      <c r="A32" s="1706"/>
      <c r="B32" s="1712" t="s">
        <v>1536</v>
      </c>
      <c r="C32" s="1711" t="s">
        <v>1535</v>
      </c>
      <c r="D32" s="1711" t="s">
        <v>1534</v>
      </c>
      <c r="E32" s="1709" t="s">
        <v>1533</v>
      </c>
      <c r="F32" s="1706"/>
      <c r="G32" s="1706"/>
      <c r="H32" s="1706"/>
    </row>
    <row r="33" spans="1:10" s="1687" customFormat="1" ht="15">
      <c r="A33" s="1706"/>
      <c r="B33" s="2606" t="s">
        <v>1532</v>
      </c>
      <c r="C33" s="2597" t="s">
        <v>1531</v>
      </c>
      <c r="D33" s="2597"/>
      <c r="E33" s="2607" t="s">
        <v>1531</v>
      </c>
      <c r="F33" s="3410" t="s">
        <v>1530</v>
      </c>
      <c r="G33" s="3410"/>
      <c r="H33" s="1707" t="s">
        <v>1529</v>
      </c>
    </row>
    <row r="34" spans="1:10" s="1687" customFormat="1" ht="15">
      <c r="A34" s="1706"/>
      <c r="B34" s="2603"/>
      <c r="C34" s="2601" t="s">
        <v>1528</v>
      </c>
      <c r="D34" s="2601" t="s">
        <v>1527</v>
      </c>
      <c r="E34" s="2591" t="s">
        <v>1526</v>
      </c>
      <c r="F34" s="1701"/>
      <c r="G34" s="1701"/>
      <c r="H34" s="1701"/>
    </row>
    <row r="35" spans="1:10" s="1687" customFormat="1" ht="13.5" customHeight="1">
      <c r="B35" s="2600" t="s">
        <v>1525</v>
      </c>
      <c r="C35" s="1698">
        <v>0.01</v>
      </c>
      <c r="D35" s="1697">
        <f>+D29</f>
        <v>0</v>
      </c>
      <c r="E35" s="1696">
        <f>+D35*C35</f>
        <v>0</v>
      </c>
      <c r="F35" s="1700"/>
      <c r="G35" s="1700"/>
      <c r="H35" s="1700"/>
    </row>
    <row r="36" spans="1:10" s="1687" customFormat="1" ht="13.5" customHeight="1">
      <c r="B36" s="2600" t="s">
        <v>1524</v>
      </c>
      <c r="C36" s="1698">
        <v>0.1</v>
      </c>
      <c r="D36" s="1697">
        <f>+E29</f>
        <v>0</v>
      </c>
      <c r="E36" s="1696">
        <f>+D36*C36</f>
        <v>0</v>
      </c>
      <c r="F36" s="1700"/>
      <c r="G36" s="1700"/>
      <c r="H36" s="1700"/>
    </row>
    <row r="37" spans="1:10" s="1687" customFormat="1" ht="13.5" customHeight="1">
      <c r="B37" s="2600" t="s">
        <v>1523</v>
      </c>
      <c r="C37" s="1698">
        <v>0.25</v>
      </c>
      <c r="D37" s="1697">
        <f>+F29</f>
        <v>0</v>
      </c>
      <c r="E37" s="1696">
        <f>+D37*C37</f>
        <v>0</v>
      </c>
      <c r="F37" s="1700"/>
      <c r="G37" s="1700"/>
      <c r="H37" s="1700"/>
    </row>
    <row r="38" spans="1:10" s="1687" customFormat="1" ht="13.5" customHeight="1">
      <c r="B38" s="2600" t="s">
        <v>1522</v>
      </c>
      <c r="C38" s="1698">
        <v>0.5</v>
      </c>
      <c r="D38" s="1697">
        <f>+G29</f>
        <v>0</v>
      </c>
      <c r="E38" s="1696">
        <f>+D38*C38</f>
        <v>0</v>
      </c>
      <c r="F38" s="3410" t="str">
        <f>'LPP-UEP'!G39</f>
        <v>Endang Taryana</v>
      </c>
      <c r="G38" s="3410"/>
      <c r="H38" s="1695" t="str">
        <f>'LPP-UEP'!T39</f>
        <v>Arin Yustini, SE</v>
      </c>
    </row>
    <row r="39" spans="1:10" s="1687" customFormat="1" ht="13.5" customHeight="1">
      <c r="B39" s="2600" t="s">
        <v>1521</v>
      </c>
      <c r="C39" s="1698">
        <v>1</v>
      </c>
      <c r="D39" s="1697">
        <f>+H29</f>
        <v>0</v>
      </c>
      <c r="E39" s="1696">
        <f>+D39*C39</f>
        <v>0</v>
      </c>
      <c r="F39" s="3410" t="s">
        <v>23</v>
      </c>
      <c r="G39" s="3410"/>
      <c r="H39" s="1690" t="s">
        <v>24</v>
      </c>
    </row>
    <row r="40" spans="1:10" s="1687" customFormat="1" ht="24.75" customHeight="1">
      <c r="B40" s="3711" t="s">
        <v>1507</v>
      </c>
      <c r="C40" s="3712"/>
      <c r="D40" s="2602">
        <f>SUM(D35:D39)</f>
        <v>0</v>
      </c>
      <c r="E40" s="2604">
        <f>SUM(E35:E39)</f>
        <v>0</v>
      </c>
    </row>
    <row r="41" spans="1:10" s="1687" customFormat="1" ht="15">
      <c r="B41" s="1726"/>
      <c r="C41" s="3712" t="s">
        <v>1520</v>
      </c>
      <c r="D41" s="3712"/>
      <c r="E41" s="3709">
        <f>IF(D40=0,0,E40/D40)</f>
        <v>0</v>
      </c>
    </row>
    <row r="42" spans="1:10" s="1687" customFormat="1" ht="15.75" thickBot="1">
      <c r="B42" s="2605"/>
      <c r="C42" s="3708" t="s">
        <v>1519</v>
      </c>
      <c r="D42" s="3708"/>
      <c r="E42" s="3710"/>
    </row>
    <row r="43" spans="1:10">
      <c r="A43" s="1686"/>
    </row>
    <row r="47" spans="1:10">
      <c r="F47" s="1684"/>
      <c r="G47" s="1685"/>
      <c r="H47" s="1685"/>
      <c r="I47" s="1684"/>
      <c r="J47" s="1684"/>
    </row>
    <row r="48" spans="1:10">
      <c r="F48" s="1682"/>
      <c r="G48" s="1683"/>
      <c r="H48" s="1683"/>
      <c r="I48" s="1682"/>
      <c r="J48" s="1682"/>
    </row>
  </sheetData>
  <sheetProtection formatColumns="0" formatRows="0"/>
  <protectedRanges>
    <protectedRange sqref="J12:J27" name="Range1"/>
  </protectedRanges>
  <mergeCells count="13">
    <mergeCell ref="A1:H1"/>
    <mergeCell ref="A2:H2"/>
    <mergeCell ref="A3:H3"/>
    <mergeCell ref="C41:D41"/>
    <mergeCell ref="B8:B11"/>
    <mergeCell ref="A8:A11"/>
    <mergeCell ref="A29:B29"/>
    <mergeCell ref="C42:D42"/>
    <mergeCell ref="F33:G33"/>
    <mergeCell ref="F38:G38"/>
    <mergeCell ref="F39:G39"/>
    <mergeCell ref="E41:E42"/>
    <mergeCell ref="B40:C40"/>
  </mergeCells>
  <printOptions horizontalCentered="1" verticalCentered="1"/>
  <pageMargins left="0.27559055118110198" right="0.27559055118110198" top="0.74803149606299202" bottom="0.196850393700787" header="0.86614173228346503" footer="0.511811023622047"/>
  <pageSetup paperSize="9" scale="70" orientation="landscape" r:id="rId1"/>
  <headerFooter alignWithMargins="0"/>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3"/>
  </sheetPr>
  <dimension ref="A1:K48"/>
  <sheetViews>
    <sheetView zoomScale="70" zoomScaleNormal="70" workbookViewId="0">
      <selection activeCell="F42" sqref="F42"/>
    </sheetView>
  </sheetViews>
  <sheetFormatPr defaultColWidth="9.140625" defaultRowHeight="12.75"/>
  <cols>
    <col min="1" max="1" width="4.5703125" style="1681" customWidth="1"/>
    <col min="2" max="2" width="20.85546875" style="1681" customWidth="1"/>
    <col min="3" max="3" width="33.7109375" style="1681" customWidth="1"/>
    <col min="4" max="4" width="26" style="1681" customWidth="1"/>
    <col min="5" max="5" width="26.5703125" style="1681" customWidth="1"/>
    <col min="6" max="6" width="26.42578125" style="1681" customWidth="1"/>
    <col min="7" max="7" width="27" style="1681" customWidth="1"/>
    <col min="8" max="8" width="31.28515625" style="1681" customWidth="1"/>
    <col min="9" max="9" width="13.7109375" style="1681" customWidth="1"/>
    <col min="10" max="10" width="17" style="1681" customWidth="1"/>
    <col min="11" max="11" width="13" style="1681" customWidth="1"/>
    <col min="12" max="16384" width="9.140625" style="1681"/>
  </cols>
  <sheetData>
    <row r="1" spans="1:11" ht="23.25">
      <c r="A1" s="3614" t="s">
        <v>123</v>
      </c>
      <c r="B1" s="3614"/>
      <c r="C1" s="3614"/>
      <c r="D1" s="3614"/>
      <c r="E1" s="3614"/>
      <c r="F1" s="3614"/>
      <c r="G1" s="3614"/>
      <c r="H1" s="3614"/>
    </row>
    <row r="2" spans="1:11" ht="23.25">
      <c r="A2" s="3614" t="s">
        <v>1648</v>
      </c>
      <c r="B2" s="3614"/>
      <c r="C2" s="3614"/>
      <c r="D2" s="3614"/>
      <c r="E2" s="3614"/>
      <c r="F2" s="3614"/>
      <c r="G2" s="3614"/>
      <c r="H2" s="3614"/>
    </row>
    <row r="3" spans="1:11" ht="23.25">
      <c r="A3" s="3614" t="str">
        <f>'LPP-SPP'!A4</f>
        <v>Per - Februari 2016 2016</v>
      </c>
      <c r="B3" s="3614"/>
      <c r="C3" s="3614"/>
      <c r="D3" s="3614"/>
      <c r="E3" s="3614"/>
      <c r="F3" s="3614"/>
      <c r="G3" s="3614"/>
      <c r="H3" s="3614"/>
    </row>
    <row r="4" spans="1:11" ht="4.5" customHeight="1"/>
    <row r="5" spans="1:11" s="1687" customFormat="1" ht="15.75">
      <c r="B5" s="1743" t="s">
        <v>2</v>
      </c>
      <c r="C5" s="1744" t="str">
        <f>'LPP-SPP'!F6</f>
        <v>:  Nagrak</v>
      </c>
      <c r="D5" s="1658"/>
    </row>
    <row r="6" spans="1:11" s="1687" customFormat="1" ht="15.75">
      <c r="B6" s="1743" t="s">
        <v>4</v>
      </c>
      <c r="C6" s="1742" t="str">
        <f>'LPP-SPP'!F7</f>
        <v>:  Sukabumi</v>
      </c>
      <c r="D6" s="1658"/>
    </row>
    <row r="7" spans="1:11" s="1687" customFormat="1" ht="16.5" thickBot="1">
      <c r="B7" s="1743" t="s">
        <v>6</v>
      </c>
      <c r="C7" s="1742" t="str">
        <f>'LPP-SPP'!F8</f>
        <v>:  Jawa Barat</v>
      </c>
      <c r="D7" s="1658"/>
    </row>
    <row r="8" spans="1:11" s="1687" customFormat="1" ht="15">
      <c r="A8" s="3715" t="s">
        <v>978</v>
      </c>
      <c r="B8" s="3713" t="s">
        <v>1556</v>
      </c>
      <c r="C8" s="1710" t="s">
        <v>1224</v>
      </c>
      <c r="D8" s="1710" t="s">
        <v>1555</v>
      </c>
      <c r="E8" s="1710" t="s">
        <v>1555</v>
      </c>
      <c r="F8" s="1710" t="s">
        <v>1555</v>
      </c>
      <c r="G8" s="1710" t="s">
        <v>1555</v>
      </c>
      <c r="H8" s="1741" t="s">
        <v>1555</v>
      </c>
    </row>
    <row r="9" spans="1:11" s="1687" customFormat="1" ht="15">
      <c r="A9" s="3716"/>
      <c r="B9" s="3714"/>
      <c r="C9" s="1708" t="s">
        <v>1554</v>
      </c>
      <c r="D9" s="1708" t="s">
        <v>1553</v>
      </c>
      <c r="E9" s="1708" t="s">
        <v>1552</v>
      </c>
      <c r="F9" s="1708" t="s">
        <v>1552</v>
      </c>
      <c r="G9" s="1708" t="s">
        <v>1552</v>
      </c>
      <c r="H9" s="1740" t="s">
        <v>1551</v>
      </c>
    </row>
    <row r="10" spans="1:11" s="1687" customFormat="1" ht="15.75">
      <c r="A10" s="3716"/>
      <c r="B10" s="3714"/>
      <c r="C10" s="1708" t="s">
        <v>1550</v>
      </c>
      <c r="D10" s="1708" t="s">
        <v>1549</v>
      </c>
      <c r="E10" s="1708" t="s">
        <v>1548</v>
      </c>
      <c r="F10" s="1708" t="s">
        <v>1547</v>
      </c>
      <c r="G10" s="1708" t="s">
        <v>1546</v>
      </c>
      <c r="H10" s="1740" t="s">
        <v>1545</v>
      </c>
      <c r="J10" s="1734" t="s">
        <v>1544</v>
      </c>
    </row>
    <row r="11" spans="1:11" s="1687" customFormat="1" ht="16.5" thickBot="1">
      <c r="A11" s="3612"/>
      <c r="B11" s="3613"/>
      <c r="C11" s="2609" t="s">
        <v>1543</v>
      </c>
      <c r="D11" s="2610" t="s">
        <v>1542</v>
      </c>
      <c r="E11" s="2610" t="s">
        <v>1541</v>
      </c>
      <c r="F11" s="2610" t="s">
        <v>1540</v>
      </c>
      <c r="G11" s="2610" t="s">
        <v>1539</v>
      </c>
      <c r="H11" s="2611" t="s">
        <v>1538</v>
      </c>
      <c r="J11" s="1734" t="s">
        <v>1537</v>
      </c>
    </row>
    <row r="12" spans="1:11" s="1687" customFormat="1" ht="13.5" customHeight="1">
      <c r="A12" s="1733">
        <v>1</v>
      </c>
      <c r="B12" s="1732" t="str">
        <f>'LPP-SPP'!B13</f>
        <v>CIHANYAWAR</v>
      </c>
      <c r="C12" s="1732">
        <f>'LPP-SPP'!T93</f>
        <v>550958400</v>
      </c>
      <c r="D12" s="1732">
        <f t="shared" ref="D12:D27" si="0">C12-E12-F12-G12-H12</f>
        <v>520499200</v>
      </c>
      <c r="E12" s="1732">
        <f>'LPP-SPP'!Y93</f>
        <v>0</v>
      </c>
      <c r="F12" s="1732">
        <f>'LPP-SPP'!Z93</f>
        <v>1250000</v>
      </c>
      <c r="G12" s="1732">
        <f>'LPP-SPP'!AA93</f>
        <v>0</v>
      </c>
      <c r="H12" s="2608">
        <f>'LPP-SPP'!AB93</f>
        <v>29209200</v>
      </c>
      <c r="J12" s="1722">
        <f t="shared" ref="J12:J27" si="1">C12-D12-E12-F12-G12-H12</f>
        <v>0</v>
      </c>
      <c r="K12" s="1715"/>
    </row>
    <row r="13" spans="1:11" s="1687" customFormat="1" ht="13.5" customHeight="1">
      <c r="A13" s="1726">
        <f t="shared" ref="A13:A27" si="2">A12+1</f>
        <v>2</v>
      </c>
      <c r="B13" s="2592" t="str">
        <f>'LPP-SPP'!B14</f>
        <v>NAGRAK UTARA</v>
      </c>
      <c r="C13" s="1724">
        <f>'LPP-SPP'!T94</f>
        <v>741419500</v>
      </c>
      <c r="D13" s="1724">
        <f t="shared" si="0"/>
        <v>652267500</v>
      </c>
      <c r="E13" s="1724">
        <f>'LPP-SPP'!Y94</f>
        <v>13671000</v>
      </c>
      <c r="F13" s="1724">
        <f>'LPP-SPP'!Z94</f>
        <v>0</v>
      </c>
      <c r="G13" s="1724">
        <f>'LPP-SPP'!AA94</f>
        <v>0</v>
      </c>
      <c r="H13" s="1723">
        <f>'LPP-SPP'!AB94</f>
        <v>75481000</v>
      </c>
      <c r="J13" s="1722">
        <f t="shared" si="1"/>
        <v>0</v>
      </c>
      <c r="K13" s="1715"/>
    </row>
    <row r="14" spans="1:11" s="1687" customFormat="1" ht="13.5" customHeight="1">
      <c r="A14" s="1726">
        <f t="shared" si="2"/>
        <v>3</v>
      </c>
      <c r="B14" s="1727" t="str">
        <f>'LPP-SPP'!B15</f>
        <v>DARMAREJA</v>
      </c>
      <c r="C14" s="1724">
        <f>'LPP-SPP'!T95</f>
        <v>470579600</v>
      </c>
      <c r="D14" s="1724">
        <f t="shared" si="0"/>
        <v>425091400</v>
      </c>
      <c r="E14" s="1724">
        <f>'LPP-SPP'!Y95</f>
        <v>8233200</v>
      </c>
      <c r="F14" s="1724">
        <f>'LPP-SPP'!Z95</f>
        <v>0</v>
      </c>
      <c r="G14" s="1724">
        <f>'LPP-SPP'!AA95</f>
        <v>0</v>
      </c>
      <c r="H14" s="1723">
        <f>'LPP-SPP'!AB95</f>
        <v>37255000</v>
      </c>
      <c r="J14" s="1722">
        <f t="shared" si="1"/>
        <v>0</v>
      </c>
      <c r="K14" s="1715"/>
    </row>
    <row r="15" spans="1:11" s="1687" customFormat="1" ht="13.5" customHeight="1">
      <c r="A15" s="1726">
        <f t="shared" si="2"/>
        <v>4</v>
      </c>
      <c r="B15" s="1727" t="str">
        <f>'LPP-SPP'!B16</f>
        <v>BALEKAMBANG</v>
      </c>
      <c r="C15" s="1724">
        <f>'LPP-SPP'!T96</f>
        <v>340877500</v>
      </c>
      <c r="D15" s="1724">
        <f t="shared" si="0"/>
        <v>325526100</v>
      </c>
      <c r="E15" s="1724">
        <f>'LPP-SPP'!Y96</f>
        <v>0</v>
      </c>
      <c r="F15" s="1724">
        <f>'LPP-SPP'!Z96</f>
        <v>0</v>
      </c>
      <c r="G15" s="1724">
        <f>'LPP-SPP'!AA96</f>
        <v>14935100</v>
      </c>
      <c r="H15" s="1723">
        <f>'LPP-SPP'!AB96</f>
        <v>416300</v>
      </c>
      <c r="J15" s="1722">
        <f t="shared" si="1"/>
        <v>0</v>
      </c>
      <c r="K15" s="1715"/>
    </row>
    <row r="16" spans="1:11" s="1687" customFormat="1" ht="13.5" customHeight="1">
      <c r="A16" s="1726">
        <f t="shared" si="2"/>
        <v>5</v>
      </c>
      <c r="B16" s="1727" t="str">
        <f>'LPP-SPP'!B17</f>
        <v>NAGRAK SELATAN</v>
      </c>
      <c r="C16" s="1724">
        <f>'LPP-SPP'!T97</f>
        <v>306393000</v>
      </c>
      <c r="D16" s="1724">
        <f t="shared" si="0"/>
        <v>264350000</v>
      </c>
      <c r="E16" s="1724">
        <f>'LPP-SPP'!Y97</f>
        <v>19452000</v>
      </c>
      <c r="F16" s="1724">
        <f>'LPP-SPP'!Z97</f>
        <v>0</v>
      </c>
      <c r="G16" s="1724">
        <f>'LPP-SPP'!AA97</f>
        <v>0</v>
      </c>
      <c r="H16" s="1723">
        <f>'LPP-SPP'!AB97</f>
        <v>22591000</v>
      </c>
      <c r="J16" s="1722">
        <f t="shared" si="1"/>
        <v>0</v>
      </c>
      <c r="K16" s="1715"/>
    </row>
    <row r="17" spans="1:11" s="1687" customFormat="1" ht="13.5" customHeight="1">
      <c r="A17" s="1726">
        <f t="shared" si="2"/>
        <v>6</v>
      </c>
      <c r="B17" s="1727" t="str">
        <f>'LPP-SPP'!B18</f>
        <v>KALAPAREA</v>
      </c>
      <c r="C17" s="1724">
        <f>'LPP-SPP'!T98</f>
        <v>464279600</v>
      </c>
      <c r="D17" s="1724">
        <f t="shared" si="0"/>
        <v>377288100</v>
      </c>
      <c r="E17" s="1724">
        <f>'LPP-SPP'!Y98</f>
        <v>16042300</v>
      </c>
      <c r="F17" s="1724">
        <f>'LPP-SPP'!Z98</f>
        <v>0</v>
      </c>
      <c r="G17" s="1724">
        <f>'LPP-SPP'!AA98</f>
        <v>59944600</v>
      </c>
      <c r="H17" s="1723">
        <f>'LPP-SPP'!AB98</f>
        <v>11004600</v>
      </c>
      <c r="J17" s="1722">
        <f t="shared" si="1"/>
        <v>0</v>
      </c>
      <c r="K17" s="1715"/>
    </row>
    <row r="18" spans="1:11" s="1687" customFormat="1" ht="13.5" customHeight="1">
      <c r="A18" s="1726">
        <f t="shared" si="2"/>
        <v>7</v>
      </c>
      <c r="B18" s="1727" t="str">
        <f>'LPP-SPP'!B19</f>
        <v>BABAKAN PANJANG</v>
      </c>
      <c r="C18" s="1724">
        <f>'LPP-SPP'!T99</f>
        <v>294153300</v>
      </c>
      <c r="D18" s="1724">
        <f t="shared" si="0"/>
        <v>278189700</v>
      </c>
      <c r="E18" s="1724">
        <f>'LPP-SPP'!Y99</f>
        <v>6987600</v>
      </c>
      <c r="F18" s="1724">
        <f>'LPP-SPP'!Z99</f>
        <v>0</v>
      </c>
      <c r="G18" s="1724">
        <f>'LPP-SPP'!AA99</f>
        <v>0</v>
      </c>
      <c r="H18" s="1723">
        <f>'LPP-SPP'!AB99</f>
        <v>8976000</v>
      </c>
      <c r="J18" s="1722">
        <f t="shared" si="1"/>
        <v>0</v>
      </c>
      <c r="K18" s="1715"/>
    </row>
    <row r="19" spans="1:11" s="1687" customFormat="1" ht="13.5" customHeight="1">
      <c r="A19" s="1726">
        <f t="shared" si="2"/>
        <v>8</v>
      </c>
      <c r="B19" s="1727" t="str">
        <f>'LPP-SPP'!B20</f>
        <v>PAWENANG</v>
      </c>
      <c r="C19" s="1724">
        <f>'LPP-SPP'!T100</f>
        <v>406097300</v>
      </c>
      <c r="D19" s="1724">
        <f t="shared" si="0"/>
        <v>391067200</v>
      </c>
      <c r="E19" s="1724">
        <f>'LPP-SPP'!Y100</f>
        <v>0</v>
      </c>
      <c r="F19" s="1724">
        <f>'LPP-SPP'!Z100</f>
        <v>0</v>
      </c>
      <c r="G19" s="1724">
        <f>'LPP-SPP'!AA100</f>
        <v>0</v>
      </c>
      <c r="H19" s="1723">
        <f>'LPP-SPP'!AB100</f>
        <v>15030100</v>
      </c>
      <c r="J19" s="1722">
        <f t="shared" si="1"/>
        <v>0</v>
      </c>
      <c r="K19" s="1715"/>
    </row>
    <row r="20" spans="1:11" s="1687" customFormat="1" ht="13.5" customHeight="1">
      <c r="A20" s="1726">
        <f t="shared" si="2"/>
        <v>9</v>
      </c>
      <c r="B20" s="1727" t="str">
        <f>'LPP-SPP'!B21</f>
        <v>CISARUA</v>
      </c>
      <c r="C20" s="1724">
        <f>'LPP-SPP'!T101</f>
        <v>485649900</v>
      </c>
      <c r="D20" s="1724">
        <f t="shared" si="0"/>
        <v>352977200</v>
      </c>
      <c r="E20" s="1724">
        <f>'LPP-SPP'!Y101</f>
        <v>53510100</v>
      </c>
      <c r="F20" s="1724">
        <f>'LPP-SPP'!Z101</f>
        <v>0</v>
      </c>
      <c r="G20" s="1724">
        <f>'LPP-SPP'!AA101</f>
        <v>49733400</v>
      </c>
      <c r="H20" s="1723">
        <f>'LPP-SPP'!AB101</f>
        <v>29429200</v>
      </c>
      <c r="J20" s="1722">
        <f t="shared" si="1"/>
        <v>0</v>
      </c>
      <c r="K20" s="1715"/>
    </row>
    <row r="21" spans="1:11" s="1687" customFormat="1" ht="13.5" customHeight="1">
      <c r="A21" s="1726">
        <f t="shared" si="2"/>
        <v>10</v>
      </c>
      <c r="B21" s="1727" t="str">
        <f>'LPP-SPP'!B22</f>
        <v>GIRIJAYA</v>
      </c>
      <c r="C21" s="1724">
        <f>'LPP-SPP'!T102</f>
        <v>420682500</v>
      </c>
      <c r="D21" s="1724">
        <f t="shared" si="0"/>
        <v>362249500</v>
      </c>
      <c r="E21" s="1724">
        <f>'LPP-SPP'!Y102</f>
        <v>5390700</v>
      </c>
      <c r="F21" s="1724">
        <f>'LPP-SPP'!Z102</f>
        <v>0</v>
      </c>
      <c r="G21" s="1724">
        <f>'LPP-SPP'!AA102</f>
        <v>0</v>
      </c>
      <c r="H21" s="1723">
        <f>'LPP-SPP'!AB102</f>
        <v>53042300</v>
      </c>
      <c r="J21" s="1722">
        <f t="shared" si="1"/>
        <v>0</v>
      </c>
      <c r="K21" s="1715"/>
    </row>
    <row r="22" spans="1:11" s="1687" customFormat="1" ht="13.5" customHeight="1">
      <c r="A22" s="1726">
        <f t="shared" si="2"/>
        <v>11</v>
      </c>
      <c r="B22" s="1727">
        <f>'LPP-SPP'!B23</f>
        <v>0</v>
      </c>
      <c r="C22" s="1724">
        <f>'LPP-SPP'!T103</f>
        <v>0</v>
      </c>
      <c r="D22" s="1724">
        <f t="shared" si="0"/>
        <v>0</v>
      </c>
      <c r="E22" s="1724">
        <f>'LPP-SPP'!Y103</f>
        <v>0</v>
      </c>
      <c r="F22" s="1724">
        <f>'LPP-SPP'!Z103</f>
        <v>0</v>
      </c>
      <c r="G22" s="1724">
        <f>'LPP-SPP'!AA103</f>
        <v>0</v>
      </c>
      <c r="H22" s="1723">
        <f>'LPP-SPP'!AB103</f>
        <v>0</v>
      </c>
      <c r="J22" s="1722">
        <f t="shared" si="1"/>
        <v>0</v>
      </c>
      <c r="K22" s="1715"/>
    </row>
    <row r="23" spans="1:11" s="1687" customFormat="1" ht="13.5" customHeight="1">
      <c r="A23" s="1726">
        <f t="shared" si="2"/>
        <v>12</v>
      </c>
      <c r="B23" s="1727">
        <f>'LPP-SPP'!B24</f>
        <v>0</v>
      </c>
      <c r="C23" s="1724">
        <f>'LPP-SPP'!T104</f>
        <v>0</v>
      </c>
      <c r="D23" s="1724">
        <f t="shared" si="0"/>
        <v>0</v>
      </c>
      <c r="E23" s="1724">
        <f>'LPP-SPP'!Y104</f>
        <v>0</v>
      </c>
      <c r="F23" s="1724">
        <f>'LPP-SPP'!Z104</f>
        <v>0</v>
      </c>
      <c r="G23" s="1724">
        <f>'LPP-SPP'!AA104</f>
        <v>0</v>
      </c>
      <c r="H23" s="1723">
        <f>'LPP-SPP'!AB104</f>
        <v>0</v>
      </c>
      <c r="J23" s="1722">
        <f t="shared" si="1"/>
        <v>0</v>
      </c>
      <c r="K23" s="1715"/>
    </row>
    <row r="24" spans="1:11" s="1687" customFormat="1" ht="13.5" customHeight="1">
      <c r="A24" s="1726">
        <f t="shared" si="2"/>
        <v>13</v>
      </c>
      <c r="B24" s="1727">
        <f>'LPP-SPP'!B25</f>
        <v>0</v>
      </c>
      <c r="C24" s="1724">
        <f>'LPP-SPP'!T105</f>
        <v>0</v>
      </c>
      <c r="D24" s="1724">
        <f t="shared" si="0"/>
        <v>0</v>
      </c>
      <c r="E24" s="1724">
        <f>'LPP-SPP'!Y105</f>
        <v>0</v>
      </c>
      <c r="F24" s="1724">
        <f>'LPP-SPP'!Z105</f>
        <v>0</v>
      </c>
      <c r="G24" s="1724">
        <f>'LPP-SPP'!AA105</f>
        <v>0</v>
      </c>
      <c r="H24" s="1723">
        <f>'LPP-SPP'!AB105</f>
        <v>0</v>
      </c>
      <c r="J24" s="1722">
        <f t="shared" si="1"/>
        <v>0</v>
      </c>
      <c r="K24" s="1715"/>
    </row>
    <row r="25" spans="1:11" s="1687" customFormat="1" ht="13.5" customHeight="1">
      <c r="A25" s="1726">
        <f t="shared" si="2"/>
        <v>14</v>
      </c>
      <c r="B25" s="1727">
        <f>'LPP-SPP'!B26</f>
        <v>0</v>
      </c>
      <c r="C25" s="1724">
        <f>'LPP-SPP'!T106</f>
        <v>0</v>
      </c>
      <c r="D25" s="1724">
        <f t="shared" si="0"/>
        <v>0</v>
      </c>
      <c r="E25" s="1724">
        <f>'LPP-SPP'!Y106</f>
        <v>0</v>
      </c>
      <c r="F25" s="1724">
        <f>'LPP-SPP'!Z106</f>
        <v>0</v>
      </c>
      <c r="G25" s="1724">
        <f>'LPP-SPP'!AA106</f>
        <v>0</v>
      </c>
      <c r="H25" s="1723">
        <f>'LPP-SPP'!AB106</f>
        <v>0</v>
      </c>
      <c r="J25" s="1722">
        <f t="shared" si="1"/>
        <v>0</v>
      </c>
      <c r="K25" s="1715"/>
    </row>
    <row r="26" spans="1:11" s="1687" customFormat="1" ht="13.5" customHeight="1">
      <c r="A26" s="1726">
        <f t="shared" si="2"/>
        <v>15</v>
      </c>
      <c r="B26" s="1727">
        <f>'LPP-SPP'!B27</f>
        <v>0</v>
      </c>
      <c r="C26" s="1724">
        <f>'LPP-SPP'!T107</f>
        <v>0</v>
      </c>
      <c r="D26" s="1724">
        <f t="shared" si="0"/>
        <v>0</v>
      </c>
      <c r="E26" s="1724">
        <f>'LPP-SPP'!Y107</f>
        <v>0</v>
      </c>
      <c r="F26" s="1724">
        <f>'LPP-SPP'!Z107</f>
        <v>0</v>
      </c>
      <c r="G26" s="1724">
        <f>'LPP-SPP'!AA107</f>
        <v>0</v>
      </c>
      <c r="H26" s="1723">
        <f>'LPP-SPP'!AB107</f>
        <v>0</v>
      </c>
      <c r="J26" s="1722">
        <f t="shared" si="1"/>
        <v>0</v>
      </c>
      <c r="K26" s="1715"/>
    </row>
    <row r="27" spans="1:11" s="1687" customFormat="1" ht="13.5" customHeight="1">
      <c r="A27" s="1726">
        <f t="shared" si="2"/>
        <v>16</v>
      </c>
      <c r="B27" s="1727">
        <f>'LPP-SPP'!B28</f>
        <v>0</v>
      </c>
      <c r="C27" s="1724">
        <f>'LPP-SPP'!T108</f>
        <v>0</v>
      </c>
      <c r="D27" s="1724">
        <f t="shared" si="0"/>
        <v>0</v>
      </c>
      <c r="E27" s="1724">
        <f>'LPP-SPP'!Y108</f>
        <v>0</v>
      </c>
      <c r="F27" s="1724">
        <f>'LPP-SPP'!Z108</f>
        <v>0</v>
      </c>
      <c r="G27" s="1724">
        <f>'LPP-SPP'!AA108</f>
        <v>0</v>
      </c>
      <c r="H27" s="1723">
        <f>'LPP-SPP'!AB108</f>
        <v>0</v>
      </c>
      <c r="J27" s="1722">
        <f t="shared" si="1"/>
        <v>0</v>
      </c>
      <c r="K27" s="1715"/>
    </row>
    <row r="28" spans="1:11" s="1687" customFormat="1" ht="15.75" thickBot="1">
      <c r="A28" s="1721"/>
      <c r="B28" s="1720"/>
      <c r="C28" s="1719"/>
      <c r="D28" s="1719"/>
      <c r="E28" s="1719"/>
      <c r="F28" s="1719"/>
      <c r="G28" s="1719"/>
      <c r="H28" s="1718"/>
      <c r="J28" s="1715"/>
      <c r="K28" s="1715"/>
    </row>
    <row r="29" spans="1:11" s="1687" customFormat="1" ht="24.75" customHeight="1" thickBot="1">
      <c r="A29" s="3722" t="s">
        <v>934</v>
      </c>
      <c r="B29" s="3723"/>
      <c r="C29" s="2612">
        <f t="shared" ref="C29:H29" si="3">SUM(C12:C28)</f>
        <v>4481090600</v>
      </c>
      <c r="D29" s="2612">
        <f t="shared" si="3"/>
        <v>3949505900</v>
      </c>
      <c r="E29" s="2612">
        <f t="shared" si="3"/>
        <v>123286900</v>
      </c>
      <c r="F29" s="2612">
        <f t="shared" si="3"/>
        <v>1250000</v>
      </c>
      <c r="G29" s="2612">
        <f t="shared" si="3"/>
        <v>124613100</v>
      </c>
      <c r="H29" s="2613">
        <f t="shared" si="3"/>
        <v>282434700</v>
      </c>
      <c r="J29" s="1715"/>
      <c r="K29" s="1715"/>
    </row>
    <row r="30" spans="1:11" s="1687" customFormat="1" ht="7.5" customHeight="1">
      <c r="A30" s="1706"/>
      <c r="B30" s="1706"/>
      <c r="C30" s="1706"/>
      <c r="D30" s="1706"/>
      <c r="E30" s="1706"/>
      <c r="F30" s="1706"/>
      <c r="G30" s="1706"/>
      <c r="H30" s="1706"/>
      <c r="J30" s="1713"/>
      <c r="K30" s="1713"/>
    </row>
    <row r="31" spans="1:11" s="1687" customFormat="1" ht="7.5" customHeight="1" thickBot="1">
      <c r="A31" s="1706"/>
      <c r="B31" s="1706"/>
      <c r="C31" s="1706"/>
      <c r="D31" s="1706"/>
      <c r="E31" s="1706"/>
      <c r="F31" s="1706"/>
      <c r="G31" s="1706"/>
      <c r="H31" s="1706"/>
      <c r="J31" s="1714"/>
      <c r="K31" s="1713"/>
    </row>
    <row r="32" spans="1:11" s="1687" customFormat="1" ht="15">
      <c r="A32" s="1706"/>
      <c r="B32" s="1712" t="s">
        <v>1536</v>
      </c>
      <c r="C32" s="1711" t="s">
        <v>1535</v>
      </c>
      <c r="D32" s="1711" t="s">
        <v>1534</v>
      </c>
      <c r="E32" s="1709" t="s">
        <v>1533</v>
      </c>
      <c r="F32" s="1706"/>
      <c r="G32" s="1706"/>
      <c r="H32" s="1706"/>
    </row>
    <row r="33" spans="1:10" s="1687" customFormat="1" ht="15.75" thickBot="1">
      <c r="A33" s="1706"/>
      <c r="B33" s="2615" t="s">
        <v>1532</v>
      </c>
      <c r="C33" s="2609" t="s">
        <v>1531</v>
      </c>
      <c r="D33" s="2609"/>
      <c r="E33" s="2616" t="s">
        <v>1531</v>
      </c>
      <c r="F33" s="3717" t="s">
        <v>1530</v>
      </c>
      <c r="G33" s="3717"/>
      <c r="H33" s="2637" t="s">
        <v>1529</v>
      </c>
    </row>
    <row r="34" spans="1:10" s="1687" customFormat="1" ht="15">
      <c r="A34" s="1706"/>
      <c r="B34" s="2606"/>
      <c r="C34" s="2614" t="s">
        <v>1528</v>
      </c>
      <c r="D34" s="2614" t="s">
        <v>1527</v>
      </c>
      <c r="E34" s="2607" t="s">
        <v>1526</v>
      </c>
      <c r="F34" s="2638"/>
      <c r="G34" s="2638"/>
      <c r="H34" s="2638"/>
    </row>
    <row r="35" spans="1:10" s="1687" customFormat="1" ht="13.5" customHeight="1">
      <c r="B35" s="2600" t="s">
        <v>1525</v>
      </c>
      <c r="C35" s="1698">
        <v>0.01</v>
      </c>
      <c r="D35" s="1697">
        <f>+D29</f>
        <v>3949505900</v>
      </c>
      <c r="E35" s="1696">
        <f>+D35*C35</f>
        <v>39495059</v>
      </c>
      <c r="F35" s="2639"/>
      <c r="G35" s="2639"/>
      <c r="H35" s="2639"/>
    </row>
    <row r="36" spans="1:10" s="1687" customFormat="1" ht="13.5" customHeight="1">
      <c r="B36" s="2600" t="s">
        <v>1524</v>
      </c>
      <c r="C36" s="1698">
        <v>0.1</v>
      </c>
      <c r="D36" s="1697">
        <f>+E29</f>
        <v>123286900</v>
      </c>
      <c r="E36" s="1696">
        <f>+D36*C36</f>
        <v>12328690</v>
      </c>
      <c r="F36" s="2639"/>
      <c r="G36" s="2639"/>
      <c r="H36" s="2639"/>
    </row>
    <row r="37" spans="1:10" s="1687" customFormat="1" ht="13.5" customHeight="1">
      <c r="B37" s="2600" t="s">
        <v>1523</v>
      </c>
      <c r="C37" s="1698">
        <v>0.25</v>
      </c>
      <c r="D37" s="1697">
        <f>+F29</f>
        <v>1250000</v>
      </c>
      <c r="E37" s="1696">
        <f>+D37*C37</f>
        <v>312500</v>
      </c>
      <c r="F37" s="2639"/>
      <c r="G37" s="2639"/>
      <c r="H37" s="2639"/>
    </row>
    <row r="38" spans="1:10" s="1687" customFormat="1" ht="13.5" customHeight="1">
      <c r="B38" s="2600" t="s">
        <v>1522</v>
      </c>
      <c r="C38" s="1698">
        <v>0.5</v>
      </c>
      <c r="D38" s="1697">
        <f>+G29</f>
        <v>124613100</v>
      </c>
      <c r="E38" s="1696">
        <f>+D38*C38</f>
        <v>62306550</v>
      </c>
      <c r="F38" s="3717" t="str">
        <f>'LPP-SPP'!G39</f>
        <v>Endang Taryana</v>
      </c>
      <c r="G38" s="3717"/>
      <c r="H38" s="2640" t="str">
        <f>'LPP-SPP'!T39</f>
        <v>Arin Yustini, SE</v>
      </c>
    </row>
    <row r="39" spans="1:10" s="1687" customFormat="1" ht="13.5" customHeight="1" thickBot="1">
      <c r="B39" s="2617" t="s">
        <v>1521</v>
      </c>
      <c r="C39" s="2618">
        <v>1</v>
      </c>
      <c r="D39" s="2619">
        <f>+H29</f>
        <v>282434700</v>
      </c>
      <c r="E39" s="2620">
        <f>+D39*C39</f>
        <v>282434700</v>
      </c>
      <c r="F39" s="3717" t="s">
        <v>23</v>
      </c>
      <c r="G39" s="3717"/>
      <c r="H39" s="2641" t="s">
        <v>24</v>
      </c>
    </row>
    <row r="40" spans="1:10" s="1687" customFormat="1" ht="24.75" customHeight="1">
      <c r="B40" s="3720" t="s">
        <v>1507</v>
      </c>
      <c r="C40" s="3721"/>
      <c r="D40" s="2621">
        <f>SUM(D35:D39)</f>
        <v>4481090600</v>
      </c>
      <c r="E40" s="2622">
        <f>SUM(E35:E39)</f>
        <v>396877499</v>
      </c>
    </row>
    <row r="41" spans="1:10" s="1687" customFormat="1" ht="15">
      <c r="B41" s="1726"/>
      <c r="C41" s="3712" t="s">
        <v>1520</v>
      </c>
      <c r="D41" s="3712"/>
      <c r="E41" s="3718">
        <f>IF(D40=0,0,E40/D40)</f>
        <v>8.8567166885668416E-2</v>
      </c>
    </row>
    <row r="42" spans="1:10" s="1687" customFormat="1" ht="15.75" thickBot="1">
      <c r="B42" s="2605"/>
      <c r="C42" s="3708" t="s">
        <v>1519</v>
      </c>
      <c r="D42" s="3708"/>
      <c r="E42" s="3719"/>
    </row>
    <row r="43" spans="1:10">
      <c r="A43" s="1686"/>
    </row>
    <row r="47" spans="1:10">
      <c r="F47" s="1684"/>
      <c r="G47" s="1685"/>
      <c r="H47" s="1685"/>
      <c r="I47" s="1684"/>
      <c r="J47" s="1684"/>
    </row>
    <row r="48" spans="1:10">
      <c r="F48" s="1682"/>
      <c r="G48" s="1683"/>
      <c r="H48" s="1683"/>
      <c r="I48" s="1682"/>
      <c r="J48" s="1682"/>
    </row>
  </sheetData>
  <sheetProtection formatColumns="0" formatRows="0"/>
  <protectedRanges>
    <protectedRange sqref="J12:J27" name="Range1"/>
  </protectedRanges>
  <mergeCells count="13">
    <mergeCell ref="A1:H1"/>
    <mergeCell ref="A2:H2"/>
    <mergeCell ref="A3:H3"/>
    <mergeCell ref="C41:D41"/>
    <mergeCell ref="B8:B11"/>
    <mergeCell ref="A8:A11"/>
    <mergeCell ref="A29:B29"/>
    <mergeCell ref="C42:D42"/>
    <mergeCell ref="F33:G33"/>
    <mergeCell ref="F38:G38"/>
    <mergeCell ref="F39:G39"/>
    <mergeCell ref="E41:E42"/>
    <mergeCell ref="B40:C40"/>
  </mergeCells>
  <pageMargins left="0.56000000000000005" right="0.27559055118110237" top="0.74803149606299213" bottom="0.19685039370078741" header="0.86614173228346458" footer="0.51181102362204722"/>
  <pageSetup paperSize="9" scale="70" orientation="landscape" horizontalDpi="4294967294" verticalDpi="4294967294" r:id="rId1"/>
  <headerFooter alignWithMargins="0"/>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13"/>
  </sheetPr>
  <dimension ref="A1:K48"/>
  <sheetViews>
    <sheetView zoomScale="70" zoomScaleNormal="70" workbookViewId="0">
      <selection activeCell="E27" sqref="E27"/>
    </sheetView>
  </sheetViews>
  <sheetFormatPr defaultColWidth="9.140625" defaultRowHeight="12.75"/>
  <cols>
    <col min="1" max="1" width="4.5703125" style="1681" customWidth="1"/>
    <col min="2" max="2" width="20.85546875" style="1681" customWidth="1"/>
    <col min="3" max="3" width="33.7109375" style="1681" customWidth="1"/>
    <col min="4" max="4" width="26" style="1681" customWidth="1"/>
    <col min="5" max="5" width="26.5703125" style="1681" customWidth="1"/>
    <col min="6" max="6" width="26.42578125" style="1681" customWidth="1"/>
    <col min="7" max="7" width="27" style="1681" customWidth="1"/>
    <col min="8" max="8" width="31.28515625" style="1681" customWidth="1"/>
    <col min="9" max="9" width="13.7109375" style="1681" customWidth="1"/>
    <col min="10" max="10" width="17" style="1681" customWidth="1"/>
    <col min="11" max="11" width="13" style="1681" customWidth="1"/>
    <col min="12" max="16384" width="9.140625" style="1681"/>
  </cols>
  <sheetData>
    <row r="1" spans="1:11">
      <c r="A1" s="3410" t="s">
        <v>123</v>
      </c>
      <c r="B1" s="3410"/>
      <c r="C1" s="3410"/>
      <c r="D1" s="3410"/>
      <c r="E1" s="3410"/>
      <c r="F1" s="3410"/>
      <c r="G1" s="3410"/>
      <c r="H1" s="3410"/>
    </row>
    <row r="2" spans="1:11">
      <c r="A2" s="3410" t="s">
        <v>1658</v>
      </c>
      <c r="B2" s="3410"/>
      <c r="C2" s="3410"/>
      <c r="D2" s="3410"/>
      <c r="E2" s="3410"/>
      <c r="F2" s="3410"/>
      <c r="G2" s="3410"/>
      <c r="H2" s="3410"/>
    </row>
    <row r="3" spans="1:11">
      <c r="A3" s="3410" t="str">
        <f>'LPP-SPP PIHAK KE-3'!A4</f>
        <v>Per - Februari 2016 2016</v>
      </c>
      <c r="B3" s="3410"/>
      <c r="C3" s="3410"/>
      <c r="D3" s="3410"/>
      <c r="E3" s="3410"/>
      <c r="F3" s="3410"/>
      <c r="G3" s="3410"/>
      <c r="H3" s="3410"/>
    </row>
    <row r="4" spans="1:11" ht="4.5" customHeight="1"/>
    <row r="5" spans="1:11" s="1687" customFormat="1" ht="15.75">
      <c r="B5" s="1743" t="s">
        <v>2</v>
      </c>
      <c r="C5" s="1744" t="str">
        <f>'LPP-SPP PIHAK KE-3'!F6</f>
        <v>:  Nagrak</v>
      </c>
      <c r="D5" s="1658"/>
    </row>
    <row r="6" spans="1:11" s="1687" customFormat="1" ht="15.75">
      <c r="B6" s="1743" t="s">
        <v>4</v>
      </c>
      <c r="C6" s="1742" t="str">
        <f>'LPP-SPP PIHAK KE-3'!F7</f>
        <v>:  Sukabumi</v>
      </c>
      <c r="D6" s="1658"/>
    </row>
    <row r="7" spans="1:11" s="1687" customFormat="1" ht="16.5" thickBot="1">
      <c r="B7" s="1743" t="s">
        <v>6</v>
      </c>
      <c r="C7" s="1742" t="str">
        <f>'LPP-SPP PIHAK KE-3'!F8</f>
        <v>:  Jawa Barat</v>
      </c>
      <c r="D7" s="1658"/>
    </row>
    <row r="8" spans="1:11" s="1687" customFormat="1" ht="15">
      <c r="A8" s="3410" t="s">
        <v>978</v>
      </c>
      <c r="B8" s="3410" t="s">
        <v>1556</v>
      </c>
      <c r="C8" s="1711" t="s">
        <v>1224</v>
      </c>
      <c r="D8" s="1710" t="s">
        <v>1555</v>
      </c>
      <c r="E8" s="1711" t="s">
        <v>1555</v>
      </c>
      <c r="F8" s="1710" t="s">
        <v>1555</v>
      </c>
      <c r="G8" s="1711" t="s">
        <v>1555</v>
      </c>
      <c r="H8" s="1741" t="s">
        <v>1555</v>
      </c>
    </row>
    <row r="9" spans="1:11" s="1687" customFormat="1" ht="15">
      <c r="A9" s="3410"/>
      <c r="B9" s="3410"/>
      <c r="C9" s="1701" t="s">
        <v>1554</v>
      </c>
      <c r="D9" s="1708" t="s">
        <v>1553</v>
      </c>
      <c r="E9" s="1701" t="s">
        <v>1552</v>
      </c>
      <c r="F9" s="1708" t="s">
        <v>1552</v>
      </c>
      <c r="G9" s="1701" t="s">
        <v>1552</v>
      </c>
      <c r="H9" s="1740" t="s">
        <v>1551</v>
      </c>
    </row>
    <row r="10" spans="1:11" s="1687" customFormat="1" ht="16.5" thickBot="1">
      <c r="A10" s="3410"/>
      <c r="B10" s="3410"/>
      <c r="C10" s="1701" t="s">
        <v>1550</v>
      </c>
      <c r="D10" s="1708" t="s">
        <v>1549</v>
      </c>
      <c r="E10" s="1701" t="s">
        <v>1548</v>
      </c>
      <c r="F10" s="1708" t="s">
        <v>1547</v>
      </c>
      <c r="G10" s="1701" t="s">
        <v>1546</v>
      </c>
      <c r="H10" s="1740" t="s">
        <v>1545</v>
      </c>
      <c r="J10" s="1734" t="s">
        <v>1544</v>
      </c>
    </row>
    <row r="11" spans="1:11" s="1687" customFormat="1" ht="16.5" thickBot="1">
      <c r="A11" s="3410"/>
      <c r="B11" s="3410"/>
      <c r="C11" s="1739" t="s">
        <v>1543</v>
      </c>
      <c r="D11" s="1738" t="s">
        <v>1542</v>
      </c>
      <c r="E11" s="1736" t="s">
        <v>1541</v>
      </c>
      <c r="F11" s="1737" t="s">
        <v>1540</v>
      </c>
      <c r="G11" s="1736" t="s">
        <v>1539</v>
      </c>
      <c r="H11" s="1735" t="s">
        <v>1538</v>
      </c>
      <c r="J11" s="1734" t="s">
        <v>1537</v>
      </c>
    </row>
    <row r="12" spans="1:11" s="1687" customFormat="1" ht="13.5" customHeight="1">
      <c r="A12" s="1733">
        <v>1</v>
      </c>
      <c r="B12" s="1732" t="str">
        <f>'LPP-SPP PIHAK KE-3'!B13</f>
        <v>CIHANYAWAR</v>
      </c>
      <c r="C12" s="1731">
        <f>'LPP-SPP PIHAK KE-3'!T93</f>
        <v>0</v>
      </c>
      <c r="D12" s="1731">
        <f>C12-E12-F12-G12-H12</f>
        <v>0</v>
      </c>
      <c r="E12" s="1731">
        <f>'LPP-SPP PIHAK KE-3'!Y93</f>
        <v>0</v>
      </c>
      <c r="F12" s="1731">
        <f>'LPP-SPP PIHAK KE-3'!Z93</f>
        <v>0</v>
      </c>
      <c r="G12" s="1731">
        <f>'LPP-SPP PIHAK KE-3'!AA93</f>
        <v>0</v>
      </c>
      <c r="H12" s="1730">
        <f>'LPP-SPP PIHAK KE-3'!AB93</f>
        <v>0</v>
      </c>
      <c r="J12" s="1722">
        <f>C12-D12-E12-F12-G12-H12</f>
        <v>0</v>
      </c>
      <c r="K12" s="1715"/>
    </row>
    <row r="13" spans="1:11" s="1687" customFormat="1" ht="13.5" customHeight="1">
      <c r="A13" s="1726">
        <f>A12+1</f>
        <v>2</v>
      </c>
      <c r="B13" s="1729" t="str">
        <f>'LPP-SPP PIHAK KE-3'!B14</f>
        <v>NAGRAK UTARA</v>
      </c>
      <c r="C13" s="1724">
        <f>'LPP-SPP PIHAK KE-3'!T94</f>
        <v>0</v>
      </c>
      <c r="D13" s="1724">
        <f t="shared" ref="D13:D27" si="0">C13-E13-F13-G13-H13</f>
        <v>0</v>
      </c>
      <c r="E13" s="1724">
        <f>'LPP-SPP PIHAK KE-3'!Y94</f>
        <v>0</v>
      </c>
      <c r="F13" s="1724">
        <f>'LPP-SPP PIHAK KE-3'!Z94</f>
        <v>0</v>
      </c>
      <c r="G13" s="1724">
        <f>'LPP-SPP PIHAK KE-3'!AA94</f>
        <v>0</v>
      </c>
      <c r="H13" s="1723">
        <f>'LPP-SPP PIHAK KE-3'!AB94</f>
        <v>0</v>
      </c>
      <c r="J13" s="1722">
        <f t="shared" ref="J13:J27" si="1">C13-D13-E13-F13-G13-H13</f>
        <v>0</v>
      </c>
      <c r="K13" s="1715"/>
    </row>
    <row r="14" spans="1:11" s="1687" customFormat="1" ht="13.5" customHeight="1">
      <c r="A14" s="1726">
        <f t="shared" ref="A14:A27" si="2">A13+1</f>
        <v>3</v>
      </c>
      <c r="B14" s="1728" t="str">
        <f>'LPP-SPP PIHAK KE-3'!B15</f>
        <v>DARMAREJA</v>
      </c>
      <c r="C14" s="1724">
        <f>'LPP-SPP PIHAK KE-3'!T95</f>
        <v>0</v>
      </c>
      <c r="D14" s="1724">
        <f t="shared" si="0"/>
        <v>0</v>
      </c>
      <c r="E14" s="1724">
        <f>'LPP-SPP PIHAK KE-3'!Y95</f>
        <v>0</v>
      </c>
      <c r="F14" s="1724">
        <f>'LPP-SPP PIHAK KE-3'!Z95</f>
        <v>0</v>
      </c>
      <c r="G14" s="1724">
        <f>'LPP-SPP PIHAK KE-3'!AA95</f>
        <v>0</v>
      </c>
      <c r="H14" s="1723">
        <f>'LPP-SPP PIHAK KE-3'!AB95</f>
        <v>0</v>
      </c>
      <c r="J14" s="1722">
        <f t="shared" si="1"/>
        <v>0</v>
      </c>
      <c r="K14" s="1715"/>
    </row>
    <row r="15" spans="1:11" s="1687" customFormat="1" ht="13.5" customHeight="1">
      <c r="A15" s="1726">
        <f t="shared" si="2"/>
        <v>4</v>
      </c>
      <c r="B15" s="1728" t="str">
        <f>'LPP-SPP PIHAK KE-3'!B16</f>
        <v>BALEKAMBANG</v>
      </c>
      <c r="C15" s="1724">
        <f>'LPP-SPP PIHAK KE-3'!T96</f>
        <v>0</v>
      </c>
      <c r="D15" s="1724">
        <f t="shared" si="0"/>
        <v>0</v>
      </c>
      <c r="E15" s="1724">
        <f>'LPP-SPP PIHAK KE-3'!Y96</f>
        <v>0</v>
      </c>
      <c r="F15" s="1724">
        <f>'LPP-SPP PIHAK KE-3'!Z96</f>
        <v>0</v>
      </c>
      <c r="G15" s="1724">
        <f>'LPP-SPP PIHAK KE-3'!AA96</f>
        <v>0</v>
      </c>
      <c r="H15" s="1723">
        <f>'LPP-SPP PIHAK KE-3'!AB96</f>
        <v>0</v>
      </c>
      <c r="J15" s="1722">
        <f t="shared" si="1"/>
        <v>0</v>
      </c>
      <c r="K15" s="1715"/>
    </row>
    <row r="16" spans="1:11" s="1687" customFormat="1" ht="13.5" customHeight="1">
      <c r="A16" s="1726">
        <f t="shared" si="2"/>
        <v>5</v>
      </c>
      <c r="B16" s="1728" t="str">
        <f>'LPP-SPP PIHAK KE-3'!B17</f>
        <v>NAGRAK SELATAN</v>
      </c>
      <c r="C16" s="1724">
        <f>'LPP-SPP PIHAK KE-3'!T97</f>
        <v>0</v>
      </c>
      <c r="D16" s="1724">
        <f t="shared" si="0"/>
        <v>0</v>
      </c>
      <c r="E16" s="1724">
        <f>'LPP-SPP PIHAK KE-3'!Y97</f>
        <v>0</v>
      </c>
      <c r="F16" s="1724">
        <f>'LPP-SPP PIHAK KE-3'!Z97</f>
        <v>0</v>
      </c>
      <c r="G16" s="1724">
        <f>'LPP-SPP PIHAK KE-3'!AA97</f>
        <v>0</v>
      </c>
      <c r="H16" s="1723">
        <f>'LPP-SPP PIHAK KE-3'!AB97</f>
        <v>0</v>
      </c>
      <c r="J16" s="1722">
        <f t="shared" si="1"/>
        <v>0</v>
      </c>
      <c r="K16" s="1715"/>
    </row>
    <row r="17" spans="1:11" s="1687" customFormat="1" ht="13.5" customHeight="1">
      <c r="A17" s="1726">
        <f t="shared" si="2"/>
        <v>6</v>
      </c>
      <c r="B17" s="1728" t="str">
        <f>'LPP-SPP PIHAK KE-3'!B18</f>
        <v>KALAPAREA</v>
      </c>
      <c r="C17" s="1724">
        <f>'LPP-SPP PIHAK KE-3'!T98</f>
        <v>0</v>
      </c>
      <c r="D17" s="1724">
        <f t="shared" si="0"/>
        <v>0</v>
      </c>
      <c r="E17" s="1724">
        <f>'LPP-SPP PIHAK KE-3'!Y98</f>
        <v>0</v>
      </c>
      <c r="F17" s="1724">
        <f>'LPP-SPP PIHAK KE-3'!Z98</f>
        <v>0</v>
      </c>
      <c r="G17" s="1724">
        <f>'LPP-SPP PIHAK KE-3'!AA98</f>
        <v>0</v>
      </c>
      <c r="H17" s="1723">
        <f>'LPP-SPP PIHAK KE-3'!AB98</f>
        <v>0</v>
      </c>
      <c r="J17" s="1722">
        <f t="shared" si="1"/>
        <v>0</v>
      </c>
      <c r="K17" s="1715"/>
    </row>
    <row r="18" spans="1:11" s="1687" customFormat="1" ht="13.5" customHeight="1">
      <c r="A18" s="1726">
        <f t="shared" si="2"/>
        <v>7</v>
      </c>
      <c r="B18" s="1728" t="str">
        <f>'LPP-SPP PIHAK KE-3'!B19</f>
        <v>BABAKAN PANJANG</v>
      </c>
      <c r="C18" s="1724">
        <f>'LPP-SPP PIHAK KE-3'!T99</f>
        <v>0</v>
      </c>
      <c r="D18" s="1724">
        <f>C18-E18-F18-G18-H18</f>
        <v>0</v>
      </c>
      <c r="E18" s="1724">
        <f>'LPP-SPP PIHAK KE-3'!Y99</f>
        <v>0</v>
      </c>
      <c r="F18" s="1724">
        <f>'LPP-SPP PIHAK KE-3'!Z99</f>
        <v>0</v>
      </c>
      <c r="G18" s="1724">
        <f>'LPP-SPP PIHAK KE-3'!AA99</f>
        <v>0</v>
      </c>
      <c r="H18" s="1723">
        <f>'LPP-SPP PIHAK KE-3'!AB99</f>
        <v>0</v>
      </c>
      <c r="J18" s="1722">
        <f t="shared" si="1"/>
        <v>0</v>
      </c>
      <c r="K18" s="1715"/>
    </row>
    <row r="19" spans="1:11" s="1687" customFormat="1" ht="13.5" customHeight="1">
      <c r="A19" s="1726">
        <f t="shared" si="2"/>
        <v>8</v>
      </c>
      <c r="B19" s="1727" t="str">
        <f>'LPP-SPP PIHAK KE-3'!B20</f>
        <v>PAWENANG</v>
      </c>
      <c r="C19" s="1724">
        <f>'LPP-SPP PIHAK KE-3'!T100</f>
        <v>0</v>
      </c>
      <c r="D19" s="1724">
        <f t="shared" si="0"/>
        <v>0</v>
      </c>
      <c r="E19" s="1724">
        <f>'LPP-SPP PIHAK KE-3'!Y100</f>
        <v>0</v>
      </c>
      <c r="F19" s="1724">
        <f>'LPP-SPP PIHAK KE-3'!Z100</f>
        <v>0</v>
      </c>
      <c r="G19" s="1724">
        <f>'LPP-SPP PIHAK KE-3'!AA100</f>
        <v>0</v>
      </c>
      <c r="H19" s="1723">
        <f>'LPP-SPP PIHAK KE-3'!AB100</f>
        <v>0</v>
      </c>
      <c r="J19" s="1722">
        <f t="shared" si="1"/>
        <v>0</v>
      </c>
      <c r="K19" s="1715"/>
    </row>
    <row r="20" spans="1:11" s="1687" customFormat="1" ht="13.5" customHeight="1">
      <c r="A20" s="1726">
        <f t="shared" si="2"/>
        <v>9</v>
      </c>
      <c r="B20" s="1727" t="str">
        <f>'LPP-SPP PIHAK KE-3'!B21</f>
        <v>CISARUA</v>
      </c>
      <c r="C20" s="1724">
        <f>'LPP-SPP PIHAK KE-3'!T101</f>
        <v>0</v>
      </c>
      <c r="D20" s="1724">
        <f t="shared" si="0"/>
        <v>0</v>
      </c>
      <c r="E20" s="1724">
        <f>'LPP-SPP PIHAK KE-3'!Y101</f>
        <v>0</v>
      </c>
      <c r="F20" s="1724">
        <f>'LPP-SPP PIHAK KE-3'!Z101</f>
        <v>0</v>
      </c>
      <c r="G20" s="1724">
        <f>'LPP-SPP PIHAK KE-3'!AA101</f>
        <v>0</v>
      </c>
      <c r="H20" s="1723">
        <f>'LPP-SPP PIHAK KE-3'!AB101</f>
        <v>0</v>
      </c>
      <c r="J20" s="1722">
        <f t="shared" si="1"/>
        <v>0</v>
      </c>
      <c r="K20" s="1715"/>
    </row>
    <row r="21" spans="1:11" s="1687" customFormat="1" ht="13.5" customHeight="1">
      <c r="A21" s="1726">
        <f t="shared" si="2"/>
        <v>10</v>
      </c>
      <c r="B21" s="1725" t="str">
        <f>'LPP-SPP PIHAK KE-3'!B22</f>
        <v>GIRIJAYA</v>
      </c>
      <c r="C21" s="1724">
        <f>'LPP-SPP PIHAK KE-3'!T102</f>
        <v>0</v>
      </c>
      <c r="D21" s="1724">
        <f t="shared" si="0"/>
        <v>0</v>
      </c>
      <c r="E21" s="1724">
        <f>'LPP-SPP PIHAK KE-3'!Y102</f>
        <v>0</v>
      </c>
      <c r="F21" s="1724">
        <f>'LPP-SPP PIHAK KE-3'!Z102</f>
        <v>0</v>
      </c>
      <c r="G21" s="1724">
        <f>'LPP-SPP PIHAK KE-3'!AA102</f>
        <v>0</v>
      </c>
      <c r="H21" s="1723">
        <f>'LPP-SPP PIHAK KE-3'!AB102</f>
        <v>0</v>
      </c>
      <c r="J21" s="1722">
        <f t="shared" si="1"/>
        <v>0</v>
      </c>
      <c r="K21" s="1715"/>
    </row>
    <row r="22" spans="1:11" s="1687" customFormat="1" ht="13.5" customHeight="1">
      <c r="A22" s="1726">
        <f t="shared" si="2"/>
        <v>11</v>
      </c>
      <c r="B22" s="1725">
        <f>'LPP-SPP PIHAK KE-3'!B23</f>
        <v>0</v>
      </c>
      <c r="C22" s="1724">
        <f>'LPP-SPP PIHAK KE-3'!T103</f>
        <v>0</v>
      </c>
      <c r="D22" s="1724">
        <f t="shared" si="0"/>
        <v>0</v>
      </c>
      <c r="E22" s="1724">
        <f>'LPP-SPP PIHAK KE-3'!Y103</f>
        <v>0</v>
      </c>
      <c r="F22" s="1724">
        <f>'LPP-SPP PIHAK KE-3'!Z103</f>
        <v>0</v>
      </c>
      <c r="G22" s="1724">
        <f>'LPP-SPP PIHAK KE-3'!AA103</f>
        <v>0</v>
      </c>
      <c r="H22" s="1723">
        <f>'LPP-SPP PIHAK KE-3'!AB103</f>
        <v>0</v>
      </c>
      <c r="J22" s="1722">
        <f t="shared" si="1"/>
        <v>0</v>
      </c>
      <c r="K22" s="1715"/>
    </row>
    <row r="23" spans="1:11" s="1687" customFormat="1" ht="13.5" customHeight="1">
      <c r="A23" s="1726">
        <f t="shared" si="2"/>
        <v>12</v>
      </c>
      <c r="B23" s="1725">
        <f>'LPP-SPP PIHAK KE-3'!B24</f>
        <v>0</v>
      </c>
      <c r="C23" s="1724">
        <f>'LPP-SPP PIHAK KE-3'!T104</f>
        <v>0</v>
      </c>
      <c r="D23" s="1724">
        <f t="shared" si="0"/>
        <v>0</v>
      </c>
      <c r="E23" s="1724">
        <f>'LPP-SPP PIHAK KE-3'!Y104</f>
        <v>0</v>
      </c>
      <c r="F23" s="1724">
        <f>'LPP-SPP PIHAK KE-3'!Z104</f>
        <v>0</v>
      </c>
      <c r="G23" s="1724">
        <f>'LPP-SPP PIHAK KE-3'!AA104</f>
        <v>0</v>
      </c>
      <c r="H23" s="1723">
        <f>'LPP-SPP PIHAK KE-3'!AB104</f>
        <v>0</v>
      </c>
      <c r="J23" s="1722">
        <f t="shared" si="1"/>
        <v>0</v>
      </c>
      <c r="K23" s="1715"/>
    </row>
    <row r="24" spans="1:11" s="1687" customFormat="1" ht="13.5" customHeight="1">
      <c r="A24" s="1726">
        <f t="shared" si="2"/>
        <v>13</v>
      </c>
      <c r="B24" s="1725">
        <f>'LPP-SPP PIHAK KE-3'!B25</f>
        <v>0</v>
      </c>
      <c r="C24" s="1724">
        <f>'LPP-SPP PIHAK KE-3'!T105</f>
        <v>0</v>
      </c>
      <c r="D24" s="1724">
        <f t="shared" si="0"/>
        <v>0</v>
      </c>
      <c r="E24" s="1724">
        <f>'LPP-SPP PIHAK KE-3'!Y105</f>
        <v>0</v>
      </c>
      <c r="F24" s="1724">
        <f>'LPP-SPP PIHAK KE-3'!Z105</f>
        <v>0</v>
      </c>
      <c r="G24" s="1724">
        <f>'LPP-SPP PIHAK KE-3'!AA105</f>
        <v>0</v>
      </c>
      <c r="H24" s="1723">
        <f>'LPP-SPP PIHAK KE-3'!AB105</f>
        <v>0</v>
      </c>
      <c r="J24" s="1722">
        <f t="shared" si="1"/>
        <v>0</v>
      </c>
      <c r="K24" s="1715"/>
    </row>
    <row r="25" spans="1:11" s="1687" customFormat="1" ht="13.5" customHeight="1">
      <c r="A25" s="1726">
        <f t="shared" si="2"/>
        <v>14</v>
      </c>
      <c r="B25" s="1725">
        <f>'LPP-SPP PIHAK KE-3'!B26</f>
        <v>0</v>
      </c>
      <c r="C25" s="1724">
        <f>'LPP-SPP PIHAK KE-3'!T106</f>
        <v>0</v>
      </c>
      <c r="D25" s="1724">
        <f t="shared" si="0"/>
        <v>0</v>
      </c>
      <c r="E25" s="1724">
        <f>'LPP-SPP PIHAK KE-3'!Y106</f>
        <v>0</v>
      </c>
      <c r="F25" s="1724">
        <f>'LPP-SPP PIHAK KE-3'!Z106</f>
        <v>0</v>
      </c>
      <c r="G25" s="1724">
        <f>'LPP-SPP PIHAK KE-3'!AA106</f>
        <v>0</v>
      </c>
      <c r="H25" s="1723">
        <f>'LPP-SPP PIHAK KE-3'!AB106</f>
        <v>0</v>
      </c>
      <c r="J25" s="1722">
        <f t="shared" si="1"/>
        <v>0</v>
      </c>
      <c r="K25" s="1715"/>
    </row>
    <row r="26" spans="1:11" s="1687" customFormat="1" ht="13.5" customHeight="1">
      <c r="A26" s="1726">
        <f t="shared" si="2"/>
        <v>15</v>
      </c>
      <c r="B26" s="1725">
        <f>'LPP-SPP PIHAK KE-3'!B27</f>
        <v>0</v>
      </c>
      <c r="C26" s="1724">
        <f>'LPP-SPP PIHAK KE-3'!T107</f>
        <v>0</v>
      </c>
      <c r="D26" s="1724">
        <f t="shared" si="0"/>
        <v>0</v>
      </c>
      <c r="E26" s="1724">
        <f>'LPP-SPP PIHAK KE-3'!Y107</f>
        <v>0</v>
      </c>
      <c r="F26" s="1724">
        <f>'LPP-SPP PIHAK KE-3'!Z107</f>
        <v>0</v>
      </c>
      <c r="G26" s="1724">
        <f>'LPP-SPP PIHAK KE-3'!AA107</f>
        <v>0</v>
      </c>
      <c r="H26" s="1723">
        <f>'LPP-SPP PIHAK KE-3'!AB107</f>
        <v>0</v>
      </c>
      <c r="J26" s="1722">
        <f t="shared" si="1"/>
        <v>0</v>
      </c>
      <c r="K26" s="1715"/>
    </row>
    <row r="27" spans="1:11" s="1687" customFormat="1" ht="13.5" customHeight="1">
      <c r="A27" s="1726">
        <f t="shared" si="2"/>
        <v>16</v>
      </c>
      <c r="B27" s="1725">
        <f>'LPP-SPP PIHAK KE-3'!B28</f>
        <v>0</v>
      </c>
      <c r="C27" s="1724">
        <f>'LPP-SPP PIHAK KE-3'!T108</f>
        <v>0</v>
      </c>
      <c r="D27" s="1724">
        <f t="shared" si="0"/>
        <v>0</v>
      </c>
      <c r="E27" s="1724">
        <f>'LPP-SPP PIHAK KE-3'!Y108</f>
        <v>0</v>
      </c>
      <c r="F27" s="1724">
        <f>'LPP-SPP PIHAK KE-3'!Z108</f>
        <v>0</v>
      </c>
      <c r="G27" s="1724">
        <f>'LPP-SPP PIHAK KE-3'!AA108</f>
        <v>0</v>
      </c>
      <c r="H27" s="1723">
        <f>'LPP-SPP PIHAK KE-3'!AB108</f>
        <v>0</v>
      </c>
      <c r="J27" s="1722">
        <f t="shared" si="1"/>
        <v>0</v>
      </c>
      <c r="K27" s="1715"/>
    </row>
    <row r="28" spans="1:11" s="1687" customFormat="1" ht="15.75" thickBot="1">
      <c r="A28" s="1721"/>
      <c r="B28" s="1720"/>
      <c r="C28" s="1719"/>
      <c r="D28" s="1719"/>
      <c r="E28" s="1719"/>
      <c r="F28" s="1719"/>
      <c r="G28" s="1719"/>
      <c r="H28" s="1718"/>
      <c r="J28" s="1715"/>
      <c r="K28" s="1715"/>
    </row>
    <row r="29" spans="1:11" s="1687" customFormat="1" ht="24.75" customHeight="1" thickBot="1">
      <c r="A29" s="3410" t="s">
        <v>934</v>
      </c>
      <c r="B29" s="3410"/>
      <c r="C29" s="1717">
        <f t="shared" ref="C29:H29" si="3">SUM(C12:C28)</f>
        <v>0</v>
      </c>
      <c r="D29" s="1717">
        <f t="shared" si="3"/>
        <v>0</v>
      </c>
      <c r="E29" s="1717">
        <f t="shared" si="3"/>
        <v>0</v>
      </c>
      <c r="F29" s="1717">
        <f t="shared" si="3"/>
        <v>0</v>
      </c>
      <c r="G29" s="1717">
        <f t="shared" si="3"/>
        <v>0</v>
      </c>
      <c r="H29" s="1716">
        <f t="shared" si="3"/>
        <v>0</v>
      </c>
      <c r="J29" s="1715"/>
      <c r="K29" s="1715"/>
    </row>
    <row r="30" spans="1:11" s="1687" customFormat="1" ht="7.5" customHeight="1">
      <c r="A30" s="1706"/>
      <c r="B30" s="1706"/>
      <c r="C30" s="1706"/>
      <c r="D30" s="1706"/>
      <c r="E30" s="1706"/>
      <c r="F30" s="1706"/>
      <c r="G30" s="1706"/>
      <c r="H30" s="1706"/>
      <c r="J30" s="1713"/>
      <c r="K30" s="1713"/>
    </row>
    <row r="31" spans="1:11" s="1687" customFormat="1" ht="7.5" customHeight="1" thickBot="1">
      <c r="A31" s="1706"/>
      <c r="B31" s="1706"/>
      <c r="C31" s="1706"/>
      <c r="D31" s="1706"/>
      <c r="E31" s="1706"/>
      <c r="F31" s="1706"/>
      <c r="G31" s="1706"/>
      <c r="H31" s="1706"/>
      <c r="J31" s="1714"/>
      <c r="K31" s="1713"/>
    </row>
    <row r="32" spans="1:11" s="1687" customFormat="1" ht="15">
      <c r="A32" s="1706"/>
      <c r="B32" s="1712" t="s">
        <v>1536</v>
      </c>
      <c r="C32" s="1711" t="s">
        <v>1535</v>
      </c>
      <c r="D32" s="3410" t="s">
        <v>1534</v>
      </c>
      <c r="E32" s="1709" t="s">
        <v>1533</v>
      </c>
      <c r="F32" s="1706"/>
      <c r="G32" s="1706"/>
      <c r="H32" s="1706"/>
    </row>
    <row r="33" spans="1:10" s="1687" customFormat="1" ht="15">
      <c r="A33" s="1706"/>
      <c r="B33" s="1705" t="s">
        <v>1532</v>
      </c>
      <c r="C33" s="1701" t="s">
        <v>1531</v>
      </c>
      <c r="D33" s="3410"/>
      <c r="E33" s="1702" t="s">
        <v>1531</v>
      </c>
      <c r="F33" s="3410" t="s">
        <v>1530</v>
      </c>
      <c r="G33" s="3410"/>
      <c r="H33" s="1707" t="s">
        <v>1529</v>
      </c>
    </row>
    <row r="34" spans="1:10" s="1687" customFormat="1" ht="15">
      <c r="A34" s="1706"/>
      <c r="B34" s="1705"/>
      <c r="C34" s="1704" t="s">
        <v>1528</v>
      </c>
      <c r="D34" s="1703" t="s">
        <v>1527</v>
      </c>
      <c r="E34" s="1702" t="s">
        <v>1526</v>
      </c>
      <c r="F34" s="1701"/>
      <c r="G34" s="1701"/>
      <c r="H34" s="1701"/>
    </row>
    <row r="35" spans="1:10" s="1687" customFormat="1" ht="13.5" customHeight="1">
      <c r="B35" s="1699" t="s">
        <v>1525</v>
      </c>
      <c r="C35" s="1698">
        <v>0.01</v>
      </c>
      <c r="D35" s="1697">
        <f>+D29</f>
        <v>0</v>
      </c>
      <c r="E35" s="1696">
        <f>+D35*C35</f>
        <v>0</v>
      </c>
      <c r="F35" s="1700"/>
      <c r="G35" s="1700"/>
      <c r="H35" s="1700"/>
    </row>
    <row r="36" spans="1:10" s="1687" customFormat="1" ht="13.5" customHeight="1">
      <c r="B36" s="1699" t="s">
        <v>1524</v>
      </c>
      <c r="C36" s="1698">
        <v>0.1</v>
      </c>
      <c r="D36" s="1697">
        <f>+E29</f>
        <v>0</v>
      </c>
      <c r="E36" s="1696">
        <f>+D36*C36</f>
        <v>0</v>
      </c>
      <c r="F36" s="1700"/>
      <c r="G36" s="1700"/>
      <c r="H36" s="1700"/>
    </row>
    <row r="37" spans="1:10" s="1687" customFormat="1" ht="13.5" customHeight="1">
      <c r="B37" s="1699" t="s">
        <v>1523</v>
      </c>
      <c r="C37" s="1698">
        <v>0.25</v>
      </c>
      <c r="D37" s="1697">
        <f>+F29</f>
        <v>0</v>
      </c>
      <c r="E37" s="1696">
        <f>+D37*C37</f>
        <v>0</v>
      </c>
      <c r="F37" s="1700"/>
      <c r="G37" s="1700"/>
      <c r="H37" s="1700"/>
    </row>
    <row r="38" spans="1:10" s="1687" customFormat="1" ht="13.5" customHeight="1">
      <c r="B38" s="1699" t="s">
        <v>1522</v>
      </c>
      <c r="C38" s="1698">
        <v>0.5</v>
      </c>
      <c r="D38" s="1697">
        <f>+G29</f>
        <v>0</v>
      </c>
      <c r="E38" s="1696">
        <f>+D38*C38</f>
        <v>0</v>
      </c>
      <c r="F38" s="3410" t="str">
        <f>'LPP-SPP PIHAK KE-3'!G39</f>
        <v>Endang Taryana</v>
      </c>
      <c r="G38" s="3410"/>
      <c r="H38" s="1695" t="str">
        <f>'LPP-SPP PIHAK KE-3'!T39</f>
        <v>Arin Yustini, SE</v>
      </c>
    </row>
    <row r="39" spans="1:10" s="1687" customFormat="1" ht="13.5" customHeight="1" thickBot="1">
      <c r="B39" s="1694" t="s">
        <v>1521</v>
      </c>
      <c r="C39" s="1693">
        <v>1</v>
      </c>
      <c r="D39" s="1692">
        <f>+H29</f>
        <v>0</v>
      </c>
      <c r="E39" s="1691">
        <f>+D39*C39</f>
        <v>0</v>
      </c>
      <c r="F39" s="3410" t="s">
        <v>23</v>
      </c>
      <c r="G39" s="3410"/>
      <c r="H39" s="1690" t="s">
        <v>24</v>
      </c>
    </row>
    <row r="40" spans="1:10" s="1687" customFormat="1" ht="24.75" customHeight="1" thickTop="1" thickBot="1">
      <c r="B40" s="3410" t="s">
        <v>1507</v>
      </c>
      <c r="C40" s="3410"/>
      <c r="D40" s="1689">
        <f>SUM(D35:D39)</f>
        <v>0</v>
      </c>
      <c r="E40" s="1688">
        <f>SUM(E35:E39)</f>
        <v>0</v>
      </c>
    </row>
    <row r="41" spans="1:10" s="1687" customFormat="1" ht="15">
      <c r="C41" s="3410" t="s">
        <v>1520</v>
      </c>
      <c r="D41" s="3410"/>
      <c r="E41" s="3410">
        <f>IF(D40=0,0,E40/D40)</f>
        <v>0</v>
      </c>
    </row>
    <row r="42" spans="1:10" s="1687" customFormat="1" ht="15.75" thickBot="1">
      <c r="C42" s="3410" t="s">
        <v>1519</v>
      </c>
      <c r="D42" s="3410"/>
      <c r="E42" s="3410"/>
    </row>
    <row r="43" spans="1:10">
      <c r="A43" s="1686"/>
    </row>
    <row r="47" spans="1:10">
      <c r="F47" s="1684"/>
      <c r="G47" s="1685"/>
      <c r="H47" s="1685"/>
      <c r="I47" s="1684"/>
      <c r="J47" s="1684"/>
    </row>
    <row r="48" spans="1:10">
      <c r="F48" s="1682"/>
      <c r="G48" s="1683"/>
      <c r="H48" s="1683"/>
      <c r="I48" s="1682"/>
      <c r="J48" s="1682"/>
    </row>
  </sheetData>
  <sheetProtection password="C13C" sheet="1" objects="1" scenarios="1" formatColumns="0" formatRows="0"/>
  <protectedRanges>
    <protectedRange sqref="J12:J27" name="Range1"/>
  </protectedRanges>
  <mergeCells count="14">
    <mergeCell ref="B40:C40"/>
    <mergeCell ref="C41:D41"/>
    <mergeCell ref="E41:E42"/>
    <mergeCell ref="C42:D42"/>
    <mergeCell ref="A29:B29"/>
    <mergeCell ref="D32:D33"/>
    <mergeCell ref="F33:G33"/>
    <mergeCell ref="F38:G38"/>
    <mergeCell ref="F39:G39"/>
    <mergeCell ref="A1:H1"/>
    <mergeCell ref="A2:H2"/>
    <mergeCell ref="A3:H3"/>
    <mergeCell ref="A8:A11"/>
    <mergeCell ref="B8:B11"/>
  </mergeCells>
  <printOptions horizontalCentered="1" verticalCentered="1"/>
  <pageMargins left="0.27559055118110198" right="0.27559055118110198" top="0.74803149606299202" bottom="0.196850393700787" header="0.86614173228346503" footer="0.511811023622047"/>
  <pageSetup paperSize="9" scale="70" orientation="landscape" r:id="rId1"/>
  <headerFooter alignWithMargins="0"/>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K48"/>
  <sheetViews>
    <sheetView topLeftCell="A10" zoomScale="70" zoomScaleNormal="70" workbookViewId="0">
      <selection activeCell="F35" sqref="F35"/>
    </sheetView>
  </sheetViews>
  <sheetFormatPr defaultColWidth="9.140625" defaultRowHeight="12.75"/>
  <cols>
    <col min="1" max="1" width="4.5703125" style="1681" customWidth="1"/>
    <col min="2" max="2" width="20.85546875" style="1681" customWidth="1"/>
    <col min="3" max="3" width="33.7109375" style="1681" customWidth="1"/>
    <col min="4" max="4" width="26" style="1681" customWidth="1"/>
    <col min="5" max="5" width="26.5703125" style="1681" customWidth="1"/>
    <col min="6" max="6" width="26.42578125" style="1681" customWidth="1"/>
    <col min="7" max="7" width="27" style="1681" customWidth="1"/>
    <col min="8" max="8" width="31.28515625" style="1681" customWidth="1"/>
    <col min="9" max="9" width="13.7109375" style="1681" customWidth="1"/>
    <col min="10" max="10" width="17" style="1681" customWidth="1"/>
    <col min="11" max="11" width="13" style="1681" customWidth="1"/>
    <col min="12" max="16384" width="9.140625" style="1681"/>
  </cols>
  <sheetData>
    <row r="1" spans="1:11">
      <c r="A1" s="3410" t="s">
        <v>123</v>
      </c>
      <c r="B1" s="3410"/>
      <c r="C1" s="3410"/>
      <c r="D1" s="3410"/>
      <c r="E1" s="3410"/>
      <c r="F1" s="3410"/>
      <c r="G1" s="3410"/>
      <c r="H1" s="3410"/>
    </row>
    <row r="2" spans="1:11">
      <c r="A2" s="3410" t="s">
        <v>1656</v>
      </c>
      <c r="B2" s="3410"/>
      <c r="C2" s="3410"/>
      <c r="D2" s="3410"/>
      <c r="E2" s="3410"/>
      <c r="F2" s="3410"/>
      <c r="G2" s="3410"/>
      <c r="H2" s="3410"/>
    </row>
    <row r="3" spans="1:11">
      <c r="A3" s="3410" t="str">
        <f>'LPP-SPP'!A4</f>
        <v>Per - Februari 2016 2016</v>
      </c>
      <c r="B3" s="3410"/>
      <c r="C3" s="3410"/>
      <c r="D3" s="3410"/>
      <c r="E3" s="3410"/>
      <c r="F3" s="3410"/>
      <c r="G3" s="3410"/>
      <c r="H3" s="3410"/>
    </row>
    <row r="4" spans="1:11" ht="4.5" customHeight="1"/>
    <row r="5" spans="1:11" s="1687" customFormat="1" ht="15.75">
      <c r="B5" s="1743" t="s">
        <v>2</v>
      </c>
      <c r="C5" s="1744" t="str">
        <f>'LPP-SPP'!F6</f>
        <v>:  Nagrak</v>
      </c>
      <c r="D5" s="1658"/>
    </row>
    <row r="6" spans="1:11" s="1687" customFormat="1" ht="15.75">
      <c r="B6" s="1743" t="s">
        <v>4</v>
      </c>
      <c r="C6" s="1742" t="str">
        <f>'LPP-SPP'!F7</f>
        <v>:  Sukabumi</v>
      </c>
      <c r="D6" s="1658"/>
    </row>
    <row r="7" spans="1:11" s="1687" customFormat="1" ht="16.5" thickBot="1">
      <c r="B7" s="1743" t="s">
        <v>6</v>
      </c>
      <c r="C7" s="1742" t="str">
        <f>'LPP-SPP'!F8</f>
        <v>:  Jawa Barat</v>
      </c>
      <c r="D7" s="1658"/>
    </row>
    <row r="8" spans="1:11" s="1687" customFormat="1" ht="15">
      <c r="A8" s="3410" t="s">
        <v>978</v>
      </c>
      <c r="B8" s="3410" t="s">
        <v>1556</v>
      </c>
      <c r="C8" s="1711" t="s">
        <v>1224</v>
      </c>
      <c r="D8" s="1710" t="s">
        <v>1555</v>
      </c>
      <c r="E8" s="1711" t="s">
        <v>1555</v>
      </c>
      <c r="F8" s="1710" t="s">
        <v>1555</v>
      </c>
      <c r="G8" s="1711" t="s">
        <v>1555</v>
      </c>
      <c r="H8" s="1741" t="s">
        <v>1555</v>
      </c>
    </row>
    <row r="9" spans="1:11" s="1687" customFormat="1" ht="15">
      <c r="A9" s="3410"/>
      <c r="B9" s="3410"/>
      <c r="C9" s="1701" t="s">
        <v>1554</v>
      </c>
      <c r="D9" s="1708" t="s">
        <v>1553</v>
      </c>
      <c r="E9" s="1701" t="s">
        <v>1552</v>
      </c>
      <c r="F9" s="1708" t="s">
        <v>1552</v>
      </c>
      <c r="G9" s="1701" t="s">
        <v>1552</v>
      </c>
      <c r="H9" s="1740" t="s">
        <v>1551</v>
      </c>
    </row>
    <row r="10" spans="1:11" s="1687" customFormat="1" ht="16.5" thickBot="1">
      <c r="A10" s="3410"/>
      <c r="B10" s="3410"/>
      <c r="C10" s="1701" t="s">
        <v>1550</v>
      </c>
      <c r="D10" s="1708" t="s">
        <v>1549</v>
      </c>
      <c r="E10" s="1701" t="s">
        <v>1548</v>
      </c>
      <c r="F10" s="1708" t="s">
        <v>1547</v>
      </c>
      <c r="G10" s="1701" t="s">
        <v>1546</v>
      </c>
      <c r="H10" s="1740" t="s">
        <v>1545</v>
      </c>
      <c r="J10" s="1734" t="s">
        <v>1544</v>
      </c>
    </row>
    <row r="11" spans="1:11" s="1687" customFormat="1" ht="16.5" thickBot="1">
      <c r="A11" s="3410"/>
      <c r="B11" s="3410"/>
      <c r="C11" s="1739" t="s">
        <v>1543</v>
      </c>
      <c r="D11" s="1738" t="s">
        <v>1542</v>
      </c>
      <c r="E11" s="1736" t="s">
        <v>1541</v>
      </c>
      <c r="F11" s="1737" t="s">
        <v>1540</v>
      </c>
      <c r="G11" s="1736" t="s">
        <v>1539</v>
      </c>
      <c r="H11" s="1735" t="s">
        <v>1538</v>
      </c>
      <c r="J11" s="1734" t="s">
        <v>1537</v>
      </c>
    </row>
    <row r="12" spans="1:11" s="1687" customFormat="1" ht="13.5" customHeight="1">
      <c r="A12" s="1733">
        <v>1</v>
      </c>
      <c r="B12" s="1732" t="str">
        <f>'LPP-SPP'!B13</f>
        <v>CIHANYAWAR</v>
      </c>
      <c r="C12" s="1731">
        <f>'KOLEKTIBILITAS-SPP'!C12+'KOLEKTIBILITAS-SPP PIHAK KE-3'!C12</f>
        <v>550958400</v>
      </c>
      <c r="D12" s="1731">
        <f>'KOLEKTIBILITAS-SPP'!D12+'KOLEKTIBILITAS-SPP PIHAK KE-3'!D12</f>
        <v>520499200</v>
      </c>
      <c r="E12" s="1731">
        <f>'KOLEKTIBILITAS-SPP'!E12+'KOLEKTIBILITAS-SPP PIHAK KE-3'!E12</f>
        <v>0</v>
      </c>
      <c r="F12" s="1731">
        <f>'KOLEKTIBILITAS-SPP'!F12+'KOLEKTIBILITAS-SPP PIHAK KE-3'!F12</f>
        <v>1250000</v>
      </c>
      <c r="G12" s="1731">
        <f>'KOLEKTIBILITAS-SPP'!G12+'KOLEKTIBILITAS-SPP PIHAK KE-3'!G12</f>
        <v>0</v>
      </c>
      <c r="H12" s="1730">
        <f>'KOLEKTIBILITAS-SPP'!H12+'KOLEKTIBILITAS-SPP PIHAK KE-3'!H12</f>
        <v>29209200</v>
      </c>
      <c r="J12" s="1722">
        <f>C12-D12-E12-F12-G12-H12</f>
        <v>0</v>
      </c>
      <c r="K12" s="1715"/>
    </row>
    <row r="13" spans="1:11" s="1687" customFormat="1" ht="13.5" customHeight="1">
      <c r="A13" s="1726">
        <f t="shared" ref="A13:A27" si="0">A12+1</f>
        <v>2</v>
      </c>
      <c r="B13" s="1729" t="str">
        <f>'LPP-SPP'!B14</f>
        <v>NAGRAK UTARA</v>
      </c>
      <c r="C13" s="1724">
        <f>'KOLEKTIBILITAS-SPP'!C13+'KOLEKTIBILITAS-SPP PIHAK KE-3'!C13</f>
        <v>741419500</v>
      </c>
      <c r="D13" s="1724">
        <f>'KOLEKTIBILITAS-SPP'!D13+'KOLEKTIBILITAS-SPP PIHAK KE-3'!D13</f>
        <v>652267500</v>
      </c>
      <c r="E13" s="1724">
        <f>'KOLEKTIBILITAS-SPP'!E13+'KOLEKTIBILITAS-SPP PIHAK KE-3'!E13</f>
        <v>13671000</v>
      </c>
      <c r="F13" s="1724">
        <f>'KOLEKTIBILITAS-SPP'!F13+'KOLEKTIBILITAS-SPP PIHAK KE-3'!F13</f>
        <v>0</v>
      </c>
      <c r="G13" s="1724">
        <f>'KOLEKTIBILITAS-SPP'!G13+'KOLEKTIBILITAS-SPP PIHAK KE-3'!G13</f>
        <v>0</v>
      </c>
      <c r="H13" s="1723">
        <f>'KOLEKTIBILITAS-SPP'!H13+'KOLEKTIBILITAS-SPP PIHAK KE-3'!H13</f>
        <v>75481000</v>
      </c>
      <c r="J13" s="1722">
        <f t="shared" ref="J13:J26" si="1">C13-D13-E13-F13-G13-H13</f>
        <v>0</v>
      </c>
      <c r="K13" s="1715"/>
    </row>
    <row r="14" spans="1:11" s="1687" customFormat="1" ht="13.5" customHeight="1">
      <c r="A14" s="1726">
        <f t="shared" si="0"/>
        <v>3</v>
      </c>
      <c r="B14" s="1728" t="str">
        <f>'LPP-SPP'!B15</f>
        <v>DARMAREJA</v>
      </c>
      <c r="C14" s="1724">
        <f>'KOLEKTIBILITAS-SPP'!C14+'KOLEKTIBILITAS-SPP PIHAK KE-3'!C14</f>
        <v>470579600</v>
      </c>
      <c r="D14" s="1724">
        <f>'KOLEKTIBILITAS-SPP'!D14+'KOLEKTIBILITAS-SPP PIHAK KE-3'!D14</f>
        <v>425091400</v>
      </c>
      <c r="E14" s="1724">
        <f>'KOLEKTIBILITAS-SPP'!E14+'KOLEKTIBILITAS-SPP PIHAK KE-3'!E14</f>
        <v>8233200</v>
      </c>
      <c r="F14" s="1724">
        <f>'KOLEKTIBILITAS-SPP'!F14+'KOLEKTIBILITAS-SPP PIHAK KE-3'!F14</f>
        <v>0</v>
      </c>
      <c r="G14" s="1724">
        <f>'KOLEKTIBILITAS-SPP'!G14+'KOLEKTIBILITAS-SPP PIHAK KE-3'!G14</f>
        <v>0</v>
      </c>
      <c r="H14" s="1723">
        <f>'KOLEKTIBILITAS-SPP'!H14+'KOLEKTIBILITAS-SPP PIHAK KE-3'!H14</f>
        <v>37255000</v>
      </c>
      <c r="J14" s="1722">
        <f t="shared" si="1"/>
        <v>0</v>
      </c>
      <c r="K14" s="1715"/>
    </row>
    <row r="15" spans="1:11" s="1687" customFormat="1" ht="13.5" customHeight="1">
      <c r="A15" s="1726">
        <f t="shared" si="0"/>
        <v>4</v>
      </c>
      <c r="B15" s="1728" t="str">
        <f>'LPP-SPP'!B16</f>
        <v>BALEKAMBANG</v>
      </c>
      <c r="C15" s="1724">
        <f>'KOLEKTIBILITAS-SPP'!C15+'KOLEKTIBILITAS-SPP PIHAK KE-3'!C15</f>
        <v>340877500</v>
      </c>
      <c r="D15" s="1724">
        <f>'KOLEKTIBILITAS-SPP'!D15+'KOLEKTIBILITAS-SPP PIHAK KE-3'!D15</f>
        <v>325526100</v>
      </c>
      <c r="E15" s="1724">
        <f>'KOLEKTIBILITAS-SPP'!E15+'KOLEKTIBILITAS-SPP PIHAK KE-3'!E15</f>
        <v>0</v>
      </c>
      <c r="F15" s="1724">
        <f>'KOLEKTIBILITAS-SPP'!F15+'KOLEKTIBILITAS-SPP PIHAK KE-3'!F15</f>
        <v>0</v>
      </c>
      <c r="G15" s="1724">
        <f>'KOLEKTIBILITAS-SPP'!G15+'KOLEKTIBILITAS-SPP PIHAK KE-3'!G15</f>
        <v>14935100</v>
      </c>
      <c r="H15" s="1723">
        <f>'KOLEKTIBILITAS-SPP'!H15+'KOLEKTIBILITAS-SPP PIHAK KE-3'!H15</f>
        <v>416300</v>
      </c>
      <c r="J15" s="1722">
        <f t="shared" si="1"/>
        <v>0</v>
      </c>
      <c r="K15" s="1715"/>
    </row>
    <row r="16" spans="1:11" s="1687" customFormat="1" ht="13.5" customHeight="1">
      <c r="A16" s="1726">
        <f t="shared" si="0"/>
        <v>5</v>
      </c>
      <c r="B16" s="1728" t="str">
        <f>'LPP-SPP'!B17</f>
        <v>NAGRAK SELATAN</v>
      </c>
      <c r="C16" s="1724">
        <f>'KOLEKTIBILITAS-SPP'!C16+'KOLEKTIBILITAS-SPP PIHAK KE-3'!C16</f>
        <v>306393000</v>
      </c>
      <c r="D16" s="1724">
        <f>'KOLEKTIBILITAS-SPP'!D16+'KOLEKTIBILITAS-SPP PIHAK KE-3'!D16</f>
        <v>264350000</v>
      </c>
      <c r="E16" s="1724">
        <f>'KOLEKTIBILITAS-SPP'!E16+'KOLEKTIBILITAS-SPP PIHAK KE-3'!E16</f>
        <v>19452000</v>
      </c>
      <c r="F16" s="1724">
        <f>'KOLEKTIBILITAS-SPP'!F16+'KOLEKTIBILITAS-SPP PIHAK KE-3'!F16</f>
        <v>0</v>
      </c>
      <c r="G16" s="1724">
        <f>'KOLEKTIBILITAS-SPP'!G16+'KOLEKTIBILITAS-SPP PIHAK KE-3'!G16</f>
        <v>0</v>
      </c>
      <c r="H16" s="1723">
        <f>'KOLEKTIBILITAS-SPP'!H16+'KOLEKTIBILITAS-SPP PIHAK KE-3'!H16</f>
        <v>22591000</v>
      </c>
      <c r="J16" s="1722">
        <f t="shared" si="1"/>
        <v>0</v>
      </c>
      <c r="K16" s="1715"/>
    </row>
    <row r="17" spans="1:11" s="1687" customFormat="1" ht="13.5" customHeight="1">
      <c r="A17" s="1726">
        <f t="shared" si="0"/>
        <v>6</v>
      </c>
      <c r="B17" s="1728" t="str">
        <f>'LPP-SPP'!B18</f>
        <v>KALAPAREA</v>
      </c>
      <c r="C17" s="1724">
        <f>'KOLEKTIBILITAS-SPP'!C17+'KOLEKTIBILITAS-SPP PIHAK KE-3'!C17</f>
        <v>464279600</v>
      </c>
      <c r="D17" s="1724">
        <f>'KOLEKTIBILITAS-SPP'!D17+'KOLEKTIBILITAS-SPP PIHAK KE-3'!D17</f>
        <v>377288100</v>
      </c>
      <c r="E17" s="1724">
        <f>'KOLEKTIBILITAS-SPP'!E17+'KOLEKTIBILITAS-SPP PIHAK KE-3'!E17</f>
        <v>16042300</v>
      </c>
      <c r="F17" s="1724">
        <f>'KOLEKTIBILITAS-SPP'!F17+'KOLEKTIBILITAS-SPP PIHAK KE-3'!F17</f>
        <v>0</v>
      </c>
      <c r="G17" s="1724">
        <f>'KOLEKTIBILITAS-SPP'!G17+'KOLEKTIBILITAS-SPP PIHAK KE-3'!G17</f>
        <v>59944600</v>
      </c>
      <c r="H17" s="1723">
        <f>'KOLEKTIBILITAS-SPP'!H17+'KOLEKTIBILITAS-SPP PIHAK KE-3'!H17</f>
        <v>11004600</v>
      </c>
      <c r="J17" s="1722">
        <f t="shared" si="1"/>
        <v>0</v>
      </c>
      <c r="K17" s="1715"/>
    </row>
    <row r="18" spans="1:11" s="1687" customFormat="1" ht="13.5" customHeight="1">
      <c r="A18" s="1726">
        <f t="shared" si="0"/>
        <v>7</v>
      </c>
      <c r="B18" s="1728" t="str">
        <f>'LPP-SPP'!B19</f>
        <v>BABAKAN PANJANG</v>
      </c>
      <c r="C18" s="1724">
        <f>'KOLEKTIBILITAS-SPP'!C18+'KOLEKTIBILITAS-SPP PIHAK KE-3'!C18</f>
        <v>294153300</v>
      </c>
      <c r="D18" s="1724">
        <f>'KOLEKTIBILITAS-SPP'!D18+'KOLEKTIBILITAS-SPP PIHAK KE-3'!D18</f>
        <v>278189700</v>
      </c>
      <c r="E18" s="1724">
        <f>'KOLEKTIBILITAS-SPP'!E18+'KOLEKTIBILITAS-SPP PIHAK KE-3'!E18</f>
        <v>6987600</v>
      </c>
      <c r="F18" s="1724">
        <f>'KOLEKTIBILITAS-SPP'!F18+'KOLEKTIBILITAS-SPP PIHAK KE-3'!F18</f>
        <v>0</v>
      </c>
      <c r="G18" s="1724">
        <f>'KOLEKTIBILITAS-SPP'!G18+'KOLEKTIBILITAS-SPP PIHAK KE-3'!G18</f>
        <v>0</v>
      </c>
      <c r="H18" s="1723">
        <f>'KOLEKTIBILITAS-SPP'!H18+'KOLEKTIBILITAS-SPP PIHAK KE-3'!H18</f>
        <v>8976000</v>
      </c>
      <c r="J18" s="1722">
        <f t="shared" si="1"/>
        <v>0</v>
      </c>
      <c r="K18" s="1715"/>
    </row>
    <row r="19" spans="1:11" s="1687" customFormat="1" ht="13.5" customHeight="1">
      <c r="A19" s="1726">
        <f t="shared" si="0"/>
        <v>8</v>
      </c>
      <c r="B19" s="1727" t="str">
        <f>'LPP-SPP'!B20</f>
        <v>PAWENANG</v>
      </c>
      <c r="C19" s="1724">
        <f>'KOLEKTIBILITAS-SPP'!C19+'KOLEKTIBILITAS-SPP PIHAK KE-3'!C19</f>
        <v>406097300</v>
      </c>
      <c r="D19" s="1724">
        <f>'KOLEKTIBILITAS-SPP'!D19+'KOLEKTIBILITAS-SPP PIHAK KE-3'!D19</f>
        <v>391067200</v>
      </c>
      <c r="E19" s="1724">
        <f>'KOLEKTIBILITAS-SPP'!E19+'KOLEKTIBILITAS-SPP PIHAK KE-3'!E19</f>
        <v>0</v>
      </c>
      <c r="F19" s="1724">
        <f>'KOLEKTIBILITAS-SPP'!F19+'KOLEKTIBILITAS-SPP PIHAK KE-3'!F19</f>
        <v>0</v>
      </c>
      <c r="G19" s="1724">
        <f>'KOLEKTIBILITAS-SPP'!G19+'KOLEKTIBILITAS-SPP PIHAK KE-3'!G19</f>
        <v>0</v>
      </c>
      <c r="H19" s="1723">
        <f>'KOLEKTIBILITAS-SPP'!H19+'KOLEKTIBILITAS-SPP PIHAK KE-3'!H19</f>
        <v>15030100</v>
      </c>
      <c r="J19" s="1722">
        <f t="shared" si="1"/>
        <v>0</v>
      </c>
      <c r="K19" s="1715"/>
    </row>
    <row r="20" spans="1:11" s="1687" customFormat="1" ht="13.5" customHeight="1">
      <c r="A20" s="1726">
        <f t="shared" si="0"/>
        <v>9</v>
      </c>
      <c r="B20" s="1727" t="str">
        <f>'LPP-SPP'!B21</f>
        <v>CISARUA</v>
      </c>
      <c r="C20" s="1724">
        <f>'KOLEKTIBILITAS-SPP'!C20+'KOLEKTIBILITAS-SPP PIHAK KE-3'!C20</f>
        <v>485649900</v>
      </c>
      <c r="D20" s="1724">
        <f>'KOLEKTIBILITAS-SPP'!D20+'KOLEKTIBILITAS-SPP PIHAK KE-3'!D20</f>
        <v>352977200</v>
      </c>
      <c r="E20" s="1724">
        <f>'KOLEKTIBILITAS-SPP'!E20+'KOLEKTIBILITAS-SPP PIHAK KE-3'!E20</f>
        <v>53510100</v>
      </c>
      <c r="F20" s="1724">
        <f>'KOLEKTIBILITAS-SPP'!F20+'KOLEKTIBILITAS-SPP PIHAK KE-3'!F20</f>
        <v>0</v>
      </c>
      <c r="G20" s="1724">
        <f>'KOLEKTIBILITAS-SPP'!G20+'KOLEKTIBILITAS-SPP PIHAK KE-3'!G20</f>
        <v>49733400</v>
      </c>
      <c r="H20" s="1723">
        <f>'KOLEKTIBILITAS-SPP'!H20+'KOLEKTIBILITAS-SPP PIHAK KE-3'!H20</f>
        <v>29429200</v>
      </c>
      <c r="J20" s="1722">
        <f t="shared" si="1"/>
        <v>0</v>
      </c>
      <c r="K20" s="1715"/>
    </row>
    <row r="21" spans="1:11" s="1687" customFormat="1" ht="13.5" customHeight="1">
      <c r="A21" s="1726">
        <f t="shared" si="0"/>
        <v>10</v>
      </c>
      <c r="B21" s="1725" t="str">
        <f>'LPP-SPP'!B22</f>
        <v>GIRIJAYA</v>
      </c>
      <c r="C21" s="1724">
        <f>'KOLEKTIBILITAS-SPP'!C21+'KOLEKTIBILITAS-SPP PIHAK KE-3'!C21</f>
        <v>420682500</v>
      </c>
      <c r="D21" s="1724">
        <f>'KOLEKTIBILITAS-SPP'!D21+'KOLEKTIBILITAS-SPP PIHAK KE-3'!D21</f>
        <v>362249500</v>
      </c>
      <c r="E21" s="1724">
        <f>'KOLEKTIBILITAS-SPP'!E21+'KOLEKTIBILITAS-SPP PIHAK KE-3'!E21</f>
        <v>5390700</v>
      </c>
      <c r="F21" s="1724">
        <f>'KOLEKTIBILITAS-SPP'!F21+'KOLEKTIBILITAS-SPP PIHAK KE-3'!F21</f>
        <v>0</v>
      </c>
      <c r="G21" s="1724">
        <f>'KOLEKTIBILITAS-SPP'!G21+'KOLEKTIBILITAS-SPP PIHAK KE-3'!G21</f>
        <v>0</v>
      </c>
      <c r="H21" s="1723">
        <f>'KOLEKTIBILITAS-SPP'!H21+'KOLEKTIBILITAS-SPP PIHAK KE-3'!H21</f>
        <v>53042300</v>
      </c>
      <c r="J21" s="1722">
        <f t="shared" si="1"/>
        <v>0</v>
      </c>
      <c r="K21" s="1715"/>
    </row>
    <row r="22" spans="1:11" s="1687" customFormat="1" ht="13.5" customHeight="1">
      <c r="A22" s="1726">
        <f t="shared" si="0"/>
        <v>11</v>
      </c>
      <c r="B22" s="1725">
        <f>'LPP-SPP'!B23</f>
        <v>0</v>
      </c>
      <c r="C22" s="1724">
        <f>'KOLEKTIBILITAS-SPP'!C22+'KOLEKTIBILITAS-SPP PIHAK KE-3'!C22</f>
        <v>0</v>
      </c>
      <c r="D22" s="1724">
        <f>'KOLEKTIBILITAS-SPP'!D22+'KOLEKTIBILITAS-SPP PIHAK KE-3'!D22</f>
        <v>0</v>
      </c>
      <c r="E22" s="1724">
        <f>'KOLEKTIBILITAS-SPP'!E22+'KOLEKTIBILITAS-SPP PIHAK KE-3'!E22</f>
        <v>0</v>
      </c>
      <c r="F22" s="1724">
        <f>'KOLEKTIBILITAS-SPP'!F22+'KOLEKTIBILITAS-SPP PIHAK KE-3'!F22</f>
        <v>0</v>
      </c>
      <c r="G22" s="1724">
        <f>'KOLEKTIBILITAS-SPP'!G22+'KOLEKTIBILITAS-SPP PIHAK KE-3'!G22</f>
        <v>0</v>
      </c>
      <c r="H22" s="1723">
        <f>'KOLEKTIBILITAS-SPP'!H22+'KOLEKTIBILITAS-SPP PIHAK KE-3'!H22</f>
        <v>0</v>
      </c>
      <c r="J22" s="1722">
        <f t="shared" si="1"/>
        <v>0</v>
      </c>
      <c r="K22" s="1715"/>
    </row>
    <row r="23" spans="1:11" s="1687" customFormat="1" ht="13.5" customHeight="1">
      <c r="A23" s="1726">
        <f t="shared" si="0"/>
        <v>12</v>
      </c>
      <c r="B23" s="1725">
        <f>'LPP-SPP'!B24</f>
        <v>0</v>
      </c>
      <c r="C23" s="1724">
        <f>'KOLEKTIBILITAS-SPP'!C23+'KOLEKTIBILITAS-SPP PIHAK KE-3'!C23</f>
        <v>0</v>
      </c>
      <c r="D23" s="1724">
        <f>'KOLEKTIBILITAS-SPP'!D23+'KOLEKTIBILITAS-SPP PIHAK KE-3'!D23</f>
        <v>0</v>
      </c>
      <c r="E23" s="1724">
        <f>'KOLEKTIBILITAS-SPP'!E23+'KOLEKTIBILITAS-SPP PIHAK KE-3'!E23</f>
        <v>0</v>
      </c>
      <c r="F23" s="1724">
        <f>'KOLEKTIBILITAS-SPP'!F23+'KOLEKTIBILITAS-SPP PIHAK KE-3'!F23</f>
        <v>0</v>
      </c>
      <c r="G23" s="1724">
        <f>'KOLEKTIBILITAS-SPP'!G23+'KOLEKTIBILITAS-SPP PIHAK KE-3'!G23</f>
        <v>0</v>
      </c>
      <c r="H23" s="1723">
        <f>'KOLEKTIBILITAS-SPP'!H23+'KOLEKTIBILITAS-SPP PIHAK KE-3'!H23</f>
        <v>0</v>
      </c>
      <c r="J23" s="1722">
        <f t="shared" si="1"/>
        <v>0</v>
      </c>
      <c r="K23" s="1715"/>
    </row>
    <row r="24" spans="1:11" s="1687" customFormat="1" ht="13.5" customHeight="1">
      <c r="A24" s="1726">
        <f t="shared" si="0"/>
        <v>13</v>
      </c>
      <c r="B24" s="1725">
        <f>'LPP-SPP'!B25</f>
        <v>0</v>
      </c>
      <c r="C24" s="1724">
        <f>'KOLEKTIBILITAS-SPP'!C24+'KOLEKTIBILITAS-SPP PIHAK KE-3'!C24</f>
        <v>0</v>
      </c>
      <c r="D24" s="1724">
        <f>'KOLEKTIBILITAS-SPP'!D24+'KOLEKTIBILITAS-SPP PIHAK KE-3'!D24</f>
        <v>0</v>
      </c>
      <c r="E24" s="1724">
        <f>'KOLEKTIBILITAS-SPP'!E24+'KOLEKTIBILITAS-SPP PIHAK KE-3'!E24</f>
        <v>0</v>
      </c>
      <c r="F24" s="1724">
        <f>'KOLEKTIBILITAS-SPP'!F24+'KOLEKTIBILITAS-SPP PIHAK KE-3'!F24</f>
        <v>0</v>
      </c>
      <c r="G24" s="1724">
        <f>'KOLEKTIBILITAS-SPP'!G24+'KOLEKTIBILITAS-SPP PIHAK KE-3'!G24</f>
        <v>0</v>
      </c>
      <c r="H24" s="1723">
        <f>'KOLEKTIBILITAS-SPP'!H24+'KOLEKTIBILITAS-SPP PIHAK KE-3'!H24</f>
        <v>0</v>
      </c>
      <c r="J24" s="1722">
        <f t="shared" si="1"/>
        <v>0</v>
      </c>
      <c r="K24" s="1715"/>
    </row>
    <row r="25" spans="1:11" s="1687" customFormat="1" ht="13.5" customHeight="1">
      <c r="A25" s="1726">
        <f t="shared" si="0"/>
        <v>14</v>
      </c>
      <c r="B25" s="1725">
        <f>'LPP-SPP'!B26</f>
        <v>0</v>
      </c>
      <c r="C25" s="1724">
        <f>'KOLEKTIBILITAS-SPP'!C25+'KOLEKTIBILITAS-SPP PIHAK KE-3'!C25</f>
        <v>0</v>
      </c>
      <c r="D25" s="1724">
        <f>'KOLEKTIBILITAS-SPP'!D25+'KOLEKTIBILITAS-SPP PIHAK KE-3'!D25</f>
        <v>0</v>
      </c>
      <c r="E25" s="1724">
        <f>'KOLEKTIBILITAS-SPP'!E25+'KOLEKTIBILITAS-SPP PIHAK KE-3'!E25</f>
        <v>0</v>
      </c>
      <c r="F25" s="1724">
        <f>'KOLEKTIBILITAS-SPP'!F25+'KOLEKTIBILITAS-SPP PIHAK KE-3'!F25</f>
        <v>0</v>
      </c>
      <c r="G25" s="1724">
        <f>'KOLEKTIBILITAS-SPP'!G25+'KOLEKTIBILITAS-SPP PIHAK KE-3'!G25</f>
        <v>0</v>
      </c>
      <c r="H25" s="1723">
        <f>'KOLEKTIBILITAS-SPP'!H25+'KOLEKTIBILITAS-SPP PIHAK KE-3'!H25</f>
        <v>0</v>
      </c>
      <c r="J25" s="1722">
        <f t="shared" si="1"/>
        <v>0</v>
      </c>
      <c r="K25" s="1715"/>
    </row>
    <row r="26" spans="1:11" s="1687" customFormat="1" ht="13.5" customHeight="1">
      <c r="A26" s="1726">
        <f t="shared" si="0"/>
        <v>15</v>
      </c>
      <c r="B26" s="1725">
        <f>'LPP-SPP'!B27</f>
        <v>0</v>
      </c>
      <c r="C26" s="1724">
        <f>'KOLEKTIBILITAS-SPP'!C26+'KOLEKTIBILITAS-SPP PIHAK KE-3'!C26</f>
        <v>0</v>
      </c>
      <c r="D26" s="1724">
        <f>'KOLEKTIBILITAS-SPP'!D26+'KOLEKTIBILITAS-SPP PIHAK KE-3'!D26</f>
        <v>0</v>
      </c>
      <c r="E26" s="1724">
        <f>'KOLEKTIBILITAS-SPP'!E26+'KOLEKTIBILITAS-SPP PIHAK KE-3'!E26</f>
        <v>0</v>
      </c>
      <c r="F26" s="1724">
        <f>'KOLEKTIBILITAS-SPP'!F26+'KOLEKTIBILITAS-SPP PIHAK KE-3'!F26</f>
        <v>0</v>
      </c>
      <c r="G26" s="1724">
        <f>'KOLEKTIBILITAS-SPP'!G26+'KOLEKTIBILITAS-SPP PIHAK KE-3'!G26</f>
        <v>0</v>
      </c>
      <c r="H26" s="1723">
        <f>'KOLEKTIBILITAS-SPP'!H26+'KOLEKTIBILITAS-SPP PIHAK KE-3'!H26</f>
        <v>0</v>
      </c>
      <c r="J26" s="1722">
        <f t="shared" si="1"/>
        <v>0</v>
      </c>
      <c r="K26" s="1715"/>
    </row>
    <row r="27" spans="1:11" s="1687" customFormat="1" ht="13.5" customHeight="1">
      <c r="A27" s="1726">
        <f t="shared" si="0"/>
        <v>16</v>
      </c>
      <c r="B27" s="1725">
        <f>'LPP-SPP'!B28</f>
        <v>0</v>
      </c>
      <c r="C27" s="1724">
        <f>'KOLEKTIBILITAS-SPP'!C27+'KOLEKTIBILITAS-SPP PIHAK KE-3'!C27</f>
        <v>0</v>
      </c>
      <c r="D27" s="1724">
        <f>'KOLEKTIBILITAS-SPP'!D27+'KOLEKTIBILITAS-SPP PIHAK KE-3'!D27</f>
        <v>0</v>
      </c>
      <c r="E27" s="1724">
        <f>'KOLEKTIBILITAS-SPP'!E27+'KOLEKTIBILITAS-SPP PIHAK KE-3'!E27</f>
        <v>0</v>
      </c>
      <c r="F27" s="1724">
        <f>'KOLEKTIBILITAS-SPP'!F27+'KOLEKTIBILITAS-SPP PIHAK KE-3'!F27</f>
        <v>0</v>
      </c>
      <c r="G27" s="1724">
        <f>'KOLEKTIBILITAS-SPP'!G27+'KOLEKTIBILITAS-SPP PIHAK KE-3'!G27</f>
        <v>0</v>
      </c>
      <c r="H27" s="1723">
        <f>'KOLEKTIBILITAS-SPP'!H27+'KOLEKTIBILITAS-SPP PIHAK KE-3'!H27</f>
        <v>0</v>
      </c>
      <c r="J27" s="1722">
        <f>C27-D27-E27-F27-G27-H27</f>
        <v>0</v>
      </c>
      <c r="K27" s="1715"/>
    </row>
    <row r="28" spans="1:11" s="1687" customFormat="1" ht="15.75" thickBot="1">
      <c r="A28" s="1721"/>
      <c r="B28" s="1720"/>
      <c r="C28" s="1719"/>
      <c r="D28" s="1719"/>
      <c r="E28" s="1719"/>
      <c r="F28" s="1719"/>
      <c r="G28" s="1719"/>
      <c r="H28" s="1718"/>
      <c r="J28" s="1715"/>
      <c r="K28" s="1715"/>
    </row>
    <row r="29" spans="1:11" s="1687" customFormat="1" ht="24.75" customHeight="1" thickBot="1">
      <c r="A29" s="3410" t="s">
        <v>934</v>
      </c>
      <c r="B29" s="3410"/>
      <c r="C29" s="1717">
        <f t="shared" ref="C29:H29" si="2">SUM(C12:C28)</f>
        <v>4481090600</v>
      </c>
      <c r="D29" s="1717">
        <f t="shared" si="2"/>
        <v>3949505900</v>
      </c>
      <c r="E29" s="1717">
        <f t="shared" si="2"/>
        <v>123286900</v>
      </c>
      <c r="F29" s="1717">
        <f t="shared" si="2"/>
        <v>1250000</v>
      </c>
      <c r="G29" s="1717">
        <f>SUM(G12:G28)</f>
        <v>124613100</v>
      </c>
      <c r="H29" s="1716">
        <f t="shared" si="2"/>
        <v>282434700</v>
      </c>
      <c r="J29" s="1715"/>
      <c r="K29" s="1715"/>
    </row>
    <row r="30" spans="1:11" s="1687" customFormat="1" ht="7.5" customHeight="1">
      <c r="A30" s="1706"/>
      <c r="B30" s="1706"/>
      <c r="C30" s="1706"/>
      <c r="D30" s="1706"/>
      <c r="E30" s="1706"/>
      <c r="F30" s="1706"/>
      <c r="G30" s="1706"/>
      <c r="H30" s="1706"/>
      <c r="J30" s="1713"/>
      <c r="K30" s="1713"/>
    </row>
    <row r="31" spans="1:11" s="1687" customFormat="1" ht="7.5" customHeight="1" thickBot="1">
      <c r="A31" s="1706"/>
      <c r="B31" s="1706"/>
      <c r="C31" s="1706"/>
      <c r="D31" s="1706"/>
      <c r="E31" s="1706"/>
      <c r="F31" s="1706"/>
      <c r="G31" s="1706"/>
      <c r="H31" s="1706"/>
      <c r="J31" s="1714"/>
      <c r="K31" s="1713"/>
    </row>
    <row r="32" spans="1:11" s="1687" customFormat="1" ht="15">
      <c r="A32" s="1706"/>
      <c r="B32" s="1712" t="s">
        <v>1536</v>
      </c>
      <c r="C32" s="1711" t="s">
        <v>1535</v>
      </c>
      <c r="D32" s="3410" t="s">
        <v>1534</v>
      </c>
      <c r="E32" s="1709" t="s">
        <v>1533</v>
      </c>
      <c r="F32" s="1706"/>
      <c r="G32" s="1706"/>
      <c r="H32" s="1706"/>
    </row>
    <row r="33" spans="1:10" s="1687" customFormat="1" ht="15">
      <c r="A33" s="1706"/>
      <c r="B33" s="1705" t="s">
        <v>1532</v>
      </c>
      <c r="C33" s="1701" t="s">
        <v>1531</v>
      </c>
      <c r="D33" s="3410"/>
      <c r="E33" s="1702" t="s">
        <v>1531</v>
      </c>
      <c r="F33" s="3410" t="s">
        <v>1530</v>
      </c>
      <c r="G33" s="3410"/>
      <c r="H33" s="1707" t="s">
        <v>1529</v>
      </c>
    </row>
    <row r="34" spans="1:10" s="1687" customFormat="1" ht="15">
      <c r="A34" s="1706"/>
      <c r="B34" s="1705"/>
      <c r="C34" s="1704" t="s">
        <v>1528</v>
      </c>
      <c r="D34" s="1703" t="s">
        <v>1527</v>
      </c>
      <c r="E34" s="1702" t="s">
        <v>1526</v>
      </c>
      <c r="F34" s="1701"/>
      <c r="G34" s="1701"/>
      <c r="H34" s="1701"/>
    </row>
    <row r="35" spans="1:10" s="1687" customFormat="1" ht="13.5" customHeight="1">
      <c r="B35" s="1699" t="s">
        <v>1525</v>
      </c>
      <c r="C35" s="1698">
        <v>0.01</v>
      </c>
      <c r="D35" s="1697">
        <f>+D29</f>
        <v>3949505900</v>
      </c>
      <c r="E35" s="1696">
        <f>+D35*C35</f>
        <v>39495059</v>
      </c>
      <c r="F35" s="1700"/>
      <c r="G35" s="1700"/>
      <c r="H35" s="1700"/>
    </row>
    <row r="36" spans="1:10" s="1687" customFormat="1" ht="13.5" customHeight="1">
      <c r="B36" s="1699" t="s">
        <v>1524</v>
      </c>
      <c r="C36" s="1698">
        <v>0.1</v>
      </c>
      <c r="D36" s="1697">
        <f>+E29</f>
        <v>123286900</v>
      </c>
      <c r="E36" s="1696">
        <f>+D36*C36</f>
        <v>12328690</v>
      </c>
      <c r="F36" s="1700"/>
      <c r="G36" s="1700"/>
      <c r="H36" s="1700"/>
    </row>
    <row r="37" spans="1:10" s="1687" customFormat="1" ht="13.5" customHeight="1">
      <c r="B37" s="1699" t="s">
        <v>1523</v>
      </c>
      <c r="C37" s="1698">
        <v>0.25</v>
      </c>
      <c r="D37" s="1697">
        <f>+F29</f>
        <v>1250000</v>
      </c>
      <c r="E37" s="1696">
        <f>+D37*C37</f>
        <v>312500</v>
      </c>
      <c r="F37" s="1700"/>
      <c r="G37" s="1700"/>
      <c r="H37" s="1700"/>
    </row>
    <row r="38" spans="1:10" s="1687" customFormat="1" ht="13.5" customHeight="1">
      <c r="B38" s="1699" t="s">
        <v>1522</v>
      </c>
      <c r="C38" s="1698">
        <v>0.5</v>
      </c>
      <c r="D38" s="1697">
        <f>+G29</f>
        <v>124613100</v>
      </c>
      <c r="E38" s="1696">
        <f>+D38*C38</f>
        <v>62306550</v>
      </c>
      <c r="F38" s="3410" t="str">
        <f>'LPP-SPP'!G39</f>
        <v>Endang Taryana</v>
      </c>
      <c r="G38" s="3410"/>
      <c r="H38" s="1695" t="str">
        <f>'LPP-SPP'!T39</f>
        <v>Arin Yustini, SE</v>
      </c>
    </row>
    <row r="39" spans="1:10" s="1687" customFormat="1" ht="13.5" customHeight="1" thickBot="1">
      <c r="B39" s="1694" t="s">
        <v>1521</v>
      </c>
      <c r="C39" s="1693">
        <v>1</v>
      </c>
      <c r="D39" s="1692">
        <f>+H29</f>
        <v>282434700</v>
      </c>
      <c r="E39" s="1691">
        <f>+D39*C39</f>
        <v>282434700</v>
      </c>
      <c r="F39" s="3410" t="s">
        <v>23</v>
      </c>
      <c r="G39" s="3410"/>
      <c r="H39" s="1690" t="s">
        <v>24</v>
      </c>
    </row>
    <row r="40" spans="1:10" s="1687" customFormat="1" ht="24.75" customHeight="1" thickTop="1" thickBot="1">
      <c r="B40" s="3410" t="s">
        <v>1507</v>
      </c>
      <c r="C40" s="3410"/>
      <c r="D40" s="1689">
        <f>SUM(D35:D39)</f>
        <v>4481090600</v>
      </c>
      <c r="E40" s="1688">
        <f>SUM(E35:E39)</f>
        <v>396877499</v>
      </c>
    </row>
    <row r="41" spans="1:10" s="1687" customFormat="1" ht="15">
      <c r="C41" s="3410" t="s">
        <v>1520</v>
      </c>
      <c r="D41" s="3410"/>
      <c r="E41" s="3410">
        <f>IF(D40=0,0,E40/D40)</f>
        <v>8.8567166885668416E-2</v>
      </c>
    </row>
    <row r="42" spans="1:10" s="1687" customFormat="1" ht="15.75" thickBot="1">
      <c r="C42" s="3410" t="s">
        <v>1519</v>
      </c>
      <c r="D42" s="3410"/>
      <c r="E42" s="3410"/>
    </row>
    <row r="43" spans="1:10">
      <c r="A43" s="1686"/>
    </row>
    <row r="47" spans="1:10">
      <c r="F47" s="1684"/>
      <c r="G47" s="1685"/>
      <c r="H47" s="1685"/>
      <c r="I47" s="1684"/>
      <c r="J47" s="1684"/>
    </row>
    <row r="48" spans="1:10">
      <c r="F48" s="1682"/>
      <c r="G48" s="1683"/>
      <c r="H48" s="1683"/>
      <c r="I48" s="1682"/>
      <c r="J48" s="1682"/>
    </row>
  </sheetData>
  <sheetProtection password="C13C" sheet="1" objects="1" scenarios="1" formatColumns="0" formatRows="0"/>
  <protectedRanges>
    <protectedRange sqref="J12:J27" name="Range1_1"/>
  </protectedRanges>
  <mergeCells count="14">
    <mergeCell ref="F38:G38"/>
    <mergeCell ref="F39:G39"/>
    <mergeCell ref="B40:C40"/>
    <mergeCell ref="C41:D41"/>
    <mergeCell ref="E41:E42"/>
    <mergeCell ref="C42:D42"/>
    <mergeCell ref="A29:B29"/>
    <mergeCell ref="D32:D33"/>
    <mergeCell ref="A1:H1"/>
    <mergeCell ref="A2:H2"/>
    <mergeCell ref="A3:H3"/>
    <mergeCell ref="A8:A11"/>
    <mergeCell ref="B8:B11"/>
    <mergeCell ref="F33:G33"/>
  </mergeCells>
  <printOptions horizontalCentered="1"/>
  <pageMargins left="0.27559055118110237" right="0.27559055118110237" top="0.74803149606299213" bottom="0.19685039370078741" header="0.86614173228346458" footer="0.51181102362204722"/>
  <pageSetup paperSize="9" scale="70" orientation="landscape" r:id="rId1"/>
  <headerFooter alignWithMargins="0"/>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X38"/>
  <sheetViews>
    <sheetView zoomScale="60" zoomScaleNormal="60" zoomScaleSheetLayoutView="30" workbookViewId="0">
      <selection activeCell="V27" sqref="V27"/>
    </sheetView>
  </sheetViews>
  <sheetFormatPr defaultColWidth="9.140625" defaultRowHeight="12.75"/>
  <cols>
    <col min="1" max="1" width="5.28515625" style="1887" customWidth="1"/>
    <col min="2" max="2" width="21.140625" style="1887" customWidth="1"/>
    <col min="3" max="3" width="16.85546875" style="1887" customWidth="1"/>
    <col min="4" max="4" width="12.85546875" style="1887" customWidth="1"/>
    <col min="5" max="5" width="9" style="1887" customWidth="1"/>
    <col min="6" max="6" width="11.140625" style="1887" customWidth="1"/>
    <col min="7" max="8" width="7.42578125" style="1887" customWidth="1"/>
    <col min="9" max="9" width="8.5703125" style="1887" customWidth="1"/>
    <col min="10" max="10" width="9.140625" style="1887" customWidth="1"/>
    <col min="11" max="11" width="9" style="1887" customWidth="1"/>
    <col min="12" max="13" width="11" style="1887" customWidth="1"/>
    <col min="14" max="14" width="14.28515625" style="1887" customWidth="1"/>
    <col min="15" max="15" width="15.28515625" style="1887" customWidth="1"/>
    <col min="16" max="18" width="5.140625" style="1887" customWidth="1"/>
    <col min="19" max="19" width="5.28515625" style="1888" customWidth="1"/>
    <col min="20" max="20" width="21.140625" style="1888" customWidth="1"/>
    <col min="21" max="21" width="19.85546875" style="1888" customWidth="1"/>
    <col min="22" max="22" width="22.140625" style="1888" customWidth="1"/>
    <col min="23" max="26" width="12.5703125" style="1888" customWidth="1"/>
    <col min="27" max="27" width="13.42578125" style="1888" customWidth="1"/>
    <col min="28" max="28" width="12.5703125" style="1888" customWidth="1"/>
    <col min="29" max="29" width="10.140625" style="1888" customWidth="1"/>
    <col min="30" max="31" width="10.140625" style="1747" customWidth="1"/>
    <col min="32" max="32" width="5.140625" style="1888" customWidth="1"/>
    <col min="33" max="33" width="21.140625" style="1888" customWidth="1"/>
    <col min="34" max="34" width="16.28515625" style="1888" customWidth="1"/>
    <col min="35" max="36" width="7.85546875" style="1888" customWidth="1"/>
    <col min="37" max="40" width="14.140625" style="1888" customWidth="1"/>
    <col min="41" max="42" width="18" style="1888" customWidth="1"/>
    <col min="43" max="43" width="14" style="1888" customWidth="1"/>
    <col min="44" max="44" width="10.140625" style="1888" customWidth="1"/>
    <col min="45" max="45" width="9.140625" style="1887" hidden="1" customWidth="1"/>
    <col min="46" max="48" width="0" style="1887" hidden="1" customWidth="1"/>
    <col min="49" max="16384" width="9.140625" style="1887"/>
  </cols>
  <sheetData>
    <row r="1" spans="1:50" s="1919" customFormat="1" ht="20.25">
      <c r="A1" s="3724" t="s">
        <v>1612</v>
      </c>
      <c r="B1" s="3724"/>
      <c r="C1" s="3724"/>
      <c r="D1" s="3724"/>
      <c r="E1" s="3724"/>
      <c r="F1" s="3724"/>
      <c r="G1" s="3724"/>
      <c r="H1" s="3724"/>
      <c r="I1" s="3724"/>
      <c r="J1" s="3724"/>
      <c r="K1" s="3724"/>
      <c r="L1" s="3724"/>
      <c r="M1" s="3724"/>
      <c r="N1" s="3724"/>
      <c r="O1" s="3724"/>
      <c r="S1" s="3724" t="s">
        <v>1611</v>
      </c>
      <c r="T1" s="3724"/>
      <c r="U1" s="3724"/>
      <c r="V1" s="3724"/>
      <c r="W1" s="3724"/>
      <c r="X1" s="3724"/>
      <c r="Y1" s="3724"/>
      <c r="Z1" s="3724"/>
      <c r="AA1" s="3724"/>
      <c r="AB1" s="3724"/>
      <c r="AC1" s="1920"/>
      <c r="AD1" s="1844"/>
      <c r="AE1" s="1844"/>
      <c r="AF1" s="3724" t="s">
        <v>0</v>
      </c>
      <c r="AG1" s="3724"/>
      <c r="AH1" s="3724"/>
      <c r="AI1" s="3724"/>
      <c r="AJ1" s="3724"/>
      <c r="AK1" s="3724"/>
      <c r="AL1" s="3724"/>
      <c r="AM1" s="3724"/>
      <c r="AN1" s="3724"/>
      <c r="AO1" s="3724"/>
      <c r="AP1" s="3724"/>
      <c r="AQ1" s="3724"/>
      <c r="AR1" s="1921"/>
    </row>
    <row r="2" spans="1:50" s="1919" customFormat="1" ht="20.25">
      <c r="A2" s="3724" t="s">
        <v>1610</v>
      </c>
      <c r="B2" s="3724"/>
      <c r="C2" s="3724"/>
      <c r="D2" s="3724"/>
      <c r="E2" s="3724"/>
      <c r="F2" s="3724"/>
      <c r="G2" s="3724"/>
      <c r="H2" s="3724"/>
      <c r="I2" s="3724"/>
      <c r="J2" s="3724"/>
      <c r="K2" s="3724"/>
      <c r="L2" s="3724"/>
      <c r="M2" s="3724"/>
      <c r="N2" s="3724"/>
      <c r="O2" s="3724"/>
      <c r="S2" s="3724" t="s">
        <v>1609</v>
      </c>
      <c r="T2" s="3724"/>
      <c r="U2" s="3724"/>
      <c r="V2" s="3724"/>
      <c r="W2" s="3724"/>
      <c r="X2" s="3724"/>
      <c r="Y2" s="3724"/>
      <c r="Z2" s="3724"/>
      <c r="AA2" s="3724"/>
      <c r="AB2" s="3724"/>
      <c r="AC2" s="1920"/>
      <c r="AD2" s="1844"/>
      <c r="AE2" s="1844"/>
      <c r="AF2" s="3724" t="s">
        <v>1608</v>
      </c>
      <c r="AG2" s="3724"/>
      <c r="AH2" s="3724"/>
      <c r="AI2" s="3724"/>
      <c r="AJ2" s="3724"/>
      <c r="AK2" s="3724"/>
      <c r="AL2" s="3724"/>
      <c r="AM2" s="3724"/>
      <c r="AN2" s="3724"/>
      <c r="AO2" s="3724"/>
      <c r="AP2" s="3724"/>
      <c r="AQ2" s="3724"/>
      <c r="AR2" s="1920"/>
    </row>
    <row r="4" spans="1:50">
      <c r="A4" s="1918" t="s">
        <v>86</v>
      </c>
      <c r="C4" s="1916" t="str">
        <f>'LPP-UEP'!F86</f>
        <v>:  Nagrak</v>
      </c>
      <c r="S4" s="1918" t="s">
        <v>86</v>
      </c>
      <c r="T4" s="1887"/>
      <c r="U4" s="1918" t="str">
        <f>C4</f>
        <v>:  Nagrak</v>
      </c>
      <c r="AF4" s="1918" t="s">
        <v>86</v>
      </c>
      <c r="AG4" s="1887"/>
      <c r="AH4" s="1918" t="str">
        <f>C4</f>
        <v>:  Nagrak</v>
      </c>
    </row>
    <row r="5" spans="1:50">
      <c r="A5" s="1887" t="s">
        <v>1607</v>
      </c>
      <c r="C5" s="1916" t="str">
        <f>'LPP-UEP'!F87</f>
        <v>:  Sukabumi</v>
      </c>
      <c r="N5" s="1915" t="s">
        <v>71</v>
      </c>
      <c r="O5" s="1917" t="str">
        <f>DT!D25&amp;" "&amp;DT!D26</f>
        <v>Februari 2016 2016</v>
      </c>
      <c r="S5" s="1888" t="s">
        <v>87</v>
      </c>
      <c r="U5" s="1888" t="s">
        <v>1605</v>
      </c>
      <c r="AA5" s="1913" t="s">
        <v>71</v>
      </c>
      <c r="AB5" s="1912" t="str">
        <f>O5</f>
        <v>Februari 2016 2016</v>
      </c>
      <c r="AF5" s="1888" t="s">
        <v>1606</v>
      </c>
      <c r="AH5" s="1888" t="s">
        <v>1605</v>
      </c>
      <c r="AP5" s="1913" t="s">
        <v>71</v>
      </c>
      <c r="AQ5" s="1912" t="str">
        <f>O5</f>
        <v>Februari 2016 2016</v>
      </c>
    </row>
    <row r="6" spans="1:50">
      <c r="A6" s="1887" t="s">
        <v>1604</v>
      </c>
      <c r="C6" s="1916" t="str">
        <f>'LPP-UEP'!F88</f>
        <v>:  Jawa Barat</v>
      </c>
      <c r="N6" s="1915"/>
      <c r="O6" s="1914"/>
      <c r="S6" s="1888" t="s">
        <v>88</v>
      </c>
      <c r="U6" s="1888" t="s">
        <v>1602</v>
      </c>
      <c r="AA6" s="1913"/>
      <c r="AB6" s="1912"/>
      <c r="AF6" s="1888" t="s">
        <v>1603</v>
      </c>
      <c r="AH6" s="1888" t="s">
        <v>1602</v>
      </c>
      <c r="AP6" s="1913"/>
      <c r="AQ6" s="1912"/>
    </row>
    <row r="7" spans="1:50" ht="6.75" customHeight="1"/>
    <row r="8" spans="1:50" ht="26.25" customHeight="1">
      <c r="A8" s="3725" t="s">
        <v>978</v>
      </c>
      <c r="B8" s="3728" t="s">
        <v>224</v>
      </c>
      <c r="C8" s="3728" t="s">
        <v>1601</v>
      </c>
      <c r="D8" s="3728" t="s">
        <v>1594</v>
      </c>
      <c r="E8" s="3728" t="s">
        <v>1600</v>
      </c>
      <c r="F8" s="3728"/>
      <c r="G8" s="3728"/>
      <c r="H8" s="3728"/>
      <c r="I8" s="3728" t="s">
        <v>1599</v>
      </c>
      <c r="J8" s="3728"/>
      <c r="K8" s="3728"/>
      <c r="L8" s="3728" t="s">
        <v>1598</v>
      </c>
      <c r="M8" s="3728"/>
      <c r="N8" s="3728" t="s">
        <v>1597</v>
      </c>
      <c r="O8" s="3734" t="s">
        <v>1596</v>
      </c>
      <c r="P8" s="3732" t="s">
        <v>1595</v>
      </c>
      <c r="Q8" s="3732"/>
      <c r="R8" s="3732"/>
      <c r="S8" s="3725" t="s">
        <v>978</v>
      </c>
      <c r="T8" s="3728" t="s">
        <v>224</v>
      </c>
      <c r="U8" s="3728" t="s">
        <v>1594</v>
      </c>
      <c r="V8" s="3728" t="s">
        <v>1593</v>
      </c>
      <c r="W8" s="3728"/>
      <c r="X8" s="3728"/>
      <c r="Y8" s="3728"/>
      <c r="Z8" s="3728"/>
      <c r="AA8" s="3728"/>
      <c r="AB8" s="3734"/>
      <c r="AC8" s="3732" t="s">
        <v>1590</v>
      </c>
      <c r="AD8" s="3732" t="s">
        <v>52</v>
      </c>
      <c r="AE8" s="3732" t="s">
        <v>53</v>
      </c>
      <c r="AF8" s="3725" t="s">
        <v>36</v>
      </c>
      <c r="AG8" s="3728" t="s">
        <v>224</v>
      </c>
      <c r="AH8" s="3728" t="s">
        <v>1592</v>
      </c>
      <c r="AI8" s="3728" t="s">
        <v>1591</v>
      </c>
      <c r="AJ8" s="3728"/>
      <c r="AK8" s="3728"/>
      <c r="AL8" s="3728"/>
      <c r="AM8" s="3728"/>
      <c r="AN8" s="3728"/>
      <c r="AO8" s="3728" t="s">
        <v>1534</v>
      </c>
      <c r="AP8" s="3728"/>
      <c r="AQ8" s="3734"/>
      <c r="AR8" s="3732" t="s">
        <v>1590</v>
      </c>
      <c r="AW8" s="3732" t="s">
        <v>1589</v>
      </c>
      <c r="AX8" s="3732" t="s">
        <v>1566</v>
      </c>
    </row>
    <row r="9" spans="1:50" ht="30" customHeight="1">
      <c r="A9" s="3726"/>
      <c r="B9" s="3729"/>
      <c r="C9" s="3729"/>
      <c r="D9" s="3729"/>
      <c r="E9" s="3729" t="s">
        <v>1588</v>
      </c>
      <c r="F9" s="3729" t="s">
        <v>1587</v>
      </c>
      <c r="G9" s="3729" t="s">
        <v>1586</v>
      </c>
      <c r="H9" s="3729"/>
      <c r="I9" s="3729" t="s">
        <v>1585</v>
      </c>
      <c r="J9" s="3729" t="s">
        <v>1584</v>
      </c>
      <c r="K9" s="3729" t="s">
        <v>1583</v>
      </c>
      <c r="L9" s="3729" t="s">
        <v>1582</v>
      </c>
      <c r="M9" s="3729" t="s">
        <v>1581</v>
      </c>
      <c r="N9" s="3729"/>
      <c r="O9" s="3731"/>
      <c r="P9" s="3732"/>
      <c r="Q9" s="3732"/>
      <c r="R9" s="3732"/>
      <c r="S9" s="3726"/>
      <c r="T9" s="3729"/>
      <c r="U9" s="3729"/>
      <c r="V9" s="3729" t="s">
        <v>1580</v>
      </c>
      <c r="W9" s="3729" t="s">
        <v>1579</v>
      </c>
      <c r="X9" s="3729"/>
      <c r="Y9" s="3729"/>
      <c r="Z9" s="3729"/>
      <c r="AA9" s="3729"/>
      <c r="AB9" s="3731"/>
      <c r="AC9" s="3732"/>
      <c r="AD9" s="3732"/>
      <c r="AE9" s="3732"/>
      <c r="AF9" s="3726"/>
      <c r="AG9" s="3729"/>
      <c r="AH9" s="3729"/>
      <c r="AI9" s="3729" t="s">
        <v>1578</v>
      </c>
      <c r="AJ9" s="3729"/>
      <c r="AK9" s="3729" t="s">
        <v>1577</v>
      </c>
      <c r="AL9" s="3729"/>
      <c r="AM9" s="3729"/>
      <c r="AN9" s="3729"/>
      <c r="AO9" s="3729" t="s">
        <v>1567</v>
      </c>
      <c r="AP9" s="3729" t="s">
        <v>1566</v>
      </c>
      <c r="AQ9" s="3731" t="s">
        <v>1576</v>
      </c>
      <c r="AR9" s="3732"/>
      <c r="AW9" s="3732"/>
      <c r="AX9" s="3732"/>
    </row>
    <row r="10" spans="1:50" ht="33.75" customHeight="1">
      <c r="A10" s="3727"/>
      <c r="B10" s="3730"/>
      <c r="C10" s="3730"/>
      <c r="D10" s="3730"/>
      <c r="E10" s="3730"/>
      <c r="F10" s="3730"/>
      <c r="G10" s="1822" t="s">
        <v>53</v>
      </c>
      <c r="H10" s="1822" t="s">
        <v>1575</v>
      </c>
      <c r="I10" s="3730"/>
      <c r="J10" s="3730"/>
      <c r="K10" s="3730"/>
      <c r="L10" s="3730"/>
      <c r="M10" s="3730"/>
      <c r="N10" s="3730"/>
      <c r="O10" s="3733"/>
      <c r="P10" s="2623" t="s">
        <v>1574</v>
      </c>
      <c r="Q10" s="2623" t="s">
        <v>248</v>
      </c>
      <c r="R10" s="2623" t="s">
        <v>402</v>
      </c>
      <c r="S10" s="3727"/>
      <c r="T10" s="3730"/>
      <c r="U10" s="3730"/>
      <c r="V10" s="3730"/>
      <c r="W10" s="1822" t="s">
        <v>1573</v>
      </c>
      <c r="X10" s="1822" t="s">
        <v>1572</v>
      </c>
      <c r="Y10" s="1822" t="s">
        <v>1571</v>
      </c>
      <c r="Z10" s="1822" t="s">
        <v>1570</v>
      </c>
      <c r="AA10" s="1822" t="s">
        <v>1569</v>
      </c>
      <c r="AB10" s="1911" t="s">
        <v>1568</v>
      </c>
      <c r="AC10" s="3732"/>
      <c r="AD10" s="3732"/>
      <c r="AE10" s="3732"/>
      <c r="AF10" s="3727"/>
      <c r="AG10" s="3730"/>
      <c r="AH10" s="3730"/>
      <c r="AI10" s="1822" t="s">
        <v>1567</v>
      </c>
      <c r="AJ10" s="1822" t="s">
        <v>1566</v>
      </c>
      <c r="AK10" s="1822" t="s">
        <v>1565</v>
      </c>
      <c r="AL10" s="1822" t="s">
        <v>1564</v>
      </c>
      <c r="AM10" s="1822" t="s">
        <v>1563</v>
      </c>
      <c r="AN10" s="1822" t="s">
        <v>1562</v>
      </c>
      <c r="AO10" s="3730"/>
      <c r="AP10" s="3730"/>
      <c r="AQ10" s="3733"/>
      <c r="AR10" s="3732"/>
      <c r="AW10" s="3732"/>
      <c r="AX10" s="3732"/>
    </row>
    <row r="11" spans="1:50" s="1906" customFormat="1" ht="11.25">
      <c r="A11" s="1910">
        <v>1</v>
      </c>
      <c r="B11" s="1820">
        <v>2</v>
      </c>
      <c r="C11" s="1820">
        <v>3</v>
      </c>
      <c r="D11" s="1820">
        <v>4</v>
      </c>
      <c r="E11" s="1820">
        <v>5</v>
      </c>
      <c r="F11" s="1820">
        <v>6</v>
      </c>
      <c r="G11" s="1820">
        <v>7</v>
      </c>
      <c r="H11" s="1820">
        <v>8</v>
      </c>
      <c r="I11" s="1820">
        <v>9</v>
      </c>
      <c r="J11" s="1820">
        <v>10</v>
      </c>
      <c r="K11" s="1820">
        <v>11</v>
      </c>
      <c r="L11" s="1820">
        <v>12</v>
      </c>
      <c r="M11" s="1820">
        <v>13</v>
      </c>
      <c r="N11" s="1820" t="s">
        <v>1561</v>
      </c>
      <c r="O11" s="1909" t="s">
        <v>1560</v>
      </c>
      <c r="S11" s="1908">
        <v>1</v>
      </c>
      <c r="T11" s="1809">
        <v>2</v>
      </c>
      <c r="U11" s="1809">
        <v>3</v>
      </c>
      <c r="V11" s="1809">
        <v>4</v>
      </c>
      <c r="W11" s="1809">
        <v>5</v>
      </c>
      <c r="X11" s="1809">
        <v>6</v>
      </c>
      <c r="Y11" s="1809">
        <v>7</v>
      </c>
      <c r="Z11" s="1809">
        <v>8</v>
      </c>
      <c r="AA11" s="1809">
        <v>9</v>
      </c>
      <c r="AB11" s="1907">
        <v>10</v>
      </c>
      <c r="AC11" s="2624"/>
      <c r="AD11" s="2625"/>
      <c r="AE11" s="2625"/>
      <c r="AF11" s="1908">
        <v>1</v>
      </c>
      <c r="AG11" s="1809">
        <v>2</v>
      </c>
      <c r="AH11" s="1809">
        <v>3</v>
      </c>
      <c r="AI11" s="1809">
        <v>4</v>
      </c>
      <c r="AJ11" s="1809">
        <v>5</v>
      </c>
      <c r="AK11" s="1809">
        <v>6</v>
      </c>
      <c r="AL11" s="1809">
        <v>7</v>
      </c>
      <c r="AM11" s="1809">
        <v>8</v>
      </c>
      <c r="AN11" s="1809">
        <v>9</v>
      </c>
      <c r="AO11" s="1809">
        <v>10</v>
      </c>
      <c r="AP11" s="1809">
        <v>11</v>
      </c>
      <c r="AQ11" s="1907" t="s">
        <v>1559</v>
      </c>
      <c r="AR11" s="2626"/>
    </row>
    <row r="12" spans="1:50" s="749" customFormat="1" ht="23.25" customHeight="1">
      <c r="A12" s="1902">
        <v>1</v>
      </c>
      <c r="B12" s="1905" t="str">
        <f>'LPP-UEP'!B93</f>
        <v>CIHANYAWAR</v>
      </c>
      <c r="C12" s="1802">
        <f>'LPP-UEP'!D13</f>
        <v>0</v>
      </c>
      <c r="D12" s="1802">
        <f>'LPP-UEP'!C93</f>
        <v>0</v>
      </c>
      <c r="E12" s="1802"/>
      <c r="F12" s="1802"/>
      <c r="G12" s="1802"/>
      <c r="H12" s="1802"/>
      <c r="I12" s="1802"/>
      <c r="J12" s="1802"/>
      <c r="K12" s="1802"/>
      <c r="L12" s="1802"/>
      <c r="M12" s="1802"/>
      <c r="N12" s="2627">
        <f t="shared" ref="N12:N27" si="0">D12-C12</f>
        <v>0</v>
      </c>
      <c r="O12" s="2628" t="e">
        <f t="shared" ref="O12:O28" si="1">(N12/C12)*100%</f>
        <v>#DIV/0!</v>
      </c>
      <c r="P12" s="2629">
        <f t="shared" ref="P12:P28" si="2">D12-SUM(E12:H12)</f>
        <v>0</v>
      </c>
      <c r="Q12" s="2629">
        <f t="shared" ref="Q12:Q28" si="3">D12-SUM(I12:K12)</f>
        <v>0</v>
      </c>
      <c r="R12" s="2629">
        <f t="shared" ref="R12:R28" si="4">D12-(L12+M12)</f>
        <v>0</v>
      </c>
      <c r="S12" s="1902">
        <f t="shared" ref="S12:S27" si="5">A12</f>
        <v>1</v>
      </c>
      <c r="T12" s="1903" t="str">
        <f t="shared" ref="T12:T27" si="6">B12</f>
        <v>CIHANYAWAR</v>
      </c>
      <c r="U12" s="2630">
        <f t="shared" ref="U12:U27" si="7">D12</f>
        <v>0</v>
      </c>
      <c r="V12" s="2630">
        <f t="shared" ref="V12:V27" si="8">G12+H12</f>
        <v>0</v>
      </c>
      <c r="W12" s="2630"/>
      <c r="X12" s="2630"/>
      <c r="Y12" s="2630"/>
      <c r="Z12" s="2630"/>
      <c r="AA12" s="2630"/>
      <c r="AB12" s="2635"/>
      <c r="AC12" s="2629" t="str">
        <f t="shared" ref="AC12:AC28" si="9">IF(SUM(V12:AB12)=U12,"BENAR","SALAH")</f>
        <v>BENAR</v>
      </c>
      <c r="AD12" s="2629">
        <f t="shared" ref="AD12:AD28" si="10">E12+F12-W12-X12-Y12-Z12-AA12-AB12</f>
        <v>0</v>
      </c>
      <c r="AE12" s="2629">
        <f t="shared" ref="AE12:AE28" si="11">G12+H12-V12</f>
        <v>0</v>
      </c>
      <c r="AF12" s="1902">
        <f t="shared" ref="AF12:AF27" si="12">S12</f>
        <v>1</v>
      </c>
      <c r="AG12" s="1903" t="str">
        <f t="shared" ref="AG12:AG27" si="13">T12</f>
        <v>CIHANYAWAR</v>
      </c>
      <c r="AH12" s="1790">
        <f t="shared" ref="AH12:AH27" si="14">D12</f>
        <v>0</v>
      </c>
      <c r="AI12" s="1792"/>
      <c r="AJ12" s="1792"/>
      <c r="AK12" s="1792"/>
      <c r="AL12" s="1792"/>
      <c r="AM12" s="1792"/>
      <c r="AN12" s="1792"/>
      <c r="AO12" s="1788">
        <f>SUM('KOLEKTIBILITAS-UEP'!F12:G12)</f>
        <v>0</v>
      </c>
      <c r="AP12" s="1788">
        <f>'KOLEKTIBILITAS-UEP'!H12</f>
        <v>0</v>
      </c>
      <c r="AQ12" s="2631">
        <f t="shared" ref="AQ12:AQ27" si="15">AO12+AP12</f>
        <v>0</v>
      </c>
      <c r="AR12" s="2629" t="str">
        <f t="shared" ref="AR12:AR27" si="16">IF(SUM(AK12:AN12)=(AI12+AJ12),"BENAR","SALAH")</f>
        <v>BENAR</v>
      </c>
      <c r="AS12" s="749">
        <f t="shared" ref="AS12:AS27" si="17">IF(AI12&gt;=1,1,0)</f>
        <v>0</v>
      </c>
      <c r="AT12" s="749">
        <f t="shared" ref="AT12:AT27" si="18">IF(AJ12&gt;=1,1,0)</f>
        <v>0</v>
      </c>
      <c r="AU12" s="749">
        <f t="shared" ref="AU12:AU27" si="19">IF(AO12&gt;=1,1,0)</f>
        <v>0</v>
      </c>
      <c r="AV12" s="749">
        <f t="shared" ref="AV12:AV27" si="20">IF(AP12&gt;=1,1,0)</f>
        <v>0</v>
      </c>
      <c r="AW12" s="749">
        <f t="shared" ref="AW12:AW27" si="21">AS12-AU12</f>
        <v>0</v>
      </c>
      <c r="AX12" s="749">
        <f t="shared" ref="AX12:AX27" si="22">AT12-AV12</f>
        <v>0</v>
      </c>
    </row>
    <row r="13" spans="1:50" s="749" customFormat="1" ht="23.25" customHeight="1">
      <c r="A13" s="1900">
        <v>2</v>
      </c>
      <c r="B13" s="1899" t="str">
        <f>'LPP-UEP'!B94</f>
        <v>NAGRAK UTARA</v>
      </c>
      <c r="C13" s="1775">
        <f>'LPP-UEP'!D14</f>
        <v>0</v>
      </c>
      <c r="D13" s="1775">
        <f>'LPP-UEP'!C94</f>
        <v>0</v>
      </c>
      <c r="E13" s="1775"/>
      <c r="F13" s="1775"/>
      <c r="G13" s="1775"/>
      <c r="H13" s="1775"/>
      <c r="I13" s="1775"/>
      <c r="J13" s="1775"/>
      <c r="K13" s="1775"/>
      <c r="L13" s="1775"/>
      <c r="M13" s="1775"/>
      <c r="N13" s="2627">
        <f t="shared" si="0"/>
        <v>0</v>
      </c>
      <c r="O13" s="2632" t="e">
        <f t="shared" si="1"/>
        <v>#DIV/0!</v>
      </c>
      <c r="P13" s="2629">
        <f t="shared" si="2"/>
        <v>0</v>
      </c>
      <c r="Q13" s="2629">
        <f t="shared" si="3"/>
        <v>0</v>
      </c>
      <c r="R13" s="2629">
        <f t="shared" si="4"/>
        <v>0</v>
      </c>
      <c r="S13" s="1900">
        <f t="shared" si="5"/>
        <v>2</v>
      </c>
      <c r="T13" s="1899" t="str">
        <f t="shared" si="6"/>
        <v>NAGRAK UTARA</v>
      </c>
      <c r="U13" s="1775">
        <f t="shared" si="7"/>
        <v>0</v>
      </c>
      <c r="V13" s="1775">
        <f t="shared" si="8"/>
        <v>0</v>
      </c>
      <c r="W13" s="1775"/>
      <c r="X13" s="1775"/>
      <c r="Y13" s="1775"/>
      <c r="Z13" s="1775"/>
      <c r="AA13" s="1775"/>
      <c r="AB13" s="2636"/>
      <c r="AC13" s="2629" t="str">
        <f t="shared" si="9"/>
        <v>BENAR</v>
      </c>
      <c r="AD13" s="2629">
        <f t="shared" si="10"/>
        <v>0</v>
      </c>
      <c r="AE13" s="2629">
        <f t="shared" si="11"/>
        <v>0</v>
      </c>
      <c r="AF13" s="1900">
        <f t="shared" si="12"/>
        <v>2</v>
      </c>
      <c r="AG13" s="1899" t="str">
        <f t="shared" si="13"/>
        <v>NAGRAK UTARA</v>
      </c>
      <c r="AH13" s="1790">
        <f t="shared" si="14"/>
        <v>0</v>
      </c>
      <c r="AI13" s="1792"/>
      <c r="AJ13" s="1792"/>
      <c r="AK13" s="1792"/>
      <c r="AL13" s="1792"/>
      <c r="AM13" s="1792"/>
      <c r="AN13" s="1792"/>
      <c r="AO13" s="1788">
        <f>SUM('KOLEKTIBILITAS-UEP'!F13:G13)</f>
        <v>0</v>
      </c>
      <c r="AP13" s="1788">
        <f>'KOLEKTIBILITAS-UEP'!H13</f>
        <v>0</v>
      </c>
      <c r="AQ13" s="2631">
        <f t="shared" si="15"/>
        <v>0</v>
      </c>
      <c r="AR13" s="2629" t="str">
        <f t="shared" si="16"/>
        <v>BENAR</v>
      </c>
      <c r="AS13" s="749">
        <f t="shared" si="17"/>
        <v>0</v>
      </c>
      <c r="AT13" s="749">
        <f t="shared" si="18"/>
        <v>0</v>
      </c>
      <c r="AU13" s="749">
        <f t="shared" si="19"/>
        <v>0</v>
      </c>
      <c r="AV13" s="749">
        <f t="shared" si="20"/>
        <v>0</v>
      </c>
      <c r="AW13" s="749">
        <f t="shared" si="21"/>
        <v>0</v>
      </c>
      <c r="AX13" s="749">
        <f t="shared" si="22"/>
        <v>0</v>
      </c>
    </row>
    <row r="14" spans="1:50" s="749" customFormat="1" ht="23.25" customHeight="1">
      <c r="A14" s="1902">
        <v>3</v>
      </c>
      <c r="B14" s="1899" t="str">
        <f>'LPP-UEP'!B95</f>
        <v>DARMAREJA</v>
      </c>
      <c r="C14" s="1775">
        <f>'LPP-UEP'!D15</f>
        <v>0</v>
      </c>
      <c r="D14" s="1775">
        <f>'LPP-UEP'!C95</f>
        <v>0</v>
      </c>
      <c r="E14" s="1775"/>
      <c r="F14" s="1775"/>
      <c r="G14" s="1775"/>
      <c r="H14" s="1775"/>
      <c r="I14" s="1775"/>
      <c r="J14" s="1775"/>
      <c r="K14" s="1775"/>
      <c r="L14" s="1775"/>
      <c r="M14" s="1775"/>
      <c r="N14" s="1775">
        <f t="shared" si="0"/>
        <v>0</v>
      </c>
      <c r="O14" s="2632" t="e">
        <f t="shared" si="1"/>
        <v>#DIV/0!</v>
      </c>
      <c r="P14" s="2629">
        <f t="shared" si="2"/>
        <v>0</v>
      </c>
      <c r="Q14" s="2629">
        <f t="shared" si="3"/>
        <v>0</v>
      </c>
      <c r="R14" s="2629">
        <f t="shared" si="4"/>
        <v>0</v>
      </c>
      <c r="S14" s="1900">
        <f t="shared" si="5"/>
        <v>3</v>
      </c>
      <c r="T14" s="1899" t="str">
        <f t="shared" si="6"/>
        <v>DARMAREJA</v>
      </c>
      <c r="U14" s="1775">
        <f t="shared" si="7"/>
        <v>0</v>
      </c>
      <c r="V14" s="1775">
        <f t="shared" si="8"/>
        <v>0</v>
      </c>
      <c r="W14" s="1775"/>
      <c r="X14" s="1775"/>
      <c r="Y14" s="1775"/>
      <c r="Z14" s="1775"/>
      <c r="AA14" s="1775"/>
      <c r="AB14" s="2636"/>
      <c r="AC14" s="2629" t="str">
        <f t="shared" si="9"/>
        <v>BENAR</v>
      </c>
      <c r="AD14" s="2629">
        <f t="shared" si="10"/>
        <v>0</v>
      </c>
      <c r="AE14" s="2629">
        <f t="shared" si="11"/>
        <v>0</v>
      </c>
      <c r="AF14" s="1900">
        <f t="shared" si="12"/>
        <v>3</v>
      </c>
      <c r="AG14" s="1899" t="str">
        <f t="shared" si="13"/>
        <v>DARMAREJA</v>
      </c>
      <c r="AH14" s="1790">
        <f t="shared" si="14"/>
        <v>0</v>
      </c>
      <c r="AI14" s="1790"/>
      <c r="AJ14" s="1790"/>
      <c r="AK14" s="1790"/>
      <c r="AL14" s="1790"/>
      <c r="AM14" s="1790"/>
      <c r="AN14" s="1790"/>
      <c r="AO14" s="1788">
        <f>SUM('KOLEKTIBILITAS-UEP'!F14:G14)</f>
        <v>0</v>
      </c>
      <c r="AP14" s="1788">
        <f>'KOLEKTIBILITAS-UEP'!H14</f>
        <v>0</v>
      </c>
      <c r="AQ14" s="2631">
        <f t="shared" si="15"/>
        <v>0</v>
      </c>
      <c r="AR14" s="2629" t="str">
        <f t="shared" si="16"/>
        <v>BENAR</v>
      </c>
      <c r="AS14" s="749">
        <f t="shared" si="17"/>
        <v>0</v>
      </c>
      <c r="AT14" s="749">
        <f t="shared" si="18"/>
        <v>0</v>
      </c>
      <c r="AU14" s="749">
        <f t="shared" si="19"/>
        <v>0</v>
      </c>
      <c r="AV14" s="749">
        <f t="shared" si="20"/>
        <v>0</v>
      </c>
      <c r="AW14" s="749">
        <f t="shared" si="21"/>
        <v>0</v>
      </c>
      <c r="AX14" s="749">
        <f t="shared" si="22"/>
        <v>0</v>
      </c>
    </row>
    <row r="15" spans="1:50" s="749" customFormat="1" ht="23.25" customHeight="1">
      <c r="A15" s="1900">
        <v>4</v>
      </c>
      <c r="B15" s="1899" t="str">
        <f>'LPP-UEP'!B96</f>
        <v>BALEKAMBANG</v>
      </c>
      <c r="C15" s="1775">
        <f>'LPP-UEP'!D16</f>
        <v>0</v>
      </c>
      <c r="D15" s="1775">
        <f>'LPP-UEP'!C96</f>
        <v>0</v>
      </c>
      <c r="E15" s="1775"/>
      <c r="F15" s="1775"/>
      <c r="G15" s="1775"/>
      <c r="H15" s="1775"/>
      <c r="I15" s="1775"/>
      <c r="J15" s="1775"/>
      <c r="K15" s="1775"/>
      <c r="L15" s="1775"/>
      <c r="M15" s="1775"/>
      <c r="N15" s="1775">
        <f t="shared" si="0"/>
        <v>0</v>
      </c>
      <c r="O15" s="2632" t="e">
        <f t="shared" si="1"/>
        <v>#DIV/0!</v>
      </c>
      <c r="P15" s="2629">
        <f t="shared" si="2"/>
        <v>0</v>
      </c>
      <c r="Q15" s="2629">
        <f t="shared" si="3"/>
        <v>0</v>
      </c>
      <c r="R15" s="2629">
        <f t="shared" si="4"/>
        <v>0</v>
      </c>
      <c r="S15" s="1900">
        <f t="shared" si="5"/>
        <v>4</v>
      </c>
      <c r="T15" s="1899" t="str">
        <f t="shared" si="6"/>
        <v>BALEKAMBANG</v>
      </c>
      <c r="U15" s="1775">
        <f t="shared" si="7"/>
        <v>0</v>
      </c>
      <c r="V15" s="1775">
        <f t="shared" si="8"/>
        <v>0</v>
      </c>
      <c r="W15" s="1775"/>
      <c r="X15" s="1775"/>
      <c r="Y15" s="1775"/>
      <c r="Z15" s="1775"/>
      <c r="AA15" s="1775"/>
      <c r="AB15" s="2636"/>
      <c r="AC15" s="2629" t="str">
        <f t="shared" si="9"/>
        <v>BENAR</v>
      </c>
      <c r="AD15" s="2629">
        <f t="shared" si="10"/>
        <v>0</v>
      </c>
      <c r="AE15" s="2629">
        <f t="shared" si="11"/>
        <v>0</v>
      </c>
      <c r="AF15" s="1900">
        <f t="shared" si="12"/>
        <v>4</v>
      </c>
      <c r="AG15" s="1899" t="str">
        <f t="shared" si="13"/>
        <v>BALEKAMBANG</v>
      </c>
      <c r="AH15" s="1790">
        <f t="shared" si="14"/>
        <v>0</v>
      </c>
      <c r="AI15" s="1790"/>
      <c r="AJ15" s="1790"/>
      <c r="AK15" s="1790"/>
      <c r="AL15" s="1790"/>
      <c r="AM15" s="1790"/>
      <c r="AN15" s="1790"/>
      <c r="AO15" s="1788">
        <f>SUM('KOLEKTIBILITAS-UEP'!F15:G15)</f>
        <v>0</v>
      </c>
      <c r="AP15" s="1788">
        <f>'KOLEKTIBILITAS-UEP'!H15</f>
        <v>0</v>
      </c>
      <c r="AQ15" s="2631">
        <f t="shared" si="15"/>
        <v>0</v>
      </c>
      <c r="AR15" s="2629" t="str">
        <f t="shared" si="16"/>
        <v>BENAR</v>
      </c>
      <c r="AS15" s="749">
        <f t="shared" si="17"/>
        <v>0</v>
      </c>
      <c r="AT15" s="749">
        <f t="shared" si="18"/>
        <v>0</v>
      </c>
      <c r="AU15" s="749">
        <f t="shared" si="19"/>
        <v>0</v>
      </c>
      <c r="AV15" s="749">
        <f t="shared" si="20"/>
        <v>0</v>
      </c>
      <c r="AW15" s="749">
        <f t="shared" si="21"/>
        <v>0</v>
      </c>
      <c r="AX15" s="749">
        <f t="shared" si="22"/>
        <v>0</v>
      </c>
    </row>
    <row r="16" spans="1:50" s="749" customFormat="1" ht="23.25" customHeight="1">
      <c r="A16" s="1902">
        <v>5</v>
      </c>
      <c r="B16" s="1899" t="str">
        <f>'LPP-UEP'!B97</f>
        <v>NAGRAK SELATAN</v>
      </c>
      <c r="C16" s="1775">
        <f>'LPP-UEP'!D17</f>
        <v>0</v>
      </c>
      <c r="D16" s="1775">
        <f>'LPP-UEP'!C97</f>
        <v>0</v>
      </c>
      <c r="E16" s="1775"/>
      <c r="F16" s="1775"/>
      <c r="G16" s="1775"/>
      <c r="H16" s="1775"/>
      <c r="I16" s="1775"/>
      <c r="J16" s="1775"/>
      <c r="K16" s="1775"/>
      <c r="L16" s="1775"/>
      <c r="M16" s="1775"/>
      <c r="N16" s="1775">
        <f t="shared" si="0"/>
        <v>0</v>
      </c>
      <c r="O16" s="2632" t="e">
        <f t="shared" si="1"/>
        <v>#DIV/0!</v>
      </c>
      <c r="P16" s="2629">
        <f t="shared" si="2"/>
        <v>0</v>
      </c>
      <c r="Q16" s="2629">
        <f t="shared" si="3"/>
        <v>0</v>
      </c>
      <c r="R16" s="2629">
        <f t="shared" si="4"/>
        <v>0</v>
      </c>
      <c r="S16" s="1900">
        <f t="shared" si="5"/>
        <v>5</v>
      </c>
      <c r="T16" s="1899" t="str">
        <f t="shared" si="6"/>
        <v>NAGRAK SELATAN</v>
      </c>
      <c r="U16" s="1775">
        <f t="shared" si="7"/>
        <v>0</v>
      </c>
      <c r="V16" s="1775">
        <f t="shared" si="8"/>
        <v>0</v>
      </c>
      <c r="W16" s="1775"/>
      <c r="X16" s="1775"/>
      <c r="Y16" s="1775"/>
      <c r="Z16" s="1775"/>
      <c r="AA16" s="1775"/>
      <c r="AB16" s="2636"/>
      <c r="AC16" s="2629" t="str">
        <f t="shared" si="9"/>
        <v>BENAR</v>
      </c>
      <c r="AD16" s="2629">
        <f t="shared" si="10"/>
        <v>0</v>
      </c>
      <c r="AE16" s="2629">
        <f t="shared" si="11"/>
        <v>0</v>
      </c>
      <c r="AF16" s="1900">
        <f t="shared" si="12"/>
        <v>5</v>
      </c>
      <c r="AG16" s="1899" t="str">
        <f t="shared" si="13"/>
        <v>NAGRAK SELATAN</v>
      </c>
      <c r="AH16" s="1790">
        <f t="shared" si="14"/>
        <v>0</v>
      </c>
      <c r="AI16" s="1790"/>
      <c r="AJ16" s="1790"/>
      <c r="AK16" s="1790"/>
      <c r="AL16" s="1790"/>
      <c r="AM16" s="1790"/>
      <c r="AN16" s="1790"/>
      <c r="AO16" s="1788">
        <f>SUM('KOLEKTIBILITAS-UEP'!F16:G16)</f>
        <v>0</v>
      </c>
      <c r="AP16" s="1788">
        <f>'KOLEKTIBILITAS-UEP'!H16</f>
        <v>0</v>
      </c>
      <c r="AQ16" s="2631">
        <f t="shared" si="15"/>
        <v>0</v>
      </c>
      <c r="AR16" s="2629" t="str">
        <f t="shared" si="16"/>
        <v>BENAR</v>
      </c>
      <c r="AS16" s="749">
        <f t="shared" si="17"/>
        <v>0</v>
      </c>
      <c r="AT16" s="749">
        <f t="shared" si="18"/>
        <v>0</v>
      </c>
      <c r="AU16" s="749">
        <f t="shared" si="19"/>
        <v>0</v>
      </c>
      <c r="AV16" s="749">
        <f t="shared" si="20"/>
        <v>0</v>
      </c>
      <c r="AW16" s="749">
        <f t="shared" si="21"/>
        <v>0</v>
      </c>
      <c r="AX16" s="749">
        <f t="shared" si="22"/>
        <v>0</v>
      </c>
    </row>
    <row r="17" spans="1:50" s="749" customFormat="1" ht="23.25" customHeight="1">
      <c r="A17" s="1900">
        <v>6</v>
      </c>
      <c r="B17" s="1899" t="str">
        <f>'LPP-UEP'!B98</f>
        <v>KALAPAREA</v>
      </c>
      <c r="C17" s="1775">
        <f>'LPP-UEP'!D18</f>
        <v>0</v>
      </c>
      <c r="D17" s="1775">
        <f>'LPP-UEP'!C98</f>
        <v>0</v>
      </c>
      <c r="E17" s="1775"/>
      <c r="F17" s="1775"/>
      <c r="G17" s="1775"/>
      <c r="H17" s="1775"/>
      <c r="I17" s="1775"/>
      <c r="J17" s="1775"/>
      <c r="K17" s="1775"/>
      <c r="L17" s="1775"/>
      <c r="M17" s="1775"/>
      <c r="N17" s="1775">
        <f t="shared" si="0"/>
        <v>0</v>
      </c>
      <c r="O17" s="2632" t="e">
        <f t="shared" si="1"/>
        <v>#DIV/0!</v>
      </c>
      <c r="P17" s="2629">
        <f t="shared" si="2"/>
        <v>0</v>
      </c>
      <c r="Q17" s="2629">
        <f t="shared" si="3"/>
        <v>0</v>
      </c>
      <c r="R17" s="2629">
        <f t="shared" si="4"/>
        <v>0</v>
      </c>
      <c r="S17" s="1900">
        <f t="shared" si="5"/>
        <v>6</v>
      </c>
      <c r="T17" s="1899" t="str">
        <f t="shared" si="6"/>
        <v>KALAPAREA</v>
      </c>
      <c r="U17" s="1775">
        <f t="shared" si="7"/>
        <v>0</v>
      </c>
      <c r="V17" s="1775">
        <f t="shared" si="8"/>
        <v>0</v>
      </c>
      <c r="W17" s="1775"/>
      <c r="X17" s="1775"/>
      <c r="Y17" s="1775"/>
      <c r="Z17" s="1775"/>
      <c r="AA17" s="1775"/>
      <c r="AB17" s="2636"/>
      <c r="AC17" s="2629" t="str">
        <f t="shared" si="9"/>
        <v>BENAR</v>
      </c>
      <c r="AD17" s="2629">
        <f t="shared" si="10"/>
        <v>0</v>
      </c>
      <c r="AE17" s="2629">
        <f t="shared" si="11"/>
        <v>0</v>
      </c>
      <c r="AF17" s="1900">
        <f t="shared" si="12"/>
        <v>6</v>
      </c>
      <c r="AG17" s="1899" t="str">
        <f t="shared" si="13"/>
        <v>KALAPAREA</v>
      </c>
      <c r="AH17" s="1790">
        <f t="shared" si="14"/>
        <v>0</v>
      </c>
      <c r="AI17" s="1790"/>
      <c r="AJ17" s="1790"/>
      <c r="AK17" s="1790"/>
      <c r="AL17" s="1790"/>
      <c r="AM17" s="1790"/>
      <c r="AN17" s="1790"/>
      <c r="AO17" s="1788">
        <f>SUM('KOLEKTIBILITAS-UEP'!F17:G17)</f>
        <v>0</v>
      </c>
      <c r="AP17" s="1788">
        <f>'KOLEKTIBILITAS-UEP'!H17</f>
        <v>0</v>
      </c>
      <c r="AQ17" s="2631">
        <f t="shared" si="15"/>
        <v>0</v>
      </c>
      <c r="AR17" s="2629" t="str">
        <f t="shared" si="16"/>
        <v>BENAR</v>
      </c>
      <c r="AS17" s="749">
        <f t="shared" si="17"/>
        <v>0</v>
      </c>
      <c r="AT17" s="749">
        <f t="shared" si="18"/>
        <v>0</v>
      </c>
      <c r="AU17" s="749">
        <f t="shared" si="19"/>
        <v>0</v>
      </c>
      <c r="AV17" s="749">
        <f t="shared" si="20"/>
        <v>0</v>
      </c>
      <c r="AW17" s="749">
        <f t="shared" si="21"/>
        <v>0</v>
      </c>
      <c r="AX17" s="749">
        <f t="shared" si="22"/>
        <v>0</v>
      </c>
    </row>
    <row r="18" spans="1:50" s="749" customFormat="1" ht="23.25" customHeight="1">
      <c r="A18" s="1902">
        <v>7</v>
      </c>
      <c r="B18" s="1899" t="str">
        <f>'LPP-UEP'!B99</f>
        <v>BABAKAN PANJANG</v>
      </c>
      <c r="C18" s="1775">
        <f>'LPP-UEP'!D19</f>
        <v>0</v>
      </c>
      <c r="D18" s="1775">
        <f>'LPP-UEP'!C99</f>
        <v>0</v>
      </c>
      <c r="E18" s="1775"/>
      <c r="F18" s="1775"/>
      <c r="G18" s="1775"/>
      <c r="H18" s="1775"/>
      <c r="I18" s="1775"/>
      <c r="J18" s="1775"/>
      <c r="K18" s="1775"/>
      <c r="L18" s="1775"/>
      <c r="M18" s="1775"/>
      <c r="N18" s="1775">
        <f t="shared" si="0"/>
        <v>0</v>
      </c>
      <c r="O18" s="2632" t="e">
        <f t="shared" si="1"/>
        <v>#DIV/0!</v>
      </c>
      <c r="P18" s="2629">
        <f t="shared" si="2"/>
        <v>0</v>
      </c>
      <c r="Q18" s="2629">
        <f t="shared" si="3"/>
        <v>0</v>
      </c>
      <c r="R18" s="2629">
        <f t="shared" si="4"/>
        <v>0</v>
      </c>
      <c r="S18" s="1900">
        <f t="shared" si="5"/>
        <v>7</v>
      </c>
      <c r="T18" s="1899" t="str">
        <f t="shared" si="6"/>
        <v>BABAKAN PANJANG</v>
      </c>
      <c r="U18" s="1775">
        <f t="shared" si="7"/>
        <v>0</v>
      </c>
      <c r="V18" s="1775">
        <f t="shared" si="8"/>
        <v>0</v>
      </c>
      <c r="W18" s="1775"/>
      <c r="X18" s="1775"/>
      <c r="Y18" s="1775"/>
      <c r="Z18" s="1775"/>
      <c r="AA18" s="1775"/>
      <c r="AB18" s="2636"/>
      <c r="AC18" s="2629" t="str">
        <f t="shared" si="9"/>
        <v>BENAR</v>
      </c>
      <c r="AD18" s="2629">
        <f t="shared" si="10"/>
        <v>0</v>
      </c>
      <c r="AE18" s="2629">
        <f t="shared" si="11"/>
        <v>0</v>
      </c>
      <c r="AF18" s="1900">
        <f t="shared" si="12"/>
        <v>7</v>
      </c>
      <c r="AG18" s="1899" t="str">
        <f t="shared" si="13"/>
        <v>BABAKAN PANJANG</v>
      </c>
      <c r="AH18" s="1775">
        <f t="shared" si="14"/>
        <v>0</v>
      </c>
      <c r="AI18" s="1775"/>
      <c r="AJ18" s="1775"/>
      <c r="AK18" s="1775"/>
      <c r="AL18" s="1775"/>
      <c r="AM18" s="1775"/>
      <c r="AN18" s="1775"/>
      <c r="AO18" s="1786">
        <f>SUM('KOLEKTIBILITAS-UEP'!F18:G18)</f>
        <v>0</v>
      </c>
      <c r="AP18" s="1786">
        <f>'KOLEKTIBILITAS-UEP'!H18</f>
        <v>0</v>
      </c>
      <c r="AQ18" s="2631">
        <f t="shared" si="15"/>
        <v>0</v>
      </c>
      <c r="AR18" s="2629" t="str">
        <f t="shared" si="16"/>
        <v>BENAR</v>
      </c>
      <c r="AS18" s="749">
        <f t="shared" si="17"/>
        <v>0</v>
      </c>
      <c r="AT18" s="749">
        <f t="shared" si="18"/>
        <v>0</v>
      </c>
      <c r="AU18" s="749">
        <f t="shared" si="19"/>
        <v>0</v>
      </c>
      <c r="AV18" s="749">
        <f t="shared" si="20"/>
        <v>0</v>
      </c>
      <c r="AW18" s="749">
        <f t="shared" si="21"/>
        <v>0</v>
      </c>
      <c r="AX18" s="749">
        <f t="shared" si="22"/>
        <v>0</v>
      </c>
    </row>
    <row r="19" spans="1:50" s="749" customFormat="1" ht="23.25" customHeight="1">
      <c r="A19" s="1900">
        <v>8</v>
      </c>
      <c r="B19" s="1899" t="str">
        <f>'LPP-UEP'!B100</f>
        <v>PAWENANG</v>
      </c>
      <c r="C19" s="1775">
        <f>'LPP-UEP'!D20</f>
        <v>0</v>
      </c>
      <c r="D19" s="1775">
        <f>'LPP-UEP'!C100</f>
        <v>0</v>
      </c>
      <c r="E19" s="1775"/>
      <c r="F19" s="1775"/>
      <c r="G19" s="1775"/>
      <c r="H19" s="1775"/>
      <c r="I19" s="1775"/>
      <c r="J19" s="1775"/>
      <c r="K19" s="1775"/>
      <c r="L19" s="1775"/>
      <c r="M19" s="1775"/>
      <c r="N19" s="1775">
        <f t="shared" si="0"/>
        <v>0</v>
      </c>
      <c r="O19" s="2632" t="e">
        <f t="shared" si="1"/>
        <v>#DIV/0!</v>
      </c>
      <c r="P19" s="2629">
        <f t="shared" si="2"/>
        <v>0</v>
      </c>
      <c r="Q19" s="2629">
        <f t="shared" si="3"/>
        <v>0</v>
      </c>
      <c r="R19" s="2629">
        <f t="shared" si="4"/>
        <v>0</v>
      </c>
      <c r="S19" s="1900">
        <f t="shared" si="5"/>
        <v>8</v>
      </c>
      <c r="T19" s="1899" t="str">
        <f t="shared" si="6"/>
        <v>PAWENANG</v>
      </c>
      <c r="U19" s="1775">
        <f t="shared" si="7"/>
        <v>0</v>
      </c>
      <c r="V19" s="1775">
        <f t="shared" si="8"/>
        <v>0</v>
      </c>
      <c r="W19" s="1775"/>
      <c r="X19" s="1775"/>
      <c r="Y19" s="1775"/>
      <c r="Z19" s="1775"/>
      <c r="AA19" s="1775"/>
      <c r="AB19" s="2636"/>
      <c r="AC19" s="2629" t="str">
        <f t="shared" si="9"/>
        <v>BENAR</v>
      </c>
      <c r="AD19" s="2629">
        <f t="shared" si="10"/>
        <v>0</v>
      </c>
      <c r="AE19" s="2629">
        <f t="shared" si="11"/>
        <v>0</v>
      </c>
      <c r="AF19" s="1900">
        <f t="shared" si="12"/>
        <v>8</v>
      </c>
      <c r="AG19" s="1899" t="str">
        <f t="shared" si="13"/>
        <v>PAWENANG</v>
      </c>
      <c r="AH19" s="1775">
        <f t="shared" si="14"/>
        <v>0</v>
      </c>
      <c r="AI19" s="1775"/>
      <c r="AJ19" s="1775"/>
      <c r="AK19" s="1775"/>
      <c r="AL19" s="1775"/>
      <c r="AM19" s="1775"/>
      <c r="AN19" s="1775"/>
      <c r="AO19" s="1786">
        <f>SUM('KOLEKTIBILITAS-UEP'!F19:G19)</f>
        <v>0</v>
      </c>
      <c r="AP19" s="1786">
        <f>'KOLEKTIBILITAS-UEP'!H19</f>
        <v>0</v>
      </c>
      <c r="AQ19" s="2631">
        <f t="shared" si="15"/>
        <v>0</v>
      </c>
      <c r="AR19" s="2629" t="str">
        <f t="shared" si="16"/>
        <v>BENAR</v>
      </c>
      <c r="AS19" s="749">
        <f t="shared" si="17"/>
        <v>0</v>
      </c>
      <c r="AT19" s="749">
        <f t="shared" si="18"/>
        <v>0</v>
      </c>
      <c r="AU19" s="749">
        <f t="shared" si="19"/>
        <v>0</v>
      </c>
      <c r="AV19" s="749">
        <f t="shared" si="20"/>
        <v>0</v>
      </c>
      <c r="AW19" s="749">
        <f t="shared" si="21"/>
        <v>0</v>
      </c>
      <c r="AX19" s="749">
        <f t="shared" si="22"/>
        <v>0</v>
      </c>
    </row>
    <row r="20" spans="1:50" s="749" customFormat="1" ht="23.25" customHeight="1">
      <c r="A20" s="1902">
        <v>9</v>
      </c>
      <c r="B20" s="1899" t="str">
        <f>'LPP-UEP'!B101</f>
        <v>CISARUA</v>
      </c>
      <c r="C20" s="1775">
        <f>'LPP-UEP'!D21</f>
        <v>0</v>
      </c>
      <c r="D20" s="1775">
        <f>'LPP-UEP'!C101</f>
        <v>0</v>
      </c>
      <c r="E20" s="1775"/>
      <c r="F20" s="1775"/>
      <c r="G20" s="1775"/>
      <c r="H20" s="1775"/>
      <c r="I20" s="1775"/>
      <c r="J20" s="1775"/>
      <c r="K20" s="1775"/>
      <c r="L20" s="1775"/>
      <c r="M20" s="1775"/>
      <c r="N20" s="1775">
        <f t="shared" si="0"/>
        <v>0</v>
      </c>
      <c r="O20" s="2632" t="e">
        <f t="shared" si="1"/>
        <v>#DIV/0!</v>
      </c>
      <c r="P20" s="2629">
        <f t="shared" si="2"/>
        <v>0</v>
      </c>
      <c r="Q20" s="2629">
        <f t="shared" si="3"/>
        <v>0</v>
      </c>
      <c r="R20" s="2629">
        <f t="shared" si="4"/>
        <v>0</v>
      </c>
      <c r="S20" s="1900">
        <f t="shared" si="5"/>
        <v>9</v>
      </c>
      <c r="T20" s="1899" t="str">
        <f t="shared" si="6"/>
        <v>CISARUA</v>
      </c>
      <c r="U20" s="1775">
        <f t="shared" si="7"/>
        <v>0</v>
      </c>
      <c r="V20" s="1775">
        <f t="shared" si="8"/>
        <v>0</v>
      </c>
      <c r="W20" s="1775"/>
      <c r="X20" s="1775"/>
      <c r="Y20" s="1775"/>
      <c r="Z20" s="1775"/>
      <c r="AA20" s="1775"/>
      <c r="AB20" s="2636"/>
      <c r="AC20" s="2629" t="str">
        <f t="shared" si="9"/>
        <v>BENAR</v>
      </c>
      <c r="AD20" s="2629">
        <f t="shared" si="10"/>
        <v>0</v>
      </c>
      <c r="AE20" s="2629">
        <f t="shared" si="11"/>
        <v>0</v>
      </c>
      <c r="AF20" s="1900">
        <f t="shared" si="12"/>
        <v>9</v>
      </c>
      <c r="AG20" s="1899" t="str">
        <f t="shared" si="13"/>
        <v>CISARUA</v>
      </c>
      <c r="AH20" s="1775">
        <f t="shared" si="14"/>
        <v>0</v>
      </c>
      <c r="AI20" s="1775"/>
      <c r="AJ20" s="1775"/>
      <c r="AK20" s="1775"/>
      <c r="AL20" s="1775"/>
      <c r="AM20" s="1775"/>
      <c r="AN20" s="1775"/>
      <c r="AO20" s="1786">
        <f>SUM('KOLEKTIBILITAS-UEP'!F20:G20)</f>
        <v>0</v>
      </c>
      <c r="AP20" s="1786">
        <f>'KOLEKTIBILITAS-UEP'!H20</f>
        <v>0</v>
      </c>
      <c r="AQ20" s="2631">
        <f t="shared" si="15"/>
        <v>0</v>
      </c>
      <c r="AR20" s="2629" t="str">
        <f t="shared" si="16"/>
        <v>BENAR</v>
      </c>
      <c r="AS20" s="749">
        <f t="shared" si="17"/>
        <v>0</v>
      </c>
      <c r="AT20" s="749">
        <f t="shared" si="18"/>
        <v>0</v>
      </c>
      <c r="AU20" s="749">
        <f t="shared" si="19"/>
        <v>0</v>
      </c>
      <c r="AV20" s="749">
        <f t="shared" si="20"/>
        <v>0</v>
      </c>
      <c r="AW20" s="749">
        <f t="shared" si="21"/>
        <v>0</v>
      </c>
      <c r="AX20" s="749">
        <f t="shared" si="22"/>
        <v>0</v>
      </c>
    </row>
    <row r="21" spans="1:50" s="749" customFormat="1" ht="23.25" customHeight="1">
      <c r="A21" s="1900">
        <v>10</v>
      </c>
      <c r="B21" s="1899" t="str">
        <f>'LPP-UEP'!B102</f>
        <v>GIRIJAYA</v>
      </c>
      <c r="C21" s="1775">
        <f>'LPP-UEP'!D22</f>
        <v>0</v>
      </c>
      <c r="D21" s="1775">
        <f>'LPP-UEP'!C102</f>
        <v>0</v>
      </c>
      <c r="E21" s="1775"/>
      <c r="F21" s="1775"/>
      <c r="G21" s="1775"/>
      <c r="H21" s="1775"/>
      <c r="I21" s="1775"/>
      <c r="J21" s="1775"/>
      <c r="K21" s="1775"/>
      <c r="L21" s="1775"/>
      <c r="M21" s="1775"/>
      <c r="N21" s="1775">
        <f t="shared" si="0"/>
        <v>0</v>
      </c>
      <c r="O21" s="2632" t="e">
        <f t="shared" si="1"/>
        <v>#DIV/0!</v>
      </c>
      <c r="P21" s="2629">
        <f t="shared" si="2"/>
        <v>0</v>
      </c>
      <c r="Q21" s="2629">
        <f t="shared" si="3"/>
        <v>0</v>
      </c>
      <c r="R21" s="2629">
        <f t="shared" si="4"/>
        <v>0</v>
      </c>
      <c r="S21" s="1900">
        <f t="shared" si="5"/>
        <v>10</v>
      </c>
      <c r="T21" s="1899" t="str">
        <f t="shared" si="6"/>
        <v>GIRIJAYA</v>
      </c>
      <c r="U21" s="1775">
        <f t="shared" si="7"/>
        <v>0</v>
      </c>
      <c r="V21" s="1775">
        <f t="shared" si="8"/>
        <v>0</v>
      </c>
      <c r="W21" s="1775"/>
      <c r="X21" s="1775"/>
      <c r="Y21" s="1775"/>
      <c r="Z21" s="1775"/>
      <c r="AA21" s="1775"/>
      <c r="AB21" s="2636"/>
      <c r="AC21" s="2629" t="str">
        <f t="shared" si="9"/>
        <v>BENAR</v>
      </c>
      <c r="AD21" s="2629">
        <f t="shared" si="10"/>
        <v>0</v>
      </c>
      <c r="AE21" s="2629">
        <f t="shared" si="11"/>
        <v>0</v>
      </c>
      <c r="AF21" s="1900">
        <f t="shared" si="12"/>
        <v>10</v>
      </c>
      <c r="AG21" s="1899" t="str">
        <f t="shared" si="13"/>
        <v>GIRIJAYA</v>
      </c>
      <c r="AH21" s="1775">
        <f t="shared" si="14"/>
        <v>0</v>
      </c>
      <c r="AI21" s="1775"/>
      <c r="AJ21" s="1775"/>
      <c r="AK21" s="1775"/>
      <c r="AL21" s="1775"/>
      <c r="AM21" s="1775"/>
      <c r="AN21" s="1775"/>
      <c r="AO21" s="1786">
        <f>SUM('KOLEKTIBILITAS-UEP'!F21:G21)</f>
        <v>0</v>
      </c>
      <c r="AP21" s="1786">
        <f>'KOLEKTIBILITAS-UEP'!H21</f>
        <v>0</v>
      </c>
      <c r="AQ21" s="2631">
        <f t="shared" si="15"/>
        <v>0</v>
      </c>
      <c r="AR21" s="2629" t="str">
        <f t="shared" si="16"/>
        <v>BENAR</v>
      </c>
      <c r="AS21" s="749">
        <f t="shared" si="17"/>
        <v>0</v>
      </c>
      <c r="AT21" s="749">
        <f t="shared" si="18"/>
        <v>0</v>
      </c>
      <c r="AU21" s="749">
        <f t="shared" si="19"/>
        <v>0</v>
      </c>
      <c r="AV21" s="749">
        <f t="shared" si="20"/>
        <v>0</v>
      </c>
      <c r="AW21" s="749">
        <f t="shared" si="21"/>
        <v>0</v>
      </c>
      <c r="AX21" s="749">
        <f t="shared" si="22"/>
        <v>0</v>
      </c>
    </row>
    <row r="22" spans="1:50" s="749" customFormat="1" ht="23.25" customHeight="1">
      <c r="A22" s="1902">
        <v>11</v>
      </c>
      <c r="B22" s="1899">
        <f>'LPP-UEP'!B103</f>
        <v>0</v>
      </c>
      <c r="C22" s="1775">
        <f>'LPP-UEP'!D23</f>
        <v>0</v>
      </c>
      <c r="D22" s="1775">
        <f>'LPP-UEP'!C103</f>
        <v>0</v>
      </c>
      <c r="E22" s="1775"/>
      <c r="F22" s="1775"/>
      <c r="G22" s="1775"/>
      <c r="H22" s="1775"/>
      <c r="I22" s="1775"/>
      <c r="J22" s="1775"/>
      <c r="K22" s="1775"/>
      <c r="L22" s="1775"/>
      <c r="M22" s="1775"/>
      <c r="N22" s="1775">
        <f t="shared" si="0"/>
        <v>0</v>
      </c>
      <c r="O22" s="2632" t="e">
        <f t="shared" si="1"/>
        <v>#DIV/0!</v>
      </c>
      <c r="P22" s="2629">
        <f t="shared" si="2"/>
        <v>0</v>
      </c>
      <c r="Q22" s="2629">
        <f t="shared" si="3"/>
        <v>0</v>
      </c>
      <c r="R22" s="2629">
        <f t="shared" si="4"/>
        <v>0</v>
      </c>
      <c r="S22" s="1900">
        <f t="shared" si="5"/>
        <v>11</v>
      </c>
      <c r="T22" s="1899">
        <f t="shared" si="6"/>
        <v>0</v>
      </c>
      <c r="U22" s="1775">
        <f t="shared" si="7"/>
        <v>0</v>
      </c>
      <c r="V22" s="1775">
        <f t="shared" si="8"/>
        <v>0</v>
      </c>
      <c r="W22" s="1775"/>
      <c r="X22" s="1775"/>
      <c r="Y22" s="1775"/>
      <c r="Z22" s="1775"/>
      <c r="AA22" s="1775"/>
      <c r="AB22" s="2636"/>
      <c r="AC22" s="2629" t="str">
        <f t="shared" si="9"/>
        <v>BENAR</v>
      </c>
      <c r="AD22" s="2629">
        <f t="shared" si="10"/>
        <v>0</v>
      </c>
      <c r="AE22" s="2629">
        <f t="shared" si="11"/>
        <v>0</v>
      </c>
      <c r="AF22" s="1900">
        <f t="shared" si="12"/>
        <v>11</v>
      </c>
      <c r="AG22" s="1899">
        <f t="shared" si="13"/>
        <v>0</v>
      </c>
      <c r="AH22" s="1775">
        <f t="shared" si="14"/>
        <v>0</v>
      </c>
      <c r="AI22" s="1775"/>
      <c r="AJ22" s="1775"/>
      <c r="AK22" s="1775"/>
      <c r="AL22" s="1775"/>
      <c r="AM22" s="1775"/>
      <c r="AN22" s="1775"/>
      <c r="AO22" s="1786">
        <f>SUM('KOLEKTIBILITAS-UEP'!F22:G22)</f>
        <v>0</v>
      </c>
      <c r="AP22" s="1786">
        <f>'KOLEKTIBILITAS-UEP'!H22</f>
        <v>0</v>
      </c>
      <c r="AQ22" s="2631">
        <f t="shared" si="15"/>
        <v>0</v>
      </c>
      <c r="AR22" s="2629" t="str">
        <f t="shared" si="16"/>
        <v>BENAR</v>
      </c>
      <c r="AS22" s="749">
        <f t="shared" si="17"/>
        <v>0</v>
      </c>
      <c r="AT22" s="749">
        <f t="shared" si="18"/>
        <v>0</v>
      </c>
      <c r="AU22" s="749">
        <f t="shared" si="19"/>
        <v>0</v>
      </c>
      <c r="AV22" s="749">
        <f t="shared" si="20"/>
        <v>0</v>
      </c>
      <c r="AW22" s="749">
        <f t="shared" si="21"/>
        <v>0</v>
      </c>
      <c r="AX22" s="749">
        <f t="shared" si="22"/>
        <v>0</v>
      </c>
    </row>
    <row r="23" spans="1:50" s="749" customFormat="1" ht="23.25" customHeight="1">
      <c r="A23" s="1900">
        <v>12</v>
      </c>
      <c r="B23" s="1899">
        <f>'LPP-UEP'!B104</f>
        <v>0</v>
      </c>
      <c r="C23" s="1775">
        <f>'LPP-UEP'!D24</f>
        <v>0</v>
      </c>
      <c r="D23" s="1775">
        <f>'LPP-UEP'!C104</f>
        <v>0</v>
      </c>
      <c r="E23" s="1775"/>
      <c r="F23" s="1775"/>
      <c r="G23" s="1775"/>
      <c r="H23" s="1775"/>
      <c r="I23" s="1775"/>
      <c r="J23" s="1775"/>
      <c r="K23" s="1775"/>
      <c r="L23" s="1775"/>
      <c r="M23" s="1775"/>
      <c r="N23" s="1775">
        <f t="shared" si="0"/>
        <v>0</v>
      </c>
      <c r="O23" s="2632" t="e">
        <f t="shared" si="1"/>
        <v>#DIV/0!</v>
      </c>
      <c r="P23" s="2629">
        <f t="shared" si="2"/>
        <v>0</v>
      </c>
      <c r="Q23" s="2629">
        <f t="shared" si="3"/>
        <v>0</v>
      </c>
      <c r="R23" s="2629">
        <f t="shared" si="4"/>
        <v>0</v>
      </c>
      <c r="S23" s="1900">
        <f t="shared" si="5"/>
        <v>12</v>
      </c>
      <c r="T23" s="1899">
        <f t="shared" si="6"/>
        <v>0</v>
      </c>
      <c r="U23" s="1775">
        <f t="shared" si="7"/>
        <v>0</v>
      </c>
      <c r="V23" s="1775">
        <f t="shared" si="8"/>
        <v>0</v>
      </c>
      <c r="W23" s="1775"/>
      <c r="X23" s="1775"/>
      <c r="Y23" s="1775"/>
      <c r="Z23" s="1775"/>
      <c r="AA23" s="1775"/>
      <c r="AB23" s="2636"/>
      <c r="AC23" s="2629" t="str">
        <f t="shared" si="9"/>
        <v>BENAR</v>
      </c>
      <c r="AD23" s="2629">
        <f t="shared" si="10"/>
        <v>0</v>
      </c>
      <c r="AE23" s="2629">
        <f t="shared" si="11"/>
        <v>0</v>
      </c>
      <c r="AF23" s="1900">
        <f t="shared" si="12"/>
        <v>12</v>
      </c>
      <c r="AG23" s="1899">
        <f t="shared" si="13"/>
        <v>0</v>
      </c>
      <c r="AH23" s="1775">
        <f t="shared" si="14"/>
        <v>0</v>
      </c>
      <c r="AI23" s="1775"/>
      <c r="AJ23" s="1775"/>
      <c r="AK23" s="1775"/>
      <c r="AL23" s="1775"/>
      <c r="AM23" s="1775"/>
      <c r="AN23" s="1775"/>
      <c r="AO23" s="1786">
        <f>SUM('KOLEKTIBILITAS-UEP'!F23:G23)</f>
        <v>0</v>
      </c>
      <c r="AP23" s="1786">
        <f>'KOLEKTIBILITAS-UEP'!H23</f>
        <v>0</v>
      </c>
      <c r="AQ23" s="2631">
        <f t="shared" si="15"/>
        <v>0</v>
      </c>
      <c r="AR23" s="2629" t="str">
        <f t="shared" si="16"/>
        <v>BENAR</v>
      </c>
      <c r="AS23" s="749">
        <f t="shared" si="17"/>
        <v>0</v>
      </c>
      <c r="AT23" s="749">
        <f t="shared" si="18"/>
        <v>0</v>
      </c>
      <c r="AU23" s="749">
        <f t="shared" si="19"/>
        <v>0</v>
      </c>
      <c r="AV23" s="749">
        <f t="shared" si="20"/>
        <v>0</v>
      </c>
      <c r="AW23" s="749">
        <f t="shared" si="21"/>
        <v>0</v>
      </c>
      <c r="AX23" s="749">
        <f t="shared" si="22"/>
        <v>0</v>
      </c>
    </row>
    <row r="24" spans="1:50" s="749" customFormat="1" ht="23.25" customHeight="1">
      <c r="A24" s="1902">
        <v>13</v>
      </c>
      <c r="B24" s="1899">
        <f>'LPP-UEP'!B105</f>
        <v>0</v>
      </c>
      <c r="C24" s="1775">
        <f>'LPP-UEP'!D25</f>
        <v>0</v>
      </c>
      <c r="D24" s="1775">
        <f>'LPP-UEP'!C105</f>
        <v>0</v>
      </c>
      <c r="E24" s="1775"/>
      <c r="F24" s="1775"/>
      <c r="G24" s="1775"/>
      <c r="H24" s="1775"/>
      <c r="I24" s="1775"/>
      <c r="J24" s="1775"/>
      <c r="K24" s="1775"/>
      <c r="L24" s="1775"/>
      <c r="M24" s="1775"/>
      <c r="N24" s="1775">
        <f t="shared" si="0"/>
        <v>0</v>
      </c>
      <c r="O24" s="2632" t="e">
        <f t="shared" si="1"/>
        <v>#DIV/0!</v>
      </c>
      <c r="P24" s="2629">
        <f t="shared" si="2"/>
        <v>0</v>
      </c>
      <c r="Q24" s="2629">
        <f t="shared" si="3"/>
        <v>0</v>
      </c>
      <c r="R24" s="2629">
        <f t="shared" si="4"/>
        <v>0</v>
      </c>
      <c r="S24" s="1900">
        <f t="shared" si="5"/>
        <v>13</v>
      </c>
      <c r="T24" s="1899">
        <f t="shared" si="6"/>
        <v>0</v>
      </c>
      <c r="U24" s="1775">
        <f t="shared" si="7"/>
        <v>0</v>
      </c>
      <c r="V24" s="1775">
        <f t="shared" si="8"/>
        <v>0</v>
      </c>
      <c r="W24" s="1775"/>
      <c r="X24" s="1775"/>
      <c r="Y24" s="1775"/>
      <c r="Z24" s="1775"/>
      <c r="AA24" s="1775"/>
      <c r="AB24" s="2636"/>
      <c r="AC24" s="2629" t="str">
        <f t="shared" si="9"/>
        <v>BENAR</v>
      </c>
      <c r="AD24" s="2629">
        <f t="shared" si="10"/>
        <v>0</v>
      </c>
      <c r="AE24" s="2629">
        <f t="shared" si="11"/>
        <v>0</v>
      </c>
      <c r="AF24" s="1900">
        <f t="shared" si="12"/>
        <v>13</v>
      </c>
      <c r="AG24" s="1899">
        <f t="shared" si="13"/>
        <v>0</v>
      </c>
      <c r="AH24" s="1775">
        <f t="shared" si="14"/>
        <v>0</v>
      </c>
      <c r="AI24" s="1775"/>
      <c r="AJ24" s="1775"/>
      <c r="AK24" s="1775"/>
      <c r="AL24" s="1775"/>
      <c r="AM24" s="1775"/>
      <c r="AN24" s="1775"/>
      <c r="AO24" s="1786">
        <f>SUM('KOLEKTIBILITAS-UEP'!F24:G24)</f>
        <v>0</v>
      </c>
      <c r="AP24" s="1786">
        <f>'KOLEKTIBILITAS-UEP'!H24</f>
        <v>0</v>
      </c>
      <c r="AQ24" s="2631">
        <f t="shared" si="15"/>
        <v>0</v>
      </c>
      <c r="AR24" s="2629" t="str">
        <f t="shared" si="16"/>
        <v>BENAR</v>
      </c>
      <c r="AS24" s="749">
        <f t="shared" si="17"/>
        <v>0</v>
      </c>
      <c r="AT24" s="749">
        <f t="shared" si="18"/>
        <v>0</v>
      </c>
      <c r="AU24" s="749">
        <f t="shared" si="19"/>
        <v>0</v>
      </c>
      <c r="AV24" s="749">
        <f t="shared" si="20"/>
        <v>0</v>
      </c>
      <c r="AW24" s="749">
        <f t="shared" si="21"/>
        <v>0</v>
      </c>
      <c r="AX24" s="749">
        <f t="shared" si="22"/>
        <v>0</v>
      </c>
    </row>
    <row r="25" spans="1:50" s="749" customFormat="1" ht="23.25" customHeight="1">
      <c r="A25" s="1900">
        <v>14</v>
      </c>
      <c r="B25" s="1899">
        <f>'LPP-UEP'!B106</f>
        <v>0</v>
      </c>
      <c r="C25" s="1775">
        <f>'LPP-UEP'!D26</f>
        <v>0</v>
      </c>
      <c r="D25" s="1775">
        <f>'LPP-UEP'!C106</f>
        <v>0</v>
      </c>
      <c r="E25" s="1775"/>
      <c r="F25" s="1775"/>
      <c r="G25" s="1775"/>
      <c r="H25" s="1775"/>
      <c r="I25" s="1775"/>
      <c r="J25" s="1775"/>
      <c r="K25" s="1775"/>
      <c r="L25" s="1775"/>
      <c r="M25" s="1775"/>
      <c r="N25" s="1775">
        <f t="shared" si="0"/>
        <v>0</v>
      </c>
      <c r="O25" s="2632" t="e">
        <f t="shared" si="1"/>
        <v>#DIV/0!</v>
      </c>
      <c r="P25" s="2629">
        <f t="shared" si="2"/>
        <v>0</v>
      </c>
      <c r="Q25" s="2629">
        <f t="shared" si="3"/>
        <v>0</v>
      </c>
      <c r="R25" s="2629">
        <f t="shared" si="4"/>
        <v>0</v>
      </c>
      <c r="S25" s="1900">
        <f t="shared" si="5"/>
        <v>14</v>
      </c>
      <c r="T25" s="1899">
        <f t="shared" si="6"/>
        <v>0</v>
      </c>
      <c r="U25" s="1775">
        <f t="shared" si="7"/>
        <v>0</v>
      </c>
      <c r="V25" s="1775">
        <f t="shared" si="8"/>
        <v>0</v>
      </c>
      <c r="W25" s="1775"/>
      <c r="X25" s="1775"/>
      <c r="Y25" s="1775"/>
      <c r="Z25" s="1775"/>
      <c r="AA25" s="1775"/>
      <c r="AB25" s="2636"/>
      <c r="AC25" s="2629" t="str">
        <f t="shared" si="9"/>
        <v>BENAR</v>
      </c>
      <c r="AD25" s="2629">
        <f t="shared" si="10"/>
        <v>0</v>
      </c>
      <c r="AE25" s="2629">
        <f t="shared" si="11"/>
        <v>0</v>
      </c>
      <c r="AF25" s="1900">
        <f t="shared" si="12"/>
        <v>14</v>
      </c>
      <c r="AG25" s="1899">
        <f t="shared" si="13"/>
        <v>0</v>
      </c>
      <c r="AH25" s="1775">
        <f t="shared" si="14"/>
        <v>0</v>
      </c>
      <c r="AI25" s="1775"/>
      <c r="AJ25" s="1775"/>
      <c r="AK25" s="1775"/>
      <c r="AL25" s="1775"/>
      <c r="AM25" s="1775"/>
      <c r="AN25" s="1775"/>
      <c r="AO25" s="1775">
        <f>SUM('KOLEKTIBILITAS-UEP'!F25:G25)</f>
        <v>0</v>
      </c>
      <c r="AP25" s="1775">
        <f>'KOLEKTIBILITAS-UEP'!H25</f>
        <v>0</v>
      </c>
      <c r="AQ25" s="2631">
        <f t="shared" si="15"/>
        <v>0</v>
      </c>
      <c r="AR25" s="2629" t="str">
        <f t="shared" si="16"/>
        <v>BENAR</v>
      </c>
      <c r="AS25" s="749">
        <f t="shared" si="17"/>
        <v>0</v>
      </c>
      <c r="AT25" s="749">
        <f t="shared" si="18"/>
        <v>0</v>
      </c>
      <c r="AU25" s="749">
        <f t="shared" si="19"/>
        <v>0</v>
      </c>
      <c r="AV25" s="749">
        <f t="shared" si="20"/>
        <v>0</v>
      </c>
      <c r="AW25" s="749">
        <f t="shared" si="21"/>
        <v>0</v>
      </c>
      <c r="AX25" s="749">
        <f t="shared" si="22"/>
        <v>0</v>
      </c>
    </row>
    <row r="26" spans="1:50" s="749" customFormat="1" ht="23.25" customHeight="1">
      <c r="A26" s="1902">
        <v>15</v>
      </c>
      <c r="B26" s="1899">
        <f>'LPP-UEP'!B107</f>
        <v>0</v>
      </c>
      <c r="C26" s="1775">
        <f>'LPP-UEP'!D27</f>
        <v>0</v>
      </c>
      <c r="D26" s="1775">
        <f>'LPP-UEP'!C107</f>
        <v>0</v>
      </c>
      <c r="E26" s="1775"/>
      <c r="F26" s="1775"/>
      <c r="G26" s="1775"/>
      <c r="H26" s="1775"/>
      <c r="I26" s="1775"/>
      <c r="J26" s="1775"/>
      <c r="K26" s="1775"/>
      <c r="L26" s="1775"/>
      <c r="M26" s="1775"/>
      <c r="N26" s="1775">
        <f t="shared" si="0"/>
        <v>0</v>
      </c>
      <c r="O26" s="2632" t="e">
        <f t="shared" si="1"/>
        <v>#DIV/0!</v>
      </c>
      <c r="P26" s="2629">
        <f t="shared" si="2"/>
        <v>0</v>
      </c>
      <c r="Q26" s="2629">
        <f t="shared" si="3"/>
        <v>0</v>
      </c>
      <c r="R26" s="2629">
        <f t="shared" si="4"/>
        <v>0</v>
      </c>
      <c r="S26" s="1900">
        <f t="shared" si="5"/>
        <v>15</v>
      </c>
      <c r="T26" s="1899">
        <f t="shared" si="6"/>
        <v>0</v>
      </c>
      <c r="U26" s="1775">
        <f t="shared" si="7"/>
        <v>0</v>
      </c>
      <c r="V26" s="1775">
        <f t="shared" si="8"/>
        <v>0</v>
      </c>
      <c r="W26" s="1775"/>
      <c r="X26" s="1775"/>
      <c r="Y26" s="1775"/>
      <c r="Z26" s="1775"/>
      <c r="AA26" s="1775"/>
      <c r="AB26" s="2636"/>
      <c r="AC26" s="2629" t="str">
        <f t="shared" si="9"/>
        <v>BENAR</v>
      </c>
      <c r="AD26" s="2629">
        <f t="shared" si="10"/>
        <v>0</v>
      </c>
      <c r="AE26" s="2629">
        <f t="shared" si="11"/>
        <v>0</v>
      </c>
      <c r="AF26" s="1900">
        <f t="shared" si="12"/>
        <v>15</v>
      </c>
      <c r="AG26" s="1899">
        <f t="shared" si="13"/>
        <v>0</v>
      </c>
      <c r="AH26" s="1775">
        <f t="shared" si="14"/>
        <v>0</v>
      </c>
      <c r="AI26" s="1775"/>
      <c r="AJ26" s="1775"/>
      <c r="AK26" s="1775"/>
      <c r="AL26" s="1775"/>
      <c r="AM26" s="1775"/>
      <c r="AN26" s="1775"/>
      <c r="AO26" s="1786">
        <f>SUM('KOLEKTIBILITAS-UEP'!F26:G26)</f>
        <v>0</v>
      </c>
      <c r="AP26" s="1786">
        <f>'KOLEKTIBILITAS-UEP'!H26</f>
        <v>0</v>
      </c>
      <c r="AQ26" s="2631">
        <f t="shared" si="15"/>
        <v>0</v>
      </c>
      <c r="AR26" s="2629" t="str">
        <f t="shared" si="16"/>
        <v>BENAR</v>
      </c>
      <c r="AS26" s="749">
        <f t="shared" si="17"/>
        <v>0</v>
      </c>
      <c r="AT26" s="749">
        <f t="shared" si="18"/>
        <v>0</v>
      </c>
      <c r="AU26" s="749">
        <f t="shared" si="19"/>
        <v>0</v>
      </c>
      <c r="AV26" s="749">
        <f t="shared" si="20"/>
        <v>0</v>
      </c>
      <c r="AW26" s="749">
        <f t="shared" si="21"/>
        <v>0</v>
      </c>
      <c r="AX26" s="749">
        <f t="shared" si="22"/>
        <v>0</v>
      </c>
    </row>
    <row r="27" spans="1:50" s="749" customFormat="1" ht="23.25" customHeight="1">
      <c r="A27" s="1900">
        <v>16</v>
      </c>
      <c r="B27" s="1899">
        <f>'LPP-UEP'!B108</f>
        <v>0</v>
      </c>
      <c r="C27" s="1775">
        <f>'LPP-UEP'!D28</f>
        <v>0</v>
      </c>
      <c r="D27" s="1775">
        <f>'LPP-UEP'!C108</f>
        <v>0</v>
      </c>
      <c r="E27" s="1775"/>
      <c r="F27" s="1775"/>
      <c r="G27" s="1775"/>
      <c r="H27" s="1775"/>
      <c r="I27" s="1775"/>
      <c r="J27" s="1775"/>
      <c r="K27" s="1775"/>
      <c r="L27" s="1775"/>
      <c r="M27" s="1775"/>
      <c r="N27" s="1775">
        <f t="shared" si="0"/>
        <v>0</v>
      </c>
      <c r="O27" s="2632" t="e">
        <f t="shared" si="1"/>
        <v>#DIV/0!</v>
      </c>
      <c r="P27" s="2629">
        <f t="shared" si="2"/>
        <v>0</v>
      </c>
      <c r="Q27" s="2629">
        <f t="shared" si="3"/>
        <v>0</v>
      </c>
      <c r="R27" s="2629">
        <f t="shared" si="4"/>
        <v>0</v>
      </c>
      <c r="S27" s="1900">
        <f t="shared" si="5"/>
        <v>16</v>
      </c>
      <c r="T27" s="1899">
        <f t="shared" si="6"/>
        <v>0</v>
      </c>
      <c r="U27" s="1775">
        <f t="shared" si="7"/>
        <v>0</v>
      </c>
      <c r="V27" s="1775">
        <f t="shared" si="8"/>
        <v>0</v>
      </c>
      <c r="W27" s="1775"/>
      <c r="X27" s="1775"/>
      <c r="Y27" s="1775"/>
      <c r="Z27" s="1775"/>
      <c r="AA27" s="1775"/>
      <c r="AB27" s="2636"/>
      <c r="AC27" s="2629" t="str">
        <f t="shared" si="9"/>
        <v>BENAR</v>
      </c>
      <c r="AD27" s="2629">
        <f t="shared" si="10"/>
        <v>0</v>
      </c>
      <c r="AE27" s="2629">
        <f t="shared" si="11"/>
        <v>0</v>
      </c>
      <c r="AF27" s="1900">
        <f t="shared" si="12"/>
        <v>16</v>
      </c>
      <c r="AG27" s="1899">
        <f t="shared" si="13"/>
        <v>0</v>
      </c>
      <c r="AH27" s="1775">
        <f t="shared" si="14"/>
        <v>0</v>
      </c>
      <c r="AI27" s="1775"/>
      <c r="AJ27" s="1775"/>
      <c r="AK27" s="1775"/>
      <c r="AL27" s="1775"/>
      <c r="AM27" s="1775"/>
      <c r="AN27" s="1775"/>
      <c r="AO27" s="1775">
        <f>SUM('KOLEKTIBILITAS-UEP'!F27:G27)</f>
        <v>0</v>
      </c>
      <c r="AP27" s="1775">
        <f>'KOLEKTIBILITAS-UEP'!H27</f>
        <v>0</v>
      </c>
      <c r="AQ27" s="2631">
        <f t="shared" si="15"/>
        <v>0</v>
      </c>
      <c r="AR27" s="2629" t="str">
        <f t="shared" si="16"/>
        <v>BENAR</v>
      </c>
      <c r="AS27" s="749">
        <f t="shared" si="17"/>
        <v>0</v>
      </c>
      <c r="AT27" s="749">
        <f t="shared" si="18"/>
        <v>0</v>
      </c>
      <c r="AU27" s="749">
        <f t="shared" si="19"/>
        <v>0</v>
      </c>
      <c r="AV27" s="749">
        <f t="shared" si="20"/>
        <v>0</v>
      </c>
      <c r="AW27" s="749">
        <f t="shared" si="21"/>
        <v>0</v>
      </c>
      <c r="AX27" s="749">
        <f t="shared" si="22"/>
        <v>0</v>
      </c>
    </row>
    <row r="28" spans="1:50" s="749" customFormat="1" ht="28.5" customHeight="1">
      <c r="A28" s="1898"/>
      <c r="B28" s="1766" t="s">
        <v>496</v>
      </c>
      <c r="C28" s="1766">
        <f t="shared" ref="C28:N28" si="23">SUM(C12:C27)</f>
        <v>0</v>
      </c>
      <c r="D28" s="1766">
        <f t="shared" si="23"/>
        <v>0</v>
      </c>
      <c r="E28" s="1766">
        <f t="shared" si="23"/>
        <v>0</v>
      </c>
      <c r="F28" s="1766">
        <f t="shared" si="23"/>
        <v>0</v>
      </c>
      <c r="G28" s="1766">
        <f t="shared" si="23"/>
        <v>0</v>
      </c>
      <c r="H28" s="1766">
        <f t="shared" si="23"/>
        <v>0</v>
      </c>
      <c r="I28" s="1766">
        <f t="shared" si="23"/>
        <v>0</v>
      </c>
      <c r="J28" s="1766">
        <f t="shared" si="23"/>
        <v>0</v>
      </c>
      <c r="K28" s="1766">
        <f t="shared" si="23"/>
        <v>0</v>
      </c>
      <c r="L28" s="1766">
        <f t="shared" si="23"/>
        <v>0</v>
      </c>
      <c r="M28" s="1766">
        <f t="shared" si="23"/>
        <v>0</v>
      </c>
      <c r="N28" s="1766">
        <f t="shared" si="23"/>
        <v>0</v>
      </c>
      <c r="O28" s="2633" t="e">
        <f t="shared" si="1"/>
        <v>#DIV/0!</v>
      </c>
      <c r="P28" s="2629">
        <f t="shared" si="2"/>
        <v>0</v>
      </c>
      <c r="Q28" s="2629">
        <f t="shared" si="3"/>
        <v>0</v>
      </c>
      <c r="R28" s="2629">
        <f t="shared" si="4"/>
        <v>0</v>
      </c>
      <c r="S28" s="1897"/>
      <c r="T28" s="1766" t="s">
        <v>496</v>
      </c>
      <c r="U28" s="1766">
        <f t="shared" ref="U28:AB28" si="24">SUM(U12:U27)</f>
        <v>0</v>
      </c>
      <c r="V28" s="1766">
        <f t="shared" si="24"/>
        <v>0</v>
      </c>
      <c r="W28" s="1766">
        <f t="shared" si="24"/>
        <v>0</v>
      </c>
      <c r="X28" s="1766">
        <f t="shared" si="24"/>
        <v>0</v>
      </c>
      <c r="Y28" s="1766">
        <f t="shared" si="24"/>
        <v>0</v>
      </c>
      <c r="Z28" s="1766">
        <f t="shared" si="24"/>
        <v>0</v>
      </c>
      <c r="AA28" s="1766">
        <f t="shared" si="24"/>
        <v>0</v>
      </c>
      <c r="AB28" s="2634">
        <f t="shared" si="24"/>
        <v>0</v>
      </c>
      <c r="AC28" s="2629" t="str">
        <f t="shared" si="9"/>
        <v>BENAR</v>
      </c>
      <c r="AD28" s="2629">
        <f t="shared" si="10"/>
        <v>0</v>
      </c>
      <c r="AE28" s="2629">
        <f t="shared" si="11"/>
        <v>0</v>
      </c>
      <c r="AF28" s="1896"/>
      <c r="AG28" s="1766" t="s">
        <v>496</v>
      </c>
      <c r="AH28" s="1766">
        <f t="shared" ref="AH28:AQ28" si="25">SUM(AH12:AH27)</f>
        <v>0</v>
      </c>
      <c r="AI28" s="1766">
        <f t="shared" si="25"/>
        <v>0</v>
      </c>
      <c r="AJ28" s="1766">
        <f t="shared" si="25"/>
        <v>0</v>
      </c>
      <c r="AK28" s="1766">
        <f t="shared" si="25"/>
        <v>0</v>
      </c>
      <c r="AL28" s="1766">
        <f t="shared" si="25"/>
        <v>0</v>
      </c>
      <c r="AM28" s="1766">
        <f t="shared" si="25"/>
        <v>0</v>
      </c>
      <c r="AN28" s="1766">
        <f t="shared" si="25"/>
        <v>0</v>
      </c>
      <c r="AO28" s="1766">
        <f t="shared" si="25"/>
        <v>0</v>
      </c>
      <c r="AP28" s="1766">
        <f t="shared" si="25"/>
        <v>0</v>
      </c>
      <c r="AQ28" s="2634">
        <f t="shared" si="25"/>
        <v>0</v>
      </c>
      <c r="AR28" s="2629"/>
    </row>
    <row r="29" spans="1:50">
      <c r="C29" s="1889"/>
      <c r="D29" s="1889"/>
      <c r="E29" s="1889"/>
      <c r="F29" s="1889"/>
      <c r="G29" s="1889"/>
      <c r="H29" s="1889"/>
      <c r="I29" s="1889"/>
      <c r="J29" s="1889"/>
      <c r="K29" s="1889"/>
      <c r="L29" s="1889"/>
      <c r="M29" s="1889"/>
      <c r="N29" s="1889"/>
    </row>
    <row r="30" spans="1:50">
      <c r="A30" s="1895"/>
      <c r="N30" s="1889"/>
    </row>
    <row r="31" spans="1:50">
      <c r="A31" s="1889"/>
      <c r="F31" s="1894"/>
      <c r="H31" s="1887" t="s">
        <v>1558</v>
      </c>
      <c r="N31" s="1890" t="s">
        <v>23</v>
      </c>
      <c r="U31" s="1889" t="s">
        <v>1558</v>
      </c>
      <c r="V31" s="1889"/>
      <c r="W31" s="1889"/>
      <c r="X31" s="1889"/>
      <c r="Y31" s="1889"/>
      <c r="Z31" s="1889"/>
      <c r="AA31" s="1890" t="s">
        <v>23</v>
      </c>
      <c r="AI31" s="1889" t="s">
        <v>1558</v>
      </c>
      <c r="AJ31" s="1889"/>
      <c r="AK31" s="1889"/>
      <c r="AL31" s="1889"/>
      <c r="AM31" s="1889"/>
      <c r="AN31" s="1889"/>
      <c r="AO31" s="1890" t="s">
        <v>23</v>
      </c>
    </row>
    <row r="32" spans="1:50">
      <c r="A32" s="1889"/>
      <c r="F32" s="1894"/>
      <c r="H32" s="1889" t="s">
        <v>402</v>
      </c>
      <c r="N32" s="1889"/>
      <c r="U32" s="1889" t="s">
        <v>402</v>
      </c>
      <c r="V32" s="1889"/>
      <c r="W32" s="1889"/>
      <c r="X32" s="1889"/>
      <c r="Y32" s="1889"/>
      <c r="Z32" s="1889"/>
      <c r="AA32" s="1889"/>
      <c r="AI32" s="1889" t="s">
        <v>402</v>
      </c>
      <c r="AJ32" s="1889"/>
      <c r="AK32" s="1889"/>
      <c r="AL32" s="1889"/>
      <c r="AM32" s="1889"/>
      <c r="AN32" s="1889"/>
      <c r="AO32" s="1889"/>
    </row>
    <row r="33" spans="1:41" s="1887" customFormat="1">
      <c r="A33" s="1889"/>
      <c r="N33" s="1889"/>
      <c r="S33" s="1888"/>
      <c r="T33" s="1888"/>
      <c r="U33" s="1889"/>
      <c r="V33" s="1889"/>
      <c r="W33" s="1889"/>
      <c r="X33" s="1889"/>
      <c r="Y33" s="1889"/>
      <c r="Z33" s="1889"/>
      <c r="AA33" s="1889"/>
      <c r="AB33" s="1888"/>
      <c r="AC33" s="1888"/>
      <c r="AD33" s="1747"/>
      <c r="AE33" s="1747"/>
      <c r="AF33" s="1888"/>
      <c r="AG33" s="1888"/>
      <c r="AH33" s="1888"/>
      <c r="AI33" s="1889"/>
      <c r="AJ33" s="1889"/>
      <c r="AK33" s="1889"/>
      <c r="AL33" s="1889"/>
      <c r="AM33" s="1889"/>
      <c r="AN33" s="1889"/>
      <c r="AO33" s="1889"/>
    </row>
    <row r="34" spans="1:41" s="1887" customFormat="1">
      <c r="S34" s="1888"/>
      <c r="T34" s="1888"/>
      <c r="U34" s="1889"/>
      <c r="V34" s="1889"/>
      <c r="W34" s="1889"/>
      <c r="X34" s="1889"/>
      <c r="Y34" s="1889"/>
      <c r="Z34" s="1889"/>
      <c r="AA34" s="1889"/>
      <c r="AB34" s="1893"/>
      <c r="AC34" s="1888"/>
      <c r="AD34" s="1747"/>
      <c r="AE34" s="1747"/>
      <c r="AF34" s="1888"/>
      <c r="AG34" s="1888"/>
      <c r="AH34" s="1888"/>
      <c r="AI34" s="1889"/>
      <c r="AJ34" s="1889"/>
      <c r="AK34" s="1889"/>
      <c r="AL34" s="1889"/>
      <c r="AM34" s="1889"/>
      <c r="AN34" s="1889"/>
      <c r="AO34" s="1889"/>
    </row>
    <row r="35" spans="1:41" s="1887" customFormat="1">
      <c r="S35" s="1888"/>
      <c r="T35" s="1888"/>
      <c r="U35" s="1889"/>
      <c r="V35" s="1889"/>
      <c r="W35" s="1889"/>
      <c r="X35" s="1889"/>
      <c r="Y35" s="1889"/>
      <c r="Z35" s="1889"/>
      <c r="AA35" s="1889"/>
      <c r="AB35" s="1893"/>
      <c r="AC35" s="1888"/>
      <c r="AD35" s="1747"/>
      <c r="AE35" s="1747"/>
      <c r="AF35" s="1888"/>
      <c r="AG35" s="1888"/>
      <c r="AH35" s="1888"/>
      <c r="AI35" s="1889"/>
      <c r="AJ35" s="1889"/>
      <c r="AK35" s="1889"/>
      <c r="AL35" s="1889"/>
      <c r="AM35" s="1889"/>
      <c r="AN35" s="1889"/>
      <c r="AO35" s="1889"/>
    </row>
    <row r="36" spans="1:41" s="1887" customFormat="1">
      <c r="S36" s="1888"/>
      <c r="T36" s="1888"/>
      <c r="U36" s="1889"/>
      <c r="V36" s="1889"/>
      <c r="W36" s="1889"/>
      <c r="X36" s="1889"/>
      <c r="Y36" s="1889"/>
      <c r="Z36" s="1889"/>
      <c r="AA36" s="1889"/>
      <c r="AB36" s="1893"/>
      <c r="AC36" s="1888"/>
      <c r="AD36" s="1747"/>
      <c r="AE36" s="1747"/>
      <c r="AF36" s="1888"/>
      <c r="AG36" s="1888"/>
      <c r="AH36" s="1888"/>
      <c r="AI36" s="1889"/>
      <c r="AJ36" s="1889"/>
      <c r="AK36" s="1889"/>
      <c r="AL36" s="1889"/>
      <c r="AM36" s="1889"/>
      <c r="AN36" s="1889"/>
      <c r="AO36" s="1889"/>
    </row>
    <row r="37" spans="1:41" s="1887" customFormat="1">
      <c r="N37" s="1892"/>
      <c r="S37" s="1888"/>
      <c r="T37" s="1888"/>
      <c r="U37" s="1889"/>
      <c r="V37" s="1889"/>
      <c r="W37" s="1889"/>
      <c r="X37" s="1889"/>
      <c r="Y37" s="1889"/>
      <c r="Z37" s="1889"/>
      <c r="AA37" s="1891"/>
      <c r="AB37" s="1888"/>
      <c r="AC37" s="1888"/>
      <c r="AD37" s="1747"/>
      <c r="AE37" s="1747"/>
      <c r="AF37" s="1888"/>
      <c r="AG37" s="1888"/>
      <c r="AH37" s="1888"/>
      <c r="AI37" s="1889"/>
      <c r="AJ37" s="1889"/>
      <c r="AK37" s="1889"/>
      <c r="AL37" s="1889"/>
      <c r="AM37" s="1889"/>
      <c r="AN37" s="1889"/>
      <c r="AO37" s="1891"/>
    </row>
    <row r="38" spans="1:41" s="1887" customFormat="1">
      <c r="H38" s="1889" t="str">
        <f>DT!D7</f>
        <v>-</v>
      </c>
      <c r="N38" s="1890" t="str">
        <f>DT!D14</f>
        <v>Endang Taryana</v>
      </c>
      <c r="S38" s="1888"/>
      <c r="T38" s="1888"/>
      <c r="U38" s="1889" t="str">
        <f>H38</f>
        <v>-</v>
      </c>
      <c r="V38" s="1889"/>
      <c r="W38" s="1889"/>
      <c r="X38" s="1889"/>
      <c r="Y38" s="1889"/>
      <c r="Z38" s="1889"/>
      <c r="AA38" s="1889" t="str">
        <f>N38</f>
        <v>Endang Taryana</v>
      </c>
      <c r="AB38" s="1888"/>
      <c r="AC38" s="1888"/>
      <c r="AD38" s="1747"/>
      <c r="AE38" s="1747"/>
      <c r="AF38" s="1888"/>
      <c r="AG38" s="1888"/>
      <c r="AH38" s="1888"/>
      <c r="AI38" s="1889" t="str">
        <f>H38</f>
        <v>-</v>
      </c>
      <c r="AJ38" s="1889"/>
      <c r="AK38" s="1889"/>
      <c r="AL38" s="1889"/>
      <c r="AM38" s="1889"/>
      <c r="AN38" s="1889"/>
      <c r="AO38" s="1889" t="str">
        <f>N38</f>
        <v>Endang Taryana</v>
      </c>
    </row>
  </sheetData>
  <sheetProtection formatColumns="0" formatRows="0"/>
  <protectedRanges>
    <protectedRange sqref="AI12:AN27 E12:M27 W12:AB27" name="Range1"/>
  </protectedRanges>
  <mergeCells count="48">
    <mergeCell ref="U8:U10"/>
    <mergeCell ref="V8:AB8"/>
    <mergeCell ref="AC8:AC10"/>
    <mergeCell ref="T8:T10"/>
    <mergeCell ref="M9:M10"/>
    <mergeCell ref="L8:M8"/>
    <mergeCell ref="N8:N10"/>
    <mergeCell ref="O8:O10"/>
    <mergeCell ref="P8:R9"/>
    <mergeCell ref="S8:S10"/>
    <mergeCell ref="L9:L10"/>
    <mergeCell ref="AW8:AW10"/>
    <mergeCell ref="AX8:AX10"/>
    <mergeCell ref="AI9:AJ9"/>
    <mergeCell ref="AK9:AN9"/>
    <mergeCell ref="AO9:AO10"/>
    <mergeCell ref="AP9:AP10"/>
    <mergeCell ref="AQ9:AQ10"/>
    <mergeCell ref="AI8:AN8"/>
    <mergeCell ref="AO8:AQ8"/>
    <mergeCell ref="AR8:AR10"/>
    <mergeCell ref="AG8:AG10"/>
    <mergeCell ref="AH8:AH10"/>
    <mergeCell ref="V9:V10"/>
    <mergeCell ref="W9:AB9"/>
    <mergeCell ref="AD8:AD10"/>
    <mergeCell ref="AE8:AE10"/>
    <mergeCell ref="AP1:AQ1"/>
    <mergeCell ref="AF2:AO2"/>
    <mergeCell ref="AP2:AQ2"/>
    <mergeCell ref="A8:A10"/>
    <mergeCell ref="B8:B10"/>
    <mergeCell ref="C8:C10"/>
    <mergeCell ref="D8:D10"/>
    <mergeCell ref="E8:H8"/>
    <mergeCell ref="I8:K8"/>
    <mergeCell ref="E9:E10"/>
    <mergeCell ref="F9:F10"/>
    <mergeCell ref="G9:H9"/>
    <mergeCell ref="I9:I10"/>
    <mergeCell ref="J9:J10"/>
    <mergeCell ref="K9:K10"/>
    <mergeCell ref="AF8:AF10"/>
    <mergeCell ref="A1:O1"/>
    <mergeCell ref="S1:AB1"/>
    <mergeCell ref="A2:O2"/>
    <mergeCell ref="S2:AB2"/>
    <mergeCell ref="AF1:AO1"/>
  </mergeCells>
  <printOptions horizontalCentered="1" verticalCentered="1"/>
  <pageMargins left="0.25" right="0.25" top="1.1000000000000001" bottom="0.25" header="0.27559055118110198" footer="0.511811023622047"/>
  <pageSetup paperSize="9" scale="73" orientation="landscape" horizontalDpi="300" verticalDpi="300" r:id="rId1"/>
  <headerFooter alignWithMargins="0"/>
  <rowBreaks count="1" manualBreakCount="1">
    <brk id="28" max="16383" man="1"/>
  </rowBreaks>
  <colBreaks count="2" manualBreakCount="2">
    <brk id="18" max="27" man="1"/>
    <brk id="31" max="27" man="1"/>
  </colBreaks>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X37"/>
  <sheetViews>
    <sheetView zoomScale="85" zoomScaleNormal="85" zoomScaleSheetLayoutView="30" workbookViewId="0">
      <selection sqref="A1:O36"/>
    </sheetView>
  </sheetViews>
  <sheetFormatPr defaultColWidth="9.140625" defaultRowHeight="12.75"/>
  <cols>
    <col min="1" max="1" width="5.28515625" style="1887" customWidth="1"/>
    <col min="2" max="2" width="21.140625" style="1887" customWidth="1"/>
    <col min="3" max="3" width="16.85546875" style="1887" customWidth="1"/>
    <col min="4" max="4" width="12.85546875" style="1887" customWidth="1"/>
    <col min="5" max="5" width="9" style="1887" customWidth="1"/>
    <col min="6" max="6" width="11.140625" style="1887" customWidth="1"/>
    <col min="7" max="8" width="7.42578125" style="1887" customWidth="1"/>
    <col min="9" max="9" width="8.5703125" style="1887" customWidth="1"/>
    <col min="10" max="10" width="9.140625" style="1887" customWidth="1"/>
    <col min="11" max="11" width="9" style="1887" customWidth="1"/>
    <col min="12" max="13" width="11" style="1887" customWidth="1"/>
    <col min="14" max="14" width="14.28515625" style="1887" customWidth="1"/>
    <col min="15" max="15" width="15.28515625" style="1887" customWidth="1"/>
    <col min="16" max="18" width="6" style="1887" customWidth="1"/>
    <col min="19" max="19" width="5.28515625" style="1888" customWidth="1"/>
    <col min="20" max="20" width="24" style="1888" customWidth="1"/>
    <col min="21" max="21" width="18" style="1888" customWidth="1"/>
    <col min="22" max="22" width="16.42578125" style="1888" customWidth="1"/>
    <col min="23" max="26" width="12.5703125" style="1888" customWidth="1"/>
    <col min="27" max="27" width="13.42578125" style="1888" customWidth="1"/>
    <col min="28" max="28" width="12.5703125" style="1888" customWidth="1"/>
    <col min="29" max="29" width="10.140625" style="1888" customWidth="1"/>
    <col min="30" max="31" width="10.140625" style="1747" customWidth="1"/>
    <col min="32" max="32" width="5.140625" style="1888" customWidth="1"/>
    <col min="33" max="33" width="21.140625" style="1888" customWidth="1"/>
    <col min="34" max="34" width="16.28515625" style="1888" customWidth="1"/>
    <col min="35" max="36" width="7.85546875" style="1888" customWidth="1"/>
    <col min="37" max="40" width="14.140625" style="1888" customWidth="1"/>
    <col min="41" max="42" width="18" style="1888" customWidth="1"/>
    <col min="43" max="43" width="14" style="1888" customWidth="1"/>
    <col min="44" max="44" width="10.140625" style="1888" customWidth="1"/>
    <col min="45" max="45" width="9.140625" style="1887" hidden="1" customWidth="1"/>
    <col min="46" max="48" width="0" style="1887" hidden="1" customWidth="1"/>
    <col min="49" max="16384" width="9.140625" style="1887"/>
  </cols>
  <sheetData>
    <row r="1" spans="1:50" s="1919" customFormat="1" ht="20.25">
      <c r="A1" s="3724" t="s">
        <v>1612</v>
      </c>
      <c r="B1" s="3724"/>
      <c r="C1" s="3724"/>
      <c r="D1" s="3724"/>
      <c r="E1" s="3724"/>
      <c r="F1" s="3724"/>
      <c r="G1" s="3724"/>
      <c r="H1" s="3724"/>
      <c r="I1" s="3724"/>
      <c r="J1" s="3724"/>
      <c r="K1" s="3724"/>
      <c r="L1" s="3724"/>
      <c r="M1" s="3724"/>
      <c r="N1" s="3724"/>
      <c r="O1" s="3724"/>
      <c r="S1" s="3724" t="s">
        <v>1611</v>
      </c>
      <c r="T1" s="3724"/>
      <c r="U1" s="3724"/>
      <c r="V1" s="3724"/>
      <c r="W1" s="3724"/>
      <c r="X1" s="3724"/>
      <c r="Y1" s="3724"/>
      <c r="Z1" s="3724"/>
      <c r="AA1" s="3724"/>
      <c r="AB1" s="3724"/>
      <c r="AC1" s="1920"/>
      <c r="AD1" s="1844"/>
      <c r="AE1" s="1844"/>
      <c r="AF1" s="3724" t="s">
        <v>0</v>
      </c>
      <c r="AG1" s="3724"/>
      <c r="AH1" s="3724"/>
      <c r="AI1" s="3724"/>
      <c r="AJ1" s="3724"/>
      <c r="AK1" s="3724"/>
      <c r="AL1" s="3724"/>
      <c r="AM1" s="3724"/>
      <c r="AN1" s="3724"/>
      <c r="AO1" s="3724"/>
      <c r="AP1" s="3724"/>
      <c r="AQ1" s="3724"/>
      <c r="AR1" s="1921"/>
    </row>
    <row r="2" spans="1:50" s="1919" customFormat="1" ht="20.25">
      <c r="A2" s="3724" t="s">
        <v>1651</v>
      </c>
      <c r="B2" s="3724"/>
      <c r="C2" s="3724"/>
      <c r="D2" s="3724"/>
      <c r="E2" s="3724"/>
      <c r="F2" s="3724"/>
      <c r="G2" s="3724"/>
      <c r="H2" s="3724"/>
      <c r="I2" s="3724"/>
      <c r="J2" s="3724"/>
      <c r="K2" s="3724"/>
      <c r="L2" s="3724"/>
      <c r="M2" s="3724"/>
      <c r="N2" s="3724"/>
      <c r="O2" s="3724"/>
      <c r="S2" s="3724" t="s">
        <v>1650</v>
      </c>
      <c r="T2" s="3724"/>
      <c r="U2" s="3724"/>
      <c r="V2" s="3724"/>
      <c r="W2" s="3724"/>
      <c r="X2" s="3724"/>
      <c r="Y2" s="3724"/>
      <c r="Z2" s="3724"/>
      <c r="AA2" s="3724"/>
      <c r="AB2" s="3724"/>
      <c r="AC2" s="1920"/>
      <c r="AD2" s="1844"/>
      <c r="AE2" s="1844"/>
      <c r="AF2" s="3724" t="s">
        <v>1649</v>
      </c>
      <c r="AG2" s="3724"/>
      <c r="AH2" s="3724"/>
      <c r="AI2" s="3724"/>
      <c r="AJ2" s="3724"/>
      <c r="AK2" s="3724"/>
      <c r="AL2" s="3724"/>
      <c r="AM2" s="3724"/>
      <c r="AN2" s="3724"/>
      <c r="AO2" s="3724"/>
      <c r="AP2" s="3724"/>
      <c r="AQ2" s="3724"/>
      <c r="AR2" s="1920"/>
    </row>
    <row r="4" spans="1:50">
      <c r="A4" s="1918" t="s">
        <v>86</v>
      </c>
      <c r="C4" s="1916" t="str">
        <f>'LPP-SPP'!F86</f>
        <v>:  Nagrak</v>
      </c>
      <c r="S4" s="1918" t="s">
        <v>86</v>
      </c>
      <c r="T4" s="1887"/>
      <c r="U4" s="1918" t="str">
        <f>C4</f>
        <v>:  Nagrak</v>
      </c>
      <c r="AF4" s="1918" t="s">
        <v>86</v>
      </c>
      <c r="AG4" s="1887"/>
      <c r="AH4" s="1918" t="str">
        <f>C4</f>
        <v>:  Nagrak</v>
      </c>
    </row>
    <row r="5" spans="1:50">
      <c r="A5" s="1887" t="s">
        <v>1607</v>
      </c>
      <c r="C5" s="1916" t="str">
        <f>'LPP-SPP'!F87</f>
        <v>:  Sukabumi</v>
      </c>
      <c r="N5" s="1915" t="s">
        <v>71</v>
      </c>
      <c r="O5" s="1917" t="str">
        <f>DT!D25&amp;"  "&amp;DT!D26</f>
        <v>Februari 2016  2016</v>
      </c>
      <c r="S5" s="1888" t="s">
        <v>87</v>
      </c>
      <c r="U5" s="1888" t="s">
        <v>1605</v>
      </c>
      <c r="Z5" s="1913" t="s">
        <v>71</v>
      </c>
      <c r="AA5" s="1912" t="str">
        <f>O5</f>
        <v>Februari 2016  2016</v>
      </c>
      <c r="AF5" s="1888" t="s">
        <v>1606</v>
      </c>
      <c r="AH5" s="1888" t="s">
        <v>1605</v>
      </c>
      <c r="AP5" s="1913" t="s">
        <v>71</v>
      </c>
      <c r="AQ5" s="1912" t="str">
        <f>O5</f>
        <v>Februari 2016  2016</v>
      </c>
    </row>
    <row r="6" spans="1:50">
      <c r="A6" s="1887" t="s">
        <v>1604</v>
      </c>
      <c r="C6" s="1916" t="str">
        <f>'LPP-SPP'!F88</f>
        <v>:  Jawa Barat</v>
      </c>
      <c r="N6" s="1915"/>
      <c r="O6" s="1914"/>
      <c r="S6" s="1888" t="s">
        <v>88</v>
      </c>
      <c r="U6" s="1888" t="s">
        <v>1602</v>
      </c>
      <c r="AA6" s="1913"/>
      <c r="AB6" s="1912"/>
      <c r="AF6" s="1888" t="s">
        <v>1603</v>
      </c>
      <c r="AH6" s="1888" t="s">
        <v>1602</v>
      </c>
      <c r="AP6" s="1913"/>
      <c r="AQ6" s="1912"/>
    </row>
    <row r="7" spans="1:50" ht="6.75" customHeight="1"/>
    <row r="8" spans="1:50" ht="26.25" customHeight="1">
      <c r="A8" s="3725" t="s">
        <v>978</v>
      </c>
      <c r="B8" s="3728" t="s">
        <v>224</v>
      </c>
      <c r="C8" s="3728" t="s">
        <v>1601</v>
      </c>
      <c r="D8" s="3728" t="s">
        <v>1594</v>
      </c>
      <c r="E8" s="3728" t="s">
        <v>1600</v>
      </c>
      <c r="F8" s="3728"/>
      <c r="G8" s="3728"/>
      <c r="H8" s="3728"/>
      <c r="I8" s="3728" t="s">
        <v>1599</v>
      </c>
      <c r="J8" s="3728"/>
      <c r="K8" s="3728"/>
      <c r="L8" s="3728" t="s">
        <v>1598</v>
      </c>
      <c r="M8" s="3728"/>
      <c r="N8" s="3728" t="s">
        <v>1597</v>
      </c>
      <c r="O8" s="3734" t="s">
        <v>1596</v>
      </c>
      <c r="P8" s="3737" t="s">
        <v>1595</v>
      </c>
      <c r="Q8" s="3736"/>
      <c r="R8" s="3738"/>
      <c r="S8" s="3725" t="s">
        <v>978</v>
      </c>
      <c r="T8" s="3728" t="s">
        <v>224</v>
      </c>
      <c r="U8" s="3728" t="s">
        <v>1594</v>
      </c>
      <c r="V8" s="3728" t="s">
        <v>1593</v>
      </c>
      <c r="W8" s="3728"/>
      <c r="X8" s="3728"/>
      <c r="Y8" s="3728"/>
      <c r="Z8" s="3728"/>
      <c r="AA8" s="3728"/>
      <c r="AB8" s="3734"/>
      <c r="AC8" s="3736" t="s">
        <v>1590</v>
      </c>
      <c r="AD8" s="3736" t="s">
        <v>52</v>
      </c>
      <c r="AE8" s="3736" t="s">
        <v>53</v>
      </c>
      <c r="AF8" s="3725" t="s">
        <v>36</v>
      </c>
      <c r="AG8" s="3728" t="s">
        <v>224</v>
      </c>
      <c r="AH8" s="3728" t="s">
        <v>1592</v>
      </c>
      <c r="AI8" s="3728" t="s">
        <v>1591</v>
      </c>
      <c r="AJ8" s="3728"/>
      <c r="AK8" s="3728"/>
      <c r="AL8" s="3728"/>
      <c r="AM8" s="3728"/>
      <c r="AN8" s="3728"/>
      <c r="AO8" s="3728" t="s">
        <v>1534</v>
      </c>
      <c r="AP8" s="3728"/>
      <c r="AQ8" s="3734"/>
      <c r="AR8" s="3732" t="s">
        <v>1590</v>
      </c>
      <c r="AW8" s="3732" t="s">
        <v>1589</v>
      </c>
      <c r="AX8" s="3732" t="s">
        <v>1566</v>
      </c>
    </row>
    <row r="9" spans="1:50" ht="30" customHeight="1">
      <c r="A9" s="3726"/>
      <c r="B9" s="3729"/>
      <c r="C9" s="3729"/>
      <c r="D9" s="3729"/>
      <c r="E9" s="3729" t="s">
        <v>1588</v>
      </c>
      <c r="F9" s="3729" t="s">
        <v>1587</v>
      </c>
      <c r="G9" s="3729" t="s">
        <v>1586</v>
      </c>
      <c r="H9" s="3729"/>
      <c r="I9" s="3729" t="s">
        <v>1585</v>
      </c>
      <c r="J9" s="3729" t="s">
        <v>1584</v>
      </c>
      <c r="K9" s="3729" t="s">
        <v>1583</v>
      </c>
      <c r="L9" s="3729" t="s">
        <v>1582</v>
      </c>
      <c r="M9" s="3729" t="s">
        <v>1581</v>
      </c>
      <c r="N9" s="3729"/>
      <c r="O9" s="3731"/>
      <c r="P9" s="3737"/>
      <c r="Q9" s="3736"/>
      <c r="R9" s="3738"/>
      <c r="S9" s="3726"/>
      <c r="T9" s="3729"/>
      <c r="U9" s="3729"/>
      <c r="V9" s="3729" t="s">
        <v>1580</v>
      </c>
      <c r="W9" s="3729" t="s">
        <v>1579</v>
      </c>
      <c r="X9" s="3729"/>
      <c r="Y9" s="3729"/>
      <c r="Z9" s="3729"/>
      <c r="AA9" s="3729"/>
      <c r="AB9" s="3731"/>
      <c r="AC9" s="3736"/>
      <c r="AD9" s="3736"/>
      <c r="AE9" s="3736"/>
      <c r="AF9" s="3726"/>
      <c r="AG9" s="3729"/>
      <c r="AH9" s="3729"/>
      <c r="AI9" s="3729" t="s">
        <v>1578</v>
      </c>
      <c r="AJ9" s="3729"/>
      <c r="AK9" s="3729" t="s">
        <v>1577</v>
      </c>
      <c r="AL9" s="3729"/>
      <c r="AM9" s="3729"/>
      <c r="AN9" s="3729"/>
      <c r="AO9" s="3729" t="s">
        <v>1567</v>
      </c>
      <c r="AP9" s="3729" t="s">
        <v>1566</v>
      </c>
      <c r="AQ9" s="3731" t="s">
        <v>1576</v>
      </c>
      <c r="AR9" s="3732"/>
      <c r="AW9" s="3732"/>
      <c r="AX9" s="3732"/>
    </row>
    <row r="10" spans="1:50" ht="33.75" customHeight="1">
      <c r="A10" s="3727"/>
      <c r="B10" s="3730"/>
      <c r="C10" s="3730"/>
      <c r="D10" s="3730"/>
      <c r="E10" s="3730"/>
      <c r="F10" s="3730"/>
      <c r="G10" s="1822" t="s">
        <v>53</v>
      </c>
      <c r="H10" s="1822" t="s">
        <v>1575</v>
      </c>
      <c r="I10" s="3730"/>
      <c r="J10" s="3730"/>
      <c r="K10" s="3730"/>
      <c r="L10" s="3730"/>
      <c r="M10" s="3730"/>
      <c r="N10" s="3730"/>
      <c r="O10" s="3733"/>
      <c r="P10" s="2623" t="s">
        <v>1574</v>
      </c>
      <c r="Q10" s="2623" t="s">
        <v>248</v>
      </c>
      <c r="R10" s="2623" t="s">
        <v>402</v>
      </c>
      <c r="S10" s="3727"/>
      <c r="T10" s="3730"/>
      <c r="U10" s="3730"/>
      <c r="V10" s="3730"/>
      <c r="W10" s="1822" t="s">
        <v>1573</v>
      </c>
      <c r="X10" s="1822" t="s">
        <v>1572</v>
      </c>
      <c r="Y10" s="1822" t="s">
        <v>1571</v>
      </c>
      <c r="Z10" s="1822" t="s">
        <v>1570</v>
      </c>
      <c r="AA10" s="1822" t="s">
        <v>1569</v>
      </c>
      <c r="AB10" s="1911" t="s">
        <v>1568</v>
      </c>
      <c r="AC10" s="3736"/>
      <c r="AD10" s="3736"/>
      <c r="AE10" s="3736"/>
      <c r="AF10" s="3727"/>
      <c r="AG10" s="3730"/>
      <c r="AH10" s="3730"/>
      <c r="AI10" s="1822" t="s">
        <v>1567</v>
      </c>
      <c r="AJ10" s="1822" t="s">
        <v>1566</v>
      </c>
      <c r="AK10" s="1822" t="s">
        <v>1565</v>
      </c>
      <c r="AL10" s="1822" t="s">
        <v>1564</v>
      </c>
      <c r="AM10" s="1822" t="s">
        <v>1563</v>
      </c>
      <c r="AN10" s="1822" t="s">
        <v>1562</v>
      </c>
      <c r="AO10" s="3730"/>
      <c r="AP10" s="3730"/>
      <c r="AQ10" s="3733"/>
      <c r="AR10" s="3732"/>
      <c r="AW10" s="3732"/>
      <c r="AX10" s="3732"/>
    </row>
    <row r="11" spans="1:50" s="1906" customFormat="1" ht="11.25">
      <c r="A11" s="1910">
        <v>1</v>
      </c>
      <c r="B11" s="1820">
        <v>2</v>
      </c>
      <c r="C11" s="1820">
        <v>3</v>
      </c>
      <c r="D11" s="1820">
        <v>4</v>
      </c>
      <c r="E11" s="1820">
        <v>5</v>
      </c>
      <c r="F11" s="1820">
        <v>6</v>
      </c>
      <c r="G11" s="1820">
        <v>7</v>
      </c>
      <c r="H11" s="1820">
        <v>8</v>
      </c>
      <c r="I11" s="1820">
        <v>9</v>
      </c>
      <c r="J11" s="1820">
        <v>10</v>
      </c>
      <c r="K11" s="1820">
        <v>11</v>
      </c>
      <c r="L11" s="1820">
        <v>12</v>
      </c>
      <c r="M11" s="1820">
        <v>13</v>
      </c>
      <c r="N11" s="1820" t="s">
        <v>1561</v>
      </c>
      <c r="O11" s="1909" t="s">
        <v>1560</v>
      </c>
      <c r="S11" s="1908">
        <v>1</v>
      </c>
      <c r="T11" s="1809">
        <v>2</v>
      </c>
      <c r="U11" s="1809">
        <v>3</v>
      </c>
      <c r="V11" s="1809">
        <v>4</v>
      </c>
      <c r="W11" s="1809">
        <v>5</v>
      </c>
      <c r="X11" s="1809">
        <v>6</v>
      </c>
      <c r="Y11" s="1809">
        <v>7</v>
      </c>
      <c r="Z11" s="1809">
        <v>8</v>
      </c>
      <c r="AA11" s="1809">
        <v>9</v>
      </c>
      <c r="AB11" s="1907">
        <v>10</v>
      </c>
      <c r="AC11" s="2624"/>
      <c r="AD11" s="2625"/>
      <c r="AE11" s="2625"/>
      <c r="AF11" s="1908">
        <v>1</v>
      </c>
      <c r="AG11" s="1809">
        <v>2</v>
      </c>
      <c r="AH11" s="1809">
        <v>3</v>
      </c>
      <c r="AI11" s="1809">
        <v>4</v>
      </c>
      <c r="AJ11" s="1809">
        <v>5</v>
      </c>
      <c r="AK11" s="1809">
        <v>6</v>
      </c>
      <c r="AL11" s="1809">
        <v>7</v>
      </c>
      <c r="AM11" s="1809">
        <v>8</v>
      </c>
      <c r="AN11" s="1809">
        <v>9</v>
      </c>
      <c r="AO11" s="1809">
        <v>10</v>
      </c>
      <c r="AP11" s="1809">
        <v>11</v>
      </c>
      <c r="AQ11" s="1907" t="s">
        <v>1559</v>
      </c>
      <c r="AR11" s="2626"/>
    </row>
    <row r="12" spans="1:50" s="749" customFormat="1" ht="23.25" customHeight="1">
      <c r="A12" s="1902">
        <v>1</v>
      </c>
      <c r="B12" s="1905" t="str">
        <f>'LPP-SPP'!B93</f>
        <v>CIHANYAWAR</v>
      </c>
      <c r="C12" s="1802">
        <f>'LPP-SPP'!D13</f>
        <v>20</v>
      </c>
      <c r="D12" s="1802">
        <v>43</v>
      </c>
      <c r="E12" s="1802"/>
      <c r="F12" s="1802"/>
      <c r="G12" s="1802">
        <v>43</v>
      </c>
      <c r="H12" s="1802"/>
      <c r="I12" s="1802">
        <v>13</v>
      </c>
      <c r="J12" s="1802">
        <v>30</v>
      </c>
      <c r="K12" s="1802"/>
      <c r="L12" s="1802">
        <v>43</v>
      </c>
      <c r="M12" s="1802"/>
      <c r="N12" s="2627">
        <f t="shared" ref="N12:N27" si="0">D12-C12</f>
        <v>23</v>
      </c>
      <c r="O12" s="2628">
        <f t="shared" ref="O12:O28" si="1">(N12/C12)*100%</f>
        <v>1.1499999999999999</v>
      </c>
      <c r="P12" s="2629">
        <f t="shared" ref="P12:P28" si="2">D12-SUM(E12:H12)</f>
        <v>0</v>
      </c>
      <c r="Q12" s="2629">
        <f t="shared" ref="Q12:Q27" si="3">D12-SUM(I12:K12)</f>
        <v>0</v>
      </c>
      <c r="R12" s="2629">
        <f t="shared" ref="R12:R28" si="4">D12-(L12+M12)</f>
        <v>0</v>
      </c>
      <c r="S12" s="1902">
        <f t="shared" ref="S12:S27" si="5">A12</f>
        <v>1</v>
      </c>
      <c r="T12" s="1903" t="str">
        <f t="shared" ref="T12:T27" si="6">B12</f>
        <v>CIHANYAWAR</v>
      </c>
      <c r="U12" s="2630">
        <f t="shared" ref="U12:U27" si="7">D12</f>
        <v>43</v>
      </c>
      <c r="V12" s="2630">
        <f t="shared" ref="V12:V27" si="8">G12+H12</f>
        <v>43</v>
      </c>
      <c r="W12" s="2630"/>
      <c r="X12" s="2630"/>
      <c r="Y12" s="2630"/>
      <c r="Z12" s="2630"/>
      <c r="AA12" s="2630"/>
      <c r="AB12" s="2635"/>
      <c r="AC12" s="2629" t="str">
        <f t="shared" ref="AC12:AC28" si="9">IF(SUM(V12:AB12)=U12,"BENAR","SALAH")</f>
        <v>BENAR</v>
      </c>
      <c r="AD12" s="2629">
        <f t="shared" ref="AD12:AD28" si="10">E12+F12-W12-X12-Y12-Z12-AA12-AB12</f>
        <v>0</v>
      </c>
      <c r="AE12" s="2629">
        <f t="shared" ref="AE12:AE28" si="11">G12+H12-V12</f>
        <v>0</v>
      </c>
      <c r="AF12" s="1902">
        <f t="shared" ref="AF12:AF27" si="12">S12</f>
        <v>1</v>
      </c>
      <c r="AG12" s="1903" t="str">
        <f t="shared" ref="AG12:AG27" si="13">T12</f>
        <v>CIHANYAWAR</v>
      </c>
      <c r="AH12" s="1790">
        <f t="shared" ref="AH12:AH27" si="14">D12</f>
        <v>43</v>
      </c>
      <c r="AI12" s="1792"/>
      <c r="AJ12" s="1792"/>
      <c r="AK12" s="1792"/>
      <c r="AL12" s="1792"/>
      <c r="AM12" s="1792"/>
      <c r="AN12" s="1792"/>
      <c r="AO12" s="1788">
        <f>SUM('KOLEKTIBILITAS-SPP'!F12:G12)</f>
        <v>1250000</v>
      </c>
      <c r="AP12" s="1788">
        <f>'KOLEKTIBILITAS-SPP'!H12</f>
        <v>29209200</v>
      </c>
      <c r="AQ12" s="2631">
        <f t="shared" ref="AQ12:AQ27" si="15">AO12+AP12</f>
        <v>30459200</v>
      </c>
      <c r="AR12" s="2629" t="str">
        <f t="shared" ref="AR12:AR27" si="16">IF(SUM(AK12:AN12)=(AI12+AJ12),"BENAR","SALAH")</f>
        <v>BENAR</v>
      </c>
      <c r="AS12" s="749">
        <f t="shared" ref="AS12:AS27" si="17">IF(AI12&gt;=1,1,0)</f>
        <v>0</v>
      </c>
      <c r="AT12" s="749">
        <f t="shared" ref="AT12:AT27" si="18">IF(AJ12&gt;=1,1,0)</f>
        <v>0</v>
      </c>
      <c r="AU12" s="749">
        <f t="shared" ref="AU12:AU27" si="19">IF(AO12&gt;=1,1,0)</f>
        <v>1</v>
      </c>
      <c r="AV12" s="749">
        <f t="shared" ref="AV12:AV27" si="20">IF(AP12&gt;=1,1,0)</f>
        <v>1</v>
      </c>
      <c r="AW12" s="749">
        <f t="shared" ref="AW12:AW27" si="21">AS12-AU12</f>
        <v>-1</v>
      </c>
      <c r="AX12" s="749">
        <f t="shared" ref="AX12:AX27" si="22">AT12-AV12</f>
        <v>-1</v>
      </c>
    </row>
    <row r="13" spans="1:50" s="749" customFormat="1" ht="23.25" customHeight="1">
      <c r="A13" s="1900">
        <v>2</v>
      </c>
      <c r="B13" s="1899" t="str">
        <f>'LPP-SPP'!B94</f>
        <v>NAGRAK UTARA</v>
      </c>
      <c r="C13" s="1775">
        <f>'LPP-SPP'!D14</f>
        <v>49</v>
      </c>
      <c r="D13" s="1775">
        <v>63</v>
      </c>
      <c r="E13" s="1775"/>
      <c r="F13" s="1775"/>
      <c r="G13" s="1775">
        <v>63</v>
      </c>
      <c r="H13" s="1775"/>
      <c r="I13" s="1775">
        <v>10</v>
      </c>
      <c r="J13" s="1775">
        <f>G13-I13</f>
        <v>53</v>
      </c>
      <c r="K13" s="1775"/>
      <c r="L13" s="1775">
        <v>63</v>
      </c>
      <c r="M13" s="1775"/>
      <c r="N13" s="2627">
        <f t="shared" si="0"/>
        <v>14</v>
      </c>
      <c r="O13" s="2632">
        <f t="shared" si="1"/>
        <v>0.2857142857142857</v>
      </c>
      <c r="P13" s="2629">
        <f t="shared" si="2"/>
        <v>0</v>
      </c>
      <c r="Q13" s="2629">
        <f t="shared" si="3"/>
        <v>0</v>
      </c>
      <c r="R13" s="2629">
        <f t="shared" si="4"/>
        <v>0</v>
      </c>
      <c r="S13" s="1900">
        <f t="shared" si="5"/>
        <v>2</v>
      </c>
      <c r="T13" s="1899" t="str">
        <f t="shared" si="6"/>
        <v>NAGRAK UTARA</v>
      </c>
      <c r="U13" s="1775">
        <f t="shared" si="7"/>
        <v>63</v>
      </c>
      <c r="V13" s="1775">
        <f t="shared" si="8"/>
        <v>63</v>
      </c>
      <c r="W13" s="1775"/>
      <c r="X13" s="1775"/>
      <c r="Y13" s="1775"/>
      <c r="Z13" s="1775"/>
      <c r="AA13" s="1775"/>
      <c r="AB13" s="2636"/>
      <c r="AC13" s="2629" t="str">
        <f t="shared" si="9"/>
        <v>BENAR</v>
      </c>
      <c r="AD13" s="2629">
        <f t="shared" si="10"/>
        <v>0</v>
      </c>
      <c r="AE13" s="2629">
        <f t="shared" si="11"/>
        <v>0</v>
      </c>
      <c r="AF13" s="1900">
        <f t="shared" si="12"/>
        <v>2</v>
      </c>
      <c r="AG13" s="1899" t="str">
        <f t="shared" si="13"/>
        <v>NAGRAK UTARA</v>
      </c>
      <c r="AH13" s="1790">
        <f t="shared" si="14"/>
        <v>63</v>
      </c>
      <c r="AI13" s="1792"/>
      <c r="AJ13" s="1792"/>
      <c r="AK13" s="1792"/>
      <c r="AL13" s="1792"/>
      <c r="AM13" s="1792"/>
      <c r="AN13" s="1792"/>
      <c r="AO13" s="1788">
        <f>SUM('KOLEKTIBILITAS-SPP'!F13:G13)</f>
        <v>0</v>
      </c>
      <c r="AP13" s="1788">
        <f>'KOLEKTIBILITAS-SPP'!H13</f>
        <v>75481000</v>
      </c>
      <c r="AQ13" s="2631">
        <f t="shared" si="15"/>
        <v>75481000</v>
      </c>
      <c r="AR13" s="2629" t="str">
        <f t="shared" si="16"/>
        <v>BENAR</v>
      </c>
      <c r="AS13" s="749">
        <f t="shared" si="17"/>
        <v>0</v>
      </c>
      <c r="AT13" s="749">
        <f t="shared" si="18"/>
        <v>0</v>
      </c>
      <c r="AU13" s="749">
        <f t="shared" si="19"/>
        <v>0</v>
      </c>
      <c r="AV13" s="749">
        <f t="shared" si="20"/>
        <v>1</v>
      </c>
      <c r="AW13" s="749">
        <f t="shared" si="21"/>
        <v>0</v>
      </c>
      <c r="AX13" s="749">
        <f t="shared" si="22"/>
        <v>-1</v>
      </c>
    </row>
    <row r="14" spans="1:50" s="749" customFormat="1" ht="23.25" customHeight="1">
      <c r="A14" s="1902">
        <v>3</v>
      </c>
      <c r="B14" s="1899" t="str">
        <f>'LPP-SPP'!B95</f>
        <v>DARMAREJA</v>
      </c>
      <c r="C14" s="1775">
        <f>'LPP-SPP'!D15</f>
        <v>23</v>
      </c>
      <c r="D14" s="1775">
        <v>30</v>
      </c>
      <c r="E14" s="1775"/>
      <c r="F14" s="1775"/>
      <c r="G14" s="1775">
        <v>30</v>
      </c>
      <c r="H14" s="1775"/>
      <c r="I14" s="1775">
        <v>10</v>
      </c>
      <c r="J14" s="1775">
        <v>20</v>
      </c>
      <c r="K14" s="1775"/>
      <c r="L14" s="1775">
        <v>30</v>
      </c>
      <c r="M14" s="1775"/>
      <c r="N14" s="1775">
        <f t="shared" si="0"/>
        <v>7</v>
      </c>
      <c r="O14" s="2632">
        <f t="shared" si="1"/>
        <v>0.30434782608695654</v>
      </c>
      <c r="P14" s="2629">
        <f t="shared" si="2"/>
        <v>0</v>
      </c>
      <c r="Q14" s="2629">
        <f t="shared" si="3"/>
        <v>0</v>
      </c>
      <c r="R14" s="2629">
        <f t="shared" si="4"/>
        <v>0</v>
      </c>
      <c r="S14" s="1900">
        <f t="shared" si="5"/>
        <v>3</v>
      </c>
      <c r="T14" s="1899" t="str">
        <f t="shared" si="6"/>
        <v>DARMAREJA</v>
      </c>
      <c r="U14" s="1775">
        <f t="shared" si="7"/>
        <v>30</v>
      </c>
      <c r="V14" s="1775">
        <f t="shared" si="8"/>
        <v>30</v>
      </c>
      <c r="W14" s="1775"/>
      <c r="X14" s="1775"/>
      <c r="Y14" s="1775"/>
      <c r="Z14" s="1775"/>
      <c r="AA14" s="1775"/>
      <c r="AB14" s="2636"/>
      <c r="AC14" s="2629" t="str">
        <f t="shared" si="9"/>
        <v>BENAR</v>
      </c>
      <c r="AD14" s="2629">
        <f t="shared" si="10"/>
        <v>0</v>
      </c>
      <c r="AE14" s="2629">
        <f t="shared" si="11"/>
        <v>0</v>
      </c>
      <c r="AF14" s="1900">
        <f t="shared" si="12"/>
        <v>3</v>
      </c>
      <c r="AG14" s="1899" t="str">
        <f t="shared" si="13"/>
        <v>DARMAREJA</v>
      </c>
      <c r="AH14" s="1790">
        <f t="shared" si="14"/>
        <v>30</v>
      </c>
      <c r="AI14" s="1790"/>
      <c r="AJ14" s="1790"/>
      <c r="AK14" s="1790"/>
      <c r="AL14" s="1790"/>
      <c r="AM14" s="1790"/>
      <c r="AN14" s="1790"/>
      <c r="AO14" s="1788">
        <f>SUM('KOLEKTIBILITAS-SPP'!F14:G14)</f>
        <v>0</v>
      </c>
      <c r="AP14" s="1788">
        <f>'KOLEKTIBILITAS-SPP'!H14</f>
        <v>37255000</v>
      </c>
      <c r="AQ14" s="2631">
        <f t="shared" si="15"/>
        <v>37255000</v>
      </c>
      <c r="AR14" s="2629" t="str">
        <f t="shared" si="16"/>
        <v>BENAR</v>
      </c>
      <c r="AS14" s="749">
        <f t="shared" si="17"/>
        <v>0</v>
      </c>
      <c r="AT14" s="749">
        <f t="shared" si="18"/>
        <v>0</v>
      </c>
      <c r="AU14" s="749">
        <f t="shared" si="19"/>
        <v>0</v>
      </c>
      <c r="AV14" s="749">
        <f t="shared" si="20"/>
        <v>1</v>
      </c>
      <c r="AW14" s="749">
        <f t="shared" si="21"/>
        <v>0</v>
      </c>
      <c r="AX14" s="749">
        <f t="shared" si="22"/>
        <v>-1</v>
      </c>
    </row>
    <row r="15" spans="1:50" s="749" customFormat="1" ht="23.25" customHeight="1">
      <c r="A15" s="1900">
        <v>4</v>
      </c>
      <c r="B15" s="1899" t="str">
        <f>'LPP-SPP'!B96</f>
        <v>BALEKAMBANG</v>
      </c>
      <c r="C15" s="1775">
        <f>'LPP-SPP'!D16</f>
        <v>16</v>
      </c>
      <c r="D15" s="1775">
        <v>18</v>
      </c>
      <c r="E15" s="1775"/>
      <c r="F15" s="1775"/>
      <c r="G15" s="1775">
        <v>18</v>
      </c>
      <c r="H15" s="1775"/>
      <c r="I15" s="1775">
        <v>8</v>
      </c>
      <c r="J15" s="1775">
        <v>10</v>
      </c>
      <c r="K15" s="1775"/>
      <c r="L15" s="1775">
        <v>18</v>
      </c>
      <c r="M15" s="1775"/>
      <c r="N15" s="1775">
        <f t="shared" si="0"/>
        <v>2</v>
      </c>
      <c r="O15" s="2632">
        <f t="shared" si="1"/>
        <v>0.125</v>
      </c>
      <c r="P15" s="2629">
        <f t="shared" si="2"/>
        <v>0</v>
      </c>
      <c r="Q15" s="2629">
        <f t="shared" si="3"/>
        <v>0</v>
      </c>
      <c r="R15" s="2629">
        <f t="shared" si="4"/>
        <v>0</v>
      </c>
      <c r="S15" s="1900">
        <f t="shared" si="5"/>
        <v>4</v>
      </c>
      <c r="T15" s="1899" t="str">
        <f t="shared" si="6"/>
        <v>BALEKAMBANG</v>
      </c>
      <c r="U15" s="1775">
        <f t="shared" si="7"/>
        <v>18</v>
      </c>
      <c r="V15" s="1775">
        <f t="shared" si="8"/>
        <v>18</v>
      </c>
      <c r="W15" s="1775"/>
      <c r="X15" s="1775"/>
      <c r="Y15" s="1775"/>
      <c r="Z15" s="1775"/>
      <c r="AA15" s="1775"/>
      <c r="AB15" s="2636"/>
      <c r="AC15" s="2629" t="str">
        <f t="shared" si="9"/>
        <v>BENAR</v>
      </c>
      <c r="AD15" s="2629">
        <f t="shared" si="10"/>
        <v>0</v>
      </c>
      <c r="AE15" s="2629">
        <f t="shared" si="11"/>
        <v>0</v>
      </c>
      <c r="AF15" s="1900">
        <f t="shared" si="12"/>
        <v>4</v>
      </c>
      <c r="AG15" s="1899" t="str">
        <f t="shared" si="13"/>
        <v>BALEKAMBANG</v>
      </c>
      <c r="AH15" s="1790">
        <f t="shared" si="14"/>
        <v>18</v>
      </c>
      <c r="AI15" s="1790"/>
      <c r="AJ15" s="1790"/>
      <c r="AK15" s="1790"/>
      <c r="AL15" s="1790"/>
      <c r="AM15" s="1790"/>
      <c r="AN15" s="1790"/>
      <c r="AO15" s="1788">
        <f>SUM('KOLEKTIBILITAS-SPP'!F15:G15)</f>
        <v>14935100</v>
      </c>
      <c r="AP15" s="1788">
        <f>'KOLEKTIBILITAS-SPP'!H15</f>
        <v>416300</v>
      </c>
      <c r="AQ15" s="2631">
        <f t="shared" si="15"/>
        <v>15351400</v>
      </c>
      <c r="AR15" s="2629" t="str">
        <f t="shared" si="16"/>
        <v>BENAR</v>
      </c>
      <c r="AS15" s="749">
        <f t="shared" si="17"/>
        <v>0</v>
      </c>
      <c r="AT15" s="749">
        <f t="shared" si="18"/>
        <v>0</v>
      </c>
      <c r="AU15" s="749">
        <f t="shared" si="19"/>
        <v>1</v>
      </c>
      <c r="AV15" s="749">
        <f t="shared" si="20"/>
        <v>1</v>
      </c>
      <c r="AW15" s="749">
        <f t="shared" si="21"/>
        <v>-1</v>
      </c>
      <c r="AX15" s="749">
        <f t="shared" si="22"/>
        <v>-1</v>
      </c>
    </row>
    <row r="16" spans="1:50" s="749" customFormat="1" ht="23.25" customHeight="1">
      <c r="A16" s="1902">
        <v>5</v>
      </c>
      <c r="B16" s="1899" t="str">
        <f>'LPP-SPP'!B97</f>
        <v>NAGRAK SELATAN</v>
      </c>
      <c r="C16" s="1775">
        <f>'LPP-SPP'!D17</f>
        <v>18</v>
      </c>
      <c r="D16" s="1775">
        <v>28</v>
      </c>
      <c r="E16" s="1775"/>
      <c r="F16" s="1775"/>
      <c r="G16" s="1775">
        <v>28</v>
      </c>
      <c r="H16" s="1775"/>
      <c r="I16" s="1775">
        <v>12</v>
      </c>
      <c r="J16" s="1775">
        <v>16</v>
      </c>
      <c r="K16" s="1775"/>
      <c r="L16" s="1775">
        <v>28</v>
      </c>
      <c r="M16" s="1775"/>
      <c r="N16" s="1775">
        <f t="shared" si="0"/>
        <v>10</v>
      </c>
      <c r="O16" s="2632">
        <f t="shared" si="1"/>
        <v>0.55555555555555558</v>
      </c>
      <c r="P16" s="2629">
        <f t="shared" si="2"/>
        <v>0</v>
      </c>
      <c r="Q16" s="2629">
        <f t="shared" si="3"/>
        <v>0</v>
      </c>
      <c r="R16" s="2629">
        <f t="shared" si="4"/>
        <v>0</v>
      </c>
      <c r="S16" s="1900">
        <f t="shared" si="5"/>
        <v>5</v>
      </c>
      <c r="T16" s="1899" t="str">
        <f t="shared" si="6"/>
        <v>NAGRAK SELATAN</v>
      </c>
      <c r="U16" s="1775">
        <f t="shared" si="7"/>
        <v>28</v>
      </c>
      <c r="V16" s="1775">
        <f t="shared" si="8"/>
        <v>28</v>
      </c>
      <c r="W16" s="1775"/>
      <c r="X16" s="1775"/>
      <c r="Y16" s="1775"/>
      <c r="Z16" s="1775"/>
      <c r="AA16" s="1775"/>
      <c r="AB16" s="2636"/>
      <c r="AC16" s="2629" t="str">
        <f t="shared" si="9"/>
        <v>BENAR</v>
      </c>
      <c r="AD16" s="2629">
        <f t="shared" si="10"/>
        <v>0</v>
      </c>
      <c r="AE16" s="2629">
        <f t="shared" si="11"/>
        <v>0</v>
      </c>
      <c r="AF16" s="1900">
        <f t="shared" si="12"/>
        <v>5</v>
      </c>
      <c r="AG16" s="1899" t="str">
        <f t="shared" si="13"/>
        <v>NAGRAK SELATAN</v>
      </c>
      <c r="AH16" s="1790">
        <f t="shared" si="14"/>
        <v>28</v>
      </c>
      <c r="AI16" s="1790"/>
      <c r="AJ16" s="1790"/>
      <c r="AK16" s="1790"/>
      <c r="AL16" s="1790"/>
      <c r="AM16" s="1790"/>
      <c r="AN16" s="1790"/>
      <c r="AO16" s="1788">
        <f>SUM('KOLEKTIBILITAS-SPP'!F16:G16)</f>
        <v>0</v>
      </c>
      <c r="AP16" s="1788">
        <f>'KOLEKTIBILITAS-SPP'!H16</f>
        <v>22591000</v>
      </c>
      <c r="AQ16" s="2631">
        <f t="shared" si="15"/>
        <v>22591000</v>
      </c>
      <c r="AR16" s="2629" t="str">
        <f t="shared" si="16"/>
        <v>BENAR</v>
      </c>
      <c r="AS16" s="749">
        <f t="shared" si="17"/>
        <v>0</v>
      </c>
      <c r="AT16" s="749">
        <f t="shared" si="18"/>
        <v>0</v>
      </c>
      <c r="AU16" s="749">
        <f t="shared" si="19"/>
        <v>0</v>
      </c>
      <c r="AV16" s="749">
        <f t="shared" si="20"/>
        <v>1</v>
      </c>
      <c r="AW16" s="749">
        <f t="shared" si="21"/>
        <v>0</v>
      </c>
      <c r="AX16" s="749">
        <f t="shared" si="22"/>
        <v>-1</v>
      </c>
    </row>
    <row r="17" spans="1:50" s="749" customFormat="1" ht="23.25" customHeight="1">
      <c r="A17" s="1900">
        <v>6</v>
      </c>
      <c r="B17" s="1899" t="str">
        <f>'LPP-SPP'!B98</f>
        <v>KALAPAREA</v>
      </c>
      <c r="C17" s="1775">
        <f>'LPP-SPP'!D18</f>
        <v>27</v>
      </c>
      <c r="D17" s="1775">
        <v>49</v>
      </c>
      <c r="E17" s="1775"/>
      <c r="F17" s="1775"/>
      <c r="G17" s="1775">
        <v>49</v>
      </c>
      <c r="H17" s="1775"/>
      <c r="I17" s="1775">
        <v>24</v>
      </c>
      <c r="J17" s="1775">
        <v>25</v>
      </c>
      <c r="K17" s="1775"/>
      <c r="L17" s="1775">
        <v>49</v>
      </c>
      <c r="M17" s="1775"/>
      <c r="N17" s="1775">
        <f t="shared" si="0"/>
        <v>22</v>
      </c>
      <c r="O17" s="2632">
        <f t="shared" si="1"/>
        <v>0.81481481481481477</v>
      </c>
      <c r="P17" s="2629">
        <f t="shared" si="2"/>
        <v>0</v>
      </c>
      <c r="Q17" s="2629">
        <f t="shared" si="3"/>
        <v>0</v>
      </c>
      <c r="R17" s="2629">
        <f t="shared" si="4"/>
        <v>0</v>
      </c>
      <c r="S17" s="1900">
        <f t="shared" si="5"/>
        <v>6</v>
      </c>
      <c r="T17" s="1899" t="str">
        <f t="shared" si="6"/>
        <v>KALAPAREA</v>
      </c>
      <c r="U17" s="1775">
        <f t="shared" si="7"/>
        <v>49</v>
      </c>
      <c r="V17" s="1775">
        <f t="shared" si="8"/>
        <v>49</v>
      </c>
      <c r="W17" s="1775"/>
      <c r="X17" s="1775"/>
      <c r="Y17" s="1775"/>
      <c r="Z17" s="1775"/>
      <c r="AA17" s="1775"/>
      <c r="AB17" s="2636"/>
      <c r="AC17" s="2629" t="str">
        <f t="shared" si="9"/>
        <v>BENAR</v>
      </c>
      <c r="AD17" s="2629">
        <f t="shared" si="10"/>
        <v>0</v>
      </c>
      <c r="AE17" s="2629">
        <f t="shared" si="11"/>
        <v>0</v>
      </c>
      <c r="AF17" s="1900">
        <f t="shared" si="12"/>
        <v>6</v>
      </c>
      <c r="AG17" s="1899" t="str">
        <f t="shared" si="13"/>
        <v>KALAPAREA</v>
      </c>
      <c r="AH17" s="1790">
        <f t="shared" si="14"/>
        <v>49</v>
      </c>
      <c r="AI17" s="1790"/>
      <c r="AJ17" s="1790"/>
      <c r="AK17" s="1790"/>
      <c r="AL17" s="1790"/>
      <c r="AM17" s="1790"/>
      <c r="AN17" s="1790"/>
      <c r="AO17" s="1788">
        <f>SUM('KOLEKTIBILITAS-SPP'!F17:G17)</f>
        <v>59944600</v>
      </c>
      <c r="AP17" s="1788">
        <f>'KOLEKTIBILITAS-SPP'!H17</f>
        <v>11004600</v>
      </c>
      <c r="AQ17" s="2631">
        <f t="shared" si="15"/>
        <v>70949200</v>
      </c>
      <c r="AR17" s="2629" t="str">
        <f t="shared" si="16"/>
        <v>BENAR</v>
      </c>
      <c r="AS17" s="749">
        <f t="shared" si="17"/>
        <v>0</v>
      </c>
      <c r="AT17" s="749">
        <f t="shared" si="18"/>
        <v>0</v>
      </c>
      <c r="AU17" s="749">
        <f t="shared" si="19"/>
        <v>1</v>
      </c>
      <c r="AV17" s="749">
        <f t="shared" si="20"/>
        <v>1</v>
      </c>
      <c r="AW17" s="749">
        <f t="shared" si="21"/>
        <v>-1</v>
      </c>
      <c r="AX17" s="749">
        <f t="shared" si="22"/>
        <v>-1</v>
      </c>
    </row>
    <row r="18" spans="1:50" s="749" customFormat="1" ht="23.25" customHeight="1">
      <c r="A18" s="1902">
        <v>7</v>
      </c>
      <c r="B18" s="1899" t="str">
        <f>'LPP-SPP'!B99</f>
        <v>BABAKAN PANJANG</v>
      </c>
      <c r="C18" s="1775">
        <f>'LPP-SPP'!D19</f>
        <v>20</v>
      </c>
      <c r="D18" s="1775">
        <v>26</v>
      </c>
      <c r="E18" s="1775"/>
      <c r="F18" s="1775"/>
      <c r="G18" s="1775">
        <v>26</v>
      </c>
      <c r="H18" s="1775"/>
      <c r="I18" s="1775">
        <v>15</v>
      </c>
      <c r="J18" s="1775">
        <v>11</v>
      </c>
      <c r="K18" s="1775"/>
      <c r="L18" s="1775">
        <v>26</v>
      </c>
      <c r="M18" s="1775"/>
      <c r="N18" s="1775">
        <f t="shared" si="0"/>
        <v>6</v>
      </c>
      <c r="O18" s="2632">
        <f t="shared" si="1"/>
        <v>0.3</v>
      </c>
      <c r="P18" s="2629">
        <f t="shared" si="2"/>
        <v>0</v>
      </c>
      <c r="Q18" s="2629">
        <f t="shared" si="3"/>
        <v>0</v>
      </c>
      <c r="R18" s="2629">
        <f t="shared" si="4"/>
        <v>0</v>
      </c>
      <c r="S18" s="1900">
        <f t="shared" si="5"/>
        <v>7</v>
      </c>
      <c r="T18" s="1899" t="str">
        <f t="shared" si="6"/>
        <v>BABAKAN PANJANG</v>
      </c>
      <c r="U18" s="1775">
        <f t="shared" si="7"/>
        <v>26</v>
      </c>
      <c r="V18" s="1775">
        <f t="shared" si="8"/>
        <v>26</v>
      </c>
      <c r="W18" s="1775"/>
      <c r="X18" s="1775"/>
      <c r="Y18" s="1775"/>
      <c r="Z18" s="1775"/>
      <c r="AA18" s="1775"/>
      <c r="AB18" s="2636"/>
      <c r="AC18" s="2629" t="str">
        <f t="shared" si="9"/>
        <v>BENAR</v>
      </c>
      <c r="AD18" s="2629">
        <f t="shared" si="10"/>
        <v>0</v>
      </c>
      <c r="AE18" s="2629">
        <f t="shared" si="11"/>
        <v>0</v>
      </c>
      <c r="AF18" s="1900">
        <f t="shared" si="12"/>
        <v>7</v>
      </c>
      <c r="AG18" s="1899" t="str">
        <f t="shared" si="13"/>
        <v>BABAKAN PANJANG</v>
      </c>
      <c r="AH18" s="1775">
        <f t="shared" si="14"/>
        <v>26</v>
      </c>
      <c r="AI18" s="1775"/>
      <c r="AJ18" s="1775"/>
      <c r="AK18" s="1775"/>
      <c r="AL18" s="1775"/>
      <c r="AM18" s="1775"/>
      <c r="AN18" s="1775"/>
      <c r="AO18" s="1786">
        <f>SUM('KOLEKTIBILITAS-SPP'!F18:G18)</f>
        <v>0</v>
      </c>
      <c r="AP18" s="1786">
        <f>'KOLEKTIBILITAS-SPP'!H18</f>
        <v>8976000</v>
      </c>
      <c r="AQ18" s="2631">
        <f t="shared" si="15"/>
        <v>8976000</v>
      </c>
      <c r="AR18" s="2629" t="str">
        <f t="shared" si="16"/>
        <v>BENAR</v>
      </c>
      <c r="AS18" s="749">
        <f t="shared" si="17"/>
        <v>0</v>
      </c>
      <c r="AT18" s="749">
        <f t="shared" si="18"/>
        <v>0</v>
      </c>
      <c r="AU18" s="749">
        <f t="shared" si="19"/>
        <v>0</v>
      </c>
      <c r="AV18" s="749">
        <f t="shared" si="20"/>
        <v>1</v>
      </c>
      <c r="AW18" s="749">
        <f t="shared" si="21"/>
        <v>0</v>
      </c>
      <c r="AX18" s="749">
        <f t="shared" si="22"/>
        <v>-1</v>
      </c>
    </row>
    <row r="19" spans="1:50" s="749" customFormat="1" ht="23.25" customHeight="1">
      <c r="A19" s="1900">
        <v>8</v>
      </c>
      <c r="B19" s="1899" t="str">
        <f>'LPP-SPP'!B100</f>
        <v>PAWENANG</v>
      </c>
      <c r="C19" s="1775">
        <f>'LPP-SPP'!D20</f>
        <v>13</v>
      </c>
      <c r="D19" s="1775">
        <v>24</v>
      </c>
      <c r="E19" s="1775"/>
      <c r="F19" s="1775"/>
      <c r="G19" s="1775">
        <v>24</v>
      </c>
      <c r="H19" s="1775"/>
      <c r="I19" s="1775">
        <v>14</v>
      </c>
      <c r="J19" s="1775">
        <v>10</v>
      </c>
      <c r="K19" s="1775"/>
      <c r="L19" s="1775">
        <v>24</v>
      </c>
      <c r="M19" s="1775"/>
      <c r="N19" s="1775">
        <f t="shared" si="0"/>
        <v>11</v>
      </c>
      <c r="O19" s="2632">
        <f t="shared" si="1"/>
        <v>0.84615384615384615</v>
      </c>
      <c r="P19" s="2629">
        <f t="shared" si="2"/>
        <v>0</v>
      </c>
      <c r="Q19" s="2629">
        <f t="shared" si="3"/>
        <v>0</v>
      </c>
      <c r="R19" s="2629">
        <f t="shared" si="4"/>
        <v>0</v>
      </c>
      <c r="S19" s="1900">
        <f t="shared" si="5"/>
        <v>8</v>
      </c>
      <c r="T19" s="1899" t="str">
        <f t="shared" si="6"/>
        <v>PAWENANG</v>
      </c>
      <c r="U19" s="1775">
        <f t="shared" si="7"/>
        <v>24</v>
      </c>
      <c r="V19" s="1775">
        <f t="shared" si="8"/>
        <v>24</v>
      </c>
      <c r="W19" s="1775"/>
      <c r="X19" s="1775"/>
      <c r="Y19" s="1775"/>
      <c r="Z19" s="1775"/>
      <c r="AA19" s="1775"/>
      <c r="AB19" s="2636"/>
      <c r="AC19" s="2629" t="str">
        <f t="shared" si="9"/>
        <v>BENAR</v>
      </c>
      <c r="AD19" s="2629">
        <f t="shared" si="10"/>
        <v>0</v>
      </c>
      <c r="AE19" s="2629">
        <f t="shared" si="11"/>
        <v>0</v>
      </c>
      <c r="AF19" s="1900">
        <f t="shared" si="12"/>
        <v>8</v>
      </c>
      <c r="AG19" s="1899" t="str">
        <f t="shared" si="13"/>
        <v>PAWENANG</v>
      </c>
      <c r="AH19" s="1775">
        <f t="shared" si="14"/>
        <v>24</v>
      </c>
      <c r="AI19" s="1775"/>
      <c r="AJ19" s="1775"/>
      <c r="AK19" s="1775"/>
      <c r="AL19" s="1775"/>
      <c r="AM19" s="1775"/>
      <c r="AN19" s="1775"/>
      <c r="AO19" s="1786">
        <f>SUM('KOLEKTIBILITAS-SPP'!F19:G19)</f>
        <v>0</v>
      </c>
      <c r="AP19" s="1786">
        <f>'KOLEKTIBILITAS-SPP'!H19</f>
        <v>15030100</v>
      </c>
      <c r="AQ19" s="2631">
        <f t="shared" si="15"/>
        <v>15030100</v>
      </c>
      <c r="AR19" s="2629" t="str">
        <f t="shared" si="16"/>
        <v>BENAR</v>
      </c>
      <c r="AS19" s="749">
        <f t="shared" si="17"/>
        <v>0</v>
      </c>
      <c r="AT19" s="749">
        <f t="shared" si="18"/>
        <v>0</v>
      </c>
      <c r="AU19" s="749">
        <f t="shared" si="19"/>
        <v>0</v>
      </c>
      <c r="AV19" s="749">
        <f t="shared" si="20"/>
        <v>1</v>
      </c>
      <c r="AW19" s="749">
        <f t="shared" si="21"/>
        <v>0</v>
      </c>
      <c r="AX19" s="749">
        <f t="shared" si="22"/>
        <v>-1</v>
      </c>
    </row>
    <row r="20" spans="1:50" s="749" customFormat="1" ht="23.25" customHeight="1">
      <c r="A20" s="1902">
        <v>9</v>
      </c>
      <c r="B20" s="1899" t="str">
        <f>'LPP-SPP'!B101</f>
        <v>CISARUA</v>
      </c>
      <c r="C20" s="1775">
        <f>'LPP-SPP'!D21</f>
        <v>30</v>
      </c>
      <c r="D20" s="1775">
        <v>45</v>
      </c>
      <c r="E20" s="1775"/>
      <c r="F20" s="1775"/>
      <c r="G20" s="1775">
        <v>45</v>
      </c>
      <c r="H20" s="1775"/>
      <c r="I20" s="1775">
        <v>18</v>
      </c>
      <c r="J20" s="1775">
        <v>27</v>
      </c>
      <c r="K20" s="1775"/>
      <c r="L20" s="1775">
        <v>45</v>
      </c>
      <c r="M20" s="1775"/>
      <c r="N20" s="1775">
        <f t="shared" si="0"/>
        <v>15</v>
      </c>
      <c r="O20" s="2632">
        <f t="shared" si="1"/>
        <v>0.5</v>
      </c>
      <c r="P20" s="2629">
        <f t="shared" si="2"/>
        <v>0</v>
      </c>
      <c r="Q20" s="2629">
        <f t="shared" si="3"/>
        <v>0</v>
      </c>
      <c r="R20" s="2629">
        <f t="shared" si="4"/>
        <v>0</v>
      </c>
      <c r="S20" s="1900">
        <f t="shared" si="5"/>
        <v>9</v>
      </c>
      <c r="T20" s="1899" t="str">
        <f t="shared" si="6"/>
        <v>CISARUA</v>
      </c>
      <c r="U20" s="1775">
        <f t="shared" si="7"/>
        <v>45</v>
      </c>
      <c r="V20" s="1775">
        <f t="shared" si="8"/>
        <v>45</v>
      </c>
      <c r="W20" s="1775"/>
      <c r="X20" s="1775"/>
      <c r="Y20" s="1775"/>
      <c r="Z20" s="1775"/>
      <c r="AA20" s="1775"/>
      <c r="AB20" s="2636"/>
      <c r="AC20" s="2629" t="str">
        <f t="shared" si="9"/>
        <v>BENAR</v>
      </c>
      <c r="AD20" s="2629">
        <f t="shared" si="10"/>
        <v>0</v>
      </c>
      <c r="AE20" s="2629">
        <f t="shared" si="11"/>
        <v>0</v>
      </c>
      <c r="AF20" s="1900">
        <f t="shared" si="12"/>
        <v>9</v>
      </c>
      <c r="AG20" s="1899" t="str">
        <f t="shared" si="13"/>
        <v>CISARUA</v>
      </c>
      <c r="AH20" s="1775">
        <f t="shared" si="14"/>
        <v>45</v>
      </c>
      <c r="AI20" s="1775"/>
      <c r="AJ20" s="1775"/>
      <c r="AK20" s="1775"/>
      <c r="AL20" s="1775"/>
      <c r="AM20" s="1775"/>
      <c r="AN20" s="1775"/>
      <c r="AO20" s="1786">
        <f>SUM('KOLEKTIBILITAS-SPP'!F20:G20)</f>
        <v>49733400</v>
      </c>
      <c r="AP20" s="1786">
        <f>'KOLEKTIBILITAS-SPP'!H20</f>
        <v>29429200</v>
      </c>
      <c r="AQ20" s="2631">
        <f t="shared" si="15"/>
        <v>79162600</v>
      </c>
      <c r="AR20" s="2629" t="str">
        <f t="shared" si="16"/>
        <v>BENAR</v>
      </c>
      <c r="AS20" s="749">
        <f t="shared" si="17"/>
        <v>0</v>
      </c>
      <c r="AT20" s="749">
        <f t="shared" si="18"/>
        <v>0</v>
      </c>
      <c r="AU20" s="749">
        <f t="shared" si="19"/>
        <v>1</v>
      </c>
      <c r="AV20" s="749">
        <f t="shared" si="20"/>
        <v>1</v>
      </c>
      <c r="AW20" s="749">
        <f t="shared" si="21"/>
        <v>-1</v>
      </c>
      <c r="AX20" s="749">
        <f t="shared" si="22"/>
        <v>-1</v>
      </c>
    </row>
    <row r="21" spans="1:50" s="749" customFormat="1" ht="23.25" customHeight="1">
      <c r="A21" s="1900">
        <v>10</v>
      </c>
      <c r="B21" s="1899" t="str">
        <f>'LPP-SPP'!B102</f>
        <v>GIRIJAYA</v>
      </c>
      <c r="C21" s="1775">
        <f>'LPP-SPP'!D22</f>
        <v>19</v>
      </c>
      <c r="D21" s="1775">
        <v>43</v>
      </c>
      <c r="E21" s="1775"/>
      <c r="F21" s="1775"/>
      <c r="G21" s="1775">
        <v>43</v>
      </c>
      <c r="H21" s="1775"/>
      <c r="I21" s="1775">
        <v>9</v>
      </c>
      <c r="J21" s="1775">
        <v>34</v>
      </c>
      <c r="K21" s="1775"/>
      <c r="L21" s="1775">
        <v>43</v>
      </c>
      <c r="M21" s="1775"/>
      <c r="N21" s="1775">
        <f t="shared" si="0"/>
        <v>24</v>
      </c>
      <c r="O21" s="2632">
        <f t="shared" si="1"/>
        <v>1.263157894736842</v>
      </c>
      <c r="P21" s="2629">
        <f t="shared" si="2"/>
        <v>0</v>
      </c>
      <c r="Q21" s="2629">
        <f t="shared" si="3"/>
        <v>0</v>
      </c>
      <c r="R21" s="2629">
        <f t="shared" si="4"/>
        <v>0</v>
      </c>
      <c r="S21" s="1900">
        <f t="shared" si="5"/>
        <v>10</v>
      </c>
      <c r="T21" s="1899" t="str">
        <f t="shared" si="6"/>
        <v>GIRIJAYA</v>
      </c>
      <c r="U21" s="1775">
        <f t="shared" si="7"/>
        <v>43</v>
      </c>
      <c r="V21" s="1775">
        <f t="shared" si="8"/>
        <v>43</v>
      </c>
      <c r="W21" s="1775"/>
      <c r="X21" s="1775"/>
      <c r="Y21" s="1775"/>
      <c r="Z21" s="1775"/>
      <c r="AA21" s="1775"/>
      <c r="AB21" s="2636"/>
      <c r="AC21" s="2629" t="str">
        <f t="shared" si="9"/>
        <v>BENAR</v>
      </c>
      <c r="AD21" s="2629">
        <f t="shared" si="10"/>
        <v>0</v>
      </c>
      <c r="AE21" s="2629">
        <f t="shared" si="11"/>
        <v>0</v>
      </c>
      <c r="AF21" s="1900">
        <f t="shared" si="12"/>
        <v>10</v>
      </c>
      <c r="AG21" s="1899" t="str">
        <f t="shared" si="13"/>
        <v>GIRIJAYA</v>
      </c>
      <c r="AH21" s="1775">
        <f t="shared" si="14"/>
        <v>43</v>
      </c>
      <c r="AI21" s="1775"/>
      <c r="AJ21" s="1775"/>
      <c r="AK21" s="1775"/>
      <c r="AL21" s="1775"/>
      <c r="AM21" s="1775"/>
      <c r="AN21" s="1775"/>
      <c r="AO21" s="1786">
        <f>SUM('KOLEKTIBILITAS-SPP'!F21:G21)</f>
        <v>0</v>
      </c>
      <c r="AP21" s="1786">
        <f>'KOLEKTIBILITAS-SPP'!H21</f>
        <v>53042300</v>
      </c>
      <c r="AQ21" s="2631">
        <f t="shared" si="15"/>
        <v>53042300</v>
      </c>
      <c r="AR21" s="2629" t="str">
        <f t="shared" si="16"/>
        <v>BENAR</v>
      </c>
      <c r="AS21" s="749">
        <f t="shared" si="17"/>
        <v>0</v>
      </c>
      <c r="AT21" s="749">
        <f t="shared" si="18"/>
        <v>0</v>
      </c>
      <c r="AU21" s="749">
        <f t="shared" si="19"/>
        <v>0</v>
      </c>
      <c r="AV21" s="749">
        <f t="shared" si="20"/>
        <v>1</v>
      </c>
      <c r="AW21" s="749">
        <f t="shared" si="21"/>
        <v>0</v>
      </c>
      <c r="AX21" s="749">
        <f t="shared" si="22"/>
        <v>-1</v>
      </c>
    </row>
    <row r="22" spans="1:50" s="749" customFormat="1" ht="23.25" customHeight="1">
      <c r="A22" s="1902">
        <v>11</v>
      </c>
      <c r="B22" s="1899">
        <f>'LPP-SPP'!B103</f>
        <v>0</v>
      </c>
      <c r="C22" s="1775">
        <f>'LPP-SPP'!D23</f>
        <v>0</v>
      </c>
      <c r="D22" s="1775">
        <f>'LPP-SPP'!C103</f>
        <v>0</v>
      </c>
      <c r="E22" s="1775"/>
      <c r="F22" s="1775"/>
      <c r="G22" s="1775"/>
      <c r="H22" s="1775"/>
      <c r="I22" s="1775"/>
      <c r="J22" s="1775"/>
      <c r="K22" s="1775"/>
      <c r="L22" s="1775"/>
      <c r="M22" s="1775"/>
      <c r="N22" s="1775">
        <f t="shared" si="0"/>
        <v>0</v>
      </c>
      <c r="O22" s="2632" t="e">
        <f t="shared" si="1"/>
        <v>#DIV/0!</v>
      </c>
      <c r="P22" s="2629">
        <f t="shared" si="2"/>
        <v>0</v>
      </c>
      <c r="Q22" s="2629">
        <f t="shared" si="3"/>
        <v>0</v>
      </c>
      <c r="R22" s="2629">
        <f t="shared" si="4"/>
        <v>0</v>
      </c>
      <c r="S22" s="1900">
        <f t="shared" si="5"/>
        <v>11</v>
      </c>
      <c r="T22" s="1899">
        <f t="shared" si="6"/>
        <v>0</v>
      </c>
      <c r="U22" s="1775">
        <f t="shared" si="7"/>
        <v>0</v>
      </c>
      <c r="V22" s="1775">
        <f t="shared" si="8"/>
        <v>0</v>
      </c>
      <c r="W22" s="1775"/>
      <c r="X22" s="1775"/>
      <c r="Y22" s="1775"/>
      <c r="Z22" s="1775"/>
      <c r="AA22" s="1775"/>
      <c r="AB22" s="2636"/>
      <c r="AC22" s="2629" t="str">
        <f t="shared" si="9"/>
        <v>BENAR</v>
      </c>
      <c r="AD22" s="2629">
        <f t="shared" si="10"/>
        <v>0</v>
      </c>
      <c r="AE22" s="2629">
        <f t="shared" si="11"/>
        <v>0</v>
      </c>
      <c r="AF22" s="1900">
        <f t="shared" si="12"/>
        <v>11</v>
      </c>
      <c r="AG22" s="1899">
        <f t="shared" si="13"/>
        <v>0</v>
      </c>
      <c r="AH22" s="1775">
        <f t="shared" si="14"/>
        <v>0</v>
      </c>
      <c r="AI22" s="1775"/>
      <c r="AJ22" s="1775"/>
      <c r="AK22" s="1775"/>
      <c r="AL22" s="1775"/>
      <c r="AM22" s="1775"/>
      <c r="AN22" s="1775"/>
      <c r="AO22" s="1786">
        <f>SUM('KOLEKTIBILITAS-SPP'!F22:G22)</f>
        <v>0</v>
      </c>
      <c r="AP22" s="1786">
        <f>'KOLEKTIBILITAS-SPP'!H22</f>
        <v>0</v>
      </c>
      <c r="AQ22" s="2631">
        <f t="shared" si="15"/>
        <v>0</v>
      </c>
      <c r="AR22" s="2629" t="str">
        <f t="shared" si="16"/>
        <v>BENAR</v>
      </c>
      <c r="AS22" s="749">
        <f t="shared" si="17"/>
        <v>0</v>
      </c>
      <c r="AT22" s="749">
        <f t="shared" si="18"/>
        <v>0</v>
      </c>
      <c r="AU22" s="749">
        <f t="shared" si="19"/>
        <v>0</v>
      </c>
      <c r="AV22" s="749">
        <f t="shared" si="20"/>
        <v>0</v>
      </c>
      <c r="AW22" s="749">
        <f t="shared" si="21"/>
        <v>0</v>
      </c>
      <c r="AX22" s="749">
        <f t="shared" si="22"/>
        <v>0</v>
      </c>
    </row>
    <row r="23" spans="1:50" s="749" customFormat="1" ht="23.25" customHeight="1">
      <c r="A23" s="1900">
        <v>12</v>
      </c>
      <c r="B23" s="1899">
        <f>'LPP-SPP'!B104</f>
        <v>0</v>
      </c>
      <c r="C23" s="1775">
        <f>'LPP-SPP'!D24</f>
        <v>0</v>
      </c>
      <c r="D23" s="1775">
        <f>'LPP-SPP'!C104</f>
        <v>0</v>
      </c>
      <c r="E23" s="1775"/>
      <c r="F23" s="1775"/>
      <c r="G23" s="1775"/>
      <c r="H23" s="1775"/>
      <c r="I23" s="1775"/>
      <c r="J23" s="1775"/>
      <c r="K23" s="1775"/>
      <c r="L23" s="1775"/>
      <c r="M23" s="1775"/>
      <c r="N23" s="1775">
        <f t="shared" si="0"/>
        <v>0</v>
      </c>
      <c r="O23" s="2632" t="e">
        <f t="shared" si="1"/>
        <v>#DIV/0!</v>
      </c>
      <c r="P23" s="2629">
        <f t="shared" si="2"/>
        <v>0</v>
      </c>
      <c r="Q23" s="2629">
        <f t="shared" si="3"/>
        <v>0</v>
      </c>
      <c r="R23" s="2629">
        <f t="shared" si="4"/>
        <v>0</v>
      </c>
      <c r="S23" s="1900">
        <f t="shared" si="5"/>
        <v>12</v>
      </c>
      <c r="T23" s="1899">
        <f t="shared" si="6"/>
        <v>0</v>
      </c>
      <c r="U23" s="1775">
        <f t="shared" si="7"/>
        <v>0</v>
      </c>
      <c r="V23" s="1775">
        <f t="shared" si="8"/>
        <v>0</v>
      </c>
      <c r="W23" s="1775"/>
      <c r="X23" s="1775"/>
      <c r="Y23" s="1775"/>
      <c r="Z23" s="1775"/>
      <c r="AA23" s="1775"/>
      <c r="AB23" s="2636"/>
      <c r="AC23" s="2629" t="str">
        <f t="shared" si="9"/>
        <v>BENAR</v>
      </c>
      <c r="AD23" s="2629">
        <f t="shared" si="10"/>
        <v>0</v>
      </c>
      <c r="AE23" s="2629">
        <f t="shared" si="11"/>
        <v>0</v>
      </c>
      <c r="AF23" s="1900">
        <f t="shared" si="12"/>
        <v>12</v>
      </c>
      <c r="AG23" s="1899">
        <f t="shared" si="13"/>
        <v>0</v>
      </c>
      <c r="AH23" s="1775">
        <f t="shared" si="14"/>
        <v>0</v>
      </c>
      <c r="AI23" s="1775"/>
      <c r="AJ23" s="1775"/>
      <c r="AK23" s="1775"/>
      <c r="AL23" s="1775"/>
      <c r="AM23" s="1775"/>
      <c r="AN23" s="1775"/>
      <c r="AO23" s="1786">
        <f>SUM('KOLEKTIBILITAS-SPP'!F23:G23)</f>
        <v>0</v>
      </c>
      <c r="AP23" s="1786">
        <f>'KOLEKTIBILITAS-SPP'!H23</f>
        <v>0</v>
      </c>
      <c r="AQ23" s="2631">
        <f t="shared" si="15"/>
        <v>0</v>
      </c>
      <c r="AR23" s="2629" t="str">
        <f t="shared" si="16"/>
        <v>BENAR</v>
      </c>
      <c r="AS23" s="749">
        <f t="shared" si="17"/>
        <v>0</v>
      </c>
      <c r="AT23" s="749">
        <f t="shared" si="18"/>
        <v>0</v>
      </c>
      <c r="AU23" s="749">
        <f t="shared" si="19"/>
        <v>0</v>
      </c>
      <c r="AV23" s="749">
        <f t="shared" si="20"/>
        <v>0</v>
      </c>
      <c r="AW23" s="749">
        <f t="shared" si="21"/>
        <v>0</v>
      </c>
      <c r="AX23" s="749">
        <f t="shared" si="22"/>
        <v>0</v>
      </c>
    </row>
    <row r="24" spans="1:50" s="749" customFormat="1" ht="23.25" customHeight="1">
      <c r="A24" s="1902">
        <v>13</v>
      </c>
      <c r="B24" s="1899">
        <f>'LPP-SPP'!B105</f>
        <v>0</v>
      </c>
      <c r="C24" s="1775">
        <f>'LPP-SPP'!D25</f>
        <v>0</v>
      </c>
      <c r="D24" s="1775">
        <f>'LPP-SPP'!C105</f>
        <v>0</v>
      </c>
      <c r="E24" s="1775"/>
      <c r="F24" s="1775"/>
      <c r="G24" s="1775"/>
      <c r="H24" s="1775"/>
      <c r="I24" s="1775"/>
      <c r="J24" s="1775"/>
      <c r="K24" s="1775"/>
      <c r="L24" s="1775"/>
      <c r="M24" s="1775"/>
      <c r="N24" s="1775">
        <f t="shared" si="0"/>
        <v>0</v>
      </c>
      <c r="O24" s="2632" t="e">
        <f t="shared" si="1"/>
        <v>#DIV/0!</v>
      </c>
      <c r="P24" s="2629">
        <f t="shared" si="2"/>
        <v>0</v>
      </c>
      <c r="Q24" s="2629">
        <f t="shared" si="3"/>
        <v>0</v>
      </c>
      <c r="R24" s="2629">
        <f t="shared" si="4"/>
        <v>0</v>
      </c>
      <c r="S24" s="1900">
        <f t="shared" si="5"/>
        <v>13</v>
      </c>
      <c r="T24" s="1899">
        <f t="shared" si="6"/>
        <v>0</v>
      </c>
      <c r="U24" s="1775">
        <f t="shared" si="7"/>
        <v>0</v>
      </c>
      <c r="V24" s="1775">
        <f t="shared" si="8"/>
        <v>0</v>
      </c>
      <c r="W24" s="1775"/>
      <c r="X24" s="1775"/>
      <c r="Y24" s="1775"/>
      <c r="Z24" s="1775"/>
      <c r="AA24" s="1775"/>
      <c r="AB24" s="2636"/>
      <c r="AC24" s="2629" t="str">
        <f t="shared" si="9"/>
        <v>BENAR</v>
      </c>
      <c r="AD24" s="2629">
        <f t="shared" si="10"/>
        <v>0</v>
      </c>
      <c r="AE24" s="2629">
        <f t="shared" si="11"/>
        <v>0</v>
      </c>
      <c r="AF24" s="1900">
        <f t="shared" si="12"/>
        <v>13</v>
      </c>
      <c r="AG24" s="1899">
        <f t="shared" si="13"/>
        <v>0</v>
      </c>
      <c r="AH24" s="1775">
        <f t="shared" si="14"/>
        <v>0</v>
      </c>
      <c r="AI24" s="1775"/>
      <c r="AJ24" s="1775"/>
      <c r="AK24" s="1775"/>
      <c r="AL24" s="1775"/>
      <c r="AM24" s="1775"/>
      <c r="AN24" s="1775"/>
      <c r="AO24" s="1786">
        <f>SUM('KOLEKTIBILITAS-SPP'!F24:G24)</f>
        <v>0</v>
      </c>
      <c r="AP24" s="1786">
        <f>'KOLEKTIBILITAS-SPP'!H24</f>
        <v>0</v>
      </c>
      <c r="AQ24" s="2631">
        <f t="shared" si="15"/>
        <v>0</v>
      </c>
      <c r="AR24" s="2629" t="str">
        <f t="shared" si="16"/>
        <v>BENAR</v>
      </c>
      <c r="AS24" s="749">
        <f t="shared" si="17"/>
        <v>0</v>
      </c>
      <c r="AT24" s="749">
        <f t="shared" si="18"/>
        <v>0</v>
      </c>
      <c r="AU24" s="749">
        <f t="shared" si="19"/>
        <v>0</v>
      </c>
      <c r="AV24" s="749">
        <f t="shared" si="20"/>
        <v>0</v>
      </c>
      <c r="AW24" s="749">
        <f t="shared" si="21"/>
        <v>0</v>
      </c>
      <c r="AX24" s="749">
        <f t="shared" si="22"/>
        <v>0</v>
      </c>
    </row>
    <row r="25" spans="1:50" s="749" customFormat="1" ht="23.25" customHeight="1">
      <c r="A25" s="1900">
        <v>14</v>
      </c>
      <c r="B25" s="1899">
        <f>'LPP-SPP'!B106</f>
        <v>0</v>
      </c>
      <c r="C25" s="1775">
        <f>'LPP-SPP'!D26</f>
        <v>0</v>
      </c>
      <c r="D25" s="1775">
        <f>'LPP-SPP'!C106</f>
        <v>0</v>
      </c>
      <c r="E25" s="1775"/>
      <c r="F25" s="1775"/>
      <c r="G25" s="1775"/>
      <c r="H25" s="1775"/>
      <c r="I25" s="1775"/>
      <c r="J25" s="1775"/>
      <c r="K25" s="1775"/>
      <c r="L25" s="1775"/>
      <c r="M25" s="1775"/>
      <c r="N25" s="1775">
        <f t="shared" si="0"/>
        <v>0</v>
      </c>
      <c r="O25" s="2632" t="e">
        <f t="shared" si="1"/>
        <v>#DIV/0!</v>
      </c>
      <c r="P25" s="2629">
        <f t="shared" si="2"/>
        <v>0</v>
      </c>
      <c r="Q25" s="2629">
        <f t="shared" si="3"/>
        <v>0</v>
      </c>
      <c r="R25" s="2629">
        <f t="shared" si="4"/>
        <v>0</v>
      </c>
      <c r="S25" s="1900">
        <f t="shared" si="5"/>
        <v>14</v>
      </c>
      <c r="T25" s="1899">
        <f t="shared" si="6"/>
        <v>0</v>
      </c>
      <c r="U25" s="1775">
        <f t="shared" si="7"/>
        <v>0</v>
      </c>
      <c r="V25" s="1775">
        <f t="shared" si="8"/>
        <v>0</v>
      </c>
      <c r="W25" s="1775"/>
      <c r="X25" s="1775"/>
      <c r="Y25" s="1775"/>
      <c r="Z25" s="1775"/>
      <c r="AA25" s="1775"/>
      <c r="AB25" s="2636"/>
      <c r="AC25" s="2629" t="str">
        <f t="shared" si="9"/>
        <v>BENAR</v>
      </c>
      <c r="AD25" s="2629">
        <f t="shared" si="10"/>
        <v>0</v>
      </c>
      <c r="AE25" s="2629">
        <f t="shared" si="11"/>
        <v>0</v>
      </c>
      <c r="AF25" s="1900">
        <f t="shared" si="12"/>
        <v>14</v>
      </c>
      <c r="AG25" s="1899">
        <f t="shared" si="13"/>
        <v>0</v>
      </c>
      <c r="AH25" s="1775">
        <f t="shared" si="14"/>
        <v>0</v>
      </c>
      <c r="AI25" s="1775"/>
      <c r="AJ25" s="1775"/>
      <c r="AK25" s="1775"/>
      <c r="AL25" s="1775"/>
      <c r="AM25" s="1775"/>
      <c r="AN25" s="1775"/>
      <c r="AO25" s="1775">
        <f>SUM('KOLEKTIBILITAS-SPP'!F25:G25)</f>
        <v>0</v>
      </c>
      <c r="AP25" s="1775">
        <f>'KOLEKTIBILITAS-SPP'!H25</f>
        <v>0</v>
      </c>
      <c r="AQ25" s="2631">
        <f t="shared" si="15"/>
        <v>0</v>
      </c>
      <c r="AR25" s="2629" t="str">
        <f t="shared" si="16"/>
        <v>BENAR</v>
      </c>
      <c r="AS25" s="749">
        <f t="shared" si="17"/>
        <v>0</v>
      </c>
      <c r="AT25" s="749">
        <f t="shared" si="18"/>
        <v>0</v>
      </c>
      <c r="AU25" s="749">
        <f t="shared" si="19"/>
        <v>0</v>
      </c>
      <c r="AV25" s="749">
        <f t="shared" si="20"/>
        <v>0</v>
      </c>
      <c r="AW25" s="749">
        <f t="shared" si="21"/>
        <v>0</v>
      </c>
      <c r="AX25" s="749">
        <f t="shared" si="22"/>
        <v>0</v>
      </c>
    </row>
    <row r="26" spans="1:50" s="749" customFormat="1" ht="23.25" customHeight="1">
      <c r="A26" s="1902">
        <v>15</v>
      </c>
      <c r="B26" s="1899">
        <f>'LPP-SPP'!B107</f>
        <v>0</v>
      </c>
      <c r="C26" s="1775">
        <f>'LPP-SPP'!D27</f>
        <v>0</v>
      </c>
      <c r="D26" s="1775">
        <f>'LPP-SPP'!C107</f>
        <v>0</v>
      </c>
      <c r="E26" s="1775"/>
      <c r="F26" s="1775"/>
      <c r="G26" s="1775"/>
      <c r="H26" s="1775"/>
      <c r="I26" s="1775"/>
      <c r="J26" s="1775"/>
      <c r="K26" s="1775"/>
      <c r="L26" s="1775"/>
      <c r="M26" s="1775"/>
      <c r="N26" s="1775">
        <f t="shared" si="0"/>
        <v>0</v>
      </c>
      <c r="O26" s="2632" t="e">
        <f t="shared" si="1"/>
        <v>#DIV/0!</v>
      </c>
      <c r="P26" s="2629">
        <f t="shared" si="2"/>
        <v>0</v>
      </c>
      <c r="Q26" s="2629">
        <f t="shared" si="3"/>
        <v>0</v>
      </c>
      <c r="R26" s="2629">
        <f t="shared" si="4"/>
        <v>0</v>
      </c>
      <c r="S26" s="1900">
        <f t="shared" si="5"/>
        <v>15</v>
      </c>
      <c r="T26" s="1899">
        <f t="shared" si="6"/>
        <v>0</v>
      </c>
      <c r="U26" s="1775">
        <f t="shared" si="7"/>
        <v>0</v>
      </c>
      <c r="V26" s="1775">
        <f t="shared" si="8"/>
        <v>0</v>
      </c>
      <c r="W26" s="1775"/>
      <c r="X26" s="1775"/>
      <c r="Y26" s="1775"/>
      <c r="Z26" s="1775"/>
      <c r="AA26" s="1775"/>
      <c r="AB26" s="2636"/>
      <c r="AC26" s="2629" t="str">
        <f t="shared" si="9"/>
        <v>BENAR</v>
      </c>
      <c r="AD26" s="2629">
        <f t="shared" si="10"/>
        <v>0</v>
      </c>
      <c r="AE26" s="2629">
        <f t="shared" si="11"/>
        <v>0</v>
      </c>
      <c r="AF26" s="1900">
        <f t="shared" si="12"/>
        <v>15</v>
      </c>
      <c r="AG26" s="1899">
        <f t="shared" si="13"/>
        <v>0</v>
      </c>
      <c r="AH26" s="1775">
        <f t="shared" si="14"/>
        <v>0</v>
      </c>
      <c r="AI26" s="1775"/>
      <c r="AJ26" s="1775"/>
      <c r="AK26" s="1775"/>
      <c r="AL26" s="1775"/>
      <c r="AM26" s="1775"/>
      <c r="AN26" s="1775"/>
      <c r="AO26" s="1786">
        <f>SUM('KOLEKTIBILITAS-SPP'!F26:G26)</f>
        <v>0</v>
      </c>
      <c r="AP26" s="1786">
        <f>'KOLEKTIBILITAS-SPP'!H26</f>
        <v>0</v>
      </c>
      <c r="AQ26" s="2631">
        <f t="shared" si="15"/>
        <v>0</v>
      </c>
      <c r="AR26" s="2629" t="str">
        <f t="shared" si="16"/>
        <v>BENAR</v>
      </c>
      <c r="AS26" s="749">
        <f t="shared" si="17"/>
        <v>0</v>
      </c>
      <c r="AT26" s="749">
        <f t="shared" si="18"/>
        <v>0</v>
      </c>
      <c r="AU26" s="749">
        <f t="shared" si="19"/>
        <v>0</v>
      </c>
      <c r="AV26" s="749">
        <f t="shared" si="20"/>
        <v>0</v>
      </c>
      <c r="AW26" s="749">
        <f t="shared" si="21"/>
        <v>0</v>
      </c>
      <c r="AX26" s="749">
        <f t="shared" si="22"/>
        <v>0</v>
      </c>
    </row>
    <row r="27" spans="1:50" s="749" customFormat="1" ht="23.25" customHeight="1">
      <c r="A27" s="1900">
        <v>16</v>
      </c>
      <c r="B27" s="1899">
        <f>'LPP-SPP'!B108</f>
        <v>0</v>
      </c>
      <c r="C27" s="1775">
        <f>'LPP-SPP'!D28</f>
        <v>0</v>
      </c>
      <c r="D27" s="1775">
        <f>'LPP-SPP'!C108</f>
        <v>0</v>
      </c>
      <c r="E27" s="1775"/>
      <c r="F27" s="1775"/>
      <c r="G27" s="1775"/>
      <c r="H27" s="1775"/>
      <c r="I27" s="1775"/>
      <c r="J27" s="1775"/>
      <c r="K27" s="1775"/>
      <c r="L27" s="1775"/>
      <c r="M27" s="1775"/>
      <c r="N27" s="1775">
        <f t="shared" si="0"/>
        <v>0</v>
      </c>
      <c r="O27" s="2632" t="e">
        <f t="shared" si="1"/>
        <v>#DIV/0!</v>
      </c>
      <c r="P27" s="2629">
        <f t="shared" si="2"/>
        <v>0</v>
      </c>
      <c r="Q27" s="2629">
        <f t="shared" si="3"/>
        <v>0</v>
      </c>
      <c r="R27" s="2629">
        <f t="shared" si="4"/>
        <v>0</v>
      </c>
      <c r="S27" s="1900">
        <f t="shared" si="5"/>
        <v>16</v>
      </c>
      <c r="T27" s="1899">
        <f t="shared" si="6"/>
        <v>0</v>
      </c>
      <c r="U27" s="1775">
        <f t="shared" si="7"/>
        <v>0</v>
      </c>
      <c r="V27" s="1775">
        <f t="shared" si="8"/>
        <v>0</v>
      </c>
      <c r="W27" s="1775"/>
      <c r="X27" s="1775"/>
      <c r="Y27" s="1775"/>
      <c r="Z27" s="1775"/>
      <c r="AA27" s="1775"/>
      <c r="AB27" s="2636"/>
      <c r="AC27" s="2629" t="str">
        <f t="shared" si="9"/>
        <v>BENAR</v>
      </c>
      <c r="AD27" s="2629">
        <f t="shared" si="10"/>
        <v>0</v>
      </c>
      <c r="AE27" s="2629">
        <f t="shared" si="11"/>
        <v>0</v>
      </c>
      <c r="AF27" s="1900">
        <f t="shared" si="12"/>
        <v>16</v>
      </c>
      <c r="AG27" s="1899">
        <f t="shared" si="13"/>
        <v>0</v>
      </c>
      <c r="AH27" s="1775">
        <f t="shared" si="14"/>
        <v>0</v>
      </c>
      <c r="AI27" s="1775"/>
      <c r="AJ27" s="1775"/>
      <c r="AK27" s="1775"/>
      <c r="AL27" s="1775"/>
      <c r="AM27" s="1775"/>
      <c r="AN27" s="1775"/>
      <c r="AO27" s="1775">
        <f>SUM('KOLEKTIBILITAS-SPP'!F27:G27)</f>
        <v>0</v>
      </c>
      <c r="AP27" s="1775">
        <f>'KOLEKTIBILITAS-SPP'!H27</f>
        <v>0</v>
      </c>
      <c r="AQ27" s="2631">
        <f t="shared" si="15"/>
        <v>0</v>
      </c>
      <c r="AR27" s="2629" t="str">
        <f t="shared" si="16"/>
        <v>BENAR</v>
      </c>
      <c r="AS27" s="749">
        <f t="shared" si="17"/>
        <v>0</v>
      </c>
      <c r="AT27" s="749">
        <f t="shared" si="18"/>
        <v>0</v>
      </c>
      <c r="AU27" s="749">
        <f t="shared" si="19"/>
        <v>0</v>
      </c>
      <c r="AV27" s="749">
        <f t="shared" si="20"/>
        <v>0</v>
      </c>
      <c r="AW27" s="749">
        <f t="shared" si="21"/>
        <v>0</v>
      </c>
      <c r="AX27" s="749">
        <f t="shared" si="22"/>
        <v>0</v>
      </c>
    </row>
    <row r="28" spans="1:50" s="749" customFormat="1" ht="28.5" customHeight="1">
      <c r="A28" s="1898"/>
      <c r="B28" s="1766" t="s">
        <v>496</v>
      </c>
      <c r="C28" s="1766">
        <f t="shared" ref="C28:N28" si="23">SUM(C12:C27)</f>
        <v>235</v>
      </c>
      <c r="D28" s="1766">
        <f t="shared" si="23"/>
        <v>369</v>
      </c>
      <c r="E28" s="1766">
        <f t="shared" si="23"/>
        <v>0</v>
      </c>
      <c r="F28" s="1766">
        <f t="shared" si="23"/>
        <v>0</v>
      </c>
      <c r="G28" s="1766">
        <f t="shared" si="23"/>
        <v>369</v>
      </c>
      <c r="H28" s="1766">
        <f t="shared" si="23"/>
        <v>0</v>
      </c>
      <c r="I28" s="1766">
        <f t="shared" si="23"/>
        <v>133</v>
      </c>
      <c r="J28" s="1766">
        <f t="shared" si="23"/>
        <v>236</v>
      </c>
      <c r="K28" s="1766">
        <f t="shared" si="23"/>
        <v>0</v>
      </c>
      <c r="L28" s="1766">
        <f t="shared" si="23"/>
        <v>369</v>
      </c>
      <c r="M28" s="1766">
        <f t="shared" si="23"/>
        <v>0</v>
      </c>
      <c r="N28" s="1766">
        <f t="shared" si="23"/>
        <v>134</v>
      </c>
      <c r="O28" s="2633">
        <f t="shared" si="1"/>
        <v>0.57021276595744685</v>
      </c>
      <c r="P28" s="2629">
        <f t="shared" si="2"/>
        <v>0</v>
      </c>
      <c r="Q28" s="2629">
        <f>D28-SUM(I28:K28)</f>
        <v>0</v>
      </c>
      <c r="R28" s="2629">
        <f t="shared" si="4"/>
        <v>0</v>
      </c>
      <c r="S28" s="1897"/>
      <c r="T28" s="1766" t="s">
        <v>496</v>
      </c>
      <c r="U28" s="1766">
        <f t="shared" ref="U28:AB28" si="24">SUM(U12:U27)</f>
        <v>369</v>
      </c>
      <c r="V28" s="1766">
        <f t="shared" si="24"/>
        <v>369</v>
      </c>
      <c r="W28" s="1766">
        <f t="shared" si="24"/>
        <v>0</v>
      </c>
      <c r="X28" s="1766">
        <f t="shared" si="24"/>
        <v>0</v>
      </c>
      <c r="Y28" s="1766">
        <f t="shared" si="24"/>
        <v>0</v>
      </c>
      <c r="Z28" s="1766">
        <f t="shared" si="24"/>
        <v>0</v>
      </c>
      <c r="AA28" s="1766">
        <f t="shared" si="24"/>
        <v>0</v>
      </c>
      <c r="AB28" s="2634">
        <f t="shared" si="24"/>
        <v>0</v>
      </c>
      <c r="AC28" s="2629" t="str">
        <f t="shared" si="9"/>
        <v>BENAR</v>
      </c>
      <c r="AD28" s="2629">
        <f t="shared" si="10"/>
        <v>0</v>
      </c>
      <c r="AE28" s="2629">
        <f t="shared" si="11"/>
        <v>0</v>
      </c>
      <c r="AF28" s="1896"/>
      <c r="AG28" s="1766" t="s">
        <v>496</v>
      </c>
      <c r="AH28" s="1766">
        <f t="shared" ref="AH28:AQ28" si="25">SUM(AH12:AH27)</f>
        <v>369</v>
      </c>
      <c r="AI28" s="1766">
        <f t="shared" si="25"/>
        <v>0</v>
      </c>
      <c r="AJ28" s="1766">
        <f t="shared" si="25"/>
        <v>0</v>
      </c>
      <c r="AK28" s="1766">
        <f t="shared" si="25"/>
        <v>0</v>
      </c>
      <c r="AL28" s="1766">
        <f t="shared" si="25"/>
        <v>0</v>
      </c>
      <c r="AM28" s="1766">
        <f t="shared" si="25"/>
        <v>0</v>
      </c>
      <c r="AN28" s="1766">
        <f t="shared" si="25"/>
        <v>0</v>
      </c>
      <c r="AO28" s="1766">
        <f t="shared" si="25"/>
        <v>125863100</v>
      </c>
      <c r="AP28" s="1766">
        <f t="shared" si="25"/>
        <v>282434700</v>
      </c>
      <c r="AQ28" s="2634">
        <f t="shared" si="25"/>
        <v>408297800</v>
      </c>
      <c r="AR28" s="2629"/>
    </row>
    <row r="29" spans="1:50">
      <c r="C29" s="1889"/>
      <c r="D29" s="1889"/>
      <c r="E29" s="1889"/>
      <c r="F29" s="1889"/>
      <c r="G29" s="1889"/>
      <c r="H29" s="1889"/>
      <c r="I29" s="1889"/>
      <c r="J29" s="1889"/>
      <c r="K29" s="1889"/>
      <c r="L29" s="1889"/>
      <c r="M29" s="1889"/>
      <c r="N29" s="1889"/>
    </row>
    <row r="30" spans="1:50">
      <c r="A30" s="1889"/>
      <c r="F30" s="1894"/>
      <c r="G30" s="3735" t="s">
        <v>1558</v>
      </c>
      <c r="H30" s="3735"/>
      <c r="I30" s="3735"/>
      <c r="N30" s="1890" t="s">
        <v>23</v>
      </c>
      <c r="U30" s="1889" t="s">
        <v>1558</v>
      </c>
      <c r="V30" s="1889"/>
      <c r="W30" s="1889"/>
      <c r="X30" s="1889"/>
      <c r="Y30" s="1889"/>
      <c r="Z30" s="1889"/>
      <c r="AA30" s="1890" t="s">
        <v>23</v>
      </c>
      <c r="AI30" s="3143" t="s">
        <v>1558</v>
      </c>
      <c r="AJ30" s="1889"/>
      <c r="AK30" s="1889"/>
      <c r="AL30" s="1889"/>
      <c r="AM30" s="1889"/>
      <c r="AN30" s="1889"/>
      <c r="AO30" s="1890" t="s">
        <v>23</v>
      </c>
    </row>
    <row r="31" spans="1:50">
      <c r="A31" s="1889"/>
      <c r="F31" s="1894"/>
      <c r="G31" s="3735" t="s">
        <v>2639</v>
      </c>
      <c r="H31" s="3735"/>
      <c r="I31" s="3735"/>
      <c r="N31" s="1889"/>
      <c r="U31" s="1889" t="s">
        <v>2640</v>
      </c>
      <c r="V31" s="1889"/>
      <c r="W31" s="1889"/>
      <c r="X31" s="1889"/>
      <c r="Y31" s="1889"/>
      <c r="Z31" s="1889"/>
      <c r="AA31" s="1889"/>
      <c r="AI31" s="3143" t="s">
        <v>2640</v>
      </c>
      <c r="AJ31" s="1889"/>
      <c r="AK31" s="1889"/>
      <c r="AL31" s="1889"/>
      <c r="AM31" s="1889"/>
      <c r="AN31" s="1889"/>
      <c r="AO31" s="1889"/>
    </row>
    <row r="32" spans="1:50">
      <c r="A32" s="1889"/>
      <c r="N32" s="1889"/>
      <c r="U32" s="1889"/>
      <c r="V32" s="1889"/>
      <c r="W32" s="1889"/>
      <c r="X32" s="1889"/>
      <c r="Y32" s="1889"/>
      <c r="Z32" s="1889"/>
      <c r="AA32" s="1889"/>
      <c r="AI32" s="3143"/>
      <c r="AJ32" s="1889"/>
      <c r="AK32" s="1889"/>
      <c r="AL32" s="1889"/>
      <c r="AM32" s="1889"/>
      <c r="AN32" s="1889"/>
      <c r="AO32" s="1889"/>
      <c r="AP32" s="1887"/>
      <c r="AQ32" s="1887"/>
      <c r="AR32" s="1887"/>
    </row>
    <row r="33" spans="7:44">
      <c r="U33" s="1889"/>
      <c r="V33" s="1889"/>
      <c r="W33" s="1889"/>
      <c r="X33" s="1889"/>
      <c r="Y33" s="1889"/>
      <c r="Z33" s="1889"/>
      <c r="AA33" s="1889"/>
      <c r="AB33" s="1893"/>
      <c r="AI33" s="3143"/>
      <c r="AJ33" s="1889"/>
      <c r="AK33" s="1889"/>
      <c r="AL33" s="1889"/>
      <c r="AM33" s="1889"/>
      <c r="AN33" s="1889"/>
      <c r="AO33" s="1889"/>
      <c r="AP33" s="1887"/>
      <c r="AQ33" s="1887"/>
      <c r="AR33" s="1887"/>
    </row>
    <row r="34" spans="7:44">
      <c r="U34" s="1889"/>
      <c r="V34" s="1889"/>
      <c r="W34" s="1889"/>
      <c r="X34" s="1889"/>
      <c r="Y34" s="1889"/>
      <c r="Z34" s="1889"/>
      <c r="AA34" s="1889"/>
      <c r="AB34" s="1893"/>
      <c r="AI34" s="3143"/>
      <c r="AJ34" s="1889"/>
      <c r="AK34" s="1889"/>
      <c r="AL34" s="1889"/>
      <c r="AM34" s="1889"/>
      <c r="AN34" s="1889"/>
      <c r="AO34" s="1889"/>
      <c r="AP34" s="1887"/>
      <c r="AQ34" s="1887"/>
      <c r="AR34" s="1887"/>
    </row>
    <row r="35" spans="7:44">
      <c r="G35" s="3145" t="s">
        <v>2656</v>
      </c>
      <c r="H35" s="3142"/>
      <c r="I35" s="3146"/>
      <c r="N35" s="1892"/>
      <c r="U35" s="3145" t="s">
        <v>2656</v>
      </c>
      <c r="V35" s="3142"/>
      <c r="W35" s="3146"/>
      <c r="X35" s="1889"/>
      <c r="Y35" s="1889"/>
      <c r="Z35" s="1889"/>
      <c r="AA35" s="1891"/>
      <c r="AI35" s="3145" t="s">
        <v>2656</v>
      </c>
      <c r="AJ35" s="1889"/>
      <c r="AK35" s="1889"/>
      <c r="AL35" s="1889"/>
      <c r="AM35" s="1889"/>
      <c r="AN35" s="1889"/>
      <c r="AO35" s="1891"/>
      <c r="AP35" s="1887"/>
      <c r="AQ35" s="1887"/>
      <c r="AR35" s="1887"/>
    </row>
    <row r="36" spans="7:44">
      <c r="G36" s="3147" t="s">
        <v>2657</v>
      </c>
      <c r="H36" s="3142"/>
      <c r="I36" s="3148"/>
      <c r="N36" s="1890" t="str">
        <f>DT!D14</f>
        <v>Endang Taryana</v>
      </c>
      <c r="U36" s="3147" t="s">
        <v>2657</v>
      </c>
      <c r="V36" s="3142"/>
      <c r="W36" s="3148"/>
      <c r="X36" s="1889"/>
      <c r="Y36" s="1889"/>
      <c r="Z36" s="1889"/>
      <c r="AA36" s="1889" t="str">
        <f>N36</f>
        <v>Endang Taryana</v>
      </c>
      <c r="AI36" s="3147" t="s">
        <v>2657</v>
      </c>
      <c r="AJ36" s="1889"/>
      <c r="AK36" s="1889"/>
      <c r="AL36" s="1889"/>
      <c r="AM36" s="1889"/>
      <c r="AN36" s="1889"/>
      <c r="AO36" s="1889" t="str">
        <f>N36</f>
        <v>Endang Taryana</v>
      </c>
      <c r="AP36" s="1887"/>
      <c r="AQ36" s="1887"/>
      <c r="AR36" s="1887"/>
    </row>
    <row r="37" spans="7:44">
      <c r="G37" s="3147"/>
      <c r="H37" s="3142"/>
      <c r="I37" s="3148"/>
      <c r="U37" s="1893"/>
    </row>
  </sheetData>
  <sheetProtection formatColumns="0" formatRows="0"/>
  <protectedRanges>
    <protectedRange sqref="G12:M27 AI12:AN27" name="Range1"/>
  </protectedRanges>
  <mergeCells count="50">
    <mergeCell ref="AW8:AW10"/>
    <mergeCell ref="AX8:AX10"/>
    <mergeCell ref="AD8:AD10"/>
    <mergeCell ref="AE8:AE10"/>
    <mergeCell ref="AI9:AJ9"/>
    <mergeCell ref="AK9:AN9"/>
    <mergeCell ref="AO9:AO10"/>
    <mergeCell ref="AP9:AP10"/>
    <mergeCell ref="AQ9:AQ10"/>
    <mergeCell ref="AI8:AN8"/>
    <mergeCell ref="AO8:AQ8"/>
    <mergeCell ref="AR8:AR10"/>
    <mergeCell ref="AH8:AH10"/>
    <mergeCell ref="AF8:AF10"/>
    <mergeCell ref="AG8:AG10"/>
    <mergeCell ref="S8:S10"/>
    <mergeCell ref="T8:T10"/>
    <mergeCell ref="M9:M10"/>
    <mergeCell ref="V8:AB8"/>
    <mergeCell ref="AC8:AC10"/>
    <mergeCell ref="L8:M8"/>
    <mergeCell ref="N8:N10"/>
    <mergeCell ref="O8:O10"/>
    <mergeCell ref="U8:U10"/>
    <mergeCell ref="V9:V10"/>
    <mergeCell ref="W9:AB9"/>
    <mergeCell ref="P8:R9"/>
    <mergeCell ref="I9:I10"/>
    <mergeCell ref="J9:J10"/>
    <mergeCell ref="A8:A10"/>
    <mergeCell ref="B8:B10"/>
    <mergeCell ref="C8:C10"/>
    <mergeCell ref="D8:D10"/>
    <mergeCell ref="E8:H8"/>
    <mergeCell ref="G30:I30"/>
    <mergeCell ref="G31:I31"/>
    <mergeCell ref="AP1:AQ1"/>
    <mergeCell ref="AF2:AO2"/>
    <mergeCell ref="AP2:AQ2"/>
    <mergeCell ref="A1:O1"/>
    <mergeCell ref="S1:AB1"/>
    <mergeCell ref="A2:O2"/>
    <mergeCell ref="S2:AB2"/>
    <mergeCell ref="AF1:AO1"/>
    <mergeCell ref="K9:K10"/>
    <mergeCell ref="L9:L10"/>
    <mergeCell ref="I8:K8"/>
    <mergeCell ref="E9:E10"/>
    <mergeCell ref="F9:F10"/>
    <mergeCell ref="G9:H9"/>
  </mergeCells>
  <printOptions horizontalCentered="1" verticalCentered="1"/>
  <pageMargins left="0.82677165354330717" right="0.19685039370078741" top="0.51181102362204722" bottom="0.23622047244094491" header="0.27559055118110237" footer="0.35433070866141736"/>
  <pageSetup paperSize="9" scale="75" orientation="landscape" horizontalDpi="4294967294" verticalDpi="4294967294" r:id="rId1"/>
  <headerFooter alignWithMargins="0"/>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X38"/>
  <sheetViews>
    <sheetView zoomScale="70" zoomScaleNormal="70" zoomScaleSheetLayoutView="30" workbookViewId="0">
      <selection activeCell="G17" sqref="G17"/>
    </sheetView>
  </sheetViews>
  <sheetFormatPr defaultColWidth="9.140625" defaultRowHeight="12.75"/>
  <cols>
    <col min="1" max="1" width="5.28515625" style="1749" customWidth="1"/>
    <col min="2" max="2" width="21.140625" style="1749" customWidth="1"/>
    <col min="3" max="3" width="16.85546875" style="1749" customWidth="1"/>
    <col min="4" max="4" width="12.85546875" style="1749" customWidth="1"/>
    <col min="5" max="5" width="9" style="1749" customWidth="1"/>
    <col min="6" max="6" width="11.140625" style="1749" customWidth="1"/>
    <col min="7" max="8" width="7.42578125" style="1749" customWidth="1"/>
    <col min="9" max="9" width="8.5703125" style="1749" customWidth="1"/>
    <col min="10" max="10" width="9.140625" style="1749" customWidth="1"/>
    <col min="11" max="11" width="9" style="1749" customWidth="1"/>
    <col min="12" max="13" width="11" style="1749" customWidth="1"/>
    <col min="14" max="14" width="14.28515625" style="1749" customWidth="1"/>
    <col min="15" max="15" width="15.28515625" style="1749" customWidth="1"/>
    <col min="16" max="18" width="5.140625" style="1749" customWidth="1"/>
    <col min="19" max="19" width="5.28515625" style="1748" customWidth="1"/>
    <col min="20" max="20" width="21.140625" style="1748" customWidth="1"/>
    <col min="21" max="21" width="19.85546875" style="1748" customWidth="1"/>
    <col min="22" max="22" width="22.140625" style="1748" customWidth="1"/>
    <col min="23" max="26" width="12.5703125" style="1748" customWidth="1"/>
    <col min="27" max="27" width="13.42578125" style="1748" customWidth="1"/>
    <col min="28" max="28" width="12.5703125" style="1748" customWidth="1"/>
    <col min="29" max="29" width="10.140625" style="1748" customWidth="1"/>
    <col min="30" max="31" width="10.140625" style="1747" customWidth="1"/>
    <col min="32" max="32" width="5.140625" style="1746" customWidth="1"/>
    <col min="33" max="33" width="21.140625" style="1746" customWidth="1"/>
    <col min="34" max="34" width="16.28515625" style="1746" customWidth="1"/>
    <col min="35" max="36" width="7.85546875" style="1746" customWidth="1"/>
    <col min="37" max="40" width="14.140625" style="1746" customWidth="1"/>
    <col min="41" max="42" width="18" style="1746" customWidth="1"/>
    <col min="43" max="43" width="14" style="1746" customWidth="1"/>
    <col min="44" max="44" width="10.140625" style="1746" customWidth="1"/>
    <col min="45" max="45" width="9.140625" style="1745" hidden="1" customWidth="1"/>
    <col min="46" max="48" width="0" style="1745" hidden="1" customWidth="1"/>
    <col min="49" max="16384" width="9.140625" style="1745"/>
  </cols>
  <sheetData>
    <row r="1" spans="1:50" s="1842" customFormat="1" ht="15">
      <c r="A1" s="3410" t="s">
        <v>1612</v>
      </c>
      <c r="B1" s="3410"/>
      <c r="C1" s="3410"/>
      <c r="D1" s="3410"/>
      <c r="E1" s="3410"/>
      <c r="F1" s="3410"/>
      <c r="G1" s="3410"/>
      <c r="H1" s="3410"/>
      <c r="I1" s="3410"/>
      <c r="J1" s="3410"/>
      <c r="K1" s="3410"/>
      <c r="L1" s="3410"/>
      <c r="M1" s="3410"/>
      <c r="N1" s="3410"/>
      <c r="O1" s="3410"/>
      <c r="P1" s="1846"/>
      <c r="Q1" s="1846"/>
      <c r="R1" s="1846"/>
      <c r="S1" s="3410" t="s">
        <v>1611</v>
      </c>
      <c r="T1" s="3410"/>
      <c r="U1" s="3410"/>
      <c r="V1" s="3410"/>
      <c r="W1" s="3410"/>
      <c r="X1" s="3410"/>
      <c r="Y1" s="3410"/>
      <c r="Z1" s="3410"/>
      <c r="AA1" s="3410"/>
      <c r="AB1" s="3410"/>
      <c r="AC1" s="1845"/>
      <c r="AD1" s="1844"/>
      <c r="AE1" s="1844"/>
      <c r="AF1" s="3410" t="s">
        <v>0</v>
      </c>
      <c r="AG1" s="3410"/>
      <c r="AH1" s="3410"/>
      <c r="AI1" s="3410"/>
      <c r="AJ1" s="3410"/>
      <c r="AK1" s="3410"/>
      <c r="AL1" s="3410"/>
      <c r="AM1" s="3410"/>
      <c r="AN1" s="3410"/>
      <c r="AO1" s="3410"/>
      <c r="AP1" s="3410"/>
      <c r="AQ1" s="3410"/>
      <c r="AR1" s="1847"/>
    </row>
    <row r="2" spans="1:50" s="1842" customFormat="1" ht="15">
      <c r="A2" s="3410" t="s">
        <v>1659</v>
      </c>
      <c r="B2" s="3410"/>
      <c r="C2" s="3410"/>
      <c r="D2" s="3410"/>
      <c r="E2" s="3410"/>
      <c r="F2" s="3410"/>
      <c r="G2" s="3410"/>
      <c r="H2" s="3410"/>
      <c r="I2" s="3410"/>
      <c r="J2" s="3410"/>
      <c r="K2" s="3410"/>
      <c r="L2" s="3410"/>
      <c r="M2" s="3410"/>
      <c r="N2" s="3410"/>
      <c r="O2" s="3410"/>
      <c r="P2" s="1846"/>
      <c r="Q2" s="1846"/>
      <c r="R2" s="1846"/>
      <c r="S2" s="3410" t="s">
        <v>1660</v>
      </c>
      <c r="T2" s="3410"/>
      <c r="U2" s="3410"/>
      <c r="V2" s="3410"/>
      <c r="W2" s="3410"/>
      <c r="X2" s="3410"/>
      <c r="Y2" s="3410"/>
      <c r="Z2" s="3410"/>
      <c r="AA2" s="3410"/>
      <c r="AB2" s="3410"/>
      <c r="AC2" s="1845"/>
      <c r="AD2" s="1844"/>
      <c r="AE2" s="1844"/>
      <c r="AF2" s="3410" t="s">
        <v>1661</v>
      </c>
      <c r="AG2" s="3410"/>
      <c r="AH2" s="3410"/>
      <c r="AI2" s="3410"/>
      <c r="AJ2" s="3410"/>
      <c r="AK2" s="3410"/>
      <c r="AL2" s="3410"/>
      <c r="AM2" s="3410"/>
      <c r="AN2" s="3410"/>
      <c r="AO2" s="3410"/>
      <c r="AP2" s="3410"/>
      <c r="AQ2" s="3410"/>
      <c r="AR2" s="1843"/>
    </row>
    <row r="4" spans="1:50">
      <c r="A4" s="1841" t="s">
        <v>86</v>
      </c>
      <c r="C4" s="1835" t="str">
        <f>'LPP-SPP PIHAK KE-3'!F86</f>
        <v>:  Nagrak</v>
      </c>
      <c r="S4" s="1839" t="s">
        <v>86</v>
      </c>
      <c r="T4" s="1840"/>
      <c r="U4" s="1839" t="str">
        <f>C4</f>
        <v>:  Nagrak</v>
      </c>
      <c r="AF4" s="1837" t="s">
        <v>86</v>
      </c>
      <c r="AG4" s="1838"/>
      <c r="AH4" s="1837" t="str">
        <f>C4</f>
        <v>:  Nagrak</v>
      </c>
    </row>
    <row r="5" spans="1:50">
      <c r="A5" s="1749" t="s">
        <v>1607</v>
      </c>
      <c r="C5" s="1835" t="str">
        <f>'LPP-SPP PIHAK KE-3'!F87</f>
        <v>:  Sukabumi</v>
      </c>
      <c r="N5" s="1834" t="s">
        <v>71</v>
      </c>
      <c r="O5" s="1836" t="str">
        <f>DT!D25&amp;"  "&amp;DT!D26</f>
        <v>Februari 2016  2016</v>
      </c>
      <c r="S5" s="1748" t="s">
        <v>87</v>
      </c>
      <c r="U5" s="1748" t="s">
        <v>1605</v>
      </c>
      <c r="AA5" s="1832" t="s">
        <v>71</v>
      </c>
      <c r="AB5" s="1831" t="str">
        <f>O5</f>
        <v>Februari 2016  2016</v>
      </c>
      <c r="AF5" s="1746" t="s">
        <v>1606</v>
      </c>
      <c r="AH5" s="1746" t="s">
        <v>1605</v>
      </c>
      <c r="AP5" s="1830" t="s">
        <v>71</v>
      </c>
      <c r="AQ5" s="1829" t="str">
        <f>O5</f>
        <v>Februari 2016  2016</v>
      </c>
    </row>
    <row r="6" spans="1:50">
      <c r="A6" s="1749" t="s">
        <v>1604</v>
      </c>
      <c r="C6" s="1835" t="str">
        <f>'LPP-SPP PIHAK KE-3'!F88</f>
        <v>:  Jawa Barat</v>
      </c>
      <c r="N6" s="1834"/>
      <c r="O6" s="1833"/>
      <c r="S6" s="1748" t="s">
        <v>88</v>
      </c>
      <c r="U6" s="1748" t="s">
        <v>1602</v>
      </c>
      <c r="AA6" s="1832"/>
      <c r="AB6" s="1831"/>
      <c r="AF6" s="1746" t="s">
        <v>1603</v>
      </c>
      <c r="AH6" s="1746" t="s">
        <v>1602</v>
      </c>
      <c r="AP6" s="1830"/>
      <c r="AQ6" s="1829"/>
    </row>
    <row r="7" spans="1:50" ht="6.75" customHeight="1"/>
    <row r="8" spans="1:50" ht="26.25" customHeight="1">
      <c r="A8" s="3410" t="s">
        <v>978</v>
      </c>
      <c r="B8" s="3410" t="s">
        <v>224</v>
      </c>
      <c r="C8" s="3410" t="s">
        <v>1601</v>
      </c>
      <c r="D8" s="3410" t="s">
        <v>1594</v>
      </c>
      <c r="E8" s="3410" t="s">
        <v>1600</v>
      </c>
      <c r="F8" s="3410"/>
      <c r="G8" s="3410"/>
      <c r="H8" s="3410"/>
      <c r="I8" s="3410" t="s">
        <v>1599</v>
      </c>
      <c r="J8" s="3410"/>
      <c r="K8" s="3410"/>
      <c r="L8" s="3410" t="s">
        <v>1598</v>
      </c>
      <c r="M8" s="3410"/>
      <c r="N8" s="3410" t="s">
        <v>1597</v>
      </c>
      <c r="O8" s="3410" t="s">
        <v>1596</v>
      </c>
      <c r="P8" s="3410" t="s">
        <v>1595</v>
      </c>
      <c r="Q8" s="3410"/>
      <c r="R8" s="3410"/>
      <c r="S8" s="3410" t="s">
        <v>978</v>
      </c>
      <c r="T8" s="3410" t="s">
        <v>224</v>
      </c>
      <c r="U8" s="3410" t="s">
        <v>1594</v>
      </c>
      <c r="V8" s="3410" t="s">
        <v>1593</v>
      </c>
      <c r="W8" s="3410"/>
      <c r="X8" s="3410"/>
      <c r="Y8" s="3410"/>
      <c r="Z8" s="3410"/>
      <c r="AA8" s="3410"/>
      <c r="AB8" s="3410"/>
      <c r="AC8" s="3410" t="s">
        <v>1590</v>
      </c>
      <c r="AD8" s="3410" t="s">
        <v>52</v>
      </c>
      <c r="AE8" s="3410" t="s">
        <v>53</v>
      </c>
      <c r="AF8" s="3410" t="s">
        <v>36</v>
      </c>
      <c r="AG8" s="3410" t="s">
        <v>224</v>
      </c>
      <c r="AH8" s="3410" t="s">
        <v>1592</v>
      </c>
      <c r="AI8" s="3410" t="s">
        <v>1591</v>
      </c>
      <c r="AJ8" s="3410"/>
      <c r="AK8" s="3410"/>
      <c r="AL8" s="3410"/>
      <c r="AM8" s="3410"/>
      <c r="AN8" s="3410"/>
      <c r="AO8" s="3410" t="s">
        <v>1534</v>
      </c>
      <c r="AP8" s="3410"/>
      <c r="AQ8" s="3410"/>
      <c r="AR8" s="3410" t="s">
        <v>1590</v>
      </c>
      <c r="AW8" s="3410" t="s">
        <v>1589</v>
      </c>
      <c r="AX8" s="3410" t="s">
        <v>1566</v>
      </c>
    </row>
    <row r="9" spans="1:50" ht="30" customHeight="1">
      <c r="A9" s="3410"/>
      <c r="B9" s="3410"/>
      <c r="C9" s="3410"/>
      <c r="D9" s="3410"/>
      <c r="E9" s="3410" t="s">
        <v>1588</v>
      </c>
      <c r="F9" s="3410" t="s">
        <v>1587</v>
      </c>
      <c r="G9" s="3410" t="s">
        <v>1586</v>
      </c>
      <c r="H9" s="3410"/>
      <c r="I9" s="3410" t="s">
        <v>1585</v>
      </c>
      <c r="J9" s="3410" t="s">
        <v>1584</v>
      </c>
      <c r="K9" s="3410" t="s">
        <v>1583</v>
      </c>
      <c r="L9" s="3410" t="s">
        <v>1582</v>
      </c>
      <c r="M9" s="3410" t="s">
        <v>1581</v>
      </c>
      <c r="N9" s="3410"/>
      <c r="O9" s="3410"/>
      <c r="P9" s="3410"/>
      <c r="Q9" s="3410"/>
      <c r="R9" s="3410"/>
      <c r="S9" s="3410"/>
      <c r="T9" s="3410"/>
      <c r="U9" s="3410"/>
      <c r="V9" s="3410" t="s">
        <v>1580</v>
      </c>
      <c r="W9" s="3410" t="s">
        <v>1579</v>
      </c>
      <c r="X9" s="3410"/>
      <c r="Y9" s="3410"/>
      <c r="Z9" s="3410"/>
      <c r="AA9" s="3410"/>
      <c r="AB9" s="3410"/>
      <c r="AC9" s="3410"/>
      <c r="AD9" s="3410"/>
      <c r="AE9" s="3410"/>
      <c r="AF9" s="3410"/>
      <c r="AG9" s="3410"/>
      <c r="AH9" s="3410"/>
      <c r="AI9" s="3410" t="s">
        <v>1578</v>
      </c>
      <c r="AJ9" s="3410"/>
      <c r="AK9" s="3410" t="s">
        <v>1577</v>
      </c>
      <c r="AL9" s="3410"/>
      <c r="AM9" s="3410"/>
      <c r="AN9" s="3410"/>
      <c r="AO9" s="3410" t="s">
        <v>1567</v>
      </c>
      <c r="AP9" s="3410" t="s">
        <v>1566</v>
      </c>
      <c r="AQ9" s="3410" t="s">
        <v>1576</v>
      </c>
      <c r="AR9" s="3410"/>
      <c r="AW9" s="3410"/>
      <c r="AX9" s="3410"/>
    </row>
    <row r="10" spans="1:50" ht="33.75" customHeight="1">
      <c r="A10" s="3410"/>
      <c r="B10" s="3410"/>
      <c r="C10" s="3410"/>
      <c r="D10" s="3410"/>
      <c r="E10" s="3410"/>
      <c r="F10" s="3410"/>
      <c r="G10" s="1828" t="s">
        <v>53</v>
      </c>
      <c r="H10" s="1828" t="s">
        <v>1575</v>
      </c>
      <c r="I10" s="3410"/>
      <c r="J10" s="3410"/>
      <c r="K10" s="3410"/>
      <c r="L10" s="3410"/>
      <c r="M10" s="3410"/>
      <c r="N10" s="3410"/>
      <c r="O10" s="3410"/>
      <c r="P10" s="1826" t="s">
        <v>1574</v>
      </c>
      <c r="Q10" s="1826" t="s">
        <v>248</v>
      </c>
      <c r="R10" s="1826" t="s">
        <v>402</v>
      </c>
      <c r="S10" s="3410"/>
      <c r="T10" s="3410"/>
      <c r="U10" s="3410"/>
      <c r="V10" s="3410"/>
      <c r="W10" s="1825" t="s">
        <v>1573</v>
      </c>
      <c r="X10" s="1825" t="s">
        <v>1572</v>
      </c>
      <c r="Y10" s="1825" t="s">
        <v>1571</v>
      </c>
      <c r="Z10" s="1825" t="s">
        <v>1570</v>
      </c>
      <c r="AA10" s="1825" t="s">
        <v>1569</v>
      </c>
      <c r="AB10" s="1824" t="s">
        <v>1568</v>
      </c>
      <c r="AC10" s="3410"/>
      <c r="AD10" s="3410"/>
      <c r="AE10" s="3410"/>
      <c r="AF10" s="3410"/>
      <c r="AG10" s="3410"/>
      <c r="AH10" s="3410"/>
      <c r="AI10" s="1822" t="s">
        <v>1567</v>
      </c>
      <c r="AJ10" s="1822" t="s">
        <v>1566</v>
      </c>
      <c r="AK10" s="1823" t="s">
        <v>1565</v>
      </c>
      <c r="AL10" s="1823" t="s">
        <v>1564</v>
      </c>
      <c r="AM10" s="1823" t="s">
        <v>1563</v>
      </c>
      <c r="AN10" s="1823" t="s">
        <v>1562</v>
      </c>
      <c r="AO10" s="3410"/>
      <c r="AP10" s="3410"/>
      <c r="AQ10" s="3410"/>
      <c r="AR10" s="3410"/>
      <c r="AW10" s="3410"/>
      <c r="AX10" s="3410"/>
    </row>
    <row r="11" spans="1:50" s="1805" customFormat="1" ht="11.25">
      <c r="A11" s="1821">
        <v>1</v>
      </c>
      <c r="B11" s="1818">
        <v>2</v>
      </c>
      <c r="C11" s="1818">
        <v>3</v>
      </c>
      <c r="D11" s="1818">
        <v>4</v>
      </c>
      <c r="E11" s="1819">
        <v>5</v>
      </c>
      <c r="F11" s="1819">
        <v>6</v>
      </c>
      <c r="G11" s="1819">
        <v>7</v>
      </c>
      <c r="H11" s="1819">
        <v>8</v>
      </c>
      <c r="I11" s="1820">
        <v>9</v>
      </c>
      <c r="J11" s="1820">
        <v>10</v>
      </c>
      <c r="K11" s="1820">
        <v>11</v>
      </c>
      <c r="L11" s="1819">
        <v>12</v>
      </c>
      <c r="M11" s="1819">
        <v>13</v>
      </c>
      <c r="N11" s="1818" t="s">
        <v>1561</v>
      </c>
      <c r="O11" s="1817" t="s">
        <v>1560</v>
      </c>
      <c r="P11" s="1806"/>
      <c r="Q11" s="1806"/>
      <c r="R11" s="1806"/>
      <c r="S11" s="1816">
        <v>1</v>
      </c>
      <c r="T11" s="1815">
        <v>2</v>
      </c>
      <c r="U11" s="1815">
        <v>3</v>
      </c>
      <c r="V11" s="1810">
        <v>4</v>
      </c>
      <c r="W11" s="1815">
        <v>5</v>
      </c>
      <c r="X11" s="1815">
        <v>6</v>
      </c>
      <c r="Y11" s="1815">
        <v>7</v>
      </c>
      <c r="Z11" s="1815">
        <v>8</v>
      </c>
      <c r="AA11" s="1815">
        <v>9</v>
      </c>
      <c r="AB11" s="1814">
        <v>10</v>
      </c>
      <c r="AC11" s="1813"/>
      <c r="AD11" s="1812"/>
      <c r="AE11" s="1812"/>
      <c r="AF11" s="1811">
        <v>1</v>
      </c>
      <c r="AG11" s="1810">
        <v>2</v>
      </c>
      <c r="AH11" s="1810">
        <v>3</v>
      </c>
      <c r="AI11" s="1809">
        <v>4</v>
      </c>
      <c r="AJ11" s="1809">
        <v>5</v>
      </c>
      <c r="AK11" s="1810">
        <v>6</v>
      </c>
      <c r="AL11" s="1810">
        <v>7</v>
      </c>
      <c r="AM11" s="1810">
        <v>8</v>
      </c>
      <c r="AN11" s="1810">
        <v>9</v>
      </c>
      <c r="AO11" s="1809">
        <v>10</v>
      </c>
      <c r="AP11" s="1809">
        <v>11</v>
      </c>
      <c r="AQ11" s="1808" t="s">
        <v>1559</v>
      </c>
      <c r="AR11" s="1807"/>
      <c r="AW11" s="1806"/>
      <c r="AX11" s="1806"/>
    </row>
    <row r="12" spans="1:50" s="1762" customFormat="1" ht="23.25" customHeight="1">
      <c r="A12" s="1787">
        <v>1</v>
      </c>
      <c r="B12" s="1804" t="str">
        <f>'LPP-SPP PIHAK KE-3'!B93</f>
        <v>CIHANYAWAR</v>
      </c>
      <c r="C12" s="1803">
        <f>'LPP-SPP PIHAK KE-3'!D13</f>
        <v>0</v>
      </c>
      <c r="D12" s="1803">
        <f>'LPP-SPP PIHAK KE-3'!C93</f>
        <v>0</v>
      </c>
      <c r="E12" s="1886"/>
      <c r="F12" s="1886"/>
      <c r="G12" s="1801"/>
      <c r="H12" s="1801"/>
      <c r="I12" s="1802"/>
      <c r="J12" s="1802"/>
      <c r="K12" s="1802"/>
      <c r="L12" s="1801"/>
      <c r="M12" s="1801"/>
      <c r="N12" s="1793">
        <f t="shared" ref="N12:N25" si="0">D12-C12</f>
        <v>0</v>
      </c>
      <c r="O12" s="1800" t="e">
        <f>(N12/C12)*100%</f>
        <v>#DIV/0!</v>
      </c>
      <c r="P12" s="1764">
        <f t="shared" ref="P12:P25" si="1">D12-SUM(E12:H12)</f>
        <v>0</v>
      </c>
      <c r="Q12" s="1764">
        <f t="shared" ref="Q12:Q25" si="2">D12-SUM(I12:K12)</f>
        <v>0</v>
      </c>
      <c r="R12" s="1764">
        <f t="shared" ref="R12:R28" si="3">D12-(L12+M12)</f>
        <v>0</v>
      </c>
      <c r="S12" s="1799">
        <f>A12</f>
        <v>1</v>
      </c>
      <c r="T12" s="1798" t="str">
        <f>B12</f>
        <v>CIHANYAWAR</v>
      </c>
      <c r="U12" s="1797">
        <f>D12</f>
        <v>0</v>
      </c>
      <c r="V12" s="1796">
        <f t="shared" ref="V12:V24" si="4">G12+H12</f>
        <v>0</v>
      </c>
      <c r="W12" s="1885"/>
      <c r="X12" s="1885"/>
      <c r="Y12" s="1885"/>
      <c r="Z12" s="1885"/>
      <c r="AA12" s="1885"/>
      <c r="AB12" s="1884"/>
      <c r="AC12" s="1764" t="str">
        <f>IF(SUM(V12:AB12)=U12,"BENAR","SALAH")</f>
        <v>BENAR</v>
      </c>
      <c r="AD12" s="1764">
        <f>E12+F12-W12-X12-Y12-Z12-AA12-AB12</f>
        <v>0</v>
      </c>
      <c r="AE12" s="1764">
        <f>G12+H12-V12</f>
        <v>0</v>
      </c>
      <c r="AF12" s="1795">
        <f>S12</f>
        <v>1</v>
      </c>
      <c r="AG12" s="1794" t="str">
        <f>T12</f>
        <v>CIHANYAWAR</v>
      </c>
      <c r="AH12" s="1789">
        <f>D12</f>
        <v>0</v>
      </c>
      <c r="AI12" s="1792"/>
      <c r="AJ12" s="1792"/>
      <c r="AK12" s="1791"/>
      <c r="AL12" s="1791"/>
      <c r="AM12" s="1791"/>
      <c r="AN12" s="1791"/>
      <c r="AO12" s="1788">
        <f>SUM('KOLEKTIBILITAS-SPP PIHAK KE-3'!F12:G12)</f>
        <v>0</v>
      </c>
      <c r="AP12" s="1788">
        <f>'KOLEKTIBILITAS-SPP PIHAK KE-3'!H12</f>
        <v>0</v>
      </c>
      <c r="AQ12" s="1774">
        <f>AO12+AP12</f>
        <v>0</v>
      </c>
      <c r="AR12" s="1764" t="str">
        <f>IF(SUM(AK12:AN12)=(AI12+AJ12),"BENAR","SALAH")</f>
        <v>BENAR</v>
      </c>
      <c r="AS12" s="1762">
        <f>IF(AI12&gt;=1,1,0)</f>
        <v>0</v>
      </c>
      <c r="AT12" s="1762">
        <f>IF(AJ12&gt;=1,1,0)</f>
        <v>0</v>
      </c>
      <c r="AU12" s="1762">
        <f>IF(AO12&gt;=1,1,0)</f>
        <v>0</v>
      </c>
      <c r="AV12" s="1762">
        <f>IF(AP12&gt;=1,1,0)</f>
        <v>0</v>
      </c>
      <c r="AW12" s="1763">
        <f>AS12-AU12</f>
        <v>0</v>
      </c>
      <c r="AX12" s="1763">
        <f>AT12-AV12</f>
        <v>0</v>
      </c>
    </row>
    <row r="13" spans="1:50" s="1762" customFormat="1" ht="23.25" customHeight="1">
      <c r="A13" s="1785">
        <v>2</v>
      </c>
      <c r="B13" s="1784" t="str">
        <f>'LPP-SPP PIHAK KE-3'!B94</f>
        <v>NAGRAK UTARA</v>
      </c>
      <c r="C13" s="1783">
        <f>'LPP-SPP PIHAK KE-3'!D14</f>
        <v>0</v>
      </c>
      <c r="D13" s="1783">
        <f>'LPP-SPP PIHAK KE-3'!C94</f>
        <v>0</v>
      </c>
      <c r="E13" s="1881"/>
      <c r="F13" s="1881"/>
      <c r="G13" s="1776"/>
      <c r="H13" s="1776"/>
      <c r="I13" s="1775"/>
      <c r="J13" s="1775"/>
      <c r="K13" s="1775"/>
      <c r="L13" s="1776"/>
      <c r="M13" s="1776"/>
      <c r="N13" s="1793">
        <f t="shared" si="0"/>
        <v>0</v>
      </c>
      <c r="O13" s="1782" t="e">
        <f>(N13/C13)*100%</f>
        <v>#DIV/0!</v>
      </c>
      <c r="P13" s="1764">
        <f t="shared" si="1"/>
        <v>0</v>
      </c>
      <c r="Q13" s="1764">
        <f t="shared" si="2"/>
        <v>0</v>
      </c>
      <c r="R13" s="1764">
        <f t="shared" si="3"/>
        <v>0</v>
      </c>
      <c r="S13" s="1781">
        <f t="shared" ref="S13:T25" si="5">A13</f>
        <v>2</v>
      </c>
      <c r="T13" s="1780" t="str">
        <f t="shared" si="5"/>
        <v>NAGRAK UTARA</v>
      </c>
      <c r="U13" s="1779">
        <f t="shared" ref="U13:U25" si="6">D13</f>
        <v>0</v>
      </c>
      <c r="V13" s="1776">
        <f t="shared" si="4"/>
        <v>0</v>
      </c>
      <c r="W13" s="1883"/>
      <c r="X13" s="1883"/>
      <c r="Y13" s="1883"/>
      <c r="Z13" s="1883"/>
      <c r="AA13" s="1883"/>
      <c r="AB13" s="1882"/>
      <c r="AC13" s="1764" t="str">
        <f t="shared" ref="AC13:AC25" si="7">IF(SUM(V13:AB13)=U13,"BENAR","SALAH")</f>
        <v>BENAR</v>
      </c>
      <c r="AD13" s="1764">
        <f t="shared" ref="AD13:AD25" si="8">E13+F13-W13-X13-Y13-Z13-AA13-AB13</f>
        <v>0</v>
      </c>
      <c r="AE13" s="1764">
        <f t="shared" ref="AE13:AE25" si="9">G13+H13-V13</f>
        <v>0</v>
      </c>
      <c r="AF13" s="1778">
        <f t="shared" ref="AF13:AG25" si="10">S13</f>
        <v>2</v>
      </c>
      <c r="AG13" s="1777" t="str">
        <f t="shared" si="10"/>
        <v>NAGRAK UTARA</v>
      </c>
      <c r="AH13" s="1789">
        <f t="shared" ref="AH13:AH25" si="11">D13</f>
        <v>0</v>
      </c>
      <c r="AI13" s="1792"/>
      <c r="AJ13" s="1792"/>
      <c r="AK13" s="1791"/>
      <c r="AL13" s="1791"/>
      <c r="AM13" s="1791"/>
      <c r="AN13" s="1791"/>
      <c r="AO13" s="1788">
        <f>SUM('KOLEKTIBILITAS-SPP PIHAK KE-3'!F13:G13)</f>
        <v>0</v>
      </c>
      <c r="AP13" s="1788">
        <f>'KOLEKTIBILITAS-SPP PIHAK KE-3'!H13</f>
        <v>0</v>
      </c>
      <c r="AQ13" s="1774">
        <f>AO13+AP13</f>
        <v>0</v>
      </c>
      <c r="AR13" s="1764" t="str">
        <f t="shared" ref="AR13:AR25" si="12">IF(SUM(AK13:AN13)=(AI13+AJ13),"BENAR","SALAH")</f>
        <v>BENAR</v>
      </c>
      <c r="AS13" s="1762">
        <f t="shared" ref="AS13:AT25" si="13">IF(AI13&gt;=1,1,0)</f>
        <v>0</v>
      </c>
      <c r="AT13" s="1762">
        <f t="shared" si="13"/>
        <v>0</v>
      </c>
      <c r="AU13" s="1762">
        <f t="shared" ref="AU13:AV25" si="14">IF(AO13&gt;=1,1,0)</f>
        <v>0</v>
      </c>
      <c r="AV13" s="1762">
        <f t="shared" si="14"/>
        <v>0</v>
      </c>
      <c r="AW13" s="1763">
        <f t="shared" ref="AW13:AX25" si="15">AS13-AU13</f>
        <v>0</v>
      </c>
      <c r="AX13" s="1763">
        <f t="shared" si="15"/>
        <v>0</v>
      </c>
    </row>
    <row r="14" spans="1:50" s="1762" customFormat="1" ht="23.25" customHeight="1">
      <c r="A14" s="1787">
        <v>3</v>
      </c>
      <c r="B14" s="1784" t="str">
        <f>'LPP-SPP PIHAK KE-3'!B95</f>
        <v>DARMAREJA</v>
      </c>
      <c r="C14" s="1783">
        <f>'LPP-SPP PIHAK KE-3'!D15</f>
        <v>0</v>
      </c>
      <c r="D14" s="1783">
        <f>'LPP-SPP PIHAK KE-3'!C95</f>
        <v>0</v>
      </c>
      <c r="E14" s="1881"/>
      <c r="F14" s="1881"/>
      <c r="G14" s="1776"/>
      <c r="H14" s="1776"/>
      <c r="I14" s="1775"/>
      <c r="J14" s="1775"/>
      <c r="K14" s="1775"/>
      <c r="L14" s="1776"/>
      <c r="M14" s="1776"/>
      <c r="N14" s="1783">
        <f t="shared" si="0"/>
        <v>0</v>
      </c>
      <c r="O14" s="1782" t="e">
        <f t="shared" ref="O14:O28" si="16">(N14/C14)*100%</f>
        <v>#DIV/0!</v>
      </c>
      <c r="P14" s="1764">
        <f t="shared" si="1"/>
        <v>0</v>
      </c>
      <c r="Q14" s="1764">
        <f t="shared" si="2"/>
        <v>0</v>
      </c>
      <c r="R14" s="1764">
        <f t="shared" si="3"/>
        <v>0</v>
      </c>
      <c r="S14" s="1781">
        <f t="shared" si="5"/>
        <v>3</v>
      </c>
      <c r="T14" s="1780" t="str">
        <f t="shared" si="5"/>
        <v>DARMAREJA</v>
      </c>
      <c r="U14" s="1779">
        <f t="shared" si="6"/>
        <v>0</v>
      </c>
      <c r="V14" s="1776">
        <f t="shared" si="4"/>
        <v>0</v>
      </c>
      <c r="W14" s="1881"/>
      <c r="X14" s="1881"/>
      <c r="Y14" s="1881"/>
      <c r="Z14" s="1881"/>
      <c r="AA14" s="1881"/>
      <c r="AB14" s="1880"/>
      <c r="AC14" s="1764" t="str">
        <f t="shared" si="7"/>
        <v>BENAR</v>
      </c>
      <c r="AD14" s="1764">
        <f t="shared" si="8"/>
        <v>0</v>
      </c>
      <c r="AE14" s="1764">
        <f t="shared" si="9"/>
        <v>0</v>
      </c>
      <c r="AF14" s="1778">
        <f t="shared" si="10"/>
        <v>3</v>
      </c>
      <c r="AG14" s="1777" t="str">
        <f t="shared" si="10"/>
        <v>DARMAREJA</v>
      </c>
      <c r="AH14" s="1789">
        <f t="shared" si="11"/>
        <v>0</v>
      </c>
      <c r="AI14" s="1790"/>
      <c r="AJ14" s="1790"/>
      <c r="AK14" s="1789"/>
      <c r="AL14" s="1789"/>
      <c r="AM14" s="1789"/>
      <c r="AN14" s="1789"/>
      <c r="AO14" s="1788">
        <f>SUM('KOLEKTIBILITAS-SPP PIHAK KE-3'!F14:G14)</f>
        <v>0</v>
      </c>
      <c r="AP14" s="1788">
        <f>'KOLEKTIBILITAS-SPP PIHAK KE-3'!H14</f>
        <v>0</v>
      </c>
      <c r="AQ14" s="1774">
        <f t="shared" ref="AQ14:AQ25" si="17">AO14+AP14</f>
        <v>0</v>
      </c>
      <c r="AR14" s="1764" t="str">
        <f t="shared" si="12"/>
        <v>BENAR</v>
      </c>
      <c r="AS14" s="1762">
        <f t="shared" si="13"/>
        <v>0</v>
      </c>
      <c r="AT14" s="1762">
        <f t="shared" si="13"/>
        <v>0</v>
      </c>
      <c r="AU14" s="1762">
        <f t="shared" si="14"/>
        <v>0</v>
      </c>
      <c r="AV14" s="1762">
        <f t="shared" si="14"/>
        <v>0</v>
      </c>
      <c r="AW14" s="1763">
        <f t="shared" si="15"/>
        <v>0</v>
      </c>
      <c r="AX14" s="1763">
        <f t="shared" si="15"/>
        <v>0</v>
      </c>
    </row>
    <row r="15" spans="1:50" s="1762" customFormat="1" ht="23.25" customHeight="1">
      <c r="A15" s="1785">
        <v>4</v>
      </c>
      <c r="B15" s="1784" t="str">
        <f>'LPP-SPP PIHAK KE-3'!B96</f>
        <v>BALEKAMBANG</v>
      </c>
      <c r="C15" s="1783">
        <f>'LPP-SPP PIHAK KE-3'!D16</f>
        <v>0</v>
      </c>
      <c r="D15" s="1783">
        <f>'LPP-SPP PIHAK KE-3'!C96</f>
        <v>0</v>
      </c>
      <c r="E15" s="1881"/>
      <c r="F15" s="1881"/>
      <c r="G15" s="1776"/>
      <c r="H15" s="1776"/>
      <c r="I15" s="1775"/>
      <c r="J15" s="1775"/>
      <c r="K15" s="1775"/>
      <c r="L15" s="1776"/>
      <c r="M15" s="1776"/>
      <c r="N15" s="1783">
        <f t="shared" si="0"/>
        <v>0</v>
      </c>
      <c r="O15" s="1782" t="e">
        <f t="shared" si="16"/>
        <v>#DIV/0!</v>
      </c>
      <c r="P15" s="1764">
        <f t="shared" si="1"/>
        <v>0</v>
      </c>
      <c r="Q15" s="1764">
        <f t="shared" si="2"/>
        <v>0</v>
      </c>
      <c r="R15" s="1764">
        <f t="shared" si="3"/>
        <v>0</v>
      </c>
      <c r="S15" s="1781">
        <f t="shared" si="5"/>
        <v>4</v>
      </c>
      <c r="T15" s="1780" t="str">
        <f t="shared" si="5"/>
        <v>BALEKAMBANG</v>
      </c>
      <c r="U15" s="1779">
        <f t="shared" si="6"/>
        <v>0</v>
      </c>
      <c r="V15" s="1776">
        <f t="shared" si="4"/>
        <v>0</v>
      </c>
      <c r="W15" s="1881"/>
      <c r="X15" s="1881"/>
      <c r="Y15" s="1881"/>
      <c r="Z15" s="1881"/>
      <c r="AA15" s="1881"/>
      <c r="AB15" s="1880"/>
      <c r="AC15" s="1764" t="str">
        <f t="shared" si="7"/>
        <v>BENAR</v>
      </c>
      <c r="AD15" s="1764">
        <f t="shared" si="8"/>
        <v>0</v>
      </c>
      <c r="AE15" s="1764">
        <f t="shared" si="9"/>
        <v>0</v>
      </c>
      <c r="AF15" s="1778">
        <f t="shared" si="10"/>
        <v>4</v>
      </c>
      <c r="AG15" s="1777" t="str">
        <f t="shared" si="10"/>
        <v>BALEKAMBANG</v>
      </c>
      <c r="AH15" s="1789">
        <f t="shared" si="11"/>
        <v>0</v>
      </c>
      <c r="AI15" s="1790"/>
      <c r="AJ15" s="1790"/>
      <c r="AK15" s="1789"/>
      <c r="AL15" s="1789"/>
      <c r="AM15" s="1789"/>
      <c r="AN15" s="1789"/>
      <c r="AO15" s="1788">
        <f>SUM('KOLEKTIBILITAS-SPP PIHAK KE-3'!F15:G15)</f>
        <v>0</v>
      </c>
      <c r="AP15" s="1788">
        <f>'KOLEKTIBILITAS-SPP PIHAK KE-3'!H15</f>
        <v>0</v>
      </c>
      <c r="AQ15" s="1774">
        <f t="shared" si="17"/>
        <v>0</v>
      </c>
      <c r="AR15" s="1764" t="str">
        <f t="shared" si="12"/>
        <v>BENAR</v>
      </c>
      <c r="AS15" s="1762">
        <f t="shared" si="13"/>
        <v>0</v>
      </c>
      <c r="AT15" s="1762">
        <f t="shared" si="13"/>
        <v>0</v>
      </c>
      <c r="AU15" s="1762">
        <f t="shared" si="14"/>
        <v>0</v>
      </c>
      <c r="AV15" s="1762">
        <f t="shared" si="14"/>
        <v>0</v>
      </c>
      <c r="AW15" s="1763">
        <f t="shared" si="15"/>
        <v>0</v>
      </c>
      <c r="AX15" s="1763">
        <f t="shared" si="15"/>
        <v>0</v>
      </c>
    </row>
    <row r="16" spans="1:50" s="1762" customFormat="1" ht="23.25" customHeight="1">
      <c r="A16" s="1787">
        <v>5</v>
      </c>
      <c r="B16" s="1784" t="str">
        <f>'LPP-SPP PIHAK KE-3'!B97</f>
        <v>NAGRAK SELATAN</v>
      </c>
      <c r="C16" s="1783">
        <f>'LPP-SPP PIHAK KE-3'!D17</f>
        <v>0</v>
      </c>
      <c r="D16" s="1783">
        <f>'LPP-SPP PIHAK KE-3'!C97</f>
        <v>0</v>
      </c>
      <c r="E16" s="1881"/>
      <c r="F16" s="1881"/>
      <c r="G16" s="1776"/>
      <c r="H16" s="1776"/>
      <c r="I16" s="1775"/>
      <c r="J16" s="1775"/>
      <c r="K16" s="1775"/>
      <c r="L16" s="1776"/>
      <c r="M16" s="1776"/>
      <c r="N16" s="1783">
        <f t="shared" si="0"/>
        <v>0</v>
      </c>
      <c r="O16" s="1782" t="e">
        <f t="shared" si="16"/>
        <v>#DIV/0!</v>
      </c>
      <c r="P16" s="1764">
        <f t="shared" si="1"/>
        <v>0</v>
      </c>
      <c r="Q16" s="1764">
        <f t="shared" si="2"/>
        <v>0</v>
      </c>
      <c r="R16" s="1764">
        <f t="shared" si="3"/>
        <v>0</v>
      </c>
      <c r="S16" s="1781">
        <f t="shared" si="5"/>
        <v>5</v>
      </c>
      <c r="T16" s="1780" t="str">
        <f t="shared" si="5"/>
        <v>NAGRAK SELATAN</v>
      </c>
      <c r="U16" s="1779">
        <f t="shared" si="6"/>
        <v>0</v>
      </c>
      <c r="V16" s="1776">
        <f t="shared" si="4"/>
        <v>0</v>
      </c>
      <c r="W16" s="1881"/>
      <c r="X16" s="1881"/>
      <c r="Y16" s="1881"/>
      <c r="Z16" s="1881"/>
      <c r="AA16" s="1881"/>
      <c r="AB16" s="1880"/>
      <c r="AC16" s="1764" t="str">
        <f t="shared" si="7"/>
        <v>BENAR</v>
      </c>
      <c r="AD16" s="1764">
        <f t="shared" si="8"/>
        <v>0</v>
      </c>
      <c r="AE16" s="1764">
        <f t="shared" si="9"/>
        <v>0</v>
      </c>
      <c r="AF16" s="1778">
        <f t="shared" si="10"/>
        <v>5</v>
      </c>
      <c r="AG16" s="1777" t="str">
        <f t="shared" si="10"/>
        <v>NAGRAK SELATAN</v>
      </c>
      <c r="AH16" s="1789">
        <f t="shared" si="11"/>
        <v>0</v>
      </c>
      <c r="AI16" s="1790"/>
      <c r="AJ16" s="1790"/>
      <c r="AK16" s="1789"/>
      <c r="AL16" s="1789"/>
      <c r="AM16" s="1789"/>
      <c r="AN16" s="1789"/>
      <c r="AO16" s="1788">
        <f>SUM('KOLEKTIBILITAS-SPP PIHAK KE-3'!F16:G16)</f>
        <v>0</v>
      </c>
      <c r="AP16" s="1788">
        <f>'KOLEKTIBILITAS-SPP PIHAK KE-3'!H16</f>
        <v>0</v>
      </c>
      <c r="AQ16" s="1774">
        <f t="shared" si="17"/>
        <v>0</v>
      </c>
      <c r="AR16" s="1764" t="str">
        <f t="shared" si="12"/>
        <v>BENAR</v>
      </c>
      <c r="AS16" s="1762">
        <f t="shared" si="13"/>
        <v>0</v>
      </c>
      <c r="AT16" s="1762">
        <f t="shared" si="13"/>
        <v>0</v>
      </c>
      <c r="AU16" s="1762">
        <f t="shared" si="14"/>
        <v>0</v>
      </c>
      <c r="AV16" s="1762">
        <f t="shared" si="14"/>
        <v>0</v>
      </c>
      <c r="AW16" s="1763">
        <f t="shared" si="15"/>
        <v>0</v>
      </c>
      <c r="AX16" s="1763">
        <f t="shared" si="15"/>
        <v>0</v>
      </c>
    </row>
    <row r="17" spans="1:50" s="1762" customFormat="1" ht="23.25" customHeight="1">
      <c r="A17" s="1785">
        <v>6</v>
      </c>
      <c r="B17" s="1784" t="str">
        <f>'LPP-SPP PIHAK KE-3'!B98</f>
        <v>KALAPAREA</v>
      </c>
      <c r="C17" s="1783">
        <f>'LPP-SPP PIHAK KE-3'!D18</f>
        <v>0</v>
      </c>
      <c r="D17" s="1783">
        <f>'LPP-SPP PIHAK KE-3'!C98</f>
        <v>0</v>
      </c>
      <c r="E17" s="1881"/>
      <c r="F17" s="1881"/>
      <c r="G17" s="1776"/>
      <c r="H17" s="1776"/>
      <c r="I17" s="1775"/>
      <c r="J17" s="1775"/>
      <c r="K17" s="1775"/>
      <c r="L17" s="1776"/>
      <c r="M17" s="1776"/>
      <c r="N17" s="1783">
        <f t="shared" si="0"/>
        <v>0</v>
      </c>
      <c r="O17" s="1782" t="e">
        <f t="shared" si="16"/>
        <v>#DIV/0!</v>
      </c>
      <c r="P17" s="1764">
        <f t="shared" si="1"/>
        <v>0</v>
      </c>
      <c r="Q17" s="1764">
        <f t="shared" si="2"/>
        <v>0</v>
      </c>
      <c r="R17" s="1764">
        <f t="shared" si="3"/>
        <v>0</v>
      </c>
      <c r="S17" s="1781">
        <f t="shared" si="5"/>
        <v>6</v>
      </c>
      <c r="T17" s="1780" t="str">
        <f t="shared" si="5"/>
        <v>KALAPAREA</v>
      </c>
      <c r="U17" s="1779">
        <f t="shared" si="6"/>
        <v>0</v>
      </c>
      <c r="V17" s="1776">
        <f t="shared" si="4"/>
        <v>0</v>
      </c>
      <c r="W17" s="1881"/>
      <c r="X17" s="1881"/>
      <c r="Y17" s="1881"/>
      <c r="Z17" s="1881"/>
      <c r="AA17" s="1881"/>
      <c r="AB17" s="1880"/>
      <c r="AC17" s="1764" t="str">
        <f t="shared" si="7"/>
        <v>BENAR</v>
      </c>
      <c r="AD17" s="1764">
        <f t="shared" si="8"/>
        <v>0</v>
      </c>
      <c r="AE17" s="1764">
        <f t="shared" si="9"/>
        <v>0</v>
      </c>
      <c r="AF17" s="1778">
        <f t="shared" si="10"/>
        <v>6</v>
      </c>
      <c r="AG17" s="1777" t="str">
        <f t="shared" si="10"/>
        <v>KALAPAREA</v>
      </c>
      <c r="AH17" s="1789">
        <f t="shared" si="11"/>
        <v>0</v>
      </c>
      <c r="AI17" s="1790"/>
      <c r="AJ17" s="1790"/>
      <c r="AK17" s="1789"/>
      <c r="AL17" s="1789"/>
      <c r="AM17" s="1789"/>
      <c r="AN17" s="1789"/>
      <c r="AO17" s="1788">
        <f>SUM('KOLEKTIBILITAS-SPP PIHAK KE-3'!F17:G17)</f>
        <v>0</v>
      </c>
      <c r="AP17" s="1788">
        <f>'KOLEKTIBILITAS-SPP PIHAK KE-3'!H17</f>
        <v>0</v>
      </c>
      <c r="AQ17" s="1774">
        <f t="shared" si="17"/>
        <v>0</v>
      </c>
      <c r="AR17" s="1764" t="str">
        <f t="shared" si="12"/>
        <v>BENAR</v>
      </c>
      <c r="AS17" s="1762">
        <f t="shared" si="13"/>
        <v>0</v>
      </c>
      <c r="AT17" s="1762">
        <f t="shared" si="13"/>
        <v>0</v>
      </c>
      <c r="AU17" s="1762">
        <f t="shared" si="14"/>
        <v>0</v>
      </c>
      <c r="AV17" s="1762">
        <f t="shared" si="14"/>
        <v>0</v>
      </c>
      <c r="AW17" s="1763">
        <f t="shared" si="15"/>
        <v>0</v>
      </c>
      <c r="AX17" s="1763">
        <f t="shared" si="15"/>
        <v>0</v>
      </c>
    </row>
    <row r="18" spans="1:50" s="1762" customFormat="1" ht="23.25" customHeight="1">
      <c r="A18" s="1787">
        <v>7</v>
      </c>
      <c r="B18" s="1784" t="str">
        <f>'LPP-SPP PIHAK KE-3'!B99</f>
        <v>BABAKAN PANJANG</v>
      </c>
      <c r="C18" s="1783">
        <f>'LPP-SPP PIHAK KE-3'!D19</f>
        <v>0</v>
      </c>
      <c r="D18" s="1783">
        <f>'LPP-SPP PIHAK KE-3'!C99</f>
        <v>0</v>
      </c>
      <c r="E18" s="1881"/>
      <c r="F18" s="1881"/>
      <c r="G18" s="1776"/>
      <c r="H18" s="1776"/>
      <c r="I18" s="1775"/>
      <c r="J18" s="1775"/>
      <c r="K18" s="1775"/>
      <c r="L18" s="1776"/>
      <c r="M18" s="1776"/>
      <c r="N18" s="1783">
        <f t="shared" si="0"/>
        <v>0</v>
      </c>
      <c r="O18" s="1782" t="e">
        <f t="shared" si="16"/>
        <v>#DIV/0!</v>
      </c>
      <c r="P18" s="1764">
        <f t="shared" si="1"/>
        <v>0</v>
      </c>
      <c r="Q18" s="1764">
        <f t="shared" si="2"/>
        <v>0</v>
      </c>
      <c r="R18" s="1764">
        <f t="shared" si="3"/>
        <v>0</v>
      </c>
      <c r="S18" s="1781">
        <f t="shared" si="5"/>
        <v>7</v>
      </c>
      <c r="T18" s="1780" t="str">
        <f t="shared" si="5"/>
        <v>BABAKAN PANJANG</v>
      </c>
      <c r="U18" s="1779">
        <f t="shared" si="6"/>
        <v>0</v>
      </c>
      <c r="V18" s="1776">
        <f t="shared" si="4"/>
        <v>0</v>
      </c>
      <c r="W18" s="1881"/>
      <c r="X18" s="1881"/>
      <c r="Y18" s="1881"/>
      <c r="Z18" s="1881"/>
      <c r="AA18" s="1881"/>
      <c r="AB18" s="1880"/>
      <c r="AC18" s="1764" t="str">
        <f t="shared" si="7"/>
        <v>BENAR</v>
      </c>
      <c r="AD18" s="1764">
        <f t="shared" si="8"/>
        <v>0</v>
      </c>
      <c r="AE18" s="1764">
        <f t="shared" si="9"/>
        <v>0</v>
      </c>
      <c r="AF18" s="1778">
        <f t="shared" si="10"/>
        <v>7</v>
      </c>
      <c r="AG18" s="1777" t="str">
        <f t="shared" si="10"/>
        <v>BABAKAN PANJANG</v>
      </c>
      <c r="AH18" s="1776">
        <f t="shared" si="11"/>
        <v>0</v>
      </c>
      <c r="AI18" s="1775"/>
      <c r="AJ18" s="1775"/>
      <c r="AK18" s="1776"/>
      <c r="AL18" s="1776"/>
      <c r="AM18" s="1776"/>
      <c r="AN18" s="1776"/>
      <c r="AO18" s="1786">
        <f>SUM('KOLEKTIBILITAS-SPP PIHAK KE-3'!F18:G18)</f>
        <v>0</v>
      </c>
      <c r="AP18" s="1786">
        <f>'KOLEKTIBILITAS-SPP PIHAK KE-3'!H18</f>
        <v>0</v>
      </c>
      <c r="AQ18" s="1774">
        <f t="shared" si="17"/>
        <v>0</v>
      </c>
      <c r="AR18" s="1764" t="str">
        <f t="shared" si="12"/>
        <v>BENAR</v>
      </c>
      <c r="AS18" s="1762">
        <f t="shared" si="13"/>
        <v>0</v>
      </c>
      <c r="AT18" s="1762">
        <f t="shared" si="13"/>
        <v>0</v>
      </c>
      <c r="AU18" s="1762">
        <f t="shared" si="14"/>
        <v>0</v>
      </c>
      <c r="AV18" s="1762">
        <f t="shared" si="14"/>
        <v>0</v>
      </c>
      <c r="AW18" s="1763">
        <f t="shared" si="15"/>
        <v>0</v>
      </c>
      <c r="AX18" s="1763">
        <f t="shared" si="15"/>
        <v>0</v>
      </c>
    </row>
    <row r="19" spans="1:50" s="1762" customFormat="1" ht="23.25" customHeight="1">
      <c r="A19" s="1785">
        <v>8</v>
      </c>
      <c r="B19" s="1784" t="str">
        <f>'LPP-SPP PIHAK KE-3'!B100</f>
        <v>PAWENANG</v>
      </c>
      <c r="C19" s="1783">
        <f>'LPP-SPP PIHAK KE-3'!D20</f>
        <v>0</v>
      </c>
      <c r="D19" s="1783">
        <f>'LPP-SPP PIHAK KE-3'!C100</f>
        <v>0</v>
      </c>
      <c r="E19" s="1881"/>
      <c r="F19" s="1881"/>
      <c r="G19" s="1776"/>
      <c r="H19" s="1776"/>
      <c r="I19" s="1775"/>
      <c r="J19" s="1775"/>
      <c r="K19" s="1775"/>
      <c r="L19" s="1776"/>
      <c r="M19" s="1776"/>
      <c r="N19" s="1783">
        <f t="shared" si="0"/>
        <v>0</v>
      </c>
      <c r="O19" s="1782" t="e">
        <f t="shared" si="16"/>
        <v>#DIV/0!</v>
      </c>
      <c r="P19" s="1764">
        <f t="shared" si="1"/>
        <v>0</v>
      </c>
      <c r="Q19" s="1764">
        <f t="shared" si="2"/>
        <v>0</v>
      </c>
      <c r="R19" s="1764">
        <f t="shared" si="3"/>
        <v>0</v>
      </c>
      <c r="S19" s="1781">
        <f t="shared" si="5"/>
        <v>8</v>
      </c>
      <c r="T19" s="1780" t="str">
        <f t="shared" si="5"/>
        <v>PAWENANG</v>
      </c>
      <c r="U19" s="1779">
        <f t="shared" si="6"/>
        <v>0</v>
      </c>
      <c r="V19" s="1776">
        <f t="shared" si="4"/>
        <v>0</v>
      </c>
      <c r="W19" s="1881"/>
      <c r="X19" s="1881"/>
      <c r="Y19" s="1881"/>
      <c r="Z19" s="1881"/>
      <c r="AA19" s="1881"/>
      <c r="AB19" s="1880"/>
      <c r="AC19" s="1764" t="str">
        <f t="shared" si="7"/>
        <v>BENAR</v>
      </c>
      <c r="AD19" s="1764">
        <f t="shared" si="8"/>
        <v>0</v>
      </c>
      <c r="AE19" s="1764">
        <f t="shared" si="9"/>
        <v>0</v>
      </c>
      <c r="AF19" s="1778">
        <f t="shared" si="10"/>
        <v>8</v>
      </c>
      <c r="AG19" s="1777" t="str">
        <f t="shared" si="10"/>
        <v>PAWENANG</v>
      </c>
      <c r="AH19" s="1776">
        <f t="shared" si="11"/>
        <v>0</v>
      </c>
      <c r="AI19" s="1775"/>
      <c r="AJ19" s="1775"/>
      <c r="AK19" s="1776"/>
      <c r="AL19" s="1776"/>
      <c r="AM19" s="1776"/>
      <c r="AN19" s="1776"/>
      <c r="AO19" s="1786">
        <f>SUM('KOLEKTIBILITAS-SPP PIHAK KE-3'!F19:G19)</f>
        <v>0</v>
      </c>
      <c r="AP19" s="1786">
        <f>'KOLEKTIBILITAS-SPP PIHAK KE-3'!H19</f>
        <v>0</v>
      </c>
      <c r="AQ19" s="1774">
        <f t="shared" si="17"/>
        <v>0</v>
      </c>
      <c r="AR19" s="1764" t="str">
        <f t="shared" si="12"/>
        <v>BENAR</v>
      </c>
      <c r="AS19" s="1762">
        <f t="shared" si="13"/>
        <v>0</v>
      </c>
      <c r="AT19" s="1762">
        <f t="shared" si="13"/>
        <v>0</v>
      </c>
      <c r="AU19" s="1762">
        <f t="shared" si="14"/>
        <v>0</v>
      </c>
      <c r="AV19" s="1762">
        <f t="shared" si="14"/>
        <v>0</v>
      </c>
      <c r="AW19" s="1763">
        <f t="shared" si="15"/>
        <v>0</v>
      </c>
      <c r="AX19" s="1763">
        <f t="shared" si="15"/>
        <v>0</v>
      </c>
    </row>
    <row r="20" spans="1:50" s="1762" customFormat="1" ht="23.25" customHeight="1">
      <c r="A20" s="1787">
        <v>9</v>
      </c>
      <c r="B20" s="1784" t="str">
        <f>'LPP-SPP PIHAK KE-3'!B101</f>
        <v>CISARUA</v>
      </c>
      <c r="C20" s="1783">
        <f>'LPP-SPP PIHAK KE-3'!D21</f>
        <v>0</v>
      </c>
      <c r="D20" s="1783">
        <f>'LPP-SPP PIHAK KE-3'!C101</f>
        <v>0</v>
      </c>
      <c r="E20" s="1881"/>
      <c r="F20" s="1881"/>
      <c r="G20" s="1776"/>
      <c r="H20" s="1776"/>
      <c r="I20" s="1775"/>
      <c r="J20" s="1775"/>
      <c r="K20" s="1775"/>
      <c r="L20" s="1776"/>
      <c r="M20" s="1776"/>
      <c r="N20" s="1783">
        <f t="shared" si="0"/>
        <v>0</v>
      </c>
      <c r="O20" s="1782" t="e">
        <f t="shared" si="16"/>
        <v>#DIV/0!</v>
      </c>
      <c r="P20" s="1764">
        <f t="shared" si="1"/>
        <v>0</v>
      </c>
      <c r="Q20" s="1764">
        <f t="shared" si="2"/>
        <v>0</v>
      </c>
      <c r="R20" s="1764">
        <f t="shared" si="3"/>
        <v>0</v>
      </c>
      <c r="S20" s="1781">
        <f t="shared" si="5"/>
        <v>9</v>
      </c>
      <c r="T20" s="1780" t="str">
        <f t="shared" si="5"/>
        <v>CISARUA</v>
      </c>
      <c r="U20" s="1779">
        <f t="shared" si="6"/>
        <v>0</v>
      </c>
      <c r="V20" s="1776">
        <f t="shared" si="4"/>
        <v>0</v>
      </c>
      <c r="W20" s="1881"/>
      <c r="X20" s="1881"/>
      <c r="Y20" s="1881"/>
      <c r="Z20" s="1881"/>
      <c r="AA20" s="1881"/>
      <c r="AB20" s="1880"/>
      <c r="AC20" s="1764" t="str">
        <f t="shared" si="7"/>
        <v>BENAR</v>
      </c>
      <c r="AD20" s="1764">
        <f t="shared" si="8"/>
        <v>0</v>
      </c>
      <c r="AE20" s="1764">
        <f t="shared" si="9"/>
        <v>0</v>
      </c>
      <c r="AF20" s="1778">
        <f t="shared" si="10"/>
        <v>9</v>
      </c>
      <c r="AG20" s="1777" t="str">
        <f t="shared" si="10"/>
        <v>CISARUA</v>
      </c>
      <c r="AH20" s="1776">
        <f t="shared" si="11"/>
        <v>0</v>
      </c>
      <c r="AI20" s="1775"/>
      <c r="AJ20" s="1775"/>
      <c r="AK20" s="1776"/>
      <c r="AL20" s="1776"/>
      <c r="AM20" s="1776"/>
      <c r="AN20" s="1776"/>
      <c r="AO20" s="1786">
        <f>SUM('KOLEKTIBILITAS-SPP PIHAK KE-3'!F20:G20)</f>
        <v>0</v>
      </c>
      <c r="AP20" s="1786">
        <f>'KOLEKTIBILITAS-SPP PIHAK KE-3'!H20</f>
        <v>0</v>
      </c>
      <c r="AQ20" s="1774">
        <f t="shared" si="17"/>
        <v>0</v>
      </c>
      <c r="AR20" s="1764" t="str">
        <f t="shared" si="12"/>
        <v>BENAR</v>
      </c>
      <c r="AS20" s="1762">
        <f t="shared" si="13"/>
        <v>0</v>
      </c>
      <c r="AT20" s="1762">
        <f t="shared" si="13"/>
        <v>0</v>
      </c>
      <c r="AU20" s="1762">
        <f t="shared" si="14"/>
        <v>0</v>
      </c>
      <c r="AV20" s="1762">
        <f t="shared" si="14"/>
        <v>0</v>
      </c>
      <c r="AW20" s="1763">
        <f t="shared" si="15"/>
        <v>0</v>
      </c>
      <c r="AX20" s="1763">
        <f t="shared" si="15"/>
        <v>0</v>
      </c>
    </row>
    <row r="21" spans="1:50" s="1762" customFormat="1" ht="23.25" customHeight="1">
      <c r="A21" s="1785">
        <v>10</v>
      </c>
      <c r="B21" s="1784" t="str">
        <f>'LPP-SPP PIHAK KE-3'!B102</f>
        <v>GIRIJAYA</v>
      </c>
      <c r="C21" s="1783">
        <f>'LPP-SPP PIHAK KE-3'!D22</f>
        <v>0</v>
      </c>
      <c r="D21" s="1783">
        <f>'LPP-SPP PIHAK KE-3'!C102</f>
        <v>0</v>
      </c>
      <c r="E21" s="1881"/>
      <c r="F21" s="1881"/>
      <c r="G21" s="1776"/>
      <c r="H21" s="1776"/>
      <c r="I21" s="1775"/>
      <c r="J21" s="1775"/>
      <c r="K21" s="1775"/>
      <c r="L21" s="1776"/>
      <c r="M21" s="1776"/>
      <c r="N21" s="1783">
        <f t="shared" si="0"/>
        <v>0</v>
      </c>
      <c r="O21" s="1782" t="e">
        <f t="shared" si="16"/>
        <v>#DIV/0!</v>
      </c>
      <c r="P21" s="1764">
        <f t="shared" si="1"/>
        <v>0</v>
      </c>
      <c r="Q21" s="1764">
        <f t="shared" si="2"/>
        <v>0</v>
      </c>
      <c r="R21" s="1764">
        <f t="shared" si="3"/>
        <v>0</v>
      </c>
      <c r="S21" s="1781">
        <f t="shared" si="5"/>
        <v>10</v>
      </c>
      <c r="T21" s="1780" t="str">
        <f t="shared" si="5"/>
        <v>GIRIJAYA</v>
      </c>
      <c r="U21" s="1779">
        <f t="shared" si="6"/>
        <v>0</v>
      </c>
      <c r="V21" s="1776">
        <f t="shared" si="4"/>
        <v>0</v>
      </c>
      <c r="W21" s="1881"/>
      <c r="X21" s="1881"/>
      <c r="Y21" s="1881"/>
      <c r="Z21" s="1881"/>
      <c r="AA21" s="1881"/>
      <c r="AB21" s="1880"/>
      <c r="AC21" s="1764" t="str">
        <f t="shared" si="7"/>
        <v>BENAR</v>
      </c>
      <c r="AD21" s="1764">
        <f t="shared" si="8"/>
        <v>0</v>
      </c>
      <c r="AE21" s="1764">
        <f t="shared" si="9"/>
        <v>0</v>
      </c>
      <c r="AF21" s="1778">
        <f t="shared" si="10"/>
        <v>10</v>
      </c>
      <c r="AG21" s="1777" t="str">
        <f t="shared" si="10"/>
        <v>GIRIJAYA</v>
      </c>
      <c r="AH21" s="1776">
        <f t="shared" si="11"/>
        <v>0</v>
      </c>
      <c r="AI21" s="1775"/>
      <c r="AJ21" s="1775"/>
      <c r="AK21" s="1776"/>
      <c r="AL21" s="1776"/>
      <c r="AM21" s="1776"/>
      <c r="AN21" s="1776"/>
      <c r="AO21" s="1786">
        <f>SUM('KOLEKTIBILITAS-SPP PIHAK KE-3'!F21:G21)</f>
        <v>0</v>
      </c>
      <c r="AP21" s="1786">
        <f>'KOLEKTIBILITAS-SPP PIHAK KE-3'!H21</f>
        <v>0</v>
      </c>
      <c r="AQ21" s="1774">
        <f t="shared" si="17"/>
        <v>0</v>
      </c>
      <c r="AR21" s="1764" t="str">
        <f t="shared" si="12"/>
        <v>BENAR</v>
      </c>
      <c r="AS21" s="1762">
        <f t="shared" si="13"/>
        <v>0</v>
      </c>
      <c r="AT21" s="1762">
        <f t="shared" si="13"/>
        <v>0</v>
      </c>
      <c r="AU21" s="1762">
        <f t="shared" si="14"/>
        <v>0</v>
      </c>
      <c r="AV21" s="1762">
        <f t="shared" si="14"/>
        <v>0</v>
      </c>
      <c r="AW21" s="1763">
        <f t="shared" si="15"/>
        <v>0</v>
      </c>
      <c r="AX21" s="1763">
        <f t="shared" si="15"/>
        <v>0</v>
      </c>
    </row>
    <row r="22" spans="1:50" s="1762" customFormat="1" ht="23.25" customHeight="1">
      <c r="A22" s="1787">
        <v>11</v>
      </c>
      <c r="B22" s="1784">
        <f>'LPP-SPP PIHAK KE-3'!B103</f>
        <v>0</v>
      </c>
      <c r="C22" s="1783">
        <f>'LPP-SPP PIHAK KE-3'!D23</f>
        <v>0</v>
      </c>
      <c r="D22" s="1783">
        <f>'LPP-SPP PIHAK KE-3'!C103</f>
        <v>0</v>
      </c>
      <c r="E22" s="1881"/>
      <c r="F22" s="1881"/>
      <c r="G22" s="1776"/>
      <c r="H22" s="1776"/>
      <c r="I22" s="1775"/>
      <c r="J22" s="1775"/>
      <c r="K22" s="1775"/>
      <c r="L22" s="1776"/>
      <c r="M22" s="1776"/>
      <c r="N22" s="1783">
        <f t="shared" si="0"/>
        <v>0</v>
      </c>
      <c r="O22" s="1782" t="e">
        <f t="shared" si="16"/>
        <v>#DIV/0!</v>
      </c>
      <c r="P22" s="1764">
        <f t="shared" si="1"/>
        <v>0</v>
      </c>
      <c r="Q22" s="1764">
        <f t="shared" si="2"/>
        <v>0</v>
      </c>
      <c r="R22" s="1764">
        <f t="shared" si="3"/>
        <v>0</v>
      </c>
      <c r="S22" s="1781">
        <f t="shared" si="5"/>
        <v>11</v>
      </c>
      <c r="T22" s="1780">
        <f t="shared" si="5"/>
        <v>0</v>
      </c>
      <c r="U22" s="1779">
        <f t="shared" si="6"/>
        <v>0</v>
      </c>
      <c r="V22" s="1776">
        <f t="shared" si="4"/>
        <v>0</v>
      </c>
      <c r="W22" s="1881"/>
      <c r="X22" s="1881"/>
      <c r="Y22" s="1881"/>
      <c r="Z22" s="1881"/>
      <c r="AA22" s="1881"/>
      <c r="AB22" s="1880"/>
      <c r="AC22" s="1764" t="str">
        <f t="shared" si="7"/>
        <v>BENAR</v>
      </c>
      <c r="AD22" s="1764">
        <f t="shared" si="8"/>
        <v>0</v>
      </c>
      <c r="AE22" s="1764">
        <f t="shared" si="9"/>
        <v>0</v>
      </c>
      <c r="AF22" s="1778">
        <f t="shared" si="10"/>
        <v>11</v>
      </c>
      <c r="AG22" s="1777">
        <f t="shared" si="10"/>
        <v>0</v>
      </c>
      <c r="AH22" s="1776">
        <f t="shared" si="11"/>
        <v>0</v>
      </c>
      <c r="AI22" s="1775"/>
      <c r="AJ22" s="1775"/>
      <c r="AK22" s="1776"/>
      <c r="AL22" s="1776"/>
      <c r="AM22" s="1776"/>
      <c r="AN22" s="1776"/>
      <c r="AO22" s="1786">
        <f>SUM('KOLEKTIBILITAS-SPP PIHAK KE-3'!F22:G22)</f>
        <v>0</v>
      </c>
      <c r="AP22" s="1786">
        <f>'KOLEKTIBILITAS-SPP PIHAK KE-3'!H22</f>
        <v>0</v>
      </c>
      <c r="AQ22" s="1774">
        <f t="shared" si="17"/>
        <v>0</v>
      </c>
      <c r="AR22" s="1764" t="str">
        <f t="shared" si="12"/>
        <v>BENAR</v>
      </c>
      <c r="AS22" s="1762">
        <f t="shared" si="13"/>
        <v>0</v>
      </c>
      <c r="AT22" s="1762">
        <f t="shared" si="13"/>
        <v>0</v>
      </c>
      <c r="AU22" s="1762">
        <f t="shared" si="14"/>
        <v>0</v>
      </c>
      <c r="AV22" s="1762">
        <f t="shared" si="14"/>
        <v>0</v>
      </c>
      <c r="AW22" s="1763">
        <f t="shared" si="15"/>
        <v>0</v>
      </c>
      <c r="AX22" s="1763">
        <f t="shared" si="15"/>
        <v>0</v>
      </c>
    </row>
    <row r="23" spans="1:50" s="1762" customFormat="1" ht="23.25" customHeight="1">
      <c r="A23" s="1785">
        <v>12</v>
      </c>
      <c r="B23" s="1784">
        <f>'LPP-SPP PIHAK KE-3'!B104</f>
        <v>0</v>
      </c>
      <c r="C23" s="1783">
        <f>'LPP-SPP PIHAK KE-3'!D24</f>
        <v>0</v>
      </c>
      <c r="D23" s="1783">
        <f>'LPP-SPP PIHAK KE-3'!C104</f>
        <v>0</v>
      </c>
      <c r="E23" s="1881"/>
      <c r="F23" s="1881"/>
      <c r="G23" s="1776"/>
      <c r="H23" s="1776"/>
      <c r="I23" s="1775"/>
      <c r="J23" s="1775"/>
      <c r="K23" s="1775"/>
      <c r="L23" s="1776"/>
      <c r="M23" s="1776"/>
      <c r="N23" s="1783">
        <f>D23-C23</f>
        <v>0</v>
      </c>
      <c r="O23" s="1782" t="e">
        <f>(N23/C23)*100%</f>
        <v>#DIV/0!</v>
      </c>
      <c r="P23" s="1764">
        <f t="shared" si="1"/>
        <v>0</v>
      </c>
      <c r="Q23" s="1764">
        <f t="shared" si="2"/>
        <v>0</v>
      </c>
      <c r="R23" s="1764">
        <f t="shared" si="3"/>
        <v>0</v>
      </c>
      <c r="S23" s="1781">
        <f t="shared" si="5"/>
        <v>12</v>
      </c>
      <c r="T23" s="1780">
        <f t="shared" si="5"/>
        <v>0</v>
      </c>
      <c r="U23" s="1779">
        <f t="shared" si="6"/>
        <v>0</v>
      </c>
      <c r="V23" s="1776">
        <f t="shared" si="4"/>
        <v>0</v>
      </c>
      <c r="W23" s="1881"/>
      <c r="X23" s="1881"/>
      <c r="Y23" s="1881"/>
      <c r="Z23" s="1881"/>
      <c r="AA23" s="1881"/>
      <c r="AB23" s="1880"/>
      <c r="AC23" s="1764" t="str">
        <f t="shared" si="7"/>
        <v>BENAR</v>
      </c>
      <c r="AD23" s="1764">
        <f t="shared" si="8"/>
        <v>0</v>
      </c>
      <c r="AE23" s="1764">
        <f t="shared" si="9"/>
        <v>0</v>
      </c>
      <c r="AF23" s="1778">
        <f t="shared" si="10"/>
        <v>12</v>
      </c>
      <c r="AG23" s="1777">
        <f t="shared" si="10"/>
        <v>0</v>
      </c>
      <c r="AH23" s="1776">
        <f t="shared" si="11"/>
        <v>0</v>
      </c>
      <c r="AI23" s="1775"/>
      <c r="AJ23" s="1775"/>
      <c r="AK23" s="1776"/>
      <c r="AL23" s="1776"/>
      <c r="AM23" s="1776"/>
      <c r="AN23" s="1776"/>
      <c r="AO23" s="1786">
        <f>SUM('KOLEKTIBILITAS-SPP PIHAK KE-3'!F23:G23)</f>
        <v>0</v>
      </c>
      <c r="AP23" s="1786">
        <f>'KOLEKTIBILITAS-SPP PIHAK KE-3'!H23</f>
        <v>0</v>
      </c>
      <c r="AQ23" s="1774">
        <f t="shared" si="17"/>
        <v>0</v>
      </c>
      <c r="AR23" s="1764" t="str">
        <f t="shared" si="12"/>
        <v>BENAR</v>
      </c>
      <c r="AS23" s="1762">
        <f t="shared" si="13"/>
        <v>0</v>
      </c>
      <c r="AT23" s="1762">
        <f t="shared" si="13"/>
        <v>0</v>
      </c>
      <c r="AU23" s="1762">
        <f t="shared" si="14"/>
        <v>0</v>
      </c>
      <c r="AV23" s="1762">
        <f t="shared" si="14"/>
        <v>0</v>
      </c>
      <c r="AW23" s="1763">
        <f t="shared" si="15"/>
        <v>0</v>
      </c>
      <c r="AX23" s="1763">
        <f t="shared" si="15"/>
        <v>0</v>
      </c>
    </row>
    <row r="24" spans="1:50" s="1762" customFormat="1" ht="23.25" customHeight="1">
      <c r="A24" s="1787">
        <v>13</v>
      </c>
      <c r="B24" s="1784">
        <f>'LPP-SPP PIHAK KE-3'!B105</f>
        <v>0</v>
      </c>
      <c r="C24" s="1783">
        <f>'LPP-SPP PIHAK KE-3'!D25</f>
        <v>0</v>
      </c>
      <c r="D24" s="1783">
        <f>'LPP-SPP PIHAK KE-3'!C105</f>
        <v>0</v>
      </c>
      <c r="E24" s="1881"/>
      <c r="F24" s="1881"/>
      <c r="G24" s="1776"/>
      <c r="H24" s="1776"/>
      <c r="I24" s="1775"/>
      <c r="J24" s="1775"/>
      <c r="K24" s="1775"/>
      <c r="L24" s="1776"/>
      <c r="M24" s="1776"/>
      <c r="N24" s="1783">
        <f t="shared" si="0"/>
        <v>0</v>
      </c>
      <c r="O24" s="1782" t="e">
        <f t="shared" si="16"/>
        <v>#DIV/0!</v>
      </c>
      <c r="P24" s="1764">
        <f t="shared" si="1"/>
        <v>0</v>
      </c>
      <c r="Q24" s="1764">
        <f t="shared" si="2"/>
        <v>0</v>
      </c>
      <c r="R24" s="1764">
        <f t="shared" si="3"/>
        <v>0</v>
      </c>
      <c r="S24" s="1781">
        <f t="shared" si="5"/>
        <v>13</v>
      </c>
      <c r="T24" s="1780">
        <f t="shared" si="5"/>
        <v>0</v>
      </c>
      <c r="U24" s="1779">
        <f t="shared" si="6"/>
        <v>0</v>
      </c>
      <c r="V24" s="1776">
        <f t="shared" si="4"/>
        <v>0</v>
      </c>
      <c r="W24" s="1881"/>
      <c r="X24" s="1881"/>
      <c r="Y24" s="1881"/>
      <c r="Z24" s="1881"/>
      <c r="AA24" s="1881"/>
      <c r="AB24" s="1880"/>
      <c r="AC24" s="1764" t="str">
        <f t="shared" si="7"/>
        <v>BENAR</v>
      </c>
      <c r="AD24" s="1764">
        <f t="shared" si="8"/>
        <v>0</v>
      </c>
      <c r="AE24" s="1764">
        <f t="shared" si="9"/>
        <v>0</v>
      </c>
      <c r="AF24" s="1778">
        <f t="shared" si="10"/>
        <v>13</v>
      </c>
      <c r="AG24" s="1777">
        <f t="shared" si="10"/>
        <v>0</v>
      </c>
      <c r="AH24" s="1776">
        <f t="shared" si="11"/>
        <v>0</v>
      </c>
      <c r="AI24" s="1775"/>
      <c r="AJ24" s="1775"/>
      <c r="AK24" s="1776"/>
      <c r="AL24" s="1776"/>
      <c r="AM24" s="1776"/>
      <c r="AN24" s="1776"/>
      <c r="AO24" s="1786">
        <f>SUM('KOLEKTIBILITAS-SPP PIHAK KE-3'!F24:G24)</f>
        <v>0</v>
      </c>
      <c r="AP24" s="1786">
        <f>'KOLEKTIBILITAS-SPP PIHAK KE-3'!H24</f>
        <v>0</v>
      </c>
      <c r="AQ24" s="1774">
        <f t="shared" si="17"/>
        <v>0</v>
      </c>
      <c r="AR24" s="1764" t="str">
        <f t="shared" si="12"/>
        <v>BENAR</v>
      </c>
      <c r="AS24" s="1762">
        <f t="shared" si="13"/>
        <v>0</v>
      </c>
      <c r="AT24" s="1762">
        <f t="shared" si="13"/>
        <v>0</v>
      </c>
      <c r="AU24" s="1762">
        <f t="shared" si="14"/>
        <v>0</v>
      </c>
      <c r="AV24" s="1762">
        <f t="shared" si="14"/>
        <v>0</v>
      </c>
      <c r="AW24" s="1763">
        <f t="shared" si="15"/>
        <v>0</v>
      </c>
      <c r="AX24" s="1763">
        <f t="shared" si="15"/>
        <v>0</v>
      </c>
    </row>
    <row r="25" spans="1:50" s="1762" customFormat="1" ht="23.25" customHeight="1">
      <c r="A25" s="1785">
        <v>14</v>
      </c>
      <c r="B25" s="1784">
        <f>'LPP-SPP PIHAK KE-3'!B106</f>
        <v>0</v>
      </c>
      <c r="C25" s="1783">
        <f>'LPP-SPP PIHAK KE-3'!D26</f>
        <v>0</v>
      </c>
      <c r="D25" s="1783">
        <f>'LPP-SPP PIHAK KE-3'!C106</f>
        <v>0</v>
      </c>
      <c r="E25" s="1881"/>
      <c r="F25" s="1881"/>
      <c r="G25" s="1776"/>
      <c r="H25" s="1776"/>
      <c r="I25" s="1775"/>
      <c r="J25" s="1775"/>
      <c r="K25" s="1775"/>
      <c r="L25" s="1776"/>
      <c r="M25" s="1776"/>
      <c r="N25" s="1783">
        <f t="shared" si="0"/>
        <v>0</v>
      </c>
      <c r="O25" s="1782" t="e">
        <f t="shared" si="16"/>
        <v>#DIV/0!</v>
      </c>
      <c r="P25" s="1764">
        <f t="shared" si="1"/>
        <v>0</v>
      </c>
      <c r="Q25" s="1764">
        <f t="shared" si="2"/>
        <v>0</v>
      </c>
      <c r="R25" s="1764">
        <f t="shared" si="3"/>
        <v>0</v>
      </c>
      <c r="S25" s="1781">
        <f t="shared" si="5"/>
        <v>14</v>
      </c>
      <c r="T25" s="1780">
        <f t="shared" si="5"/>
        <v>0</v>
      </c>
      <c r="U25" s="1779">
        <f t="shared" si="6"/>
        <v>0</v>
      </c>
      <c r="V25" s="1776">
        <f>G25+H25</f>
        <v>0</v>
      </c>
      <c r="W25" s="1881"/>
      <c r="X25" s="1881"/>
      <c r="Y25" s="1881"/>
      <c r="Z25" s="1881"/>
      <c r="AA25" s="1881"/>
      <c r="AB25" s="1880"/>
      <c r="AC25" s="1764" t="str">
        <f t="shared" si="7"/>
        <v>BENAR</v>
      </c>
      <c r="AD25" s="1764">
        <f t="shared" si="8"/>
        <v>0</v>
      </c>
      <c r="AE25" s="1764">
        <f t="shared" si="9"/>
        <v>0</v>
      </c>
      <c r="AF25" s="1778">
        <f t="shared" si="10"/>
        <v>14</v>
      </c>
      <c r="AG25" s="1777">
        <f t="shared" si="10"/>
        <v>0</v>
      </c>
      <c r="AH25" s="1776">
        <f t="shared" si="11"/>
        <v>0</v>
      </c>
      <c r="AI25" s="1775"/>
      <c r="AJ25" s="1775"/>
      <c r="AK25" s="1776"/>
      <c r="AL25" s="1776"/>
      <c r="AM25" s="1776"/>
      <c r="AN25" s="1776"/>
      <c r="AO25" s="1775">
        <f>SUM('KOLEKTIBILITAS-SPP PIHAK KE-3'!F25:G25)</f>
        <v>0</v>
      </c>
      <c r="AP25" s="1775">
        <f>'KOLEKTIBILITAS-SPP PIHAK KE-3'!H25</f>
        <v>0</v>
      </c>
      <c r="AQ25" s="1774">
        <f t="shared" si="17"/>
        <v>0</v>
      </c>
      <c r="AR25" s="1764" t="str">
        <f t="shared" si="12"/>
        <v>BENAR</v>
      </c>
      <c r="AS25" s="1762">
        <f t="shared" si="13"/>
        <v>0</v>
      </c>
      <c r="AT25" s="1762">
        <f t="shared" si="13"/>
        <v>0</v>
      </c>
      <c r="AU25" s="1762">
        <f t="shared" si="14"/>
        <v>0</v>
      </c>
      <c r="AV25" s="1762">
        <f t="shared" si="14"/>
        <v>0</v>
      </c>
      <c r="AW25" s="1763">
        <f t="shared" si="15"/>
        <v>0</v>
      </c>
      <c r="AX25" s="1763">
        <f t="shared" si="15"/>
        <v>0</v>
      </c>
    </row>
    <row r="26" spans="1:50" s="1762" customFormat="1" ht="23.25" customHeight="1">
      <c r="A26" s="1787">
        <v>15</v>
      </c>
      <c r="B26" s="1784">
        <f>'LPP-SPP PIHAK KE-3'!B107</f>
        <v>0</v>
      </c>
      <c r="C26" s="1783">
        <f>'LPP-SPP PIHAK KE-3'!D27</f>
        <v>0</v>
      </c>
      <c r="D26" s="1783">
        <f>'LPP-SPP PIHAK KE-3'!C107</f>
        <v>0</v>
      </c>
      <c r="E26" s="1881"/>
      <c r="F26" s="1881"/>
      <c r="G26" s="1776"/>
      <c r="H26" s="1776"/>
      <c r="I26" s="1775"/>
      <c r="J26" s="1775"/>
      <c r="K26" s="1775"/>
      <c r="L26" s="1776"/>
      <c r="M26" s="1776"/>
      <c r="N26" s="1783">
        <f>D26-C26</f>
        <v>0</v>
      </c>
      <c r="O26" s="1782" t="e">
        <f>(N26/C26)*100%</f>
        <v>#DIV/0!</v>
      </c>
      <c r="P26" s="1764">
        <f>D26-SUM(E26:H26)</f>
        <v>0</v>
      </c>
      <c r="Q26" s="1764">
        <f>D26-SUM(I26:K26)</f>
        <v>0</v>
      </c>
      <c r="R26" s="1764">
        <f>D26-(L26+M26)</f>
        <v>0</v>
      </c>
      <c r="S26" s="1781">
        <f>A26</f>
        <v>15</v>
      </c>
      <c r="T26" s="1780">
        <f>B26</f>
        <v>0</v>
      </c>
      <c r="U26" s="1779">
        <f>D26</f>
        <v>0</v>
      </c>
      <c r="V26" s="1776">
        <f>G26+H26</f>
        <v>0</v>
      </c>
      <c r="W26" s="1881"/>
      <c r="X26" s="1881"/>
      <c r="Y26" s="1881"/>
      <c r="Z26" s="1881"/>
      <c r="AA26" s="1881"/>
      <c r="AB26" s="1880"/>
      <c r="AC26" s="1764" t="str">
        <f>IF(SUM(V26:AB26)=U26,"BENAR","SALAH")</f>
        <v>BENAR</v>
      </c>
      <c r="AD26" s="1764">
        <f>E26+F26-W26-X26-Y26-Z26-AA26-AB26</f>
        <v>0</v>
      </c>
      <c r="AE26" s="1764">
        <f>G26+H26-V26</f>
        <v>0</v>
      </c>
      <c r="AF26" s="1778">
        <f>S26</f>
        <v>15</v>
      </c>
      <c r="AG26" s="1777">
        <f>T26</f>
        <v>0</v>
      </c>
      <c r="AH26" s="1776">
        <f>D26</f>
        <v>0</v>
      </c>
      <c r="AI26" s="1775"/>
      <c r="AJ26" s="1775"/>
      <c r="AK26" s="1776"/>
      <c r="AL26" s="1776"/>
      <c r="AM26" s="1776"/>
      <c r="AN26" s="1776"/>
      <c r="AO26" s="1786">
        <f>SUM('KOLEKTIBILITAS-SPP PIHAK KE-3'!F26:G26)</f>
        <v>0</v>
      </c>
      <c r="AP26" s="1786">
        <f>'KOLEKTIBILITAS-SPP PIHAK KE-3'!H26</f>
        <v>0</v>
      </c>
      <c r="AQ26" s="1774">
        <f>AO26+AP26</f>
        <v>0</v>
      </c>
      <c r="AR26" s="1764" t="str">
        <f>IF(SUM(AK26:AN26)=(AI26+AJ26),"BENAR","SALAH")</f>
        <v>BENAR</v>
      </c>
      <c r="AS26" s="1762">
        <f>IF(AI26&gt;=1,1,0)</f>
        <v>0</v>
      </c>
      <c r="AT26" s="1762">
        <f>IF(AJ26&gt;=1,1,0)</f>
        <v>0</v>
      </c>
      <c r="AU26" s="1762">
        <f>IF(AO26&gt;=1,1,0)</f>
        <v>0</v>
      </c>
      <c r="AV26" s="1762">
        <f>IF(AP26&gt;=1,1,0)</f>
        <v>0</v>
      </c>
      <c r="AW26" s="1763">
        <f>AS26-AU26</f>
        <v>0</v>
      </c>
      <c r="AX26" s="1763">
        <f>AT26-AV26</f>
        <v>0</v>
      </c>
    </row>
    <row r="27" spans="1:50" s="1762" customFormat="1" ht="23.25" customHeight="1">
      <c r="A27" s="1785">
        <v>16</v>
      </c>
      <c r="B27" s="1784">
        <f>'LPP-SPP PIHAK KE-3'!B108</f>
        <v>0</v>
      </c>
      <c r="C27" s="1783">
        <f>'LPP-SPP PIHAK KE-3'!D28</f>
        <v>0</v>
      </c>
      <c r="D27" s="1783">
        <f>'LPP-SPP PIHAK KE-3'!C108</f>
        <v>0</v>
      </c>
      <c r="E27" s="1881"/>
      <c r="F27" s="1881"/>
      <c r="G27" s="1776"/>
      <c r="H27" s="1776"/>
      <c r="I27" s="1775"/>
      <c r="J27" s="1775"/>
      <c r="K27" s="1775"/>
      <c r="L27" s="1776"/>
      <c r="M27" s="1776"/>
      <c r="N27" s="1783">
        <f>D27-C27</f>
        <v>0</v>
      </c>
      <c r="O27" s="1782" t="e">
        <f>(N27/C27)*100%</f>
        <v>#DIV/0!</v>
      </c>
      <c r="P27" s="1764">
        <f>D27-SUM(E27:H27)</f>
        <v>0</v>
      </c>
      <c r="Q27" s="1764">
        <f>D27-SUM(I27:K27)</f>
        <v>0</v>
      </c>
      <c r="R27" s="1764">
        <f>D27-(L27+M27)</f>
        <v>0</v>
      </c>
      <c r="S27" s="1781">
        <f>A27</f>
        <v>16</v>
      </c>
      <c r="T27" s="1780">
        <f>B27</f>
        <v>0</v>
      </c>
      <c r="U27" s="1779">
        <f>D27</f>
        <v>0</v>
      </c>
      <c r="V27" s="1776">
        <f>G27+H27</f>
        <v>0</v>
      </c>
      <c r="W27" s="1881"/>
      <c r="X27" s="1881"/>
      <c r="Y27" s="1881"/>
      <c r="Z27" s="1881"/>
      <c r="AA27" s="1881"/>
      <c r="AB27" s="1880"/>
      <c r="AC27" s="1764" t="str">
        <f>IF(SUM(V27:AB27)=U27,"BENAR","SALAH")</f>
        <v>BENAR</v>
      </c>
      <c r="AD27" s="1764">
        <f>E27+F27-W27-X27-Y27-Z27-AA27-AB27</f>
        <v>0</v>
      </c>
      <c r="AE27" s="1764">
        <f>G27+H27-V27</f>
        <v>0</v>
      </c>
      <c r="AF27" s="1778">
        <f>S27</f>
        <v>16</v>
      </c>
      <c r="AG27" s="1777">
        <f>T27</f>
        <v>0</v>
      </c>
      <c r="AH27" s="1776">
        <f>D27</f>
        <v>0</v>
      </c>
      <c r="AI27" s="1775"/>
      <c r="AJ27" s="1775"/>
      <c r="AK27" s="1776"/>
      <c r="AL27" s="1776"/>
      <c r="AM27" s="1776"/>
      <c r="AN27" s="1776"/>
      <c r="AO27" s="1775">
        <f>SUM('KOLEKTIBILITAS-SPP PIHAK KE-3'!F27:G27)</f>
        <v>0</v>
      </c>
      <c r="AP27" s="1775">
        <f>'KOLEKTIBILITAS-SPP PIHAK KE-3'!H27</f>
        <v>0</v>
      </c>
      <c r="AQ27" s="1774">
        <f>AO27+AP27</f>
        <v>0</v>
      </c>
      <c r="AR27" s="1764" t="str">
        <f>IF(SUM(AK27:AN27)=(AI27+AJ27),"BENAR","SALAH")</f>
        <v>BENAR</v>
      </c>
      <c r="AS27" s="1762">
        <f>IF(AI27&gt;=1,1,0)</f>
        <v>0</v>
      </c>
      <c r="AT27" s="1762">
        <f>IF(AJ27&gt;=1,1,0)</f>
        <v>0</v>
      </c>
      <c r="AU27" s="1762">
        <f>IF(AO27&gt;=1,1,0)</f>
        <v>0</v>
      </c>
      <c r="AV27" s="1762">
        <f>IF(AP27&gt;=1,1,0)</f>
        <v>0</v>
      </c>
      <c r="AW27" s="1763">
        <f>AS27-AU27</f>
        <v>0</v>
      </c>
      <c r="AX27" s="1763">
        <f>AT27-AV27</f>
        <v>0</v>
      </c>
    </row>
    <row r="28" spans="1:50" s="1762" customFormat="1" ht="28.5" customHeight="1">
      <c r="A28" s="1773"/>
      <c r="B28" s="1771" t="s">
        <v>496</v>
      </c>
      <c r="C28" s="1771">
        <f>SUM(C12:C27)</f>
        <v>0</v>
      </c>
      <c r="D28" s="1771">
        <f>SUM(D12:D27)</f>
        <v>0</v>
      </c>
      <c r="E28" s="1879">
        <f>SUM(E12:E27)</f>
        <v>0</v>
      </c>
      <c r="F28" s="1879">
        <f>SUM(F12:F27)</f>
        <v>0</v>
      </c>
      <c r="G28" s="1765">
        <f t="shared" ref="G28:N28" si="18">SUM(G12:G27)</f>
        <v>0</v>
      </c>
      <c r="H28" s="1765">
        <f t="shared" si="18"/>
        <v>0</v>
      </c>
      <c r="I28" s="1772">
        <f t="shared" si="18"/>
        <v>0</v>
      </c>
      <c r="J28" s="1772">
        <f t="shared" si="18"/>
        <v>0</v>
      </c>
      <c r="K28" s="1772">
        <f t="shared" si="18"/>
        <v>0</v>
      </c>
      <c r="L28" s="1765">
        <f>SUM(L12:L27)</f>
        <v>0</v>
      </c>
      <c r="M28" s="1765">
        <f t="shared" si="18"/>
        <v>0</v>
      </c>
      <c r="N28" s="1771">
        <f t="shared" si="18"/>
        <v>0</v>
      </c>
      <c r="O28" s="1770" t="e">
        <f t="shared" si="16"/>
        <v>#DIV/0!</v>
      </c>
      <c r="P28" s="1764">
        <f>D28-SUM(E28:H28)</f>
        <v>0</v>
      </c>
      <c r="Q28" s="1764">
        <f>D28-SUM(I28:K28)</f>
        <v>0</v>
      </c>
      <c r="R28" s="1764">
        <f t="shared" si="3"/>
        <v>0</v>
      </c>
      <c r="S28" s="1769"/>
      <c r="T28" s="1768" t="s">
        <v>496</v>
      </c>
      <c r="U28" s="1768">
        <f>SUM(U12:U27)</f>
        <v>0</v>
      </c>
      <c r="V28" s="1765">
        <f>SUM(V12:V27)</f>
        <v>0</v>
      </c>
      <c r="W28" s="1879">
        <f t="shared" ref="W28:AB28" si="19">SUM(W12:W27)</f>
        <v>0</v>
      </c>
      <c r="X28" s="1879">
        <f t="shared" si="19"/>
        <v>0</v>
      </c>
      <c r="Y28" s="1879">
        <f t="shared" si="19"/>
        <v>0</v>
      </c>
      <c r="Z28" s="1879">
        <f t="shared" si="19"/>
        <v>0</v>
      </c>
      <c r="AA28" s="1879">
        <f t="shared" si="19"/>
        <v>0</v>
      </c>
      <c r="AB28" s="1878">
        <f t="shared" si="19"/>
        <v>0</v>
      </c>
      <c r="AC28" s="1764" t="str">
        <f>IF(SUM(V28:AB28)=U28,"BENAR","SALAH")</f>
        <v>BENAR</v>
      </c>
      <c r="AD28" s="1764">
        <f>E28+F28-W28-X28-Y28-Z28-AA28-AB28</f>
        <v>0</v>
      </c>
      <c r="AE28" s="1764">
        <f>G28+H28-V28</f>
        <v>0</v>
      </c>
      <c r="AF28" s="1767"/>
      <c r="AG28" s="1765" t="s">
        <v>496</v>
      </c>
      <c r="AH28" s="1765">
        <f t="shared" ref="AH28:AP28" si="20">SUM(AH12:AH27)</f>
        <v>0</v>
      </c>
      <c r="AI28" s="1766">
        <f t="shared" si="20"/>
        <v>0</v>
      </c>
      <c r="AJ28" s="1766">
        <f t="shared" si="20"/>
        <v>0</v>
      </c>
      <c r="AK28" s="1765">
        <f t="shared" si="20"/>
        <v>0</v>
      </c>
      <c r="AL28" s="1765">
        <f t="shared" si="20"/>
        <v>0</v>
      </c>
      <c r="AM28" s="1765">
        <f t="shared" si="20"/>
        <v>0</v>
      </c>
      <c r="AN28" s="1765">
        <f>SUM(AN12:AN27)</f>
        <v>0</v>
      </c>
      <c r="AO28" s="1766">
        <f>SUM(AO12:AO27)</f>
        <v>0</v>
      </c>
      <c r="AP28" s="1766">
        <f t="shared" si="20"/>
        <v>0</v>
      </c>
      <c r="AQ28" s="1765">
        <f>SUM(AQ12:AQ27)</f>
        <v>0</v>
      </c>
      <c r="AR28" s="1764"/>
      <c r="AW28" s="1763"/>
      <c r="AX28" s="1763"/>
    </row>
    <row r="29" spans="1:50">
      <c r="C29" s="1753"/>
      <c r="D29" s="1753"/>
      <c r="E29" s="1753"/>
      <c r="F29" s="1753"/>
      <c r="G29" s="1753"/>
      <c r="H29" s="1753"/>
      <c r="I29" s="1753"/>
      <c r="J29" s="1753"/>
      <c r="K29" s="1753"/>
      <c r="L29" s="1753"/>
      <c r="M29" s="1753"/>
      <c r="N29" s="1753"/>
    </row>
    <row r="30" spans="1:50">
      <c r="A30" s="1761"/>
      <c r="N30" s="1753"/>
    </row>
    <row r="31" spans="1:50">
      <c r="A31" s="1753"/>
      <c r="F31" s="1758"/>
      <c r="H31" s="1749" t="s">
        <v>1558</v>
      </c>
      <c r="N31" s="1752" t="s">
        <v>23</v>
      </c>
      <c r="U31" s="1751" t="s">
        <v>1558</v>
      </c>
      <c r="V31" s="1751"/>
      <c r="W31" s="1751"/>
      <c r="X31" s="1751"/>
      <c r="Y31" s="1751"/>
      <c r="Z31" s="1751"/>
      <c r="AA31" s="1760" t="s">
        <v>23</v>
      </c>
      <c r="AI31" s="1750" t="s">
        <v>1558</v>
      </c>
      <c r="AJ31" s="1750"/>
      <c r="AK31" s="1750"/>
      <c r="AL31" s="1750"/>
      <c r="AM31" s="1750"/>
      <c r="AN31" s="1750"/>
      <c r="AO31" s="1759" t="s">
        <v>23</v>
      </c>
    </row>
    <row r="32" spans="1:50">
      <c r="A32" s="1753"/>
      <c r="F32" s="1758"/>
      <c r="H32" s="1753" t="s">
        <v>402</v>
      </c>
      <c r="N32" s="1753"/>
      <c r="U32" s="1751" t="s">
        <v>402</v>
      </c>
      <c r="V32" s="1751"/>
      <c r="W32" s="1751"/>
      <c r="X32" s="1751"/>
      <c r="Y32" s="1751"/>
      <c r="Z32" s="1751"/>
      <c r="AA32" s="1751"/>
      <c r="AI32" s="1750" t="s">
        <v>402</v>
      </c>
      <c r="AJ32" s="1750"/>
      <c r="AK32" s="1750"/>
      <c r="AL32" s="1750"/>
      <c r="AM32" s="1750"/>
      <c r="AN32" s="1750"/>
      <c r="AO32" s="1750"/>
    </row>
    <row r="33" spans="1:41">
      <c r="A33" s="1753"/>
      <c r="N33" s="1753"/>
      <c r="U33" s="1751"/>
      <c r="V33" s="1751"/>
      <c r="W33" s="1751"/>
      <c r="X33" s="1751"/>
      <c r="Y33" s="1751"/>
      <c r="Z33" s="1751"/>
      <c r="AA33" s="1751"/>
      <c r="AI33" s="1750"/>
      <c r="AJ33" s="1750"/>
      <c r="AK33" s="1750"/>
      <c r="AL33" s="1750"/>
      <c r="AM33" s="1750"/>
      <c r="AN33" s="1750"/>
      <c r="AO33" s="1750"/>
    </row>
    <row r="34" spans="1:41">
      <c r="U34" s="1751"/>
      <c r="V34" s="1751"/>
      <c r="W34" s="1751"/>
      <c r="X34" s="1751"/>
      <c r="Y34" s="1751"/>
      <c r="Z34" s="1751"/>
      <c r="AA34" s="1751"/>
      <c r="AB34" s="1757"/>
      <c r="AI34" s="1750"/>
      <c r="AJ34" s="1750"/>
      <c r="AK34" s="1750"/>
      <c r="AL34" s="1750"/>
      <c r="AM34" s="1750"/>
      <c r="AN34" s="1750"/>
      <c r="AO34" s="1750"/>
    </row>
    <row r="35" spans="1:41">
      <c r="U35" s="1751"/>
      <c r="V35" s="1751"/>
      <c r="W35" s="1751"/>
      <c r="X35" s="1751"/>
      <c r="Y35" s="1751"/>
      <c r="Z35" s="1751"/>
      <c r="AA35" s="1751"/>
      <c r="AB35" s="1757"/>
      <c r="AI35" s="1750"/>
      <c r="AJ35" s="1750"/>
      <c r="AK35" s="1750"/>
      <c r="AL35" s="1750"/>
      <c r="AM35" s="1750"/>
      <c r="AN35" s="1750"/>
      <c r="AO35" s="1750"/>
    </row>
    <row r="36" spans="1:41">
      <c r="U36" s="1751"/>
      <c r="V36" s="1751"/>
      <c r="W36" s="1751"/>
      <c r="X36" s="1751"/>
      <c r="Y36" s="1751"/>
      <c r="Z36" s="1751"/>
      <c r="AA36" s="1751"/>
      <c r="AB36" s="1757"/>
      <c r="AI36" s="1750"/>
      <c r="AJ36" s="1750"/>
      <c r="AK36" s="1750"/>
      <c r="AL36" s="1750"/>
      <c r="AM36" s="1750"/>
      <c r="AN36" s="1750"/>
      <c r="AO36" s="1750"/>
    </row>
    <row r="37" spans="1:41">
      <c r="N37" s="1756"/>
      <c r="U37" s="1751"/>
      <c r="V37" s="1751"/>
      <c r="W37" s="1751"/>
      <c r="X37" s="1751"/>
      <c r="Y37" s="1751"/>
      <c r="Z37" s="1751"/>
      <c r="AA37" s="1755"/>
      <c r="AI37" s="1750"/>
      <c r="AJ37" s="1750"/>
      <c r="AK37" s="1750"/>
      <c r="AL37" s="1750"/>
      <c r="AM37" s="1750"/>
      <c r="AN37" s="1750"/>
      <c r="AO37" s="1754"/>
    </row>
    <row r="38" spans="1:41">
      <c r="H38" s="1753" t="str">
        <f>DT!D7</f>
        <v>-</v>
      </c>
      <c r="N38" s="1752" t="str">
        <f>DT!D14</f>
        <v>Endang Taryana</v>
      </c>
      <c r="U38" s="1751" t="str">
        <f>H38</f>
        <v>-</v>
      </c>
      <c r="V38" s="1751"/>
      <c r="W38" s="1751"/>
      <c r="X38" s="1751"/>
      <c r="Y38" s="1751"/>
      <c r="Z38" s="1751"/>
      <c r="AA38" s="1751" t="str">
        <f>N38</f>
        <v>Endang Taryana</v>
      </c>
      <c r="AI38" s="1750" t="str">
        <f>H38</f>
        <v>-</v>
      </c>
      <c r="AJ38" s="1750"/>
      <c r="AK38" s="1750"/>
      <c r="AL38" s="1750"/>
      <c r="AM38" s="1750"/>
      <c r="AN38" s="1750"/>
      <c r="AO38" s="1750" t="str">
        <f>N38</f>
        <v>Endang Taryana</v>
      </c>
    </row>
  </sheetData>
  <sheetProtection password="C13C" sheet="1" objects="1" scenarios="1" formatColumns="0" formatRows="0"/>
  <protectedRanges>
    <protectedRange sqref="G12:M27 AI12:AN27" name="Range1"/>
  </protectedRanges>
  <mergeCells count="46">
    <mergeCell ref="AF8:AF10"/>
    <mergeCell ref="AX8:AX10"/>
    <mergeCell ref="E9:E10"/>
    <mergeCell ref="F9:F10"/>
    <mergeCell ref="G9:H9"/>
    <mergeCell ref="I9:I10"/>
    <mergeCell ref="J9:J10"/>
    <mergeCell ref="AQ9:AQ10"/>
    <mergeCell ref="AW8:AW10"/>
    <mergeCell ref="AI9:AJ9"/>
    <mergeCell ref="AK9:AN9"/>
    <mergeCell ref="AO9:AO10"/>
    <mergeCell ref="AP9:AP10"/>
    <mergeCell ref="AO8:AQ8"/>
    <mergeCell ref="AR8:AR10"/>
    <mergeCell ref="AI8:AN8"/>
    <mergeCell ref="AG8:AG10"/>
    <mergeCell ref="AH8:AH10"/>
    <mergeCell ref="V9:V10"/>
    <mergeCell ref="L8:M8"/>
    <mergeCell ref="N8:N10"/>
    <mergeCell ref="O8:O10"/>
    <mergeCell ref="P8:R9"/>
    <mergeCell ref="S8:S10"/>
    <mergeCell ref="T8:T10"/>
    <mergeCell ref="L9:L10"/>
    <mergeCell ref="U8:U10"/>
    <mergeCell ref="V8:AB8"/>
    <mergeCell ref="AC8:AC10"/>
    <mergeCell ref="AD8:AD10"/>
    <mergeCell ref="AE8:AE10"/>
    <mergeCell ref="W9:AB9"/>
    <mergeCell ref="M9:M10"/>
    <mergeCell ref="A8:A10"/>
    <mergeCell ref="B8:B10"/>
    <mergeCell ref="C8:C10"/>
    <mergeCell ref="D8:D10"/>
    <mergeCell ref="E8:H8"/>
    <mergeCell ref="I8:K8"/>
    <mergeCell ref="K9:K10"/>
    <mergeCell ref="A1:O1"/>
    <mergeCell ref="S1:AB1"/>
    <mergeCell ref="AF1:AQ1"/>
    <mergeCell ref="A2:O2"/>
    <mergeCell ref="S2:AB2"/>
    <mergeCell ref="AF2:AQ2"/>
  </mergeCells>
  <printOptions horizontalCentered="1" verticalCentered="1"/>
  <pageMargins left="0.25" right="0.25" top="1.1000000000000001" bottom="0.25" header="0.27559055118110198" footer="0.511811023622047"/>
  <pageSetup paperSize="9" scale="76" orientation="landscape" horizontalDpi="300" verticalDpi="300" r:id="rId1"/>
  <headerFooter alignWithMargins="0">
    <oddHeader>&amp;RForm.84.a</oddHeader>
  </headerFooter>
  <rowBreaks count="1" manualBreakCount="1">
    <brk id="28" max="16383" man="1"/>
  </rowBreaks>
  <colBreaks count="2" manualBreakCount="2">
    <brk id="18" max="25" man="1"/>
    <brk id="31" max="25" man="1"/>
  </colBreaks>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X38"/>
  <sheetViews>
    <sheetView zoomScale="85" zoomScaleNormal="85" zoomScaleSheetLayoutView="30" workbookViewId="0">
      <selection sqref="A1:O1"/>
    </sheetView>
  </sheetViews>
  <sheetFormatPr defaultColWidth="9.140625" defaultRowHeight="12.75"/>
  <cols>
    <col min="1" max="1" width="5.28515625" style="1887" customWidth="1"/>
    <col min="2" max="2" width="21.140625" style="1887" customWidth="1"/>
    <col min="3" max="3" width="16.85546875" style="1887" customWidth="1"/>
    <col min="4" max="4" width="12.85546875" style="1887" customWidth="1"/>
    <col min="5" max="5" width="9" style="1887" customWidth="1"/>
    <col min="6" max="6" width="11.140625" style="1887" customWidth="1"/>
    <col min="7" max="7" width="7.5703125" style="1887" customWidth="1"/>
    <col min="8" max="8" width="12.140625" style="1887" customWidth="1"/>
    <col min="9" max="9" width="8.5703125" style="1887" customWidth="1"/>
    <col min="10" max="10" width="9.140625" style="1887" customWidth="1"/>
    <col min="11" max="11" width="9" style="1887" customWidth="1"/>
    <col min="12" max="13" width="11" style="1887" customWidth="1"/>
    <col min="14" max="14" width="14.28515625" style="1887" customWidth="1"/>
    <col min="15" max="15" width="15.28515625" style="1887" customWidth="1"/>
    <col min="16" max="18" width="5.140625" style="1887" customWidth="1"/>
    <col min="19" max="19" width="5.28515625" style="1888" customWidth="1"/>
    <col min="20" max="20" width="21.140625" style="1888" customWidth="1"/>
    <col min="21" max="21" width="19.85546875" style="1888" customWidth="1"/>
    <col min="22" max="22" width="22.140625" style="1888" customWidth="1"/>
    <col min="23" max="26" width="12.5703125" style="1888" customWidth="1"/>
    <col min="27" max="27" width="13.42578125" style="1888" customWidth="1"/>
    <col min="28" max="28" width="12.5703125" style="1888" customWidth="1"/>
    <col min="29" max="29" width="10.140625" style="1888" customWidth="1"/>
    <col min="30" max="31" width="10.140625" style="1747" customWidth="1"/>
    <col min="32" max="32" width="5.140625" style="1888" customWidth="1"/>
    <col min="33" max="33" width="21.140625" style="1888" customWidth="1"/>
    <col min="34" max="34" width="16.28515625" style="1888" customWidth="1"/>
    <col min="35" max="36" width="7.85546875" style="1888" customWidth="1"/>
    <col min="37" max="40" width="14.140625" style="1888" customWidth="1"/>
    <col min="41" max="43" width="15.140625" style="1888" customWidth="1"/>
    <col min="44" max="44" width="10.140625" style="1746" customWidth="1"/>
    <col min="45" max="45" width="9.140625" style="1745" hidden="1" customWidth="1"/>
    <col min="46" max="48" width="0" style="1745" hidden="1" customWidth="1"/>
    <col min="49" max="50" width="9.140625" style="1745"/>
    <col min="51" max="16384" width="9.140625" style="1887"/>
  </cols>
  <sheetData>
    <row r="1" spans="1:50" s="1919" customFormat="1" ht="15">
      <c r="A1" s="3410" t="s">
        <v>1612</v>
      </c>
      <c r="B1" s="3410"/>
      <c r="C1" s="3410"/>
      <c r="D1" s="3410"/>
      <c r="E1" s="3410"/>
      <c r="F1" s="3410"/>
      <c r="G1" s="3410"/>
      <c r="H1" s="3410"/>
      <c r="I1" s="3410"/>
      <c r="J1" s="3410"/>
      <c r="K1" s="3410"/>
      <c r="L1" s="3410"/>
      <c r="M1" s="3410"/>
      <c r="N1" s="3410"/>
      <c r="O1" s="3410"/>
      <c r="S1" s="3410" t="s">
        <v>1611</v>
      </c>
      <c r="T1" s="3410"/>
      <c r="U1" s="3410"/>
      <c r="V1" s="3410"/>
      <c r="W1" s="3410"/>
      <c r="X1" s="3410"/>
      <c r="Y1" s="3410"/>
      <c r="Z1" s="3410"/>
      <c r="AA1" s="3410"/>
      <c r="AB1" s="3410"/>
      <c r="AC1" s="1920"/>
      <c r="AD1" s="1844"/>
      <c r="AE1" s="1844"/>
      <c r="AF1" s="3410" t="s">
        <v>0</v>
      </c>
      <c r="AG1" s="3410"/>
      <c r="AH1" s="3410"/>
      <c r="AI1" s="3410"/>
      <c r="AJ1" s="3410"/>
      <c r="AK1" s="3410"/>
      <c r="AL1" s="3410"/>
      <c r="AM1" s="3410"/>
      <c r="AN1" s="3410"/>
      <c r="AO1" s="3410"/>
      <c r="AP1" s="3410"/>
      <c r="AQ1" s="3410"/>
      <c r="AR1" s="1921"/>
      <c r="AS1" s="1842"/>
      <c r="AT1" s="1842"/>
      <c r="AU1" s="1842"/>
      <c r="AV1" s="1842"/>
      <c r="AW1" s="1842"/>
      <c r="AX1" s="1842"/>
    </row>
    <row r="2" spans="1:50" s="1919" customFormat="1" ht="15">
      <c r="A2" s="3410" t="s">
        <v>1654</v>
      </c>
      <c r="B2" s="3410"/>
      <c r="C2" s="3410"/>
      <c r="D2" s="3410"/>
      <c r="E2" s="3410"/>
      <c r="F2" s="3410"/>
      <c r="G2" s="3410"/>
      <c r="H2" s="3410"/>
      <c r="I2" s="3410"/>
      <c r="J2" s="3410"/>
      <c r="K2" s="3410"/>
      <c r="L2" s="3410"/>
      <c r="M2" s="3410"/>
      <c r="N2" s="3410"/>
      <c r="O2" s="3410"/>
      <c r="S2" s="3410" t="s">
        <v>1653</v>
      </c>
      <c r="T2" s="3410"/>
      <c r="U2" s="3410"/>
      <c r="V2" s="3410"/>
      <c r="W2" s="3410"/>
      <c r="X2" s="3410"/>
      <c r="Y2" s="3410"/>
      <c r="Z2" s="3410"/>
      <c r="AA2" s="3410"/>
      <c r="AB2" s="3410"/>
      <c r="AC2" s="1920"/>
      <c r="AD2" s="1844"/>
      <c r="AE2" s="1844"/>
      <c r="AF2" s="3410" t="s">
        <v>1652</v>
      </c>
      <c r="AG2" s="3410"/>
      <c r="AH2" s="3410"/>
      <c r="AI2" s="3410"/>
      <c r="AJ2" s="3410"/>
      <c r="AK2" s="3410"/>
      <c r="AL2" s="3410"/>
      <c r="AM2" s="3410"/>
      <c r="AN2" s="3410"/>
      <c r="AO2" s="3410"/>
      <c r="AP2" s="3410"/>
      <c r="AQ2" s="3410"/>
      <c r="AR2" s="1920"/>
      <c r="AS2" s="1842"/>
      <c r="AT2" s="1842"/>
      <c r="AU2" s="1842"/>
      <c r="AV2" s="1842"/>
      <c r="AW2" s="1842"/>
      <c r="AX2" s="1842"/>
    </row>
    <row r="3" spans="1:50">
      <c r="AR3" s="1888"/>
    </row>
    <row r="4" spans="1:50">
      <c r="A4" s="1918" t="s">
        <v>86</v>
      </c>
      <c r="C4" s="1916" t="str">
        <f>'LPP-SPP'!F6</f>
        <v>:  Nagrak</v>
      </c>
      <c r="S4" s="1918" t="s">
        <v>86</v>
      </c>
      <c r="T4" s="1887"/>
      <c r="U4" s="1918" t="str">
        <f>C4</f>
        <v>:  Nagrak</v>
      </c>
      <c r="AF4" s="1918" t="s">
        <v>86</v>
      </c>
      <c r="AG4" s="1887"/>
      <c r="AH4" s="1918" t="str">
        <f>C4</f>
        <v>:  Nagrak</v>
      </c>
      <c r="AR4" s="1888"/>
    </row>
    <row r="5" spans="1:50">
      <c r="A5" s="1887" t="s">
        <v>1607</v>
      </c>
      <c r="C5" s="1916" t="str">
        <f>'LPP-SPP'!F7</f>
        <v>:  Sukabumi</v>
      </c>
      <c r="N5" s="1887" t="s">
        <v>71</v>
      </c>
      <c r="O5" s="1917" t="str">
        <f>'84ABC-SPP'!O5</f>
        <v>Februari 2016  2016</v>
      </c>
      <c r="S5" s="1888" t="s">
        <v>87</v>
      </c>
      <c r="U5" s="1888" t="s">
        <v>1605</v>
      </c>
      <c r="AA5" s="1913" t="s">
        <v>71</v>
      </c>
      <c r="AB5" s="1912" t="str">
        <f>O5</f>
        <v>Februari 2016  2016</v>
      </c>
      <c r="AF5" s="1888" t="s">
        <v>1606</v>
      </c>
      <c r="AH5" s="1888" t="s">
        <v>1605</v>
      </c>
      <c r="AP5" s="1913" t="s">
        <v>71</v>
      </c>
      <c r="AQ5" s="1912" t="str">
        <f>O5</f>
        <v>Februari 2016  2016</v>
      </c>
      <c r="AR5" s="1888"/>
    </row>
    <row r="6" spans="1:50">
      <c r="A6" s="1887" t="s">
        <v>1604</v>
      </c>
      <c r="C6" s="1916" t="str">
        <f>'LPP-SPP'!F8</f>
        <v>:  Jawa Barat</v>
      </c>
      <c r="N6" s="1915"/>
      <c r="O6" s="1914"/>
      <c r="S6" s="1888" t="s">
        <v>88</v>
      </c>
      <c r="U6" s="1888" t="s">
        <v>1602</v>
      </c>
      <c r="AA6" s="1913"/>
      <c r="AB6" s="1912"/>
      <c r="AF6" s="1888" t="s">
        <v>1603</v>
      </c>
      <c r="AH6" s="1888" t="s">
        <v>1602</v>
      </c>
      <c r="AP6" s="1913"/>
      <c r="AQ6" s="1912"/>
      <c r="AR6" s="1888"/>
    </row>
    <row r="7" spans="1:50" ht="6.75" customHeight="1">
      <c r="AR7" s="1888"/>
    </row>
    <row r="8" spans="1:50" ht="26.25" customHeight="1">
      <c r="A8" s="3410" t="s">
        <v>978</v>
      </c>
      <c r="B8" s="3410" t="s">
        <v>224</v>
      </c>
      <c r="C8" s="3410" t="s">
        <v>1601</v>
      </c>
      <c r="D8" s="3410" t="s">
        <v>1594</v>
      </c>
      <c r="E8" s="3410" t="s">
        <v>1600</v>
      </c>
      <c r="F8" s="3410"/>
      <c r="G8" s="3410"/>
      <c r="H8" s="3410"/>
      <c r="I8" s="3410" t="s">
        <v>1599</v>
      </c>
      <c r="J8" s="3410"/>
      <c r="K8" s="3410"/>
      <c r="L8" s="3410" t="s">
        <v>1598</v>
      </c>
      <c r="M8" s="3410"/>
      <c r="N8" s="3410" t="s">
        <v>1597</v>
      </c>
      <c r="O8" s="3410" t="s">
        <v>1596</v>
      </c>
      <c r="P8" s="3410" t="s">
        <v>1595</v>
      </c>
      <c r="Q8" s="3410"/>
      <c r="R8" s="3410"/>
      <c r="S8" s="3410" t="s">
        <v>978</v>
      </c>
      <c r="T8" s="3410" t="s">
        <v>224</v>
      </c>
      <c r="U8" s="3410" t="s">
        <v>1594</v>
      </c>
      <c r="V8" s="3410" t="s">
        <v>1593</v>
      </c>
      <c r="W8" s="3410"/>
      <c r="X8" s="3410"/>
      <c r="Y8" s="3410"/>
      <c r="Z8" s="3410"/>
      <c r="AA8" s="3410"/>
      <c r="AB8" s="3410"/>
      <c r="AC8" s="3410" t="s">
        <v>1590</v>
      </c>
      <c r="AD8" s="3410" t="s">
        <v>52</v>
      </c>
      <c r="AE8" s="3410" t="s">
        <v>53</v>
      </c>
      <c r="AF8" s="3410" t="s">
        <v>36</v>
      </c>
      <c r="AG8" s="3410" t="s">
        <v>224</v>
      </c>
      <c r="AH8" s="3410" t="s">
        <v>1592</v>
      </c>
      <c r="AI8" s="3410" t="s">
        <v>1591</v>
      </c>
      <c r="AJ8" s="3410"/>
      <c r="AK8" s="3410"/>
      <c r="AL8" s="3410"/>
      <c r="AM8" s="3410"/>
      <c r="AN8" s="3410"/>
      <c r="AO8" s="3410" t="s">
        <v>1534</v>
      </c>
      <c r="AP8" s="3410"/>
      <c r="AQ8" s="3410"/>
      <c r="AR8" s="3410" t="s">
        <v>1590</v>
      </c>
      <c r="AW8" s="3410" t="s">
        <v>1589</v>
      </c>
      <c r="AX8" s="3410" t="s">
        <v>1566</v>
      </c>
    </row>
    <row r="9" spans="1:50" ht="30" customHeight="1">
      <c r="A9" s="3410"/>
      <c r="B9" s="3410"/>
      <c r="C9" s="3410"/>
      <c r="D9" s="3410"/>
      <c r="E9" s="3410" t="s">
        <v>1588</v>
      </c>
      <c r="F9" s="3410" t="s">
        <v>1587</v>
      </c>
      <c r="G9" s="3410" t="s">
        <v>1586</v>
      </c>
      <c r="H9" s="3410"/>
      <c r="I9" s="3410" t="s">
        <v>1585</v>
      </c>
      <c r="J9" s="3410" t="s">
        <v>1584</v>
      </c>
      <c r="K9" s="3410" t="s">
        <v>1583</v>
      </c>
      <c r="L9" s="3410" t="s">
        <v>1582</v>
      </c>
      <c r="M9" s="3410" t="s">
        <v>1581</v>
      </c>
      <c r="N9" s="3410"/>
      <c r="O9" s="3410"/>
      <c r="P9" s="3410"/>
      <c r="Q9" s="3410"/>
      <c r="R9" s="3410"/>
      <c r="S9" s="3410"/>
      <c r="T9" s="3410"/>
      <c r="U9" s="3410"/>
      <c r="V9" s="3410" t="s">
        <v>1580</v>
      </c>
      <c r="W9" s="3410" t="s">
        <v>1579</v>
      </c>
      <c r="X9" s="3410"/>
      <c r="Y9" s="3410"/>
      <c r="Z9" s="3410"/>
      <c r="AA9" s="3410"/>
      <c r="AB9" s="3410"/>
      <c r="AC9" s="3410"/>
      <c r="AD9" s="3410"/>
      <c r="AE9" s="3410"/>
      <c r="AF9" s="3410"/>
      <c r="AG9" s="3410"/>
      <c r="AH9" s="3410"/>
      <c r="AI9" s="3410" t="s">
        <v>1578</v>
      </c>
      <c r="AJ9" s="3410"/>
      <c r="AK9" s="3410" t="s">
        <v>1577</v>
      </c>
      <c r="AL9" s="3410"/>
      <c r="AM9" s="3410"/>
      <c r="AN9" s="3410"/>
      <c r="AO9" s="3410" t="s">
        <v>1567</v>
      </c>
      <c r="AP9" s="3410" t="s">
        <v>1566</v>
      </c>
      <c r="AQ9" s="3410" t="s">
        <v>1576</v>
      </c>
      <c r="AR9" s="3410"/>
      <c r="AW9" s="3410"/>
      <c r="AX9" s="3410"/>
    </row>
    <row r="10" spans="1:50" ht="33.75" customHeight="1">
      <c r="A10" s="3410"/>
      <c r="B10" s="3410"/>
      <c r="C10" s="3410"/>
      <c r="D10" s="3410"/>
      <c r="E10" s="3410"/>
      <c r="F10" s="3410"/>
      <c r="G10" s="1827" t="s">
        <v>53</v>
      </c>
      <c r="H10" s="1827" t="s">
        <v>1575</v>
      </c>
      <c r="I10" s="3410"/>
      <c r="J10" s="3410"/>
      <c r="K10" s="3410"/>
      <c r="L10" s="3410"/>
      <c r="M10" s="3410"/>
      <c r="N10" s="3410"/>
      <c r="O10" s="3410"/>
      <c r="P10" s="1826" t="s">
        <v>1574</v>
      </c>
      <c r="Q10" s="1826" t="s">
        <v>248</v>
      </c>
      <c r="R10" s="1826" t="s">
        <v>402</v>
      </c>
      <c r="S10" s="3410"/>
      <c r="T10" s="3410"/>
      <c r="U10" s="3410"/>
      <c r="V10" s="3410"/>
      <c r="W10" s="1822" t="s">
        <v>1573</v>
      </c>
      <c r="X10" s="1822" t="s">
        <v>1572</v>
      </c>
      <c r="Y10" s="1822" t="s">
        <v>1571</v>
      </c>
      <c r="Z10" s="1822" t="s">
        <v>1570</v>
      </c>
      <c r="AA10" s="1822" t="s">
        <v>1569</v>
      </c>
      <c r="AB10" s="1911" t="s">
        <v>1568</v>
      </c>
      <c r="AC10" s="3410"/>
      <c r="AD10" s="3410"/>
      <c r="AE10" s="3410"/>
      <c r="AF10" s="3410"/>
      <c r="AG10" s="3410"/>
      <c r="AH10" s="3410"/>
      <c r="AI10" s="1822" t="s">
        <v>1567</v>
      </c>
      <c r="AJ10" s="1822" t="s">
        <v>1566</v>
      </c>
      <c r="AK10" s="1822" t="s">
        <v>1565</v>
      </c>
      <c r="AL10" s="1822" t="s">
        <v>1564</v>
      </c>
      <c r="AM10" s="1822" t="s">
        <v>1563</v>
      </c>
      <c r="AN10" s="1822" t="s">
        <v>1562</v>
      </c>
      <c r="AO10" s="3410"/>
      <c r="AP10" s="3410"/>
      <c r="AQ10" s="3410"/>
      <c r="AR10" s="3410"/>
      <c r="AW10" s="3410"/>
      <c r="AX10" s="3410"/>
    </row>
    <row r="11" spans="1:50" s="1906" customFormat="1" ht="11.25">
      <c r="A11" s="1910">
        <v>1</v>
      </c>
      <c r="B11" s="1820">
        <v>2</v>
      </c>
      <c r="C11" s="1820">
        <v>3</v>
      </c>
      <c r="D11" s="1820">
        <v>4</v>
      </c>
      <c r="E11" s="1820">
        <v>5</v>
      </c>
      <c r="F11" s="1820">
        <v>6</v>
      </c>
      <c r="G11" s="1820">
        <v>7</v>
      </c>
      <c r="H11" s="1820">
        <v>8</v>
      </c>
      <c r="I11" s="1820">
        <v>9</v>
      </c>
      <c r="J11" s="1820">
        <v>10</v>
      </c>
      <c r="K11" s="1820">
        <v>11</v>
      </c>
      <c r="L11" s="1820">
        <v>12</v>
      </c>
      <c r="M11" s="1820">
        <v>13</v>
      </c>
      <c r="N11" s="1820" t="s">
        <v>1561</v>
      </c>
      <c r="O11" s="1909" t="s">
        <v>1560</v>
      </c>
      <c r="P11" s="1806"/>
      <c r="Q11" s="1806"/>
      <c r="R11" s="1806"/>
      <c r="S11" s="1908">
        <v>1</v>
      </c>
      <c r="T11" s="1809">
        <v>2</v>
      </c>
      <c r="U11" s="1809">
        <v>3</v>
      </c>
      <c r="V11" s="1809">
        <v>4</v>
      </c>
      <c r="W11" s="1809">
        <v>5</v>
      </c>
      <c r="X11" s="1809">
        <v>6</v>
      </c>
      <c r="Y11" s="1809">
        <v>7</v>
      </c>
      <c r="Z11" s="1809">
        <v>8</v>
      </c>
      <c r="AA11" s="1809">
        <v>9</v>
      </c>
      <c r="AB11" s="1907">
        <v>10</v>
      </c>
      <c r="AC11" s="1813"/>
      <c r="AD11" s="1812"/>
      <c r="AE11" s="1812"/>
      <c r="AF11" s="1908">
        <v>1</v>
      </c>
      <c r="AG11" s="1809">
        <v>2</v>
      </c>
      <c r="AH11" s="1809">
        <v>3</v>
      </c>
      <c r="AI11" s="1809">
        <v>4</v>
      </c>
      <c r="AJ11" s="1809">
        <v>5</v>
      </c>
      <c r="AK11" s="1809">
        <v>6</v>
      </c>
      <c r="AL11" s="1809">
        <v>7</v>
      </c>
      <c r="AM11" s="1809">
        <v>8</v>
      </c>
      <c r="AN11" s="1809">
        <v>9</v>
      </c>
      <c r="AO11" s="1809">
        <v>10</v>
      </c>
      <c r="AP11" s="1809">
        <v>11</v>
      </c>
      <c r="AQ11" s="1907" t="s">
        <v>1559</v>
      </c>
      <c r="AR11" s="1807"/>
      <c r="AS11" s="1805"/>
      <c r="AT11" s="1805"/>
      <c r="AU11" s="1805"/>
      <c r="AV11" s="1805"/>
      <c r="AW11" s="1806"/>
      <c r="AX11" s="1806"/>
    </row>
    <row r="12" spans="1:50" s="749" customFormat="1" ht="23.25" customHeight="1">
      <c r="A12" s="1902">
        <v>1</v>
      </c>
      <c r="B12" s="1905" t="str">
        <f>'LPP-SPP'!B13</f>
        <v>CIHANYAWAR</v>
      </c>
      <c r="C12" s="1802">
        <f>'84ABC-UEP'!C12+'84ABC-SPP'!C12+'84ABC-SPP PIHAK KE-3'!C12</f>
        <v>20</v>
      </c>
      <c r="D12" s="1802">
        <f>'84ABC-UEP'!D12+'84ABC-SPP'!D12+'84ABC-SPP PIHAK KE-3'!D12</f>
        <v>43</v>
      </c>
      <c r="E12" s="1802">
        <f>'84ABC-UEP'!E12+'84ABC-SPP'!E12+'84ABC-SPP PIHAK KE-3'!E12</f>
        <v>0</v>
      </c>
      <c r="F12" s="1802">
        <f>'84ABC-UEP'!F12+'84ABC-SPP'!F12+'84ABC-SPP PIHAK KE-3'!F12</f>
        <v>0</v>
      </c>
      <c r="G12" s="1802">
        <f>'84ABC-UEP'!G12+'84ABC-SPP'!G12+'84ABC-SPP PIHAK KE-3'!G12</f>
        <v>43</v>
      </c>
      <c r="H12" s="1802">
        <f>'84ABC-UEP'!H12+'84ABC-SPP'!H12+'84ABC-SPP PIHAK KE-3'!H12</f>
        <v>0</v>
      </c>
      <c r="I12" s="1802">
        <f>'84ABC-UEP'!I12+'84ABC-SPP'!I12+'84ABC-SPP PIHAK KE-3'!I12</f>
        <v>13</v>
      </c>
      <c r="J12" s="1802">
        <f>'84ABC-UEP'!J12+'84ABC-SPP'!J12+'84ABC-SPP PIHAK KE-3'!J12</f>
        <v>30</v>
      </c>
      <c r="K12" s="1802">
        <f>'84ABC-UEP'!K12+'84ABC-SPP'!K12+'84ABC-SPP PIHAK KE-3'!K12</f>
        <v>0</v>
      </c>
      <c r="L12" s="1802">
        <f>'84ABC-UEP'!L12+'84ABC-SPP'!L12+'84ABC-SPP PIHAK KE-3'!L12</f>
        <v>43</v>
      </c>
      <c r="M12" s="1802">
        <f>'84ABC-UEP'!M12+'84ABC-SPP'!M12+'84ABC-SPP PIHAK KE-3'!M12</f>
        <v>0</v>
      </c>
      <c r="N12" s="1802">
        <f t="shared" ref="N12:N27" si="0">D12-C12</f>
        <v>23</v>
      </c>
      <c r="O12" s="1904">
        <f t="shared" ref="O12:O27" si="1">(N12/C12)*100%</f>
        <v>1.1499999999999999</v>
      </c>
      <c r="P12" s="1764">
        <f t="shared" ref="P12:P28" si="2">D12-SUM(E12:H12)</f>
        <v>0</v>
      </c>
      <c r="Q12" s="1764">
        <f t="shared" ref="Q12:Q28" si="3">D12-SUM(I12:K12)</f>
        <v>0</v>
      </c>
      <c r="R12" s="1764">
        <f t="shared" ref="R12:R28" si="4">D12-(L12+M12)</f>
        <v>0</v>
      </c>
      <c r="S12" s="1902">
        <f t="shared" ref="S12:S27" si="5">A12</f>
        <v>1</v>
      </c>
      <c r="T12" s="1903" t="str">
        <f t="shared" ref="T12:T27" si="6">B12</f>
        <v>CIHANYAWAR</v>
      </c>
      <c r="U12" s="1802">
        <f>'84ABC-UEP'!U12+'84ABC-SPP'!U12+'84ABC-SPP PIHAK KE-3'!U12</f>
        <v>43</v>
      </c>
      <c r="V12" s="1802">
        <f>'84ABC-UEP'!V12+'84ABC-SPP'!V12+'84ABC-SPP PIHAK KE-3'!V12</f>
        <v>43</v>
      </c>
      <c r="W12" s="1802">
        <f>'84ABC-UEP'!W12+'84ABC-SPP'!W12+'84ABC-SPP PIHAK KE-3'!W12</f>
        <v>0</v>
      </c>
      <c r="X12" s="1802">
        <f>'84ABC-UEP'!X12+'84ABC-SPP'!X12+'84ABC-SPP PIHAK KE-3'!X12</f>
        <v>0</v>
      </c>
      <c r="Y12" s="1802">
        <f>'84ABC-UEP'!Y12+'84ABC-SPP'!Y12+'84ABC-SPP PIHAK KE-3'!Y12</f>
        <v>0</v>
      </c>
      <c r="Z12" s="1802">
        <f>'84ABC-UEP'!Z12+'84ABC-SPP'!Z12+'84ABC-SPP PIHAK KE-3'!Z12</f>
        <v>0</v>
      </c>
      <c r="AA12" s="1802">
        <f>'84ABC-UEP'!AA12+'84ABC-SPP'!AA12+'84ABC-SPP PIHAK KE-3'!AA12</f>
        <v>0</v>
      </c>
      <c r="AB12" s="1802">
        <f>'84ABC-UEP'!AB12+'84ABC-SPP'!AB12+'84ABC-SPP PIHAK KE-3'!AB12</f>
        <v>0</v>
      </c>
      <c r="AC12" s="1764" t="str">
        <f t="shared" ref="AC12:AC28" si="7">IF(SUM(V12:AB12)=U12,"BENAR","SALAH")</f>
        <v>BENAR</v>
      </c>
      <c r="AD12" s="1764">
        <f t="shared" ref="AD12:AD28" si="8">E12+F12-W12-X12-Y12-Z12-AA12-AB12</f>
        <v>0</v>
      </c>
      <c r="AE12" s="1764">
        <f t="shared" ref="AE12:AE28" si="9">G12+H12-V12</f>
        <v>0</v>
      </c>
      <c r="AF12" s="1902">
        <f t="shared" ref="AF12:AF27" si="10">S12</f>
        <v>1</v>
      </c>
      <c r="AG12" s="1903" t="str">
        <f t="shared" ref="AG12:AG27" si="11">T12</f>
        <v>CIHANYAWAR</v>
      </c>
      <c r="AH12" s="1802">
        <f>'84ABC-UEP'!AH12+'84ABC-SPP'!AH12+'84ABC-SPP PIHAK KE-3'!AH12</f>
        <v>43</v>
      </c>
      <c r="AI12" s="1802">
        <f>'84ABC-UEP'!AI12+'84ABC-SPP'!AI12+'84ABC-SPP PIHAK KE-3'!AI12</f>
        <v>0</v>
      </c>
      <c r="AJ12" s="1802">
        <f>'84ABC-UEP'!AJ12+'84ABC-SPP'!AJ12+'84ABC-SPP PIHAK KE-3'!AJ12</f>
        <v>0</v>
      </c>
      <c r="AK12" s="1802">
        <f>'84ABC-UEP'!AK12+'84ABC-SPP'!AK12+'84ABC-SPP PIHAK KE-3'!AK12</f>
        <v>0</v>
      </c>
      <c r="AL12" s="1802">
        <f>'84ABC-UEP'!AL12+'84ABC-SPP'!AL12+'84ABC-SPP PIHAK KE-3'!AL12</f>
        <v>0</v>
      </c>
      <c r="AM12" s="1802">
        <f>'84ABC-UEP'!AM12+'84ABC-SPP'!AM12+'84ABC-SPP PIHAK KE-3'!AM12</f>
        <v>0</v>
      </c>
      <c r="AN12" s="1802">
        <f>'84ABC-UEP'!AN12+'84ABC-SPP'!AN12+'84ABC-SPP PIHAK KE-3'!AN12</f>
        <v>0</v>
      </c>
      <c r="AO12" s="1802">
        <f>'84ABC-UEP'!AO12+'84ABC-SPP'!AO12+'84ABC-SPP PIHAK KE-3'!AO12</f>
        <v>1250000</v>
      </c>
      <c r="AP12" s="1802">
        <f>'84ABC-UEP'!AP12+'84ABC-SPP'!AP12+'84ABC-SPP PIHAK KE-3'!AP12</f>
        <v>29209200</v>
      </c>
      <c r="AQ12" s="1802">
        <f t="shared" ref="AQ12:AQ27" si="12">AO12+AP12</f>
        <v>30459200</v>
      </c>
      <c r="AR12" s="1764" t="str">
        <f t="shared" ref="AR12:AR27" si="13">IF(SUM(AK12:AN12)=(AI12+AJ12),"BENAR","SALAH")</f>
        <v>BENAR</v>
      </c>
      <c r="AS12" s="1762">
        <f t="shared" ref="AS12:AS27" si="14">IF(AI12&gt;=1,1,0)</f>
        <v>0</v>
      </c>
      <c r="AT12" s="1762">
        <f t="shared" ref="AT12:AT27" si="15">IF(AJ12&gt;=1,1,0)</f>
        <v>0</v>
      </c>
      <c r="AU12" s="1762">
        <f t="shared" ref="AU12:AU27" si="16">IF(AO12&gt;=1,1,0)</f>
        <v>1</v>
      </c>
      <c r="AV12" s="1762">
        <f t="shared" ref="AV12:AV27" si="17">IF(AP12&gt;=1,1,0)</f>
        <v>1</v>
      </c>
      <c r="AW12" s="1763">
        <f t="shared" ref="AW12:AW27" si="18">AS12-AU12</f>
        <v>-1</v>
      </c>
      <c r="AX12" s="1763">
        <f t="shared" ref="AX12:AX27" si="19">AT12-AV12</f>
        <v>-1</v>
      </c>
    </row>
    <row r="13" spans="1:50" s="749" customFormat="1" ht="23.25" customHeight="1">
      <c r="A13" s="1900">
        <v>2</v>
      </c>
      <c r="B13" s="1899" t="str">
        <f>'LPP-SPP'!B14</f>
        <v>NAGRAK UTARA</v>
      </c>
      <c r="C13" s="1775">
        <f>'84ABC-UEP'!C13+'84ABC-SPP'!C13+'84ABC-SPP PIHAK KE-3'!C13</f>
        <v>49</v>
      </c>
      <c r="D13" s="1775">
        <f>'84ABC-UEP'!D13+'84ABC-SPP'!D13+'84ABC-SPP PIHAK KE-3'!D13</f>
        <v>63</v>
      </c>
      <c r="E13" s="1775">
        <f>'84ABC-UEP'!E13+'84ABC-SPP'!E13+'84ABC-SPP PIHAK KE-3'!E13</f>
        <v>0</v>
      </c>
      <c r="F13" s="1775">
        <f>'84ABC-UEP'!F13+'84ABC-SPP'!F13+'84ABC-SPP PIHAK KE-3'!F13</f>
        <v>0</v>
      </c>
      <c r="G13" s="1775">
        <f>'84ABC-UEP'!G13+'84ABC-SPP'!G13+'84ABC-SPP PIHAK KE-3'!G13</f>
        <v>63</v>
      </c>
      <c r="H13" s="1775">
        <f>'84ABC-UEP'!H13+'84ABC-SPP'!H13+'84ABC-SPP PIHAK KE-3'!H13</f>
        <v>0</v>
      </c>
      <c r="I13" s="1775">
        <f>'84ABC-UEP'!I13+'84ABC-SPP'!I13+'84ABC-SPP PIHAK KE-3'!I13</f>
        <v>10</v>
      </c>
      <c r="J13" s="1775">
        <f>'84ABC-UEP'!J13+'84ABC-SPP'!J13+'84ABC-SPP PIHAK KE-3'!J13</f>
        <v>53</v>
      </c>
      <c r="K13" s="1775">
        <f>'84ABC-UEP'!K13+'84ABC-SPP'!K13+'84ABC-SPP PIHAK KE-3'!K13</f>
        <v>0</v>
      </c>
      <c r="L13" s="1775">
        <f>'84ABC-UEP'!L13+'84ABC-SPP'!L13+'84ABC-SPP PIHAK KE-3'!L13</f>
        <v>63</v>
      </c>
      <c r="M13" s="1775">
        <f>'84ABC-UEP'!M13+'84ABC-SPP'!M13+'84ABC-SPP PIHAK KE-3'!M13</f>
        <v>0</v>
      </c>
      <c r="N13" s="1775">
        <f t="shared" si="0"/>
        <v>14</v>
      </c>
      <c r="O13" s="1901">
        <f t="shared" si="1"/>
        <v>0.2857142857142857</v>
      </c>
      <c r="P13" s="1764">
        <f t="shared" si="2"/>
        <v>0</v>
      </c>
      <c r="Q13" s="1764">
        <f t="shared" si="3"/>
        <v>0</v>
      </c>
      <c r="R13" s="1764">
        <f t="shared" si="4"/>
        <v>0</v>
      </c>
      <c r="S13" s="1900">
        <f t="shared" si="5"/>
        <v>2</v>
      </c>
      <c r="T13" s="1899" t="str">
        <f t="shared" si="6"/>
        <v>NAGRAK UTARA</v>
      </c>
      <c r="U13" s="1775">
        <f>'84ABC-UEP'!U13+'84ABC-SPP'!U13+'84ABC-SPP PIHAK KE-3'!U13</f>
        <v>63</v>
      </c>
      <c r="V13" s="1775">
        <f>'84ABC-UEP'!V13+'84ABC-SPP'!V13+'84ABC-SPP PIHAK KE-3'!V13</f>
        <v>63</v>
      </c>
      <c r="W13" s="1775">
        <f>'84ABC-UEP'!W13+'84ABC-SPP'!W13+'84ABC-SPP PIHAK KE-3'!W13</f>
        <v>0</v>
      </c>
      <c r="X13" s="1775">
        <f>'84ABC-UEP'!X13+'84ABC-SPP'!X13+'84ABC-SPP PIHAK KE-3'!X13</f>
        <v>0</v>
      </c>
      <c r="Y13" s="1775">
        <f>'84ABC-UEP'!Y13+'84ABC-SPP'!Y13+'84ABC-SPP PIHAK KE-3'!Y13</f>
        <v>0</v>
      </c>
      <c r="Z13" s="1775">
        <f>'84ABC-UEP'!Z13+'84ABC-SPP'!Z13+'84ABC-SPP PIHAK KE-3'!Z13</f>
        <v>0</v>
      </c>
      <c r="AA13" s="1775">
        <f>'84ABC-UEP'!AA13+'84ABC-SPP'!AA13+'84ABC-SPP PIHAK KE-3'!AA13</f>
        <v>0</v>
      </c>
      <c r="AB13" s="1775">
        <f>'84ABC-UEP'!AB13+'84ABC-SPP'!AB13+'84ABC-SPP PIHAK KE-3'!AB13</f>
        <v>0</v>
      </c>
      <c r="AC13" s="1764" t="str">
        <f t="shared" si="7"/>
        <v>BENAR</v>
      </c>
      <c r="AD13" s="1764">
        <f t="shared" si="8"/>
        <v>0</v>
      </c>
      <c r="AE13" s="1764">
        <f t="shared" si="9"/>
        <v>0</v>
      </c>
      <c r="AF13" s="1900">
        <f t="shared" si="10"/>
        <v>2</v>
      </c>
      <c r="AG13" s="1899" t="str">
        <f t="shared" si="11"/>
        <v>NAGRAK UTARA</v>
      </c>
      <c r="AH13" s="1775">
        <f>'84ABC-UEP'!AH13+'84ABC-SPP'!AH13+'84ABC-SPP PIHAK KE-3'!AH13</f>
        <v>63</v>
      </c>
      <c r="AI13" s="1775">
        <f>'84ABC-UEP'!AI13+'84ABC-SPP'!AI13+'84ABC-SPP PIHAK KE-3'!AI13</f>
        <v>0</v>
      </c>
      <c r="AJ13" s="1775">
        <f>'84ABC-UEP'!AJ13+'84ABC-SPP'!AJ13+'84ABC-SPP PIHAK KE-3'!AJ13</f>
        <v>0</v>
      </c>
      <c r="AK13" s="1775">
        <f>'84ABC-UEP'!AK13+'84ABC-SPP'!AK13+'84ABC-SPP PIHAK KE-3'!AK13</f>
        <v>0</v>
      </c>
      <c r="AL13" s="1775">
        <f>'84ABC-UEP'!AL13+'84ABC-SPP'!AL13+'84ABC-SPP PIHAK KE-3'!AL13</f>
        <v>0</v>
      </c>
      <c r="AM13" s="1775">
        <f>'84ABC-UEP'!AM13+'84ABC-SPP'!AM13+'84ABC-SPP PIHAK KE-3'!AM13</f>
        <v>0</v>
      </c>
      <c r="AN13" s="1775">
        <f>'84ABC-UEP'!AN13+'84ABC-SPP'!AN13+'84ABC-SPP PIHAK KE-3'!AN13</f>
        <v>0</v>
      </c>
      <c r="AO13" s="1775">
        <f>'84ABC-UEP'!AO13+'84ABC-SPP'!AO13+'84ABC-SPP PIHAK KE-3'!AO13</f>
        <v>0</v>
      </c>
      <c r="AP13" s="1775">
        <f>'84ABC-UEP'!AP13+'84ABC-SPP'!AP13+'84ABC-SPP PIHAK KE-3'!AP13</f>
        <v>75481000</v>
      </c>
      <c r="AQ13" s="1775">
        <f t="shared" si="12"/>
        <v>75481000</v>
      </c>
      <c r="AR13" s="1764" t="str">
        <f t="shared" si="13"/>
        <v>BENAR</v>
      </c>
      <c r="AS13" s="1762">
        <f t="shared" si="14"/>
        <v>0</v>
      </c>
      <c r="AT13" s="1762">
        <f t="shared" si="15"/>
        <v>0</v>
      </c>
      <c r="AU13" s="1762">
        <f t="shared" si="16"/>
        <v>0</v>
      </c>
      <c r="AV13" s="1762">
        <f t="shared" si="17"/>
        <v>1</v>
      </c>
      <c r="AW13" s="1763">
        <f t="shared" si="18"/>
        <v>0</v>
      </c>
      <c r="AX13" s="1763">
        <f t="shared" si="19"/>
        <v>-1</v>
      </c>
    </row>
    <row r="14" spans="1:50" s="749" customFormat="1" ht="23.25" customHeight="1">
      <c r="A14" s="1902">
        <v>3</v>
      </c>
      <c r="B14" s="1899" t="str">
        <f>'LPP-SPP'!B15</f>
        <v>DARMAREJA</v>
      </c>
      <c r="C14" s="1775">
        <f>'84ABC-UEP'!C14+'84ABC-SPP'!C14+'84ABC-SPP PIHAK KE-3'!C14</f>
        <v>23</v>
      </c>
      <c r="D14" s="1775">
        <f>'84ABC-UEP'!D14+'84ABC-SPP'!D14+'84ABC-SPP PIHAK KE-3'!D14</f>
        <v>30</v>
      </c>
      <c r="E14" s="1775">
        <f>'84ABC-UEP'!E14+'84ABC-SPP'!E14+'84ABC-SPP PIHAK KE-3'!E14</f>
        <v>0</v>
      </c>
      <c r="F14" s="1775">
        <f>'84ABC-UEP'!F14+'84ABC-SPP'!F14+'84ABC-SPP PIHAK KE-3'!F14</f>
        <v>0</v>
      </c>
      <c r="G14" s="1775">
        <f>'84ABC-UEP'!G14+'84ABC-SPP'!G14+'84ABC-SPP PIHAK KE-3'!G14</f>
        <v>30</v>
      </c>
      <c r="H14" s="1775">
        <f>'84ABC-UEP'!H14+'84ABC-SPP'!H14+'84ABC-SPP PIHAK KE-3'!H14</f>
        <v>0</v>
      </c>
      <c r="I14" s="1775">
        <f>'84ABC-UEP'!I14+'84ABC-SPP'!I14+'84ABC-SPP PIHAK KE-3'!I14</f>
        <v>10</v>
      </c>
      <c r="J14" s="1775">
        <f>'84ABC-UEP'!J14+'84ABC-SPP'!J14+'84ABC-SPP PIHAK KE-3'!J14</f>
        <v>20</v>
      </c>
      <c r="K14" s="1775">
        <f>'84ABC-UEP'!K14+'84ABC-SPP'!K14+'84ABC-SPP PIHAK KE-3'!K14</f>
        <v>0</v>
      </c>
      <c r="L14" s="1775">
        <f>'84ABC-UEP'!L14+'84ABC-SPP'!L14+'84ABC-SPP PIHAK KE-3'!L14</f>
        <v>30</v>
      </c>
      <c r="M14" s="1775">
        <f>'84ABC-UEP'!M14+'84ABC-SPP'!M14+'84ABC-SPP PIHAK KE-3'!M14</f>
        <v>0</v>
      </c>
      <c r="N14" s="1775">
        <f t="shared" si="0"/>
        <v>7</v>
      </c>
      <c r="O14" s="1901">
        <f t="shared" si="1"/>
        <v>0.30434782608695654</v>
      </c>
      <c r="P14" s="1764">
        <f t="shared" si="2"/>
        <v>0</v>
      </c>
      <c r="Q14" s="1764">
        <f t="shared" si="3"/>
        <v>0</v>
      </c>
      <c r="R14" s="1764">
        <f t="shared" si="4"/>
        <v>0</v>
      </c>
      <c r="S14" s="1900">
        <f t="shared" si="5"/>
        <v>3</v>
      </c>
      <c r="T14" s="1899" t="str">
        <f t="shared" si="6"/>
        <v>DARMAREJA</v>
      </c>
      <c r="U14" s="1775">
        <f>'84ABC-UEP'!U14+'84ABC-SPP'!U14+'84ABC-SPP PIHAK KE-3'!U14</f>
        <v>30</v>
      </c>
      <c r="V14" s="1775">
        <f>'84ABC-UEP'!V14+'84ABC-SPP'!V14+'84ABC-SPP PIHAK KE-3'!V14</f>
        <v>30</v>
      </c>
      <c r="W14" s="1775">
        <f>'84ABC-UEP'!W14+'84ABC-SPP'!W14+'84ABC-SPP PIHAK KE-3'!W14</f>
        <v>0</v>
      </c>
      <c r="X14" s="1775">
        <f>'84ABC-UEP'!X14+'84ABC-SPP'!X14+'84ABC-SPP PIHAK KE-3'!X14</f>
        <v>0</v>
      </c>
      <c r="Y14" s="1775">
        <f>'84ABC-UEP'!Y14+'84ABC-SPP'!Y14+'84ABC-SPP PIHAK KE-3'!Y14</f>
        <v>0</v>
      </c>
      <c r="Z14" s="1775">
        <f>'84ABC-UEP'!Z14+'84ABC-SPP'!Z14+'84ABC-SPP PIHAK KE-3'!Z14</f>
        <v>0</v>
      </c>
      <c r="AA14" s="1775">
        <f>'84ABC-UEP'!AA14+'84ABC-SPP'!AA14+'84ABC-SPP PIHAK KE-3'!AA14</f>
        <v>0</v>
      </c>
      <c r="AB14" s="1775">
        <f>'84ABC-UEP'!AB14+'84ABC-SPP'!AB14+'84ABC-SPP PIHAK KE-3'!AB14</f>
        <v>0</v>
      </c>
      <c r="AC14" s="1764" t="str">
        <f t="shared" si="7"/>
        <v>BENAR</v>
      </c>
      <c r="AD14" s="1764">
        <f t="shared" si="8"/>
        <v>0</v>
      </c>
      <c r="AE14" s="1764">
        <f t="shared" si="9"/>
        <v>0</v>
      </c>
      <c r="AF14" s="1900">
        <f t="shared" si="10"/>
        <v>3</v>
      </c>
      <c r="AG14" s="1899" t="str">
        <f t="shared" si="11"/>
        <v>DARMAREJA</v>
      </c>
      <c r="AH14" s="1775">
        <f>'84ABC-UEP'!AH14+'84ABC-SPP'!AH14+'84ABC-SPP PIHAK KE-3'!AH14</f>
        <v>30</v>
      </c>
      <c r="AI14" s="1775">
        <v>2</v>
      </c>
      <c r="AJ14" s="1775">
        <f>'84ABC-UEP'!AJ14+'84ABC-SPP'!AJ14+'84ABC-SPP PIHAK KE-3'!AJ14</f>
        <v>0</v>
      </c>
      <c r="AK14" s="1775">
        <v>2</v>
      </c>
      <c r="AL14" s="1775">
        <f>'84ABC-UEP'!AL14+'84ABC-SPP'!AL14+'84ABC-SPP PIHAK KE-3'!AL14</f>
        <v>0</v>
      </c>
      <c r="AM14" s="1775">
        <f>'84ABC-UEP'!AM14+'84ABC-SPP'!AM14+'84ABC-SPP PIHAK KE-3'!AM14</f>
        <v>0</v>
      </c>
      <c r="AN14" s="1775">
        <f>'84ABC-UEP'!AN14+'84ABC-SPP'!AN14+'84ABC-SPP PIHAK KE-3'!AN14</f>
        <v>0</v>
      </c>
      <c r="AO14" s="1775">
        <f>'84ABC-UEP'!AO14+'84ABC-SPP'!AO14+'84ABC-SPP PIHAK KE-3'!AO14</f>
        <v>0</v>
      </c>
      <c r="AP14" s="1775">
        <f>'84ABC-UEP'!AP14+'84ABC-SPP'!AP14+'84ABC-SPP PIHAK KE-3'!AP14</f>
        <v>37255000</v>
      </c>
      <c r="AQ14" s="1775">
        <f t="shared" si="12"/>
        <v>37255000</v>
      </c>
      <c r="AR14" s="1764" t="str">
        <f t="shared" si="13"/>
        <v>BENAR</v>
      </c>
      <c r="AS14" s="1762">
        <f t="shared" si="14"/>
        <v>1</v>
      </c>
      <c r="AT14" s="1762">
        <f t="shared" si="15"/>
        <v>0</v>
      </c>
      <c r="AU14" s="1762">
        <f t="shared" si="16"/>
        <v>0</v>
      </c>
      <c r="AV14" s="1762">
        <f t="shared" si="17"/>
        <v>1</v>
      </c>
      <c r="AW14" s="1763">
        <f t="shared" si="18"/>
        <v>1</v>
      </c>
      <c r="AX14" s="1763">
        <f t="shared" si="19"/>
        <v>-1</v>
      </c>
    </row>
    <row r="15" spans="1:50" s="749" customFormat="1" ht="23.25" customHeight="1">
      <c r="A15" s="1900">
        <v>4</v>
      </c>
      <c r="B15" s="1899" t="str">
        <f>'LPP-SPP'!B16</f>
        <v>BALEKAMBANG</v>
      </c>
      <c r="C15" s="1775">
        <f>'84ABC-UEP'!C15+'84ABC-SPP'!C15+'84ABC-SPP PIHAK KE-3'!C15</f>
        <v>16</v>
      </c>
      <c r="D15" s="1775">
        <f>'84ABC-UEP'!D15+'84ABC-SPP'!D15+'84ABC-SPP PIHAK KE-3'!D15</f>
        <v>18</v>
      </c>
      <c r="E15" s="1775">
        <f>'84ABC-UEP'!E15+'84ABC-SPP'!E15+'84ABC-SPP PIHAK KE-3'!E15</f>
        <v>0</v>
      </c>
      <c r="F15" s="1775">
        <f>'84ABC-UEP'!F15+'84ABC-SPP'!F15+'84ABC-SPP PIHAK KE-3'!F15</f>
        <v>0</v>
      </c>
      <c r="G15" s="1775">
        <f>'84ABC-UEP'!G15+'84ABC-SPP'!G15+'84ABC-SPP PIHAK KE-3'!G15</f>
        <v>18</v>
      </c>
      <c r="H15" s="1775">
        <f>'84ABC-UEP'!H15+'84ABC-SPP'!H15+'84ABC-SPP PIHAK KE-3'!H15</f>
        <v>0</v>
      </c>
      <c r="I15" s="1775">
        <f>'84ABC-UEP'!I15+'84ABC-SPP'!I15+'84ABC-SPP PIHAK KE-3'!I15</f>
        <v>8</v>
      </c>
      <c r="J15" s="1775">
        <f>'84ABC-UEP'!J15+'84ABC-SPP'!J15+'84ABC-SPP PIHAK KE-3'!J15</f>
        <v>10</v>
      </c>
      <c r="K15" s="1775">
        <f>'84ABC-UEP'!K15+'84ABC-SPP'!K15+'84ABC-SPP PIHAK KE-3'!K15</f>
        <v>0</v>
      </c>
      <c r="L15" s="1775">
        <f>'84ABC-UEP'!L15+'84ABC-SPP'!L15+'84ABC-SPP PIHAK KE-3'!L15</f>
        <v>18</v>
      </c>
      <c r="M15" s="1775">
        <f>'84ABC-UEP'!M15+'84ABC-SPP'!M15+'84ABC-SPP PIHAK KE-3'!M15</f>
        <v>0</v>
      </c>
      <c r="N15" s="1775">
        <f t="shared" si="0"/>
        <v>2</v>
      </c>
      <c r="O15" s="1901">
        <f t="shared" si="1"/>
        <v>0.125</v>
      </c>
      <c r="P15" s="1764">
        <f t="shared" si="2"/>
        <v>0</v>
      </c>
      <c r="Q15" s="1764">
        <f t="shared" si="3"/>
        <v>0</v>
      </c>
      <c r="R15" s="1764">
        <f t="shared" si="4"/>
        <v>0</v>
      </c>
      <c r="S15" s="1900">
        <f t="shared" si="5"/>
        <v>4</v>
      </c>
      <c r="T15" s="1899" t="str">
        <f t="shared" si="6"/>
        <v>BALEKAMBANG</v>
      </c>
      <c r="U15" s="1775">
        <f>'84ABC-UEP'!U15+'84ABC-SPP'!U15+'84ABC-SPP PIHAK KE-3'!U15</f>
        <v>18</v>
      </c>
      <c r="V15" s="1775">
        <f>'84ABC-UEP'!V15+'84ABC-SPP'!V15+'84ABC-SPP PIHAK KE-3'!V15</f>
        <v>18</v>
      </c>
      <c r="W15" s="1775">
        <f>'84ABC-UEP'!W15+'84ABC-SPP'!W15+'84ABC-SPP PIHAK KE-3'!W15</f>
        <v>0</v>
      </c>
      <c r="X15" s="1775">
        <f>'84ABC-UEP'!X15+'84ABC-SPP'!X15+'84ABC-SPP PIHAK KE-3'!X15</f>
        <v>0</v>
      </c>
      <c r="Y15" s="1775">
        <f>'84ABC-UEP'!Y15+'84ABC-SPP'!Y15+'84ABC-SPP PIHAK KE-3'!Y15</f>
        <v>0</v>
      </c>
      <c r="Z15" s="1775">
        <f>'84ABC-UEP'!Z15+'84ABC-SPP'!Z15+'84ABC-SPP PIHAK KE-3'!Z15</f>
        <v>0</v>
      </c>
      <c r="AA15" s="1775">
        <f>'84ABC-UEP'!AA15+'84ABC-SPP'!AA15+'84ABC-SPP PIHAK KE-3'!AA15</f>
        <v>0</v>
      </c>
      <c r="AB15" s="1775">
        <f>'84ABC-UEP'!AB15+'84ABC-SPP'!AB15+'84ABC-SPP PIHAK KE-3'!AB15</f>
        <v>0</v>
      </c>
      <c r="AC15" s="1764" t="str">
        <f t="shared" si="7"/>
        <v>BENAR</v>
      </c>
      <c r="AD15" s="1764">
        <f t="shared" si="8"/>
        <v>0</v>
      </c>
      <c r="AE15" s="1764">
        <f t="shared" si="9"/>
        <v>0</v>
      </c>
      <c r="AF15" s="1900">
        <f t="shared" si="10"/>
        <v>4</v>
      </c>
      <c r="AG15" s="1899" t="str">
        <f t="shared" si="11"/>
        <v>BALEKAMBANG</v>
      </c>
      <c r="AH15" s="1775">
        <f>'84ABC-UEP'!AH15+'84ABC-SPP'!AH15+'84ABC-SPP PIHAK KE-3'!AH15</f>
        <v>18</v>
      </c>
      <c r="AI15" s="1775">
        <f>'84ABC-UEP'!AI15+'84ABC-SPP'!AI15+'84ABC-SPP PIHAK KE-3'!AI15</f>
        <v>0</v>
      </c>
      <c r="AJ15" s="1775">
        <f>'84ABC-UEP'!AJ15+'84ABC-SPP'!AJ15+'84ABC-SPP PIHAK KE-3'!AJ15</f>
        <v>0</v>
      </c>
      <c r="AK15" s="1775">
        <f>'84ABC-UEP'!AK15+'84ABC-SPP'!AK15+'84ABC-SPP PIHAK KE-3'!AK15</f>
        <v>0</v>
      </c>
      <c r="AL15" s="1775">
        <f>'84ABC-UEP'!AL15+'84ABC-SPP'!AL15+'84ABC-SPP PIHAK KE-3'!AL15</f>
        <v>0</v>
      </c>
      <c r="AM15" s="1775">
        <f>'84ABC-UEP'!AM15+'84ABC-SPP'!AM15+'84ABC-SPP PIHAK KE-3'!AM15</f>
        <v>0</v>
      </c>
      <c r="AN15" s="1775">
        <f>'84ABC-UEP'!AN15+'84ABC-SPP'!AN15+'84ABC-SPP PIHAK KE-3'!AN15</f>
        <v>0</v>
      </c>
      <c r="AO15" s="1775">
        <f>'84ABC-UEP'!AO15+'84ABC-SPP'!AO15+'84ABC-SPP PIHAK KE-3'!AO15</f>
        <v>14935100</v>
      </c>
      <c r="AP15" s="1775">
        <f>'84ABC-UEP'!AP15+'84ABC-SPP'!AP15+'84ABC-SPP PIHAK KE-3'!AP15</f>
        <v>416300</v>
      </c>
      <c r="AQ15" s="1775">
        <f t="shared" si="12"/>
        <v>15351400</v>
      </c>
      <c r="AR15" s="1764" t="str">
        <f t="shared" si="13"/>
        <v>BENAR</v>
      </c>
      <c r="AS15" s="1762">
        <f t="shared" si="14"/>
        <v>0</v>
      </c>
      <c r="AT15" s="1762">
        <f t="shared" si="15"/>
        <v>0</v>
      </c>
      <c r="AU15" s="1762">
        <f t="shared" si="16"/>
        <v>1</v>
      </c>
      <c r="AV15" s="1762">
        <f t="shared" si="17"/>
        <v>1</v>
      </c>
      <c r="AW15" s="1763">
        <f t="shared" si="18"/>
        <v>-1</v>
      </c>
      <c r="AX15" s="1763">
        <f t="shared" si="19"/>
        <v>-1</v>
      </c>
    </row>
    <row r="16" spans="1:50" s="749" customFormat="1" ht="23.25" customHeight="1">
      <c r="A16" s="1902">
        <v>5</v>
      </c>
      <c r="B16" s="1899" t="str">
        <f>'LPP-SPP'!B17</f>
        <v>NAGRAK SELATAN</v>
      </c>
      <c r="C16" s="1775">
        <f>'84ABC-UEP'!C16+'84ABC-SPP'!C16+'84ABC-SPP PIHAK KE-3'!C16</f>
        <v>18</v>
      </c>
      <c r="D16" s="1775">
        <f>'84ABC-UEP'!D16+'84ABC-SPP'!D16+'84ABC-SPP PIHAK KE-3'!D16</f>
        <v>28</v>
      </c>
      <c r="E16" s="1775">
        <f>'84ABC-UEP'!E16+'84ABC-SPP'!E16+'84ABC-SPP PIHAK KE-3'!E16</f>
        <v>0</v>
      </c>
      <c r="F16" s="1775">
        <f>'84ABC-UEP'!F16+'84ABC-SPP'!F16+'84ABC-SPP PIHAK KE-3'!F16</f>
        <v>0</v>
      </c>
      <c r="G16" s="1775">
        <f>'84ABC-UEP'!G16+'84ABC-SPP'!G16+'84ABC-SPP PIHAK KE-3'!G16</f>
        <v>28</v>
      </c>
      <c r="H16" s="1775">
        <f>'84ABC-UEP'!H16+'84ABC-SPP'!H16+'84ABC-SPP PIHAK KE-3'!H16</f>
        <v>0</v>
      </c>
      <c r="I16" s="1775">
        <f>'84ABC-UEP'!I16+'84ABC-SPP'!I16+'84ABC-SPP PIHAK KE-3'!I16</f>
        <v>12</v>
      </c>
      <c r="J16" s="1775">
        <f>'84ABC-UEP'!J16+'84ABC-SPP'!J16+'84ABC-SPP PIHAK KE-3'!J16</f>
        <v>16</v>
      </c>
      <c r="K16" s="1775">
        <f>'84ABC-UEP'!K16+'84ABC-SPP'!K16+'84ABC-SPP PIHAK KE-3'!K16</f>
        <v>0</v>
      </c>
      <c r="L16" s="1775">
        <f>'84ABC-UEP'!L16+'84ABC-SPP'!L16+'84ABC-SPP PIHAK KE-3'!L16</f>
        <v>28</v>
      </c>
      <c r="M16" s="1775">
        <f>'84ABC-UEP'!M16+'84ABC-SPP'!M16+'84ABC-SPP PIHAK KE-3'!M16</f>
        <v>0</v>
      </c>
      <c r="N16" s="1775">
        <f t="shared" si="0"/>
        <v>10</v>
      </c>
      <c r="O16" s="1901">
        <f t="shared" si="1"/>
        <v>0.55555555555555558</v>
      </c>
      <c r="P16" s="1764">
        <f t="shared" si="2"/>
        <v>0</v>
      </c>
      <c r="Q16" s="1764">
        <f t="shared" si="3"/>
        <v>0</v>
      </c>
      <c r="R16" s="1764">
        <f t="shared" si="4"/>
        <v>0</v>
      </c>
      <c r="S16" s="1900">
        <f t="shared" si="5"/>
        <v>5</v>
      </c>
      <c r="T16" s="1899" t="str">
        <f t="shared" si="6"/>
        <v>NAGRAK SELATAN</v>
      </c>
      <c r="U16" s="1775">
        <f>'84ABC-UEP'!U16+'84ABC-SPP'!U16+'84ABC-SPP PIHAK KE-3'!U16</f>
        <v>28</v>
      </c>
      <c r="V16" s="1775">
        <f>'84ABC-UEP'!V16+'84ABC-SPP'!V16+'84ABC-SPP PIHAK KE-3'!V16</f>
        <v>28</v>
      </c>
      <c r="W16" s="1775">
        <f>'84ABC-UEP'!W16+'84ABC-SPP'!W16+'84ABC-SPP PIHAK KE-3'!W16</f>
        <v>0</v>
      </c>
      <c r="X16" s="1775">
        <f>'84ABC-UEP'!X16+'84ABC-SPP'!X16+'84ABC-SPP PIHAK KE-3'!X16</f>
        <v>0</v>
      </c>
      <c r="Y16" s="1775">
        <f>'84ABC-UEP'!Y16+'84ABC-SPP'!Y16+'84ABC-SPP PIHAK KE-3'!Y16</f>
        <v>0</v>
      </c>
      <c r="Z16" s="1775">
        <f>'84ABC-UEP'!Z16+'84ABC-SPP'!Z16+'84ABC-SPP PIHAK KE-3'!Z16</f>
        <v>0</v>
      </c>
      <c r="AA16" s="1775">
        <f>'84ABC-UEP'!AA16+'84ABC-SPP'!AA16+'84ABC-SPP PIHAK KE-3'!AA16</f>
        <v>0</v>
      </c>
      <c r="AB16" s="1775">
        <f>'84ABC-UEP'!AB16+'84ABC-SPP'!AB16+'84ABC-SPP PIHAK KE-3'!AB16</f>
        <v>0</v>
      </c>
      <c r="AC16" s="1764" t="str">
        <f t="shared" si="7"/>
        <v>BENAR</v>
      </c>
      <c r="AD16" s="1764">
        <f t="shared" si="8"/>
        <v>0</v>
      </c>
      <c r="AE16" s="1764">
        <f t="shared" si="9"/>
        <v>0</v>
      </c>
      <c r="AF16" s="1900">
        <f t="shared" si="10"/>
        <v>5</v>
      </c>
      <c r="AG16" s="1899" t="str">
        <f t="shared" si="11"/>
        <v>NAGRAK SELATAN</v>
      </c>
      <c r="AH16" s="1775">
        <f>'84ABC-UEP'!AH16+'84ABC-SPP'!AH16+'84ABC-SPP PIHAK KE-3'!AH16</f>
        <v>28</v>
      </c>
      <c r="AI16" s="1775">
        <v>2</v>
      </c>
      <c r="AJ16" s="1775">
        <f>'84ABC-UEP'!AJ16+'84ABC-SPP'!AJ16+'84ABC-SPP PIHAK KE-3'!AJ16</f>
        <v>0</v>
      </c>
      <c r="AK16" s="1775">
        <v>2</v>
      </c>
      <c r="AL16" s="1775">
        <f>'84ABC-UEP'!AL16+'84ABC-SPP'!AL16+'84ABC-SPP PIHAK KE-3'!AL16</f>
        <v>0</v>
      </c>
      <c r="AM16" s="1775">
        <f>'84ABC-UEP'!AM16+'84ABC-SPP'!AM16+'84ABC-SPP PIHAK KE-3'!AM16</f>
        <v>0</v>
      </c>
      <c r="AN16" s="1775">
        <f>'84ABC-UEP'!AN16+'84ABC-SPP'!AN16+'84ABC-SPP PIHAK KE-3'!AN16</f>
        <v>0</v>
      </c>
      <c r="AO16" s="1775">
        <f>'84ABC-UEP'!AO16+'84ABC-SPP'!AO16+'84ABC-SPP PIHAK KE-3'!AO16</f>
        <v>0</v>
      </c>
      <c r="AP16" s="1775">
        <f>'84ABC-UEP'!AP16+'84ABC-SPP'!AP16+'84ABC-SPP PIHAK KE-3'!AP16</f>
        <v>22591000</v>
      </c>
      <c r="AQ16" s="1775">
        <f t="shared" si="12"/>
        <v>22591000</v>
      </c>
      <c r="AR16" s="1764" t="str">
        <f t="shared" si="13"/>
        <v>BENAR</v>
      </c>
      <c r="AS16" s="1762">
        <f t="shared" si="14"/>
        <v>1</v>
      </c>
      <c r="AT16" s="1762">
        <f t="shared" si="15"/>
        <v>0</v>
      </c>
      <c r="AU16" s="1762">
        <f t="shared" si="16"/>
        <v>0</v>
      </c>
      <c r="AV16" s="1762">
        <f t="shared" si="17"/>
        <v>1</v>
      </c>
      <c r="AW16" s="1763">
        <f t="shared" si="18"/>
        <v>1</v>
      </c>
      <c r="AX16" s="1763">
        <f t="shared" si="19"/>
        <v>-1</v>
      </c>
    </row>
    <row r="17" spans="1:50" s="749" customFormat="1" ht="23.25" customHeight="1">
      <c r="A17" s="1900">
        <v>6</v>
      </c>
      <c r="B17" s="1899" t="str">
        <f>'LPP-SPP'!B18</f>
        <v>KALAPAREA</v>
      </c>
      <c r="C17" s="1775">
        <f>'84ABC-UEP'!C17+'84ABC-SPP'!C17+'84ABC-SPP PIHAK KE-3'!C17</f>
        <v>27</v>
      </c>
      <c r="D17" s="1775">
        <f>'84ABC-UEP'!D17+'84ABC-SPP'!D17+'84ABC-SPP PIHAK KE-3'!D17</f>
        <v>49</v>
      </c>
      <c r="E17" s="1775">
        <f>'84ABC-UEP'!E17+'84ABC-SPP'!E17+'84ABC-SPP PIHAK KE-3'!E17</f>
        <v>0</v>
      </c>
      <c r="F17" s="1775">
        <f>'84ABC-UEP'!F17+'84ABC-SPP'!F17+'84ABC-SPP PIHAK KE-3'!F17</f>
        <v>0</v>
      </c>
      <c r="G17" s="1775">
        <f>'84ABC-UEP'!G17+'84ABC-SPP'!G17+'84ABC-SPP PIHAK KE-3'!G17</f>
        <v>49</v>
      </c>
      <c r="H17" s="1775">
        <f>'84ABC-UEP'!H17+'84ABC-SPP'!H17+'84ABC-SPP PIHAK KE-3'!H17</f>
        <v>0</v>
      </c>
      <c r="I17" s="1775">
        <f>'84ABC-UEP'!I17+'84ABC-SPP'!I17+'84ABC-SPP PIHAK KE-3'!I17</f>
        <v>24</v>
      </c>
      <c r="J17" s="1775">
        <f>'84ABC-UEP'!J17+'84ABC-SPP'!J17+'84ABC-SPP PIHAK KE-3'!J17</f>
        <v>25</v>
      </c>
      <c r="K17" s="1775">
        <f>'84ABC-UEP'!K17+'84ABC-SPP'!K17+'84ABC-SPP PIHAK KE-3'!K17</f>
        <v>0</v>
      </c>
      <c r="L17" s="1775">
        <f>'84ABC-UEP'!L17+'84ABC-SPP'!L17+'84ABC-SPP PIHAK KE-3'!L17</f>
        <v>49</v>
      </c>
      <c r="M17" s="1775">
        <f>'84ABC-UEP'!M17+'84ABC-SPP'!M17+'84ABC-SPP PIHAK KE-3'!M17</f>
        <v>0</v>
      </c>
      <c r="N17" s="1775">
        <f t="shared" si="0"/>
        <v>22</v>
      </c>
      <c r="O17" s="1901">
        <f t="shared" si="1"/>
        <v>0.81481481481481477</v>
      </c>
      <c r="P17" s="1764">
        <f t="shared" si="2"/>
        <v>0</v>
      </c>
      <c r="Q17" s="1764">
        <f t="shared" si="3"/>
        <v>0</v>
      </c>
      <c r="R17" s="1764">
        <f t="shared" si="4"/>
        <v>0</v>
      </c>
      <c r="S17" s="1900">
        <f t="shared" si="5"/>
        <v>6</v>
      </c>
      <c r="T17" s="1899" t="str">
        <f t="shared" si="6"/>
        <v>KALAPAREA</v>
      </c>
      <c r="U17" s="1775">
        <f>'84ABC-UEP'!U17+'84ABC-SPP'!U17+'84ABC-SPP PIHAK KE-3'!U17</f>
        <v>49</v>
      </c>
      <c r="V17" s="1775">
        <f>'84ABC-UEP'!V17+'84ABC-SPP'!V17+'84ABC-SPP PIHAK KE-3'!V17</f>
        <v>49</v>
      </c>
      <c r="W17" s="1775">
        <f>'84ABC-UEP'!W17+'84ABC-SPP'!W17+'84ABC-SPP PIHAK KE-3'!W17</f>
        <v>0</v>
      </c>
      <c r="X17" s="1775">
        <f>'84ABC-UEP'!X17+'84ABC-SPP'!X17+'84ABC-SPP PIHAK KE-3'!X17</f>
        <v>0</v>
      </c>
      <c r="Y17" s="1775">
        <f>'84ABC-UEP'!Y17+'84ABC-SPP'!Y17+'84ABC-SPP PIHAK KE-3'!Y17</f>
        <v>0</v>
      </c>
      <c r="Z17" s="1775">
        <f>'84ABC-UEP'!Z17+'84ABC-SPP'!Z17+'84ABC-SPP PIHAK KE-3'!Z17</f>
        <v>0</v>
      </c>
      <c r="AA17" s="1775">
        <f>'84ABC-UEP'!AA17+'84ABC-SPP'!AA17+'84ABC-SPP PIHAK KE-3'!AA17</f>
        <v>0</v>
      </c>
      <c r="AB17" s="1775">
        <f>'84ABC-UEP'!AB17+'84ABC-SPP'!AB17+'84ABC-SPP PIHAK KE-3'!AB17</f>
        <v>0</v>
      </c>
      <c r="AC17" s="1764" t="str">
        <f t="shared" si="7"/>
        <v>BENAR</v>
      </c>
      <c r="AD17" s="1764">
        <f t="shared" si="8"/>
        <v>0</v>
      </c>
      <c r="AE17" s="1764">
        <f t="shared" si="9"/>
        <v>0</v>
      </c>
      <c r="AF17" s="1900">
        <f t="shared" si="10"/>
        <v>6</v>
      </c>
      <c r="AG17" s="1899" t="str">
        <f t="shared" si="11"/>
        <v>KALAPAREA</v>
      </c>
      <c r="AH17" s="1775">
        <f>'84ABC-UEP'!AH17+'84ABC-SPP'!AH17+'84ABC-SPP PIHAK KE-3'!AH17</f>
        <v>49</v>
      </c>
      <c r="AI17" s="1775">
        <f>'84ABC-UEP'!AI17+'84ABC-SPP'!AI17+'84ABC-SPP PIHAK KE-3'!AI17</f>
        <v>0</v>
      </c>
      <c r="AJ17" s="1775">
        <f>'84ABC-UEP'!AJ17+'84ABC-SPP'!AJ17+'84ABC-SPP PIHAK KE-3'!AJ17</f>
        <v>0</v>
      </c>
      <c r="AK17" s="1775">
        <f>'84ABC-UEP'!AK17+'84ABC-SPP'!AK17+'84ABC-SPP PIHAK KE-3'!AK17</f>
        <v>0</v>
      </c>
      <c r="AL17" s="1775">
        <f>'84ABC-UEP'!AL17+'84ABC-SPP'!AL17+'84ABC-SPP PIHAK KE-3'!AL17</f>
        <v>0</v>
      </c>
      <c r="AM17" s="1775">
        <f>'84ABC-UEP'!AM17+'84ABC-SPP'!AM17+'84ABC-SPP PIHAK KE-3'!AM17</f>
        <v>0</v>
      </c>
      <c r="AN17" s="1775">
        <f>'84ABC-UEP'!AN17+'84ABC-SPP'!AN17+'84ABC-SPP PIHAK KE-3'!AN17</f>
        <v>0</v>
      </c>
      <c r="AO17" s="1775">
        <f>'84ABC-UEP'!AO17+'84ABC-SPP'!AO17+'84ABC-SPP PIHAK KE-3'!AO17</f>
        <v>59944600</v>
      </c>
      <c r="AP17" s="1775">
        <f>'84ABC-UEP'!AP17+'84ABC-SPP'!AP17+'84ABC-SPP PIHAK KE-3'!AP17</f>
        <v>11004600</v>
      </c>
      <c r="AQ17" s="1775">
        <f t="shared" si="12"/>
        <v>70949200</v>
      </c>
      <c r="AR17" s="1764" t="str">
        <f t="shared" si="13"/>
        <v>BENAR</v>
      </c>
      <c r="AS17" s="1762">
        <f t="shared" si="14"/>
        <v>0</v>
      </c>
      <c r="AT17" s="1762">
        <f t="shared" si="15"/>
        <v>0</v>
      </c>
      <c r="AU17" s="1762">
        <f t="shared" si="16"/>
        <v>1</v>
      </c>
      <c r="AV17" s="1762">
        <f t="shared" si="17"/>
        <v>1</v>
      </c>
      <c r="AW17" s="1763">
        <f t="shared" si="18"/>
        <v>-1</v>
      </c>
      <c r="AX17" s="1763">
        <f t="shared" si="19"/>
        <v>-1</v>
      </c>
    </row>
    <row r="18" spans="1:50" s="749" customFormat="1" ht="23.25" customHeight="1">
      <c r="A18" s="1902">
        <v>7</v>
      </c>
      <c r="B18" s="1899" t="str">
        <f>'LPP-SPP'!B19</f>
        <v>BABAKAN PANJANG</v>
      </c>
      <c r="C18" s="1775">
        <f>'84ABC-UEP'!C18+'84ABC-SPP'!C18+'84ABC-SPP PIHAK KE-3'!C18</f>
        <v>20</v>
      </c>
      <c r="D18" s="1775">
        <f>'84ABC-UEP'!D18+'84ABC-SPP'!D18+'84ABC-SPP PIHAK KE-3'!D18</f>
        <v>26</v>
      </c>
      <c r="E18" s="1775">
        <f>'84ABC-UEP'!E18+'84ABC-SPP'!E18+'84ABC-SPP PIHAK KE-3'!E18</f>
        <v>0</v>
      </c>
      <c r="F18" s="1775">
        <f>'84ABC-UEP'!F18+'84ABC-SPP'!F18+'84ABC-SPP PIHAK KE-3'!F18</f>
        <v>0</v>
      </c>
      <c r="G18" s="1775">
        <f>'84ABC-UEP'!G18+'84ABC-SPP'!G18+'84ABC-SPP PIHAK KE-3'!G18</f>
        <v>26</v>
      </c>
      <c r="H18" s="1775">
        <f>'84ABC-UEP'!H18+'84ABC-SPP'!H18+'84ABC-SPP PIHAK KE-3'!H18</f>
        <v>0</v>
      </c>
      <c r="I18" s="1775">
        <f>'84ABC-UEP'!I18+'84ABC-SPP'!I18+'84ABC-SPP PIHAK KE-3'!I18</f>
        <v>15</v>
      </c>
      <c r="J18" s="1775">
        <f>'84ABC-UEP'!J18+'84ABC-SPP'!J18+'84ABC-SPP PIHAK KE-3'!J18</f>
        <v>11</v>
      </c>
      <c r="K18" s="1775">
        <f>'84ABC-UEP'!K18+'84ABC-SPP'!K18+'84ABC-SPP PIHAK KE-3'!K18</f>
        <v>0</v>
      </c>
      <c r="L18" s="1775">
        <f>'84ABC-UEP'!L18+'84ABC-SPP'!L18+'84ABC-SPP PIHAK KE-3'!L18</f>
        <v>26</v>
      </c>
      <c r="M18" s="1775">
        <f>'84ABC-UEP'!M18+'84ABC-SPP'!M18+'84ABC-SPP PIHAK KE-3'!M18</f>
        <v>0</v>
      </c>
      <c r="N18" s="1775">
        <f t="shared" si="0"/>
        <v>6</v>
      </c>
      <c r="O18" s="1901">
        <f t="shared" si="1"/>
        <v>0.3</v>
      </c>
      <c r="P18" s="1764">
        <f t="shared" si="2"/>
        <v>0</v>
      </c>
      <c r="Q18" s="1764">
        <f t="shared" si="3"/>
        <v>0</v>
      </c>
      <c r="R18" s="1764">
        <f t="shared" si="4"/>
        <v>0</v>
      </c>
      <c r="S18" s="1900">
        <f t="shared" si="5"/>
        <v>7</v>
      </c>
      <c r="T18" s="1899" t="str">
        <f t="shared" si="6"/>
        <v>BABAKAN PANJANG</v>
      </c>
      <c r="U18" s="1775">
        <f>'84ABC-UEP'!U18+'84ABC-SPP'!U18+'84ABC-SPP PIHAK KE-3'!U18</f>
        <v>26</v>
      </c>
      <c r="V18" s="1775">
        <f>'84ABC-UEP'!V18+'84ABC-SPP'!V18+'84ABC-SPP PIHAK KE-3'!V18</f>
        <v>26</v>
      </c>
      <c r="W18" s="1775">
        <f>'84ABC-UEP'!W18+'84ABC-SPP'!W18+'84ABC-SPP PIHAK KE-3'!W18</f>
        <v>0</v>
      </c>
      <c r="X18" s="1775">
        <f>'84ABC-UEP'!X18+'84ABC-SPP'!X18+'84ABC-SPP PIHAK KE-3'!X18</f>
        <v>0</v>
      </c>
      <c r="Y18" s="1775">
        <f>'84ABC-UEP'!Y18+'84ABC-SPP'!Y18+'84ABC-SPP PIHAK KE-3'!Y18</f>
        <v>0</v>
      </c>
      <c r="Z18" s="1775">
        <f>'84ABC-UEP'!Z18+'84ABC-SPP'!Z18+'84ABC-SPP PIHAK KE-3'!Z18</f>
        <v>0</v>
      </c>
      <c r="AA18" s="1775">
        <f>'84ABC-UEP'!AA18+'84ABC-SPP'!AA18+'84ABC-SPP PIHAK KE-3'!AA18</f>
        <v>0</v>
      </c>
      <c r="AB18" s="1775">
        <f>'84ABC-UEP'!AB18+'84ABC-SPP'!AB18+'84ABC-SPP PIHAK KE-3'!AB18</f>
        <v>0</v>
      </c>
      <c r="AC18" s="1764" t="str">
        <f t="shared" si="7"/>
        <v>BENAR</v>
      </c>
      <c r="AD18" s="1764">
        <f t="shared" si="8"/>
        <v>0</v>
      </c>
      <c r="AE18" s="1764">
        <f t="shared" si="9"/>
        <v>0</v>
      </c>
      <c r="AF18" s="1900">
        <f t="shared" si="10"/>
        <v>7</v>
      </c>
      <c r="AG18" s="1899" t="str">
        <f t="shared" si="11"/>
        <v>BABAKAN PANJANG</v>
      </c>
      <c r="AH18" s="1775">
        <f>'84ABC-UEP'!AH18+'84ABC-SPP'!AH18+'84ABC-SPP PIHAK KE-3'!AH18</f>
        <v>26</v>
      </c>
      <c r="AI18" s="1775">
        <f>'84ABC-UEP'!AI18+'84ABC-SPP'!AI18+'84ABC-SPP PIHAK KE-3'!AI18</f>
        <v>0</v>
      </c>
      <c r="AJ18" s="1775">
        <f>'84ABC-UEP'!AJ18+'84ABC-SPP'!AJ18+'84ABC-SPP PIHAK KE-3'!AJ18</f>
        <v>0</v>
      </c>
      <c r="AK18" s="1775">
        <f>'84ABC-UEP'!AK18+'84ABC-SPP'!AK18+'84ABC-SPP PIHAK KE-3'!AK18</f>
        <v>0</v>
      </c>
      <c r="AL18" s="1775">
        <f>'84ABC-UEP'!AL18+'84ABC-SPP'!AL18+'84ABC-SPP PIHAK KE-3'!AL18</f>
        <v>0</v>
      </c>
      <c r="AM18" s="1775">
        <f>'84ABC-UEP'!AM18+'84ABC-SPP'!AM18+'84ABC-SPP PIHAK KE-3'!AM18</f>
        <v>0</v>
      </c>
      <c r="AN18" s="1775">
        <f>'84ABC-UEP'!AN18+'84ABC-SPP'!AN18+'84ABC-SPP PIHAK KE-3'!AN18</f>
        <v>0</v>
      </c>
      <c r="AO18" s="1775">
        <f>'84ABC-UEP'!AO18+'84ABC-SPP'!AO18+'84ABC-SPP PIHAK KE-3'!AO18</f>
        <v>0</v>
      </c>
      <c r="AP18" s="1775">
        <f>'84ABC-UEP'!AP18+'84ABC-SPP'!AP18+'84ABC-SPP PIHAK KE-3'!AP18</f>
        <v>8976000</v>
      </c>
      <c r="AQ18" s="1775">
        <f t="shared" si="12"/>
        <v>8976000</v>
      </c>
      <c r="AR18" s="1764" t="str">
        <f t="shared" si="13"/>
        <v>BENAR</v>
      </c>
      <c r="AS18" s="1762">
        <f t="shared" si="14"/>
        <v>0</v>
      </c>
      <c r="AT18" s="1762">
        <f t="shared" si="15"/>
        <v>0</v>
      </c>
      <c r="AU18" s="1762">
        <f t="shared" si="16"/>
        <v>0</v>
      </c>
      <c r="AV18" s="1762">
        <f t="shared" si="17"/>
        <v>1</v>
      </c>
      <c r="AW18" s="1763">
        <f t="shared" si="18"/>
        <v>0</v>
      </c>
      <c r="AX18" s="1763">
        <f t="shared" si="19"/>
        <v>-1</v>
      </c>
    </row>
    <row r="19" spans="1:50" s="749" customFormat="1" ht="23.25" customHeight="1">
      <c r="A19" s="1900">
        <v>8</v>
      </c>
      <c r="B19" s="1899" t="str">
        <f>'LPP-SPP'!B20</f>
        <v>PAWENANG</v>
      </c>
      <c r="C19" s="1775">
        <f>'84ABC-UEP'!C19+'84ABC-SPP'!C19+'84ABC-SPP PIHAK KE-3'!C19</f>
        <v>13</v>
      </c>
      <c r="D19" s="1775">
        <f>'84ABC-UEP'!D19+'84ABC-SPP'!D19+'84ABC-SPP PIHAK KE-3'!D19</f>
        <v>24</v>
      </c>
      <c r="E19" s="1775">
        <f>'84ABC-UEP'!E19+'84ABC-SPP'!E19+'84ABC-SPP PIHAK KE-3'!E19</f>
        <v>0</v>
      </c>
      <c r="F19" s="1775">
        <f>'84ABC-UEP'!F19+'84ABC-SPP'!F19+'84ABC-SPP PIHAK KE-3'!F19</f>
        <v>0</v>
      </c>
      <c r="G19" s="1775">
        <f>'84ABC-UEP'!G19+'84ABC-SPP'!G19+'84ABC-SPP PIHAK KE-3'!G19</f>
        <v>24</v>
      </c>
      <c r="H19" s="1775">
        <f>'84ABC-UEP'!H19+'84ABC-SPP'!H19+'84ABC-SPP PIHAK KE-3'!H19</f>
        <v>0</v>
      </c>
      <c r="I19" s="1775">
        <f>'84ABC-UEP'!I19+'84ABC-SPP'!I19+'84ABC-SPP PIHAK KE-3'!I19</f>
        <v>14</v>
      </c>
      <c r="J19" s="1775">
        <f>'84ABC-UEP'!J19+'84ABC-SPP'!J19+'84ABC-SPP PIHAK KE-3'!J19</f>
        <v>10</v>
      </c>
      <c r="K19" s="1775">
        <f>'84ABC-UEP'!K19+'84ABC-SPP'!K19+'84ABC-SPP PIHAK KE-3'!K19</f>
        <v>0</v>
      </c>
      <c r="L19" s="1775">
        <f>'84ABC-UEP'!L19+'84ABC-SPP'!L19+'84ABC-SPP PIHAK KE-3'!L19</f>
        <v>24</v>
      </c>
      <c r="M19" s="1775">
        <f>'84ABC-UEP'!M19+'84ABC-SPP'!M19+'84ABC-SPP PIHAK KE-3'!M19</f>
        <v>0</v>
      </c>
      <c r="N19" s="1775">
        <f t="shared" si="0"/>
        <v>11</v>
      </c>
      <c r="O19" s="1901">
        <f t="shared" si="1"/>
        <v>0.84615384615384615</v>
      </c>
      <c r="P19" s="1764">
        <f t="shared" si="2"/>
        <v>0</v>
      </c>
      <c r="Q19" s="1764">
        <f t="shared" si="3"/>
        <v>0</v>
      </c>
      <c r="R19" s="1764">
        <f t="shared" si="4"/>
        <v>0</v>
      </c>
      <c r="S19" s="1900">
        <f t="shared" si="5"/>
        <v>8</v>
      </c>
      <c r="T19" s="1899" t="str">
        <f t="shared" si="6"/>
        <v>PAWENANG</v>
      </c>
      <c r="U19" s="1775">
        <f>'84ABC-UEP'!U19+'84ABC-SPP'!U19+'84ABC-SPP PIHAK KE-3'!U19</f>
        <v>24</v>
      </c>
      <c r="V19" s="1775">
        <f>'84ABC-UEP'!V19+'84ABC-SPP'!V19+'84ABC-SPP PIHAK KE-3'!V19</f>
        <v>24</v>
      </c>
      <c r="W19" s="1775">
        <f>'84ABC-UEP'!W19+'84ABC-SPP'!W19+'84ABC-SPP PIHAK KE-3'!W19</f>
        <v>0</v>
      </c>
      <c r="X19" s="1775">
        <f>'84ABC-UEP'!X19+'84ABC-SPP'!X19+'84ABC-SPP PIHAK KE-3'!X19</f>
        <v>0</v>
      </c>
      <c r="Y19" s="1775">
        <f>'84ABC-UEP'!Y19+'84ABC-SPP'!Y19+'84ABC-SPP PIHAK KE-3'!Y19</f>
        <v>0</v>
      </c>
      <c r="Z19" s="1775">
        <f>'84ABC-UEP'!Z19+'84ABC-SPP'!Z19+'84ABC-SPP PIHAK KE-3'!Z19</f>
        <v>0</v>
      </c>
      <c r="AA19" s="1775">
        <f>'84ABC-UEP'!AA19+'84ABC-SPP'!AA19+'84ABC-SPP PIHAK KE-3'!AA19</f>
        <v>0</v>
      </c>
      <c r="AB19" s="1775">
        <f>'84ABC-UEP'!AB19+'84ABC-SPP'!AB19+'84ABC-SPP PIHAK KE-3'!AB19</f>
        <v>0</v>
      </c>
      <c r="AC19" s="1764" t="str">
        <f t="shared" si="7"/>
        <v>BENAR</v>
      </c>
      <c r="AD19" s="1764">
        <f t="shared" si="8"/>
        <v>0</v>
      </c>
      <c r="AE19" s="1764">
        <f t="shared" si="9"/>
        <v>0</v>
      </c>
      <c r="AF19" s="1900">
        <f t="shared" si="10"/>
        <v>8</v>
      </c>
      <c r="AG19" s="1899" t="str">
        <f t="shared" si="11"/>
        <v>PAWENANG</v>
      </c>
      <c r="AH19" s="1775">
        <f>'84ABC-UEP'!AH19+'84ABC-SPP'!AH19+'84ABC-SPP PIHAK KE-3'!AH19</f>
        <v>24</v>
      </c>
      <c r="AI19" s="1775">
        <f>'84ABC-UEP'!AI19+'84ABC-SPP'!AI19+'84ABC-SPP PIHAK KE-3'!AI19</f>
        <v>0</v>
      </c>
      <c r="AJ19" s="1775">
        <f>'84ABC-UEP'!AJ19+'84ABC-SPP'!AJ19+'84ABC-SPP PIHAK KE-3'!AJ19</f>
        <v>0</v>
      </c>
      <c r="AK19" s="1775">
        <f>'84ABC-UEP'!AK19+'84ABC-SPP'!AK19+'84ABC-SPP PIHAK KE-3'!AK19</f>
        <v>0</v>
      </c>
      <c r="AL19" s="1775">
        <f>'84ABC-UEP'!AL19+'84ABC-SPP'!AL19+'84ABC-SPP PIHAK KE-3'!AL19</f>
        <v>0</v>
      </c>
      <c r="AM19" s="1775">
        <f>'84ABC-UEP'!AM19+'84ABC-SPP'!AM19+'84ABC-SPP PIHAK KE-3'!AM19</f>
        <v>0</v>
      </c>
      <c r="AN19" s="1775">
        <f>'84ABC-UEP'!AN19+'84ABC-SPP'!AN19+'84ABC-SPP PIHAK KE-3'!AN19</f>
        <v>0</v>
      </c>
      <c r="AO19" s="1775">
        <f>'84ABC-UEP'!AO19+'84ABC-SPP'!AO19+'84ABC-SPP PIHAK KE-3'!AO19</f>
        <v>0</v>
      </c>
      <c r="AP19" s="1775">
        <f>'84ABC-UEP'!AP19+'84ABC-SPP'!AP19+'84ABC-SPP PIHAK KE-3'!AP19</f>
        <v>15030100</v>
      </c>
      <c r="AQ19" s="1775">
        <f t="shared" si="12"/>
        <v>15030100</v>
      </c>
      <c r="AR19" s="1764" t="str">
        <f t="shared" si="13"/>
        <v>BENAR</v>
      </c>
      <c r="AS19" s="1762">
        <f t="shared" si="14"/>
        <v>0</v>
      </c>
      <c r="AT19" s="1762">
        <f t="shared" si="15"/>
        <v>0</v>
      </c>
      <c r="AU19" s="1762">
        <f t="shared" si="16"/>
        <v>0</v>
      </c>
      <c r="AV19" s="1762">
        <f t="shared" si="17"/>
        <v>1</v>
      </c>
      <c r="AW19" s="1763">
        <f t="shared" si="18"/>
        <v>0</v>
      </c>
      <c r="AX19" s="1763">
        <f t="shared" si="19"/>
        <v>-1</v>
      </c>
    </row>
    <row r="20" spans="1:50" s="749" customFormat="1" ht="23.25" customHeight="1">
      <c r="A20" s="1902">
        <v>9</v>
      </c>
      <c r="B20" s="1899" t="str">
        <f>'LPP-SPP'!B21</f>
        <v>CISARUA</v>
      </c>
      <c r="C20" s="1775">
        <f>'84ABC-UEP'!C20+'84ABC-SPP'!C20+'84ABC-SPP PIHAK KE-3'!C20</f>
        <v>30</v>
      </c>
      <c r="D20" s="1775">
        <f>'84ABC-UEP'!D20+'84ABC-SPP'!D20+'84ABC-SPP PIHAK KE-3'!D20</f>
        <v>45</v>
      </c>
      <c r="E20" s="1775">
        <f>'84ABC-UEP'!E20+'84ABC-SPP'!E20+'84ABC-SPP PIHAK KE-3'!E20</f>
        <v>0</v>
      </c>
      <c r="F20" s="1775">
        <f>'84ABC-UEP'!F20+'84ABC-SPP'!F20+'84ABC-SPP PIHAK KE-3'!F20</f>
        <v>0</v>
      </c>
      <c r="G20" s="1775">
        <f>'84ABC-UEP'!G20+'84ABC-SPP'!G20+'84ABC-SPP PIHAK KE-3'!G20</f>
        <v>45</v>
      </c>
      <c r="H20" s="1775">
        <f>'84ABC-UEP'!H20+'84ABC-SPP'!H20+'84ABC-SPP PIHAK KE-3'!H20</f>
        <v>0</v>
      </c>
      <c r="I20" s="1775">
        <f>'84ABC-UEP'!I20+'84ABC-SPP'!I20+'84ABC-SPP PIHAK KE-3'!I20</f>
        <v>18</v>
      </c>
      <c r="J20" s="1775">
        <f>'84ABC-UEP'!J20+'84ABC-SPP'!J20+'84ABC-SPP PIHAK KE-3'!J20</f>
        <v>27</v>
      </c>
      <c r="K20" s="1775">
        <f>'84ABC-UEP'!K20+'84ABC-SPP'!K20+'84ABC-SPP PIHAK KE-3'!K20</f>
        <v>0</v>
      </c>
      <c r="L20" s="1775">
        <f>'84ABC-UEP'!L20+'84ABC-SPP'!L20+'84ABC-SPP PIHAK KE-3'!L20</f>
        <v>45</v>
      </c>
      <c r="M20" s="1775">
        <f>'84ABC-UEP'!M20+'84ABC-SPP'!M20+'84ABC-SPP PIHAK KE-3'!M20</f>
        <v>0</v>
      </c>
      <c r="N20" s="1775">
        <f t="shared" si="0"/>
        <v>15</v>
      </c>
      <c r="O20" s="1901">
        <f t="shared" si="1"/>
        <v>0.5</v>
      </c>
      <c r="P20" s="1764">
        <f t="shared" si="2"/>
        <v>0</v>
      </c>
      <c r="Q20" s="1764">
        <f t="shared" si="3"/>
        <v>0</v>
      </c>
      <c r="R20" s="1764">
        <f t="shared" si="4"/>
        <v>0</v>
      </c>
      <c r="S20" s="1900">
        <f t="shared" si="5"/>
        <v>9</v>
      </c>
      <c r="T20" s="1899" t="str">
        <f t="shared" si="6"/>
        <v>CISARUA</v>
      </c>
      <c r="U20" s="1775">
        <f>'84ABC-UEP'!U20+'84ABC-SPP'!U20+'84ABC-SPP PIHAK KE-3'!U20</f>
        <v>45</v>
      </c>
      <c r="V20" s="1775">
        <f>'84ABC-UEP'!V20+'84ABC-SPP'!V20+'84ABC-SPP PIHAK KE-3'!V20</f>
        <v>45</v>
      </c>
      <c r="W20" s="1775">
        <f>'84ABC-UEP'!W20+'84ABC-SPP'!W20+'84ABC-SPP PIHAK KE-3'!W20</f>
        <v>0</v>
      </c>
      <c r="X20" s="1775">
        <f>'84ABC-UEP'!X20+'84ABC-SPP'!X20+'84ABC-SPP PIHAK KE-3'!X20</f>
        <v>0</v>
      </c>
      <c r="Y20" s="1775">
        <f>'84ABC-UEP'!Y20+'84ABC-SPP'!Y20+'84ABC-SPP PIHAK KE-3'!Y20</f>
        <v>0</v>
      </c>
      <c r="Z20" s="1775">
        <f>'84ABC-UEP'!Z20+'84ABC-SPP'!Z20+'84ABC-SPP PIHAK KE-3'!Z20</f>
        <v>0</v>
      </c>
      <c r="AA20" s="1775">
        <f>'84ABC-UEP'!AA20+'84ABC-SPP'!AA20+'84ABC-SPP PIHAK KE-3'!AA20</f>
        <v>0</v>
      </c>
      <c r="AB20" s="1775">
        <f>'84ABC-UEP'!AB20+'84ABC-SPP'!AB20+'84ABC-SPP PIHAK KE-3'!AB20</f>
        <v>0</v>
      </c>
      <c r="AC20" s="1764" t="str">
        <f t="shared" si="7"/>
        <v>BENAR</v>
      </c>
      <c r="AD20" s="1764">
        <f t="shared" si="8"/>
        <v>0</v>
      </c>
      <c r="AE20" s="1764">
        <f t="shared" si="9"/>
        <v>0</v>
      </c>
      <c r="AF20" s="1900">
        <f t="shared" si="10"/>
        <v>9</v>
      </c>
      <c r="AG20" s="1899" t="str">
        <f t="shared" si="11"/>
        <v>CISARUA</v>
      </c>
      <c r="AH20" s="1775">
        <f>'84ABC-UEP'!AH20+'84ABC-SPP'!AH20+'84ABC-SPP PIHAK KE-3'!AH20</f>
        <v>45</v>
      </c>
      <c r="AI20" s="1775">
        <f>'84ABC-UEP'!AI20+'84ABC-SPP'!AI20+'84ABC-SPP PIHAK KE-3'!AI20</f>
        <v>0</v>
      </c>
      <c r="AJ20" s="1775">
        <f>'84ABC-UEP'!AJ20+'84ABC-SPP'!AJ20+'84ABC-SPP PIHAK KE-3'!AJ20</f>
        <v>0</v>
      </c>
      <c r="AK20" s="1775">
        <f>'84ABC-UEP'!AK20+'84ABC-SPP'!AK20+'84ABC-SPP PIHAK KE-3'!AK20</f>
        <v>0</v>
      </c>
      <c r="AL20" s="1775">
        <f>'84ABC-UEP'!AL20+'84ABC-SPP'!AL20+'84ABC-SPP PIHAK KE-3'!AL20</f>
        <v>0</v>
      </c>
      <c r="AM20" s="1775">
        <f>'84ABC-UEP'!AM20+'84ABC-SPP'!AM20+'84ABC-SPP PIHAK KE-3'!AM20</f>
        <v>0</v>
      </c>
      <c r="AN20" s="1775">
        <f>'84ABC-UEP'!AN20+'84ABC-SPP'!AN20+'84ABC-SPP PIHAK KE-3'!AN20</f>
        <v>0</v>
      </c>
      <c r="AO20" s="1775">
        <f>'84ABC-UEP'!AO20+'84ABC-SPP'!AO20+'84ABC-SPP PIHAK KE-3'!AO20</f>
        <v>49733400</v>
      </c>
      <c r="AP20" s="1775">
        <f>'84ABC-UEP'!AP20+'84ABC-SPP'!AP20+'84ABC-SPP PIHAK KE-3'!AP20</f>
        <v>29429200</v>
      </c>
      <c r="AQ20" s="1775">
        <f t="shared" si="12"/>
        <v>79162600</v>
      </c>
      <c r="AR20" s="1764" t="str">
        <f t="shared" si="13"/>
        <v>BENAR</v>
      </c>
      <c r="AS20" s="1762">
        <f t="shared" si="14"/>
        <v>0</v>
      </c>
      <c r="AT20" s="1762">
        <f t="shared" si="15"/>
        <v>0</v>
      </c>
      <c r="AU20" s="1762">
        <f t="shared" si="16"/>
        <v>1</v>
      </c>
      <c r="AV20" s="1762">
        <f t="shared" si="17"/>
        <v>1</v>
      </c>
      <c r="AW20" s="1763">
        <f t="shared" si="18"/>
        <v>-1</v>
      </c>
      <c r="AX20" s="1763">
        <f t="shared" si="19"/>
        <v>-1</v>
      </c>
    </row>
    <row r="21" spans="1:50" s="749" customFormat="1" ht="23.25" customHeight="1">
      <c r="A21" s="1900">
        <v>10</v>
      </c>
      <c r="B21" s="1899" t="str">
        <f>'LPP-SPP'!B22</f>
        <v>GIRIJAYA</v>
      </c>
      <c r="C21" s="1775">
        <f>'84ABC-UEP'!C21+'84ABC-SPP'!C21+'84ABC-SPP PIHAK KE-3'!C21</f>
        <v>19</v>
      </c>
      <c r="D21" s="1775">
        <f>'84ABC-UEP'!D21+'84ABC-SPP'!D21+'84ABC-SPP PIHAK KE-3'!D21</f>
        <v>43</v>
      </c>
      <c r="E21" s="1775">
        <f>'84ABC-UEP'!E21+'84ABC-SPP'!E21+'84ABC-SPP PIHAK KE-3'!E21</f>
        <v>0</v>
      </c>
      <c r="F21" s="1775">
        <f>'84ABC-UEP'!F21+'84ABC-SPP'!F21+'84ABC-SPP PIHAK KE-3'!F21</f>
        <v>0</v>
      </c>
      <c r="G21" s="1775">
        <f>'84ABC-UEP'!G21+'84ABC-SPP'!G21+'84ABC-SPP PIHAK KE-3'!G21</f>
        <v>43</v>
      </c>
      <c r="H21" s="1775">
        <f>'84ABC-UEP'!H21+'84ABC-SPP'!H21+'84ABC-SPP PIHAK KE-3'!H21</f>
        <v>0</v>
      </c>
      <c r="I21" s="1775">
        <f>'84ABC-UEP'!I21+'84ABC-SPP'!I21+'84ABC-SPP PIHAK KE-3'!I21</f>
        <v>9</v>
      </c>
      <c r="J21" s="1775">
        <f>'84ABC-UEP'!J21+'84ABC-SPP'!J21+'84ABC-SPP PIHAK KE-3'!J21</f>
        <v>34</v>
      </c>
      <c r="K21" s="1775">
        <f>'84ABC-UEP'!K21+'84ABC-SPP'!K21+'84ABC-SPP PIHAK KE-3'!K21</f>
        <v>0</v>
      </c>
      <c r="L21" s="1775">
        <f>'84ABC-UEP'!L21+'84ABC-SPP'!L21+'84ABC-SPP PIHAK KE-3'!L21</f>
        <v>43</v>
      </c>
      <c r="M21" s="1775">
        <f>'84ABC-UEP'!M21+'84ABC-SPP'!M21+'84ABC-SPP PIHAK KE-3'!M21</f>
        <v>0</v>
      </c>
      <c r="N21" s="1775">
        <f t="shared" si="0"/>
        <v>24</v>
      </c>
      <c r="O21" s="1901">
        <f t="shared" si="1"/>
        <v>1.263157894736842</v>
      </c>
      <c r="P21" s="1764">
        <f t="shared" si="2"/>
        <v>0</v>
      </c>
      <c r="Q21" s="1764">
        <f t="shared" si="3"/>
        <v>0</v>
      </c>
      <c r="R21" s="1764">
        <f t="shared" si="4"/>
        <v>0</v>
      </c>
      <c r="S21" s="1900">
        <f t="shared" si="5"/>
        <v>10</v>
      </c>
      <c r="T21" s="1899" t="str">
        <f t="shared" si="6"/>
        <v>GIRIJAYA</v>
      </c>
      <c r="U21" s="1775">
        <f>'84ABC-UEP'!U21+'84ABC-SPP'!U21+'84ABC-SPP PIHAK KE-3'!U21</f>
        <v>43</v>
      </c>
      <c r="V21" s="1775">
        <f>'84ABC-UEP'!V21+'84ABC-SPP'!V21+'84ABC-SPP PIHAK KE-3'!V21</f>
        <v>43</v>
      </c>
      <c r="W21" s="1775">
        <f>'84ABC-UEP'!W21+'84ABC-SPP'!W21+'84ABC-SPP PIHAK KE-3'!W21</f>
        <v>0</v>
      </c>
      <c r="X21" s="1775">
        <f>'84ABC-UEP'!X21+'84ABC-SPP'!X21+'84ABC-SPP PIHAK KE-3'!X21</f>
        <v>0</v>
      </c>
      <c r="Y21" s="1775">
        <f>'84ABC-UEP'!Y21+'84ABC-SPP'!Y21+'84ABC-SPP PIHAK KE-3'!Y21</f>
        <v>0</v>
      </c>
      <c r="Z21" s="1775">
        <f>'84ABC-UEP'!Z21+'84ABC-SPP'!Z21+'84ABC-SPP PIHAK KE-3'!Z21</f>
        <v>0</v>
      </c>
      <c r="AA21" s="1775">
        <f>'84ABC-UEP'!AA21+'84ABC-SPP'!AA21+'84ABC-SPP PIHAK KE-3'!AA21</f>
        <v>0</v>
      </c>
      <c r="AB21" s="1775">
        <f>'84ABC-UEP'!AB21+'84ABC-SPP'!AB21+'84ABC-SPP PIHAK KE-3'!AB21</f>
        <v>0</v>
      </c>
      <c r="AC21" s="1764" t="str">
        <f t="shared" si="7"/>
        <v>BENAR</v>
      </c>
      <c r="AD21" s="1764">
        <f t="shared" si="8"/>
        <v>0</v>
      </c>
      <c r="AE21" s="1764">
        <f t="shared" si="9"/>
        <v>0</v>
      </c>
      <c r="AF21" s="1900">
        <f t="shared" si="10"/>
        <v>10</v>
      </c>
      <c r="AG21" s="1899" t="str">
        <f t="shared" si="11"/>
        <v>GIRIJAYA</v>
      </c>
      <c r="AH21" s="1775">
        <f>'84ABC-UEP'!AH21+'84ABC-SPP'!AH21+'84ABC-SPP PIHAK KE-3'!AH21</f>
        <v>43</v>
      </c>
      <c r="AI21" s="1775">
        <f>'84ABC-UEP'!AI21+'84ABC-SPP'!AI21+'84ABC-SPP PIHAK KE-3'!AI21</f>
        <v>0</v>
      </c>
      <c r="AJ21" s="1775">
        <f>'84ABC-UEP'!AJ21+'84ABC-SPP'!AJ21+'84ABC-SPP PIHAK KE-3'!AJ21</f>
        <v>0</v>
      </c>
      <c r="AK21" s="1775">
        <f>'84ABC-UEP'!AK21+'84ABC-SPP'!AK21+'84ABC-SPP PIHAK KE-3'!AK21</f>
        <v>0</v>
      </c>
      <c r="AL21" s="1775">
        <f>'84ABC-UEP'!AL21+'84ABC-SPP'!AL21+'84ABC-SPP PIHAK KE-3'!AL21</f>
        <v>0</v>
      </c>
      <c r="AM21" s="1775">
        <f>'84ABC-UEP'!AM21+'84ABC-SPP'!AM21+'84ABC-SPP PIHAK KE-3'!AM21</f>
        <v>0</v>
      </c>
      <c r="AN21" s="1775">
        <f>'84ABC-UEP'!AN21+'84ABC-SPP'!AN21+'84ABC-SPP PIHAK KE-3'!AN21</f>
        <v>0</v>
      </c>
      <c r="AO21" s="1775">
        <f>'84ABC-UEP'!AO21+'84ABC-SPP'!AO21+'84ABC-SPP PIHAK KE-3'!AO21</f>
        <v>0</v>
      </c>
      <c r="AP21" s="1775">
        <f>'84ABC-UEP'!AP21+'84ABC-SPP'!AP21+'84ABC-SPP PIHAK KE-3'!AP21</f>
        <v>53042300</v>
      </c>
      <c r="AQ21" s="1775">
        <f t="shared" si="12"/>
        <v>53042300</v>
      </c>
      <c r="AR21" s="1764" t="str">
        <f t="shared" si="13"/>
        <v>BENAR</v>
      </c>
      <c r="AS21" s="1762">
        <f t="shared" si="14"/>
        <v>0</v>
      </c>
      <c r="AT21" s="1762">
        <f t="shared" si="15"/>
        <v>0</v>
      </c>
      <c r="AU21" s="1762">
        <f t="shared" si="16"/>
        <v>0</v>
      </c>
      <c r="AV21" s="1762">
        <f t="shared" si="17"/>
        <v>1</v>
      </c>
      <c r="AW21" s="1763">
        <f t="shared" si="18"/>
        <v>0</v>
      </c>
      <c r="AX21" s="1763">
        <f t="shared" si="19"/>
        <v>-1</v>
      </c>
    </row>
    <row r="22" spans="1:50" s="749" customFormat="1" ht="23.25" customHeight="1">
      <c r="A22" s="1902">
        <v>11</v>
      </c>
      <c r="B22" s="1899">
        <f>'LPP-SPP'!B23</f>
        <v>0</v>
      </c>
      <c r="C22" s="1775">
        <f>'84ABC-UEP'!C22+'84ABC-SPP'!C22+'84ABC-SPP PIHAK KE-3'!C22</f>
        <v>0</v>
      </c>
      <c r="D22" s="1775">
        <f>'84ABC-UEP'!D22+'84ABC-SPP'!D22+'84ABC-SPP PIHAK KE-3'!D22</f>
        <v>0</v>
      </c>
      <c r="E22" s="1775">
        <f>'84ABC-UEP'!E22+'84ABC-SPP'!E22+'84ABC-SPP PIHAK KE-3'!E22</f>
        <v>0</v>
      </c>
      <c r="F22" s="1775">
        <f>'84ABC-UEP'!F22+'84ABC-SPP'!F22+'84ABC-SPP PIHAK KE-3'!F22</f>
        <v>0</v>
      </c>
      <c r="G22" s="1775">
        <f>'84ABC-UEP'!G22+'84ABC-SPP'!G22+'84ABC-SPP PIHAK KE-3'!G22</f>
        <v>0</v>
      </c>
      <c r="H22" s="1775">
        <f>'84ABC-UEP'!H22+'84ABC-SPP'!H22+'84ABC-SPP PIHAK KE-3'!H22</f>
        <v>0</v>
      </c>
      <c r="I22" s="1775">
        <f>'84ABC-UEP'!I22+'84ABC-SPP'!I22+'84ABC-SPP PIHAK KE-3'!I22</f>
        <v>0</v>
      </c>
      <c r="J22" s="1775">
        <f>'84ABC-UEP'!J22+'84ABC-SPP'!J22+'84ABC-SPP PIHAK KE-3'!J22</f>
        <v>0</v>
      </c>
      <c r="K22" s="1775">
        <f>'84ABC-UEP'!K22+'84ABC-SPP'!K22+'84ABC-SPP PIHAK KE-3'!K22</f>
        <v>0</v>
      </c>
      <c r="L22" s="1775">
        <f>'84ABC-UEP'!L22+'84ABC-SPP'!L22+'84ABC-SPP PIHAK KE-3'!L22</f>
        <v>0</v>
      </c>
      <c r="M22" s="1775">
        <f>'84ABC-UEP'!M22+'84ABC-SPP'!M22+'84ABC-SPP PIHAK KE-3'!M22</f>
        <v>0</v>
      </c>
      <c r="N22" s="1775">
        <f t="shared" si="0"/>
        <v>0</v>
      </c>
      <c r="O22" s="1901" t="e">
        <f t="shared" si="1"/>
        <v>#DIV/0!</v>
      </c>
      <c r="P22" s="1764">
        <f t="shared" si="2"/>
        <v>0</v>
      </c>
      <c r="Q22" s="1764">
        <f t="shared" si="3"/>
        <v>0</v>
      </c>
      <c r="R22" s="1764">
        <f t="shared" si="4"/>
        <v>0</v>
      </c>
      <c r="S22" s="1900">
        <f t="shared" si="5"/>
        <v>11</v>
      </c>
      <c r="T22" s="1899">
        <f t="shared" si="6"/>
        <v>0</v>
      </c>
      <c r="U22" s="1775">
        <f>'84ABC-UEP'!U22+'84ABC-SPP'!U22+'84ABC-SPP PIHAK KE-3'!U22</f>
        <v>0</v>
      </c>
      <c r="V22" s="1775">
        <f>'84ABC-UEP'!V22+'84ABC-SPP'!V22+'84ABC-SPP PIHAK KE-3'!V22</f>
        <v>0</v>
      </c>
      <c r="W22" s="1775">
        <f>'84ABC-UEP'!W22+'84ABC-SPP'!W22+'84ABC-SPP PIHAK KE-3'!W22</f>
        <v>0</v>
      </c>
      <c r="X22" s="1775">
        <f>'84ABC-UEP'!X22+'84ABC-SPP'!X22+'84ABC-SPP PIHAK KE-3'!X22</f>
        <v>0</v>
      </c>
      <c r="Y22" s="1775">
        <f>'84ABC-UEP'!Y22+'84ABC-SPP'!Y22+'84ABC-SPP PIHAK KE-3'!Y22</f>
        <v>0</v>
      </c>
      <c r="Z22" s="1775">
        <f>'84ABC-UEP'!Z22+'84ABC-SPP'!Z22+'84ABC-SPP PIHAK KE-3'!Z22</f>
        <v>0</v>
      </c>
      <c r="AA22" s="1775">
        <f>'84ABC-UEP'!AA22+'84ABC-SPP'!AA22+'84ABC-SPP PIHAK KE-3'!AA22</f>
        <v>0</v>
      </c>
      <c r="AB22" s="1775">
        <f>'84ABC-UEP'!AB22+'84ABC-SPP'!AB22+'84ABC-SPP PIHAK KE-3'!AB22</f>
        <v>0</v>
      </c>
      <c r="AC22" s="1764" t="str">
        <f t="shared" si="7"/>
        <v>BENAR</v>
      </c>
      <c r="AD22" s="1764">
        <f t="shared" si="8"/>
        <v>0</v>
      </c>
      <c r="AE22" s="1764">
        <f t="shared" si="9"/>
        <v>0</v>
      </c>
      <c r="AF22" s="1900">
        <f t="shared" si="10"/>
        <v>11</v>
      </c>
      <c r="AG22" s="1899">
        <f t="shared" si="11"/>
        <v>0</v>
      </c>
      <c r="AH22" s="1775">
        <f>'84ABC-UEP'!AH22+'84ABC-SPP'!AH22+'84ABC-SPP PIHAK KE-3'!AH22</f>
        <v>0</v>
      </c>
      <c r="AI22" s="1775">
        <f>'84ABC-UEP'!AI22+'84ABC-SPP'!AI22+'84ABC-SPP PIHAK KE-3'!AI22</f>
        <v>0</v>
      </c>
      <c r="AJ22" s="1775">
        <f>'84ABC-UEP'!AJ22+'84ABC-SPP'!AJ22+'84ABC-SPP PIHAK KE-3'!AJ22</f>
        <v>0</v>
      </c>
      <c r="AK22" s="1775">
        <f>'84ABC-UEP'!AK22+'84ABC-SPP'!AK22+'84ABC-SPP PIHAK KE-3'!AK22</f>
        <v>0</v>
      </c>
      <c r="AL22" s="1775">
        <f>'84ABC-UEP'!AL22+'84ABC-SPP'!AL22+'84ABC-SPP PIHAK KE-3'!AL22</f>
        <v>0</v>
      </c>
      <c r="AM22" s="1775">
        <f>'84ABC-UEP'!AM22+'84ABC-SPP'!AM22+'84ABC-SPP PIHAK KE-3'!AM22</f>
        <v>0</v>
      </c>
      <c r="AN22" s="1775">
        <f>'84ABC-UEP'!AN22+'84ABC-SPP'!AN22+'84ABC-SPP PIHAK KE-3'!AN22</f>
        <v>0</v>
      </c>
      <c r="AO22" s="1775">
        <f>'84ABC-UEP'!AO22+'84ABC-SPP'!AO22+'84ABC-SPP PIHAK KE-3'!AO22</f>
        <v>0</v>
      </c>
      <c r="AP22" s="1775">
        <f>'84ABC-UEP'!AP22+'84ABC-SPP'!AP22+'84ABC-SPP PIHAK KE-3'!AP22</f>
        <v>0</v>
      </c>
      <c r="AQ22" s="1775">
        <f t="shared" si="12"/>
        <v>0</v>
      </c>
      <c r="AR22" s="1764" t="str">
        <f t="shared" si="13"/>
        <v>BENAR</v>
      </c>
      <c r="AS22" s="1762">
        <f t="shared" si="14"/>
        <v>0</v>
      </c>
      <c r="AT22" s="1762">
        <f t="shared" si="15"/>
        <v>0</v>
      </c>
      <c r="AU22" s="1762">
        <f t="shared" si="16"/>
        <v>0</v>
      </c>
      <c r="AV22" s="1762">
        <f t="shared" si="17"/>
        <v>0</v>
      </c>
      <c r="AW22" s="1763">
        <f t="shared" si="18"/>
        <v>0</v>
      </c>
      <c r="AX22" s="1763">
        <f t="shared" si="19"/>
        <v>0</v>
      </c>
    </row>
    <row r="23" spans="1:50" s="749" customFormat="1" ht="23.25" customHeight="1">
      <c r="A23" s="1900">
        <v>12</v>
      </c>
      <c r="B23" s="1899">
        <f>'LPP-SPP'!B24</f>
        <v>0</v>
      </c>
      <c r="C23" s="1775">
        <f>'84ABC-UEP'!C23+'84ABC-SPP'!C23+'84ABC-SPP PIHAK KE-3'!C23</f>
        <v>0</v>
      </c>
      <c r="D23" s="1775">
        <f>'84ABC-UEP'!D23+'84ABC-SPP'!D23+'84ABC-SPP PIHAK KE-3'!D23</f>
        <v>0</v>
      </c>
      <c r="E23" s="1775">
        <f>'84ABC-UEP'!E23+'84ABC-SPP'!E23+'84ABC-SPP PIHAK KE-3'!E23</f>
        <v>0</v>
      </c>
      <c r="F23" s="1775">
        <f>'84ABC-UEP'!F23+'84ABC-SPP'!F23+'84ABC-SPP PIHAK KE-3'!F23</f>
        <v>0</v>
      </c>
      <c r="G23" s="1775">
        <f>'84ABC-UEP'!G23+'84ABC-SPP'!G23+'84ABC-SPP PIHAK KE-3'!G23</f>
        <v>0</v>
      </c>
      <c r="H23" s="1775">
        <f>'84ABC-UEP'!H23+'84ABC-SPP'!H23+'84ABC-SPP PIHAK KE-3'!H23</f>
        <v>0</v>
      </c>
      <c r="I23" s="1775">
        <f>'84ABC-UEP'!I23+'84ABC-SPP'!I23+'84ABC-SPP PIHAK KE-3'!I23</f>
        <v>0</v>
      </c>
      <c r="J23" s="1775">
        <f>'84ABC-UEP'!J23+'84ABC-SPP'!J23+'84ABC-SPP PIHAK KE-3'!J23</f>
        <v>0</v>
      </c>
      <c r="K23" s="1775">
        <f>'84ABC-UEP'!K23+'84ABC-SPP'!K23+'84ABC-SPP PIHAK KE-3'!K23</f>
        <v>0</v>
      </c>
      <c r="L23" s="1775">
        <f>'84ABC-UEP'!L23+'84ABC-SPP'!L23+'84ABC-SPP PIHAK KE-3'!L23</f>
        <v>0</v>
      </c>
      <c r="M23" s="1775">
        <f>'84ABC-UEP'!M23+'84ABC-SPP'!M23+'84ABC-SPP PIHAK KE-3'!M23</f>
        <v>0</v>
      </c>
      <c r="N23" s="1775">
        <f t="shared" si="0"/>
        <v>0</v>
      </c>
      <c r="O23" s="1901" t="e">
        <f t="shared" si="1"/>
        <v>#DIV/0!</v>
      </c>
      <c r="P23" s="1764">
        <f t="shared" si="2"/>
        <v>0</v>
      </c>
      <c r="Q23" s="1764">
        <f t="shared" si="3"/>
        <v>0</v>
      </c>
      <c r="R23" s="1764">
        <f t="shared" si="4"/>
        <v>0</v>
      </c>
      <c r="S23" s="1900">
        <f t="shared" si="5"/>
        <v>12</v>
      </c>
      <c r="T23" s="1899">
        <f t="shared" si="6"/>
        <v>0</v>
      </c>
      <c r="U23" s="1775">
        <f>'84ABC-UEP'!U23+'84ABC-SPP'!U23+'84ABC-SPP PIHAK KE-3'!U23</f>
        <v>0</v>
      </c>
      <c r="V23" s="1775">
        <f>'84ABC-UEP'!V23+'84ABC-SPP'!V23+'84ABC-SPP PIHAK KE-3'!V23</f>
        <v>0</v>
      </c>
      <c r="W23" s="1775">
        <f>'84ABC-UEP'!W23+'84ABC-SPP'!W23+'84ABC-SPP PIHAK KE-3'!W23</f>
        <v>0</v>
      </c>
      <c r="X23" s="1775">
        <f>'84ABC-UEP'!X23+'84ABC-SPP'!X23+'84ABC-SPP PIHAK KE-3'!X23</f>
        <v>0</v>
      </c>
      <c r="Y23" s="1775">
        <f>'84ABC-UEP'!Y23+'84ABC-SPP'!Y23+'84ABC-SPP PIHAK KE-3'!Y23</f>
        <v>0</v>
      </c>
      <c r="Z23" s="1775">
        <f>'84ABC-UEP'!Z23+'84ABC-SPP'!Z23+'84ABC-SPP PIHAK KE-3'!Z23</f>
        <v>0</v>
      </c>
      <c r="AA23" s="1775">
        <f>'84ABC-UEP'!AA23+'84ABC-SPP'!AA23+'84ABC-SPP PIHAK KE-3'!AA23</f>
        <v>0</v>
      </c>
      <c r="AB23" s="1775">
        <f>'84ABC-UEP'!AB23+'84ABC-SPP'!AB23+'84ABC-SPP PIHAK KE-3'!AB23</f>
        <v>0</v>
      </c>
      <c r="AC23" s="1764" t="str">
        <f t="shared" si="7"/>
        <v>BENAR</v>
      </c>
      <c r="AD23" s="1764">
        <f t="shared" si="8"/>
        <v>0</v>
      </c>
      <c r="AE23" s="1764">
        <f t="shared" si="9"/>
        <v>0</v>
      </c>
      <c r="AF23" s="1900">
        <f t="shared" si="10"/>
        <v>12</v>
      </c>
      <c r="AG23" s="1899">
        <f t="shared" si="11"/>
        <v>0</v>
      </c>
      <c r="AH23" s="1775">
        <f>'84ABC-UEP'!AH23+'84ABC-SPP'!AH23+'84ABC-SPP PIHAK KE-3'!AH23</f>
        <v>0</v>
      </c>
      <c r="AI23" s="1775">
        <f>'84ABC-UEP'!AI23+'84ABC-SPP'!AI23+'84ABC-SPP PIHAK KE-3'!AI23</f>
        <v>0</v>
      </c>
      <c r="AJ23" s="1775">
        <f>'84ABC-UEP'!AJ23+'84ABC-SPP'!AJ23+'84ABC-SPP PIHAK KE-3'!AJ23</f>
        <v>0</v>
      </c>
      <c r="AK23" s="1775">
        <f>'84ABC-UEP'!AK23+'84ABC-SPP'!AK23+'84ABC-SPP PIHAK KE-3'!AK23</f>
        <v>0</v>
      </c>
      <c r="AL23" s="1775">
        <f>'84ABC-UEP'!AL23+'84ABC-SPP'!AL23+'84ABC-SPP PIHAK KE-3'!AL23</f>
        <v>0</v>
      </c>
      <c r="AM23" s="1775">
        <f>'84ABC-UEP'!AM23+'84ABC-SPP'!AM23+'84ABC-SPP PIHAK KE-3'!AM23</f>
        <v>0</v>
      </c>
      <c r="AN23" s="1775">
        <f>'84ABC-UEP'!AN23+'84ABC-SPP'!AN23+'84ABC-SPP PIHAK KE-3'!AN23</f>
        <v>0</v>
      </c>
      <c r="AO23" s="1775">
        <f>'84ABC-UEP'!AO23+'84ABC-SPP'!AO23+'84ABC-SPP PIHAK KE-3'!AO23</f>
        <v>0</v>
      </c>
      <c r="AP23" s="1775">
        <f>'84ABC-UEP'!AP23+'84ABC-SPP'!AP23+'84ABC-SPP PIHAK KE-3'!AP23</f>
        <v>0</v>
      </c>
      <c r="AQ23" s="1775">
        <f t="shared" si="12"/>
        <v>0</v>
      </c>
      <c r="AR23" s="1764" t="str">
        <f t="shared" si="13"/>
        <v>BENAR</v>
      </c>
      <c r="AS23" s="1762">
        <f t="shared" si="14"/>
        <v>0</v>
      </c>
      <c r="AT23" s="1762">
        <f t="shared" si="15"/>
        <v>0</v>
      </c>
      <c r="AU23" s="1762">
        <f t="shared" si="16"/>
        <v>0</v>
      </c>
      <c r="AV23" s="1762">
        <f t="shared" si="17"/>
        <v>0</v>
      </c>
      <c r="AW23" s="1763">
        <f t="shared" si="18"/>
        <v>0</v>
      </c>
      <c r="AX23" s="1763">
        <f t="shared" si="19"/>
        <v>0</v>
      </c>
    </row>
    <row r="24" spans="1:50" s="749" customFormat="1" ht="23.25" customHeight="1">
      <c r="A24" s="1902">
        <v>13</v>
      </c>
      <c r="B24" s="1899">
        <f>'LPP-SPP'!B25</f>
        <v>0</v>
      </c>
      <c r="C24" s="1775">
        <f>'84ABC-UEP'!C24+'84ABC-SPP'!C24+'84ABC-SPP PIHAK KE-3'!C24</f>
        <v>0</v>
      </c>
      <c r="D24" s="1775">
        <f>'84ABC-UEP'!D24+'84ABC-SPP'!D24+'84ABC-SPP PIHAK KE-3'!D24</f>
        <v>0</v>
      </c>
      <c r="E24" s="1775">
        <f>'84ABC-UEP'!E24+'84ABC-SPP'!E24+'84ABC-SPP PIHAK KE-3'!E24</f>
        <v>0</v>
      </c>
      <c r="F24" s="1775">
        <f>'84ABC-UEP'!F24+'84ABC-SPP'!F24+'84ABC-SPP PIHAK KE-3'!F24</f>
        <v>0</v>
      </c>
      <c r="G24" s="1775">
        <f>'84ABC-UEP'!G24+'84ABC-SPP'!G24+'84ABC-SPP PIHAK KE-3'!G24</f>
        <v>0</v>
      </c>
      <c r="H24" s="1775">
        <f>'84ABC-UEP'!H24+'84ABC-SPP'!H24+'84ABC-SPP PIHAK KE-3'!H24</f>
        <v>0</v>
      </c>
      <c r="I24" s="1775">
        <f>'84ABC-UEP'!I24+'84ABC-SPP'!I24+'84ABC-SPP PIHAK KE-3'!I24</f>
        <v>0</v>
      </c>
      <c r="J24" s="1775">
        <f>'84ABC-UEP'!J24+'84ABC-SPP'!J24+'84ABC-SPP PIHAK KE-3'!J24</f>
        <v>0</v>
      </c>
      <c r="K24" s="1775">
        <f>'84ABC-UEP'!K24+'84ABC-SPP'!K24+'84ABC-SPP PIHAK KE-3'!K24</f>
        <v>0</v>
      </c>
      <c r="L24" s="1775">
        <f>'84ABC-UEP'!L24+'84ABC-SPP'!L24+'84ABC-SPP PIHAK KE-3'!L24</f>
        <v>0</v>
      </c>
      <c r="M24" s="1775">
        <f>'84ABC-UEP'!M24+'84ABC-SPP'!M24+'84ABC-SPP PIHAK KE-3'!M24</f>
        <v>0</v>
      </c>
      <c r="N24" s="1775">
        <f t="shared" si="0"/>
        <v>0</v>
      </c>
      <c r="O24" s="1901" t="e">
        <f t="shared" si="1"/>
        <v>#DIV/0!</v>
      </c>
      <c r="P24" s="1764">
        <f t="shared" si="2"/>
        <v>0</v>
      </c>
      <c r="Q24" s="1764">
        <f t="shared" si="3"/>
        <v>0</v>
      </c>
      <c r="R24" s="1764">
        <f t="shared" si="4"/>
        <v>0</v>
      </c>
      <c r="S24" s="1900">
        <f t="shared" si="5"/>
        <v>13</v>
      </c>
      <c r="T24" s="1899">
        <f t="shared" si="6"/>
        <v>0</v>
      </c>
      <c r="U24" s="1775">
        <f>'84ABC-UEP'!U24+'84ABC-SPP'!U24+'84ABC-SPP PIHAK KE-3'!U24</f>
        <v>0</v>
      </c>
      <c r="V24" s="1775">
        <f>'84ABC-UEP'!V24+'84ABC-SPP'!V24+'84ABC-SPP PIHAK KE-3'!V24</f>
        <v>0</v>
      </c>
      <c r="W24" s="1775">
        <f>'84ABC-UEP'!W24+'84ABC-SPP'!W24+'84ABC-SPP PIHAK KE-3'!W24</f>
        <v>0</v>
      </c>
      <c r="X24" s="1775">
        <f>'84ABC-UEP'!X24+'84ABC-SPP'!X24+'84ABC-SPP PIHAK KE-3'!X24</f>
        <v>0</v>
      </c>
      <c r="Y24" s="1775">
        <f>'84ABC-UEP'!Y24+'84ABC-SPP'!Y24+'84ABC-SPP PIHAK KE-3'!Y24</f>
        <v>0</v>
      </c>
      <c r="Z24" s="1775">
        <f>'84ABC-UEP'!Z24+'84ABC-SPP'!Z24+'84ABC-SPP PIHAK KE-3'!Z24</f>
        <v>0</v>
      </c>
      <c r="AA24" s="1775">
        <f>'84ABC-UEP'!AA24+'84ABC-SPP'!AA24+'84ABC-SPP PIHAK KE-3'!AA24</f>
        <v>0</v>
      </c>
      <c r="AB24" s="1775">
        <f>'84ABC-UEP'!AB24+'84ABC-SPP'!AB24+'84ABC-SPP PIHAK KE-3'!AB24</f>
        <v>0</v>
      </c>
      <c r="AC24" s="1764" t="str">
        <f t="shared" si="7"/>
        <v>BENAR</v>
      </c>
      <c r="AD24" s="1764">
        <f t="shared" si="8"/>
        <v>0</v>
      </c>
      <c r="AE24" s="1764">
        <f t="shared" si="9"/>
        <v>0</v>
      </c>
      <c r="AF24" s="1900">
        <f t="shared" si="10"/>
        <v>13</v>
      </c>
      <c r="AG24" s="1899">
        <f t="shared" si="11"/>
        <v>0</v>
      </c>
      <c r="AH24" s="1775">
        <f>'84ABC-UEP'!AH24+'84ABC-SPP'!AH24+'84ABC-SPP PIHAK KE-3'!AH24</f>
        <v>0</v>
      </c>
      <c r="AI24" s="1775">
        <f>'84ABC-UEP'!AI24+'84ABC-SPP'!AI24+'84ABC-SPP PIHAK KE-3'!AI24</f>
        <v>0</v>
      </c>
      <c r="AJ24" s="1775">
        <f>'84ABC-UEP'!AJ24+'84ABC-SPP'!AJ24+'84ABC-SPP PIHAK KE-3'!AJ24</f>
        <v>0</v>
      </c>
      <c r="AK24" s="1775">
        <f>'84ABC-UEP'!AK24+'84ABC-SPP'!AK24+'84ABC-SPP PIHAK KE-3'!AK24</f>
        <v>0</v>
      </c>
      <c r="AL24" s="1775">
        <f>'84ABC-UEP'!AL24+'84ABC-SPP'!AL24+'84ABC-SPP PIHAK KE-3'!AL24</f>
        <v>0</v>
      </c>
      <c r="AM24" s="1775">
        <f>'84ABC-UEP'!AM24+'84ABC-SPP'!AM24+'84ABC-SPP PIHAK KE-3'!AM24</f>
        <v>0</v>
      </c>
      <c r="AN24" s="1775">
        <f>'84ABC-UEP'!AN24+'84ABC-SPP'!AN24+'84ABC-SPP PIHAK KE-3'!AN24</f>
        <v>0</v>
      </c>
      <c r="AO24" s="1775">
        <f>'84ABC-UEP'!AO24+'84ABC-SPP'!AO24+'84ABC-SPP PIHAK KE-3'!AO24</f>
        <v>0</v>
      </c>
      <c r="AP24" s="1775">
        <f>'84ABC-UEP'!AP24+'84ABC-SPP'!AP24+'84ABC-SPP PIHAK KE-3'!AP24</f>
        <v>0</v>
      </c>
      <c r="AQ24" s="1775">
        <f t="shared" si="12"/>
        <v>0</v>
      </c>
      <c r="AR24" s="1764" t="str">
        <f t="shared" si="13"/>
        <v>BENAR</v>
      </c>
      <c r="AS24" s="1762">
        <f t="shared" si="14"/>
        <v>0</v>
      </c>
      <c r="AT24" s="1762">
        <f t="shared" si="15"/>
        <v>0</v>
      </c>
      <c r="AU24" s="1762">
        <f t="shared" si="16"/>
        <v>0</v>
      </c>
      <c r="AV24" s="1762">
        <f t="shared" si="17"/>
        <v>0</v>
      </c>
      <c r="AW24" s="1763">
        <f t="shared" si="18"/>
        <v>0</v>
      </c>
      <c r="AX24" s="1763">
        <f t="shared" si="19"/>
        <v>0</v>
      </c>
    </row>
    <row r="25" spans="1:50" s="749" customFormat="1" ht="23.25" customHeight="1">
      <c r="A25" s="1900">
        <v>14</v>
      </c>
      <c r="B25" s="1899">
        <f>'LPP-SPP'!B26</f>
        <v>0</v>
      </c>
      <c r="C25" s="1775">
        <f>'84ABC-UEP'!C25+'84ABC-SPP'!C25+'84ABC-SPP PIHAK KE-3'!C25</f>
        <v>0</v>
      </c>
      <c r="D25" s="1775">
        <f>'84ABC-UEP'!D25+'84ABC-SPP'!D25+'84ABC-SPP PIHAK KE-3'!D25</f>
        <v>0</v>
      </c>
      <c r="E25" s="1775">
        <f>'84ABC-UEP'!E25+'84ABC-SPP'!E25+'84ABC-SPP PIHAK KE-3'!E25</f>
        <v>0</v>
      </c>
      <c r="F25" s="1775">
        <f>'84ABC-UEP'!F25+'84ABC-SPP'!F25+'84ABC-SPP PIHAK KE-3'!F25</f>
        <v>0</v>
      </c>
      <c r="G25" s="1775">
        <f>'84ABC-UEP'!G25+'84ABC-SPP'!G25+'84ABC-SPP PIHAK KE-3'!G25</f>
        <v>0</v>
      </c>
      <c r="H25" s="1775">
        <f>'84ABC-UEP'!H25+'84ABC-SPP'!H25+'84ABC-SPP PIHAK KE-3'!H25</f>
        <v>0</v>
      </c>
      <c r="I25" s="1775">
        <f>'84ABC-UEP'!I25+'84ABC-SPP'!I25+'84ABC-SPP PIHAK KE-3'!I25</f>
        <v>0</v>
      </c>
      <c r="J25" s="1775">
        <f>'84ABC-UEP'!J25+'84ABC-SPP'!J25+'84ABC-SPP PIHAK KE-3'!J25</f>
        <v>0</v>
      </c>
      <c r="K25" s="1775">
        <f>'84ABC-UEP'!K25+'84ABC-SPP'!K25+'84ABC-SPP PIHAK KE-3'!K25</f>
        <v>0</v>
      </c>
      <c r="L25" s="1775">
        <f>'84ABC-UEP'!L25+'84ABC-SPP'!L25+'84ABC-SPP PIHAK KE-3'!L25</f>
        <v>0</v>
      </c>
      <c r="M25" s="1775">
        <f>'84ABC-UEP'!M25+'84ABC-SPP'!M25+'84ABC-SPP PIHAK KE-3'!M25</f>
        <v>0</v>
      </c>
      <c r="N25" s="1775">
        <f t="shared" si="0"/>
        <v>0</v>
      </c>
      <c r="O25" s="1901" t="e">
        <f t="shared" si="1"/>
        <v>#DIV/0!</v>
      </c>
      <c r="P25" s="1764">
        <f t="shared" si="2"/>
        <v>0</v>
      </c>
      <c r="Q25" s="1764">
        <f t="shared" si="3"/>
        <v>0</v>
      </c>
      <c r="R25" s="1764">
        <f t="shared" si="4"/>
        <v>0</v>
      </c>
      <c r="S25" s="1900">
        <f t="shared" si="5"/>
        <v>14</v>
      </c>
      <c r="T25" s="1899">
        <f t="shared" si="6"/>
        <v>0</v>
      </c>
      <c r="U25" s="1775">
        <f>'84ABC-UEP'!U25+'84ABC-SPP'!U25+'84ABC-SPP PIHAK KE-3'!U25</f>
        <v>0</v>
      </c>
      <c r="V25" s="1775">
        <f>'84ABC-UEP'!V25+'84ABC-SPP'!V25+'84ABC-SPP PIHAK KE-3'!V25</f>
        <v>0</v>
      </c>
      <c r="W25" s="1775">
        <f>'84ABC-UEP'!W25+'84ABC-SPP'!W25+'84ABC-SPP PIHAK KE-3'!W25</f>
        <v>0</v>
      </c>
      <c r="X25" s="1775">
        <f>'84ABC-UEP'!X25+'84ABC-SPP'!X25+'84ABC-SPP PIHAK KE-3'!X25</f>
        <v>0</v>
      </c>
      <c r="Y25" s="1775">
        <f>'84ABC-UEP'!Y25+'84ABC-SPP'!Y25+'84ABC-SPP PIHAK KE-3'!Y25</f>
        <v>0</v>
      </c>
      <c r="Z25" s="1775">
        <f>'84ABC-UEP'!Z25+'84ABC-SPP'!Z25+'84ABC-SPP PIHAK KE-3'!Z25</f>
        <v>0</v>
      </c>
      <c r="AA25" s="1775">
        <f>'84ABC-UEP'!AA25+'84ABC-SPP'!AA25+'84ABC-SPP PIHAK KE-3'!AA25</f>
        <v>0</v>
      </c>
      <c r="AB25" s="1775">
        <f>'84ABC-UEP'!AB25+'84ABC-SPP'!AB25+'84ABC-SPP PIHAK KE-3'!AB25</f>
        <v>0</v>
      </c>
      <c r="AC25" s="1764" t="str">
        <f t="shared" si="7"/>
        <v>BENAR</v>
      </c>
      <c r="AD25" s="1764">
        <f t="shared" si="8"/>
        <v>0</v>
      </c>
      <c r="AE25" s="1764">
        <f t="shared" si="9"/>
        <v>0</v>
      </c>
      <c r="AF25" s="1900">
        <f t="shared" si="10"/>
        <v>14</v>
      </c>
      <c r="AG25" s="1899">
        <f t="shared" si="11"/>
        <v>0</v>
      </c>
      <c r="AH25" s="1775">
        <f>'84ABC-UEP'!AH25+'84ABC-SPP'!AH25+'84ABC-SPP PIHAK KE-3'!AH25</f>
        <v>0</v>
      </c>
      <c r="AI25" s="1775">
        <f>'84ABC-UEP'!AI25+'84ABC-SPP'!AI25+'84ABC-SPP PIHAK KE-3'!AI25</f>
        <v>0</v>
      </c>
      <c r="AJ25" s="1775">
        <f>'84ABC-UEP'!AJ25+'84ABC-SPP'!AJ25+'84ABC-SPP PIHAK KE-3'!AJ25</f>
        <v>0</v>
      </c>
      <c r="AK25" s="1775">
        <f>'84ABC-UEP'!AK25+'84ABC-SPP'!AK25+'84ABC-SPP PIHAK KE-3'!AK25</f>
        <v>0</v>
      </c>
      <c r="AL25" s="1775">
        <f>'84ABC-UEP'!AL25+'84ABC-SPP'!AL25+'84ABC-SPP PIHAK KE-3'!AL25</f>
        <v>0</v>
      </c>
      <c r="AM25" s="1775">
        <f>'84ABC-UEP'!AM25+'84ABC-SPP'!AM25+'84ABC-SPP PIHAK KE-3'!AM25</f>
        <v>0</v>
      </c>
      <c r="AN25" s="1775">
        <f>'84ABC-UEP'!AN25+'84ABC-SPP'!AN25+'84ABC-SPP PIHAK KE-3'!AN25</f>
        <v>0</v>
      </c>
      <c r="AO25" s="1775">
        <f>'84ABC-UEP'!AO25+'84ABC-SPP'!AO25+'84ABC-SPP PIHAK KE-3'!AO25</f>
        <v>0</v>
      </c>
      <c r="AP25" s="1775">
        <f>'84ABC-UEP'!AP25+'84ABC-SPP'!AP25+'84ABC-SPP PIHAK KE-3'!AP25</f>
        <v>0</v>
      </c>
      <c r="AQ25" s="1775">
        <f t="shared" si="12"/>
        <v>0</v>
      </c>
      <c r="AR25" s="1764" t="str">
        <f t="shared" si="13"/>
        <v>BENAR</v>
      </c>
      <c r="AS25" s="1762">
        <f t="shared" si="14"/>
        <v>0</v>
      </c>
      <c r="AT25" s="1762">
        <f t="shared" si="15"/>
        <v>0</v>
      </c>
      <c r="AU25" s="1762">
        <f t="shared" si="16"/>
        <v>0</v>
      </c>
      <c r="AV25" s="1762">
        <f t="shared" si="17"/>
        <v>0</v>
      </c>
      <c r="AW25" s="1763">
        <f t="shared" si="18"/>
        <v>0</v>
      </c>
      <c r="AX25" s="1763">
        <f t="shared" si="19"/>
        <v>0</v>
      </c>
    </row>
    <row r="26" spans="1:50" s="749" customFormat="1" ht="23.25" customHeight="1">
      <c r="A26" s="1902">
        <v>15</v>
      </c>
      <c r="B26" s="1899">
        <f>'LPP-SPP'!B27</f>
        <v>0</v>
      </c>
      <c r="C26" s="1775">
        <f>'84ABC-UEP'!C26+'84ABC-SPP'!C26+'84ABC-SPP PIHAK KE-3'!C26</f>
        <v>0</v>
      </c>
      <c r="D26" s="1775">
        <f>'84ABC-UEP'!D26+'84ABC-SPP'!D26+'84ABC-SPP PIHAK KE-3'!D26</f>
        <v>0</v>
      </c>
      <c r="E26" s="1775">
        <f>'84ABC-UEP'!E26+'84ABC-SPP'!E26+'84ABC-SPP PIHAK KE-3'!E26</f>
        <v>0</v>
      </c>
      <c r="F26" s="1775">
        <f>'84ABC-UEP'!F26+'84ABC-SPP'!F26+'84ABC-SPP PIHAK KE-3'!F26</f>
        <v>0</v>
      </c>
      <c r="G26" s="1775">
        <f>'84ABC-UEP'!G26+'84ABC-SPP'!G26+'84ABC-SPP PIHAK KE-3'!G26</f>
        <v>0</v>
      </c>
      <c r="H26" s="1775">
        <f>'84ABC-UEP'!H26+'84ABC-SPP'!H26+'84ABC-SPP PIHAK KE-3'!H26</f>
        <v>0</v>
      </c>
      <c r="I26" s="1775">
        <f>'84ABC-UEP'!I26+'84ABC-SPP'!I26+'84ABC-SPP PIHAK KE-3'!I26</f>
        <v>0</v>
      </c>
      <c r="J26" s="1775">
        <f>'84ABC-UEP'!J26+'84ABC-SPP'!J26+'84ABC-SPP PIHAK KE-3'!J26</f>
        <v>0</v>
      </c>
      <c r="K26" s="1775">
        <f>'84ABC-UEP'!K26+'84ABC-SPP'!K26+'84ABC-SPP PIHAK KE-3'!K26</f>
        <v>0</v>
      </c>
      <c r="L26" s="1775">
        <f>'84ABC-UEP'!L26+'84ABC-SPP'!L26+'84ABC-SPP PIHAK KE-3'!L26</f>
        <v>0</v>
      </c>
      <c r="M26" s="1775">
        <f>'84ABC-UEP'!M26+'84ABC-SPP'!M26+'84ABC-SPP PIHAK KE-3'!M26</f>
        <v>0</v>
      </c>
      <c r="N26" s="1775">
        <f t="shared" si="0"/>
        <v>0</v>
      </c>
      <c r="O26" s="1901" t="e">
        <f t="shared" si="1"/>
        <v>#DIV/0!</v>
      </c>
      <c r="P26" s="1764">
        <f t="shared" si="2"/>
        <v>0</v>
      </c>
      <c r="Q26" s="1764">
        <f t="shared" si="3"/>
        <v>0</v>
      </c>
      <c r="R26" s="1764">
        <f t="shared" si="4"/>
        <v>0</v>
      </c>
      <c r="S26" s="1900">
        <f t="shared" si="5"/>
        <v>15</v>
      </c>
      <c r="T26" s="1899">
        <f t="shared" si="6"/>
        <v>0</v>
      </c>
      <c r="U26" s="1775">
        <f>'84ABC-UEP'!U26+'84ABC-SPP'!U26+'84ABC-SPP PIHAK KE-3'!U26</f>
        <v>0</v>
      </c>
      <c r="V26" s="1775">
        <f>'84ABC-UEP'!V26+'84ABC-SPP'!V26+'84ABC-SPP PIHAK KE-3'!V26</f>
        <v>0</v>
      </c>
      <c r="W26" s="1775">
        <f>'84ABC-UEP'!W26+'84ABC-SPP'!W26+'84ABC-SPP PIHAK KE-3'!W26</f>
        <v>0</v>
      </c>
      <c r="X26" s="1775">
        <f>'84ABC-UEP'!X26+'84ABC-SPP'!X26+'84ABC-SPP PIHAK KE-3'!X26</f>
        <v>0</v>
      </c>
      <c r="Y26" s="1775">
        <f>'84ABC-UEP'!Y26+'84ABC-SPP'!Y26+'84ABC-SPP PIHAK KE-3'!Y26</f>
        <v>0</v>
      </c>
      <c r="Z26" s="1775">
        <f>'84ABC-UEP'!Z26+'84ABC-SPP'!Z26+'84ABC-SPP PIHAK KE-3'!Z26</f>
        <v>0</v>
      </c>
      <c r="AA26" s="1775">
        <f>'84ABC-UEP'!AA26+'84ABC-SPP'!AA26+'84ABC-SPP PIHAK KE-3'!AA26</f>
        <v>0</v>
      </c>
      <c r="AB26" s="1775">
        <f>'84ABC-UEP'!AB26+'84ABC-SPP'!AB26+'84ABC-SPP PIHAK KE-3'!AB26</f>
        <v>0</v>
      </c>
      <c r="AC26" s="1764" t="str">
        <f t="shared" si="7"/>
        <v>BENAR</v>
      </c>
      <c r="AD26" s="1764">
        <f t="shared" si="8"/>
        <v>0</v>
      </c>
      <c r="AE26" s="1764">
        <f t="shared" si="9"/>
        <v>0</v>
      </c>
      <c r="AF26" s="1900">
        <f t="shared" si="10"/>
        <v>15</v>
      </c>
      <c r="AG26" s="1899">
        <f t="shared" si="11"/>
        <v>0</v>
      </c>
      <c r="AH26" s="1775">
        <f>'84ABC-UEP'!AH26+'84ABC-SPP'!AH26+'84ABC-SPP PIHAK KE-3'!AH26</f>
        <v>0</v>
      </c>
      <c r="AI26" s="1775">
        <f>'84ABC-UEP'!AI26+'84ABC-SPP'!AI26+'84ABC-SPP PIHAK KE-3'!AI26</f>
        <v>0</v>
      </c>
      <c r="AJ26" s="1775">
        <f>'84ABC-UEP'!AJ26+'84ABC-SPP'!AJ26+'84ABC-SPP PIHAK KE-3'!AJ26</f>
        <v>0</v>
      </c>
      <c r="AK26" s="1775">
        <f>'84ABC-UEP'!AK26+'84ABC-SPP'!AK26+'84ABC-SPP PIHAK KE-3'!AK26</f>
        <v>0</v>
      </c>
      <c r="AL26" s="1775">
        <f>'84ABC-UEP'!AL26+'84ABC-SPP'!AL26+'84ABC-SPP PIHAK KE-3'!AL26</f>
        <v>0</v>
      </c>
      <c r="AM26" s="1775">
        <f>'84ABC-UEP'!AM26+'84ABC-SPP'!AM26+'84ABC-SPP PIHAK KE-3'!AM26</f>
        <v>0</v>
      </c>
      <c r="AN26" s="1775">
        <f>'84ABC-UEP'!AN26+'84ABC-SPP'!AN26+'84ABC-SPP PIHAK KE-3'!AN26</f>
        <v>0</v>
      </c>
      <c r="AO26" s="1775">
        <f>'84ABC-UEP'!AO26+'84ABC-SPP'!AO26+'84ABC-SPP PIHAK KE-3'!AO26</f>
        <v>0</v>
      </c>
      <c r="AP26" s="1775">
        <f>'84ABC-UEP'!AP26+'84ABC-SPP'!AP26+'84ABC-SPP PIHAK KE-3'!AP26</f>
        <v>0</v>
      </c>
      <c r="AQ26" s="1775">
        <f t="shared" si="12"/>
        <v>0</v>
      </c>
      <c r="AR26" s="1764" t="str">
        <f t="shared" si="13"/>
        <v>BENAR</v>
      </c>
      <c r="AS26" s="1762">
        <f t="shared" si="14"/>
        <v>0</v>
      </c>
      <c r="AT26" s="1762">
        <f t="shared" si="15"/>
        <v>0</v>
      </c>
      <c r="AU26" s="1762">
        <f t="shared" si="16"/>
        <v>0</v>
      </c>
      <c r="AV26" s="1762">
        <f t="shared" si="17"/>
        <v>0</v>
      </c>
      <c r="AW26" s="1763">
        <f t="shared" si="18"/>
        <v>0</v>
      </c>
      <c r="AX26" s="1763">
        <f t="shared" si="19"/>
        <v>0</v>
      </c>
    </row>
    <row r="27" spans="1:50" s="749" customFormat="1" ht="23.25" customHeight="1">
      <c r="A27" s="1900">
        <v>16</v>
      </c>
      <c r="B27" s="1899">
        <f>'LPP-SPP'!B28</f>
        <v>0</v>
      </c>
      <c r="C27" s="1775">
        <f>'84ABC-UEP'!C27+'84ABC-SPP'!C27+'84ABC-SPP PIHAK KE-3'!C27</f>
        <v>0</v>
      </c>
      <c r="D27" s="1775">
        <f>'84ABC-UEP'!D27+'84ABC-SPP'!D27+'84ABC-SPP PIHAK KE-3'!D27</f>
        <v>0</v>
      </c>
      <c r="E27" s="1775">
        <f>'84ABC-UEP'!E27+'84ABC-SPP'!E27+'84ABC-SPP PIHAK KE-3'!E27</f>
        <v>0</v>
      </c>
      <c r="F27" s="1775">
        <f>'84ABC-UEP'!F27+'84ABC-SPP'!F27+'84ABC-SPP PIHAK KE-3'!F27</f>
        <v>0</v>
      </c>
      <c r="G27" s="1775">
        <f>'84ABC-UEP'!G27+'84ABC-SPP'!G27+'84ABC-SPP PIHAK KE-3'!G27</f>
        <v>0</v>
      </c>
      <c r="H27" s="1775">
        <f>'84ABC-UEP'!H27+'84ABC-SPP'!H27+'84ABC-SPP PIHAK KE-3'!H27</f>
        <v>0</v>
      </c>
      <c r="I27" s="1775">
        <f>'84ABC-UEP'!I27+'84ABC-SPP'!I27+'84ABC-SPP PIHAK KE-3'!I27</f>
        <v>0</v>
      </c>
      <c r="J27" s="1775">
        <f>'84ABC-UEP'!J27+'84ABC-SPP'!J27+'84ABC-SPP PIHAK KE-3'!J27</f>
        <v>0</v>
      </c>
      <c r="K27" s="1775">
        <f>'84ABC-UEP'!K27+'84ABC-SPP'!K27+'84ABC-SPP PIHAK KE-3'!K27</f>
        <v>0</v>
      </c>
      <c r="L27" s="1775">
        <f>'84ABC-UEP'!L27+'84ABC-SPP'!L27+'84ABC-SPP PIHAK KE-3'!L27</f>
        <v>0</v>
      </c>
      <c r="M27" s="1775">
        <f>'84ABC-UEP'!M27+'84ABC-SPP'!M27+'84ABC-SPP PIHAK KE-3'!M27</f>
        <v>0</v>
      </c>
      <c r="N27" s="1775">
        <f t="shared" si="0"/>
        <v>0</v>
      </c>
      <c r="O27" s="1901" t="e">
        <f t="shared" si="1"/>
        <v>#DIV/0!</v>
      </c>
      <c r="P27" s="1764">
        <f t="shared" si="2"/>
        <v>0</v>
      </c>
      <c r="Q27" s="1764">
        <f t="shared" si="3"/>
        <v>0</v>
      </c>
      <c r="R27" s="1764">
        <f t="shared" si="4"/>
        <v>0</v>
      </c>
      <c r="S27" s="1900">
        <f t="shared" si="5"/>
        <v>16</v>
      </c>
      <c r="T27" s="1899">
        <f t="shared" si="6"/>
        <v>0</v>
      </c>
      <c r="U27" s="1775">
        <f>'84ABC-UEP'!U27+'84ABC-SPP'!U27+'84ABC-SPP PIHAK KE-3'!U27</f>
        <v>0</v>
      </c>
      <c r="V27" s="1775">
        <f>'84ABC-UEP'!V27+'84ABC-SPP'!V27+'84ABC-SPP PIHAK KE-3'!V27</f>
        <v>0</v>
      </c>
      <c r="W27" s="1775">
        <f>'84ABC-UEP'!W27+'84ABC-SPP'!W27+'84ABC-SPP PIHAK KE-3'!W27</f>
        <v>0</v>
      </c>
      <c r="X27" s="1775">
        <f>'84ABC-UEP'!X27+'84ABC-SPP'!X27+'84ABC-SPP PIHAK KE-3'!X27</f>
        <v>0</v>
      </c>
      <c r="Y27" s="1775">
        <f>'84ABC-UEP'!Y27+'84ABC-SPP'!Y27+'84ABC-SPP PIHAK KE-3'!Y27</f>
        <v>0</v>
      </c>
      <c r="Z27" s="1775">
        <f>'84ABC-UEP'!Z27+'84ABC-SPP'!Z27+'84ABC-SPP PIHAK KE-3'!Z27</f>
        <v>0</v>
      </c>
      <c r="AA27" s="1775">
        <f>'84ABC-UEP'!AA27+'84ABC-SPP'!AA27+'84ABC-SPP PIHAK KE-3'!AA27</f>
        <v>0</v>
      </c>
      <c r="AB27" s="1775">
        <f>'84ABC-UEP'!AB27+'84ABC-SPP'!AB27+'84ABC-SPP PIHAK KE-3'!AB27</f>
        <v>0</v>
      </c>
      <c r="AC27" s="1764" t="str">
        <f t="shared" si="7"/>
        <v>BENAR</v>
      </c>
      <c r="AD27" s="1764">
        <f t="shared" si="8"/>
        <v>0</v>
      </c>
      <c r="AE27" s="1764">
        <f t="shared" si="9"/>
        <v>0</v>
      </c>
      <c r="AF27" s="1900">
        <f t="shared" si="10"/>
        <v>16</v>
      </c>
      <c r="AG27" s="1899">
        <f t="shared" si="11"/>
        <v>0</v>
      </c>
      <c r="AH27" s="1775">
        <f>'84ABC-UEP'!AH27+'84ABC-SPP'!AH27+'84ABC-SPP PIHAK KE-3'!AH27</f>
        <v>0</v>
      </c>
      <c r="AI27" s="1775">
        <f>'84ABC-UEP'!AI27+'84ABC-SPP'!AI27+'84ABC-SPP PIHAK KE-3'!AI27</f>
        <v>0</v>
      </c>
      <c r="AJ27" s="1775">
        <f>'84ABC-UEP'!AJ27+'84ABC-SPP'!AJ27+'84ABC-SPP PIHAK KE-3'!AJ27</f>
        <v>0</v>
      </c>
      <c r="AK27" s="1775">
        <f>'84ABC-UEP'!AK27+'84ABC-SPP'!AK27+'84ABC-SPP PIHAK KE-3'!AK27</f>
        <v>0</v>
      </c>
      <c r="AL27" s="1775">
        <f>'84ABC-UEP'!AL27+'84ABC-SPP'!AL27+'84ABC-SPP PIHAK KE-3'!AL27</f>
        <v>0</v>
      </c>
      <c r="AM27" s="1775">
        <f>'84ABC-UEP'!AM27+'84ABC-SPP'!AM27+'84ABC-SPP PIHAK KE-3'!AM27</f>
        <v>0</v>
      </c>
      <c r="AN27" s="1775">
        <f>'84ABC-UEP'!AN27+'84ABC-SPP'!AN27+'84ABC-SPP PIHAK KE-3'!AN27</f>
        <v>0</v>
      </c>
      <c r="AO27" s="1775">
        <f>'84ABC-UEP'!AO27+'84ABC-SPP'!AO27+'84ABC-SPP PIHAK KE-3'!AO27</f>
        <v>0</v>
      </c>
      <c r="AP27" s="1775">
        <f>'84ABC-UEP'!AP27+'84ABC-SPP'!AP27+'84ABC-SPP PIHAK KE-3'!AP27</f>
        <v>0</v>
      </c>
      <c r="AQ27" s="1775">
        <f t="shared" si="12"/>
        <v>0</v>
      </c>
      <c r="AR27" s="1764" t="str">
        <f t="shared" si="13"/>
        <v>BENAR</v>
      </c>
      <c r="AS27" s="1762">
        <f t="shared" si="14"/>
        <v>0</v>
      </c>
      <c r="AT27" s="1762">
        <f t="shared" si="15"/>
        <v>0</v>
      </c>
      <c r="AU27" s="1762">
        <f t="shared" si="16"/>
        <v>0</v>
      </c>
      <c r="AV27" s="1762">
        <f t="shared" si="17"/>
        <v>0</v>
      </c>
      <c r="AW27" s="1763">
        <f t="shared" si="18"/>
        <v>0</v>
      </c>
      <c r="AX27" s="1763">
        <f t="shared" si="19"/>
        <v>0</v>
      </c>
    </row>
    <row r="28" spans="1:50" s="749" customFormat="1" ht="28.5" customHeight="1">
      <c r="A28" s="1898"/>
      <c r="B28" s="1766" t="s">
        <v>496</v>
      </c>
      <c r="C28" s="1766">
        <f t="shared" ref="C28:O28" si="20">SUM(C12:C27)</f>
        <v>235</v>
      </c>
      <c r="D28" s="1766">
        <f t="shared" si="20"/>
        <v>369</v>
      </c>
      <c r="E28" s="1766">
        <f t="shared" si="20"/>
        <v>0</v>
      </c>
      <c r="F28" s="1766">
        <f t="shared" si="20"/>
        <v>0</v>
      </c>
      <c r="G28" s="1766">
        <f t="shared" si="20"/>
        <v>369</v>
      </c>
      <c r="H28" s="1766">
        <f t="shared" si="20"/>
        <v>0</v>
      </c>
      <c r="I28" s="1766">
        <f t="shared" si="20"/>
        <v>133</v>
      </c>
      <c r="J28" s="1766">
        <f t="shared" si="20"/>
        <v>236</v>
      </c>
      <c r="K28" s="1766">
        <f t="shared" si="20"/>
        <v>0</v>
      </c>
      <c r="L28" s="1766">
        <f t="shared" si="20"/>
        <v>369</v>
      </c>
      <c r="M28" s="1766">
        <f t="shared" si="20"/>
        <v>0</v>
      </c>
      <c r="N28" s="1766">
        <f t="shared" si="20"/>
        <v>134</v>
      </c>
      <c r="O28" s="1766" t="e">
        <f t="shared" si="20"/>
        <v>#DIV/0!</v>
      </c>
      <c r="P28" s="1764">
        <f t="shared" si="2"/>
        <v>0</v>
      </c>
      <c r="Q28" s="1764">
        <f t="shared" si="3"/>
        <v>0</v>
      </c>
      <c r="R28" s="1764">
        <f t="shared" si="4"/>
        <v>0</v>
      </c>
      <c r="S28" s="1897"/>
      <c r="T28" s="1766" t="s">
        <v>496</v>
      </c>
      <c r="U28" s="1766">
        <f t="shared" ref="U28:AB28" si="21">SUM(U12:U27)</f>
        <v>369</v>
      </c>
      <c r="V28" s="1766">
        <f t="shared" si="21"/>
        <v>369</v>
      </c>
      <c r="W28" s="1766">
        <f t="shared" si="21"/>
        <v>0</v>
      </c>
      <c r="X28" s="1766">
        <f t="shared" si="21"/>
        <v>0</v>
      </c>
      <c r="Y28" s="1766">
        <f t="shared" si="21"/>
        <v>0</v>
      </c>
      <c r="Z28" s="1766">
        <f t="shared" si="21"/>
        <v>0</v>
      </c>
      <c r="AA28" s="1766">
        <f t="shared" si="21"/>
        <v>0</v>
      </c>
      <c r="AB28" s="1766">
        <f t="shared" si="21"/>
        <v>0</v>
      </c>
      <c r="AC28" s="1764" t="str">
        <f t="shared" si="7"/>
        <v>BENAR</v>
      </c>
      <c r="AD28" s="1764">
        <f t="shared" si="8"/>
        <v>0</v>
      </c>
      <c r="AE28" s="1764">
        <f t="shared" si="9"/>
        <v>0</v>
      </c>
      <c r="AF28" s="1896"/>
      <c r="AG28" s="1766" t="s">
        <v>496</v>
      </c>
      <c r="AH28" s="1766">
        <f t="shared" ref="AH28:AQ28" si="22">SUM(AH12:AH27)</f>
        <v>369</v>
      </c>
      <c r="AI28" s="1766">
        <f t="shared" si="22"/>
        <v>4</v>
      </c>
      <c r="AJ28" s="1766">
        <f t="shared" si="22"/>
        <v>0</v>
      </c>
      <c r="AK28" s="1766">
        <f t="shared" si="22"/>
        <v>4</v>
      </c>
      <c r="AL28" s="1766">
        <f t="shared" si="22"/>
        <v>0</v>
      </c>
      <c r="AM28" s="1766">
        <f t="shared" si="22"/>
        <v>0</v>
      </c>
      <c r="AN28" s="1766">
        <f t="shared" si="22"/>
        <v>0</v>
      </c>
      <c r="AO28" s="1766">
        <f t="shared" si="22"/>
        <v>125863100</v>
      </c>
      <c r="AP28" s="1766">
        <f t="shared" si="22"/>
        <v>282434700</v>
      </c>
      <c r="AQ28" s="1766">
        <f t="shared" si="22"/>
        <v>408297800</v>
      </c>
      <c r="AR28" s="1764"/>
      <c r="AS28" s="1762"/>
      <c r="AT28" s="1762"/>
      <c r="AU28" s="1762"/>
      <c r="AV28" s="1762"/>
      <c r="AW28" s="1763"/>
      <c r="AX28" s="1763"/>
    </row>
    <row r="29" spans="1:50">
      <c r="C29" s="1889"/>
      <c r="D29" s="1889"/>
      <c r="E29" s="1889"/>
      <c r="F29" s="1889"/>
      <c r="G29" s="1889"/>
      <c r="H29" s="1889"/>
      <c r="I29" s="1889"/>
      <c r="J29" s="1889"/>
      <c r="K29" s="1889"/>
      <c r="L29" s="1889"/>
      <c r="M29" s="1889"/>
      <c r="N29" s="1889"/>
      <c r="AR29" s="1888"/>
    </row>
    <row r="30" spans="1:50">
      <c r="A30" s="1895"/>
      <c r="N30" s="1889"/>
      <c r="AR30" s="1888"/>
    </row>
    <row r="31" spans="1:50">
      <c r="A31" s="1889"/>
      <c r="F31" s="1894"/>
      <c r="H31" s="1887" t="s">
        <v>1558</v>
      </c>
      <c r="N31" s="1890" t="s">
        <v>23</v>
      </c>
      <c r="U31" s="1889" t="s">
        <v>1558</v>
      </c>
      <c r="V31" s="1889"/>
      <c r="W31" s="1889"/>
      <c r="X31" s="1889"/>
      <c r="Y31" s="1889"/>
      <c r="Z31" s="1889"/>
      <c r="AA31" s="1890" t="s">
        <v>23</v>
      </c>
      <c r="AI31" s="1889" t="s">
        <v>1558</v>
      </c>
      <c r="AJ31" s="1889"/>
      <c r="AK31" s="1889"/>
      <c r="AL31" s="1889"/>
      <c r="AM31" s="1889"/>
      <c r="AN31" s="1889"/>
      <c r="AO31" s="1890" t="s">
        <v>23</v>
      </c>
      <c r="AR31" s="1888"/>
    </row>
    <row r="32" spans="1:50">
      <c r="A32" s="1889"/>
      <c r="F32" s="1894"/>
      <c r="H32" s="1889" t="s">
        <v>402</v>
      </c>
      <c r="N32" s="1889"/>
      <c r="U32" s="1889" t="s">
        <v>2644</v>
      </c>
      <c r="V32" s="1889"/>
      <c r="W32" s="1889"/>
      <c r="X32" s="1889"/>
      <c r="Y32" s="1889"/>
      <c r="Z32" s="1889"/>
      <c r="AA32" s="1889"/>
      <c r="AI32" s="1889" t="s">
        <v>2644</v>
      </c>
      <c r="AJ32" s="1889"/>
      <c r="AK32" s="1889"/>
      <c r="AL32" s="1889"/>
      <c r="AM32" s="1889"/>
      <c r="AN32" s="1889"/>
      <c r="AO32" s="1889"/>
      <c r="AR32" s="1888"/>
    </row>
    <row r="33" spans="1:50">
      <c r="A33" s="1889"/>
      <c r="N33" s="1889"/>
      <c r="U33" s="1889"/>
      <c r="V33" s="1889"/>
      <c r="W33" s="1889"/>
      <c r="X33" s="1889"/>
      <c r="Y33" s="1889"/>
      <c r="Z33" s="1889"/>
      <c r="AA33" s="1889"/>
      <c r="AI33" s="1889"/>
      <c r="AJ33" s="1889"/>
      <c r="AK33" s="1889"/>
      <c r="AL33" s="1889"/>
      <c r="AM33" s="1889"/>
      <c r="AN33" s="1889"/>
      <c r="AO33" s="1889"/>
      <c r="AR33" s="1888"/>
    </row>
    <row r="34" spans="1:50">
      <c r="U34" s="1889"/>
      <c r="V34" s="1889"/>
      <c r="W34" s="1889"/>
      <c r="X34" s="1889"/>
      <c r="Y34" s="1889"/>
      <c r="Z34" s="1889"/>
      <c r="AA34" s="1889"/>
      <c r="AB34" s="1893"/>
      <c r="AI34" s="1889"/>
      <c r="AJ34" s="1889"/>
      <c r="AK34" s="1889"/>
      <c r="AL34" s="1889"/>
      <c r="AM34" s="1889"/>
      <c r="AN34" s="1889"/>
      <c r="AO34" s="1889"/>
      <c r="AR34" s="1888"/>
    </row>
    <row r="35" spans="1:50" s="1888" customFormat="1">
      <c r="A35" s="1887"/>
      <c r="B35" s="1887"/>
      <c r="C35" s="1887"/>
      <c r="D35" s="1887"/>
      <c r="E35" s="1887"/>
      <c r="F35" s="1887"/>
      <c r="G35" s="1887"/>
      <c r="H35" s="1887"/>
      <c r="I35" s="1887"/>
      <c r="J35" s="1887"/>
      <c r="K35" s="1887"/>
      <c r="L35" s="1887"/>
      <c r="M35" s="1887"/>
      <c r="N35" s="1887"/>
      <c r="O35" s="1887"/>
      <c r="P35" s="1887"/>
      <c r="Q35" s="1887"/>
      <c r="R35" s="1887"/>
      <c r="U35" s="1889"/>
      <c r="V35" s="1889"/>
      <c r="W35" s="1889"/>
      <c r="X35" s="1889"/>
      <c r="Y35" s="1889"/>
      <c r="Z35" s="1889"/>
      <c r="AA35" s="1889"/>
      <c r="AB35" s="1893"/>
      <c r="AD35" s="1747"/>
      <c r="AE35" s="1747"/>
      <c r="AI35" s="1889"/>
      <c r="AJ35" s="1889"/>
      <c r="AK35" s="1889"/>
      <c r="AL35" s="1889"/>
      <c r="AM35" s="1889"/>
      <c r="AN35" s="1889"/>
      <c r="AO35" s="1889"/>
      <c r="AR35" s="1746"/>
      <c r="AS35" s="1745"/>
      <c r="AT35" s="1745"/>
      <c r="AU35" s="1745"/>
      <c r="AV35" s="1745"/>
      <c r="AW35" s="1745"/>
      <c r="AX35" s="1745"/>
    </row>
    <row r="36" spans="1:50" s="1888" customFormat="1">
      <c r="A36" s="1887"/>
      <c r="B36" s="1887"/>
      <c r="C36" s="1887"/>
      <c r="D36" s="1887"/>
      <c r="E36" s="1887"/>
      <c r="F36" s="1887"/>
      <c r="G36" s="1887"/>
      <c r="H36" s="1887"/>
      <c r="I36" s="1887"/>
      <c r="J36" s="1887"/>
      <c r="K36" s="1887"/>
      <c r="L36" s="1887"/>
      <c r="M36" s="1887"/>
      <c r="N36" s="1887"/>
      <c r="O36" s="1887"/>
      <c r="P36" s="1887"/>
      <c r="Q36" s="1887"/>
      <c r="R36" s="1887"/>
      <c r="U36" s="1889"/>
      <c r="V36" s="1889"/>
      <c r="W36" s="1889"/>
      <c r="X36" s="1889"/>
      <c r="Y36" s="1889"/>
      <c r="Z36" s="1889"/>
      <c r="AA36" s="1889"/>
      <c r="AB36" s="1893"/>
      <c r="AD36" s="1747"/>
      <c r="AE36" s="1747"/>
      <c r="AI36" s="1889"/>
      <c r="AJ36" s="1889"/>
      <c r="AK36" s="1889"/>
      <c r="AL36" s="1889"/>
      <c r="AM36" s="1889"/>
      <c r="AN36" s="1889"/>
      <c r="AO36" s="1889"/>
      <c r="AR36" s="1746"/>
      <c r="AS36" s="1745"/>
      <c r="AT36" s="1745"/>
      <c r="AU36" s="1745"/>
      <c r="AV36" s="1745"/>
      <c r="AW36" s="1745"/>
      <c r="AX36" s="1745"/>
    </row>
    <row r="37" spans="1:50" s="1888" customFormat="1">
      <c r="A37" s="1887"/>
      <c r="B37" s="1887"/>
      <c r="C37" s="1887"/>
      <c r="D37" s="1887"/>
      <c r="E37" s="1887"/>
      <c r="F37" s="1887"/>
      <c r="G37" s="1887"/>
      <c r="H37" s="1887"/>
      <c r="I37" s="1887"/>
      <c r="J37" s="1887"/>
      <c r="K37" s="1887"/>
      <c r="L37" s="1887"/>
      <c r="M37" s="1887"/>
      <c r="N37" s="1892"/>
      <c r="O37" s="1887"/>
      <c r="P37" s="1887"/>
      <c r="Q37" s="1887"/>
      <c r="R37" s="1887"/>
      <c r="U37" s="1889"/>
      <c r="V37" s="1889"/>
      <c r="W37" s="1889"/>
      <c r="X37" s="1889"/>
      <c r="Y37" s="1889"/>
      <c r="Z37" s="1889"/>
      <c r="AA37" s="1891"/>
      <c r="AD37" s="1747"/>
      <c r="AE37" s="1747"/>
      <c r="AI37" s="1889"/>
      <c r="AJ37" s="1889"/>
      <c r="AK37" s="1889"/>
      <c r="AL37" s="1889"/>
      <c r="AM37" s="1889"/>
      <c r="AN37" s="1889"/>
      <c r="AO37" s="1891"/>
      <c r="AR37" s="1746"/>
      <c r="AS37" s="1745"/>
      <c r="AT37" s="1745"/>
      <c r="AU37" s="1745"/>
      <c r="AV37" s="1745"/>
      <c r="AW37" s="1745"/>
      <c r="AX37" s="1745"/>
    </row>
    <row r="38" spans="1:50" s="1888" customFormat="1">
      <c r="A38" s="1887"/>
      <c r="B38" s="1887"/>
      <c r="C38" s="1887"/>
      <c r="D38" s="1887"/>
      <c r="E38" s="1887"/>
      <c r="F38" s="1887"/>
      <c r="G38" s="1887"/>
      <c r="H38" s="1889">
        <f>'84ABC-SPP'!H36</f>
        <v>0</v>
      </c>
      <c r="I38" s="1887"/>
      <c r="J38" s="1887"/>
      <c r="K38" s="1887"/>
      <c r="L38" s="1887"/>
      <c r="M38" s="1887"/>
      <c r="N38" s="1890" t="str">
        <f>'84ABC-SPP'!N36</f>
        <v>Endang Taryana</v>
      </c>
      <c r="O38" s="1887"/>
      <c r="P38" s="1887"/>
      <c r="Q38" s="1887"/>
      <c r="R38" s="1887"/>
      <c r="U38" s="1889">
        <f>H38</f>
        <v>0</v>
      </c>
      <c r="V38" s="1889"/>
      <c r="W38" s="1889"/>
      <c r="X38" s="1889"/>
      <c r="Y38" s="1889"/>
      <c r="Z38" s="1889"/>
      <c r="AA38" s="1889" t="str">
        <f>N38</f>
        <v>Endang Taryana</v>
      </c>
      <c r="AD38" s="1747"/>
      <c r="AE38" s="1747"/>
      <c r="AI38" s="1889">
        <f>H38</f>
        <v>0</v>
      </c>
      <c r="AJ38" s="1889"/>
      <c r="AK38" s="1889"/>
      <c r="AL38" s="1889"/>
      <c r="AM38" s="1889"/>
      <c r="AN38" s="1889"/>
      <c r="AO38" s="1889" t="str">
        <f>N38</f>
        <v>Endang Taryana</v>
      </c>
      <c r="AR38" s="1746"/>
      <c r="AS38" s="1745"/>
      <c r="AT38" s="1745"/>
      <c r="AU38" s="1745"/>
      <c r="AV38" s="1745"/>
      <c r="AW38" s="1745"/>
      <c r="AX38" s="1745"/>
    </row>
  </sheetData>
  <sheetProtection formatColumns="0" formatRows="0"/>
  <mergeCells count="46">
    <mergeCell ref="AX8:AX10"/>
    <mergeCell ref="AW8:AW10"/>
    <mergeCell ref="A1:O1"/>
    <mergeCell ref="S1:AB1"/>
    <mergeCell ref="AF1:AQ1"/>
    <mergeCell ref="A2:O2"/>
    <mergeCell ref="S2:AB2"/>
    <mergeCell ref="AF2:AQ2"/>
    <mergeCell ref="A8:A10"/>
    <mergeCell ref="B8:B10"/>
    <mergeCell ref="C8:C10"/>
    <mergeCell ref="D8:D10"/>
    <mergeCell ref="E8:H8"/>
    <mergeCell ref="I8:K8"/>
    <mergeCell ref="L8:M8"/>
    <mergeCell ref="E9:E10"/>
    <mergeCell ref="F9:F10"/>
    <mergeCell ref="G9:H9"/>
    <mergeCell ref="I9:I10"/>
    <mergeCell ref="P8:R9"/>
    <mergeCell ref="S8:S10"/>
    <mergeCell ref="J9:J10"/>
    <mergeCell ref="K9:K10"/>
    <mergeCell ref="L9:L10"/>
    <mergeCell ref="O8:O10"/>
    <mergeCell ref="T8:T10"/>
    <mergeCell ref="M9:M10"/>
    <mergeCell ref="AC8:AC10"/>
    <mergeCell ref="N8:N10"/>
    <mergeCell ref="AR8:AR10"/>
    <mergeCell ref="AK9:AN9"/>
    <mergeCell ref="AO9:AO10"/>
    <mergeCell ref="AP9:AP10"/>
    <mergeCell ref="AQ9:AQ10"/>
    <mergeCell ref="AO8:AQ8"/>
    <mergeCell ref="AD8:AD10"/>
    <mergeCell ref="AE8:AE10"/>
    <mergeCell ref="U8:U10"/>
    <mergeCell ref="V8:AB8"/>
    <mergeCell ref="AI9:AJ9"/>
    <mergeCell ref="AI8:AN8"/>
    <mergeCell ref="AF8:AF10"/>
    <mergeCell ref="AG8:AG10"/>
    <mergeCell ref="AH8:AH10"/>
    <mergeCell ref="V9:V10"/>
    <mergeCell ref="W9:AB9"/>
  </mergeCells>
  <printOptions horizontalCentered="1" verticalCentered="1"/>
  <pageMargins left="0.25" right="0.25" top="1.1000000000000001" bottom="0.25" header="0.27559055118110198" footer="0.511811023622047"/>
  <pageSetup paperSize="9" scale="75" orientation="landscape" horizontalDpi="300" verticalDpi="300" r:id="rId1"/>
  <headerFooter alignWithMargins="0"/>
  <colBreaks count="2" manualBreakCount="2">
    <brk id="18" max="1048575" man="1"/>
    <brk id="31" max="1048575" man="1"/>
  </colBreaks>
  <drawing r:id="rId2"/>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tabColor rgb="FFFF6600"/>
  </sheetPr>
  <dimension ref="A1:J64"/>
  <sheetViews>
    <sheetView zoomScale="85" zoomScaleNormal="85" workbookViewId="0">
      <selection sqref="A1:H1"/>
    </sheetView>
  </sheetViews>
  <sheetFormatPr defaultColWidth="9.140625" defaultRowHeight="12.75"/>
  <cols>
    <col min="1" max="1" width="2.28515625" style="800" customWidth="1"/>
    <col min="2" max="2" width="4.140625" style="800" customWidth="1"/>
    <col min="3" max="3" width="44.42578125" style="800" customWidth="1"/>
    <col min="4" max="5" width="13.5703125" style="800" customWidth="1"/>
    <col min="6" max="6" width="14.5703125" style="800" customWidth="1"/>
    <col min="7" max="7" width="14" style="800" customWidth="1"/>
    <col min="8" max="8" width="14.42578125" style="801" customWidth="1"/>
    <col min="9" max="9" width="9.140625" style="800"/>
    <col min="10" max="10" width="37" style="820" bestFit="1" customWidth="1"/>
    <col min="11" max="16384" width="9.140625" style="800"/>
  </cols>
  <sheetData>
    <row r="1" spans="1:8" ht="15.75">
      <c r="A1" s="3599" t="s">
        <v>786</v>
      </c>
      <c r="B1" s="3599"/>
      <c r="C1" s="3599"/>
      <c r="D1" s="3599"/>
      <c r="E1" s="3599"/>
      <c r="F1" s="3599"/>
      <c r="G1" s="3599"/>
      <c r="H1" s="3599"/>
    </row>
    <row r="2" spans="1:8" ht="15.75">
      <c r="A2" s="3599" t="str">
        <f>"KECAMATAN  "&amp;DT!D3 &amp;" - KABUPATEN SUKABUMI"</f>
        <v>KECAMATAN  Nagrak - KABUPATEN SUKABUMI</v>
      </c>
      <c r="B2" s="3599"/>
      <c r="C2" s="3599"/>
      <c r="D2" s="3599"/>
      <c r="E2" s="3599"/>
      <c r="F2" s="3599"/>
      <c r="G2" s="3599"/>
      <c r="H2" s="3599"/>
    </row>
    <row r="3" spans="1:8" ht="15.75">
      <c r="A3" s="3599" t="str">
        <f>"SAMPAI DENGAN BULAN  "&amp;DT!D25</f>
        <v>SAMPAI DENGAN BULAN  Februari 2016</v>
      </c>
      <c r="B3" s="3599"/>
      <c r="C3" s="3599"/>
      <c r="D3" s="3599"/>
      <c r="E3" s="3599"/>
      <c r="F3" s="3599"/>
      <c r="G3" s="3599"/>
      <c r="H3" s="3599"/>
    </row>
    <row r="4" spans="1:8" ht="15.75">
      <c r="A4" s="3599" t="s">
        <v>1298</v>
      </c>
      <c r="B4" s="3599"/>
      <c r="C4" s="3599"/>
      <c r="D4" s="3599"/>
      <c r="E4" s="3599"/>
      <c r="F4" s="3599"/>
      <c r="G4" s="3599"/>
      <c r="H4" s="3599"/>
    </row>
    <row r="5" spans="1:8" ht="13.5" thickBot="1"/>
    <row r="6" spans="1:8" ht="23.25" thickBot="1">
      <c r="A6" s="802"/>
      <c r="B6" s="802"/>
      <c r="C6" s="802"/>
      <c r="D6" s="884">
        <v>2008</v>
      </c>
      <c r="E6" s="803">
        <v>2009</v>
      </c>
      <c r="F6" s="885">
        <v>2010</v>
      </c>
      <c r="G6" s="803">
        <v>2011</v>
      </c>
      <c r="H6" s="886" t="s">
        <v>77</v>
      </c>
    </row>
    <row r="7" spans="1:8">
      <c r="A7" s="802"/>
      <c r="B7" s="802"/>
      <c r="C7" s="802"/>
      <c r="D7" s="1443"/>
      <c r="E7" s="1443"/>
      <c r="F7" s="1443"/>
      <c r="G7" s="1443"/>
      <c r="H7" s="1443"/>
    </row>
    <row r="8" spans="1:8" ht="21.75" customHeight="1">
      <c r="A8" s="802" t="s">
        <v>572</v>
      </c>
      <c r="B8" s="2384" t="s">
        <v>787</v>
      </c>
      <c r="C8" s="2384"/>
      <c r="D8" s="2385">
        <v>73600000</v>
      </c>
      <c r="E8" s="2385">
        <v>39800000</v>
      </c>
      <c r="F8" s="2385">
        <v>39800000</v>
      </c>
      <c r="G8" s="2385">
        <v>20400000</v>
      </c>
      <c r="H8" s="2385">
        <f>SUM(D8:G8)</f>
        <v>173600000</v>
      </c>
    </row>
    <row r="9" spans="1:8" ht="9" customHeight="1">
      <c r="B9" s="1443"/>
      <c r="C9" s="1443"/>
      <c r="D9" s="2385"/>
      <c r="E9" s="2385"/>
      <c r="F9" s="2385"/>
      <c r="G9" s="2385"/>
      <c r="H9" s="2385"/>
    </row>
    <row r="10" spans="1:8">
      <c r="A10" s="802" t="s">
        <v>788</v>
      </c>
      <c r="B10" s="802" t="s">
        <v>491</v>
      </c>
      <c r="C10" s="802"/>
      <c r="D10" s="2386"/>
      <c r="E10" s="2386"/>
      <c r="F10" s="2386"/>
      <c r="G10" s="2386"/>
      <c r="H10" s="2386"/>
    </row>
    <row r="11" spans="1:8">
      <c r="B11" s="809" t="s">
        <v>72</v>
      </c>
      <c r="C11" s="809" t="s">
        <v>505</v>
      </c>
      <c r="D11" s="2385"/>
      <c r="E11" s="2385"/>
      <c r="F11" s="2385"/>
      <c r="G11" s="2385"/>
      <c r="H11" s="2385" t="s">
        <v>492</v>
      </c>
    </row>
    <row r="12" spans="1:8">
      <c r="B12" s="2384">
        <v>1</v>
      </c>
      <c r="C12" s="2384" t="s">
        <v>493</v>
      </c>
      <c r="D12" s="2385">
        <v>44160000</v>
      </c>
      <c r="E12" s="2385">
        <v>23880000</v>
      </c>
      <c r="F12" s="2385">
        <v>15920000</v>
      </c>
      <c r="G12" s="2385">
        <v>20400000</v>
      </c>
      <c r="H12" s="2385">
        <f>SUM(D12:G12)</f>
        <v>104360000</v>
      </c>
    </row>
    <row r="13" spans="1:8">
      <c r="B13" s="2384">
        <v>2</v>
      </c>
      <c r="C13" s="2384" t="s">
        <v>494</v>
      </c>
      <c r="D13" s="2385">
        <v>29440000</v>
      </c>
      <c r="E13" s="2385">
        <v>15920000</v>
      </c>
      <c r="F13" s="2385">
        <v>23880000</v>
      </c>
      <c r="G13" s="2385">
        <v>30600000</v>
      </c>
      <c r="H13" s="2385">
        <f>SUM(D13:G13)</f>
        <v>99840000</v>
      </c>
    </row>
    <row r="14" spans="1:8">
      <c r="B14" s="2384">
        <v>3</v>
      </c>
      <c r="C14" s="2384" t="s">
        <v>789</v>
      </c>
      <c r="D14" s="2385"/>
      <c r="E14" s="2385"/>
      <c r="F14" s="2385"/>
      <c r="G14" s="2385"/>
      <c r="H14" s="2385">
        <f>SUM(D14:G14)</f>
        <v>0</v>
      </c>
    </row>
    <row r="15" spans="1:8" ht="21.75" customHeight="1">
      <c r="B15" s="3739" t="s">
        <v>77</v>
      </c>
      <c r="C15" s="3739"/>
      <c r="D15" s="2385">
        <f>SUM(D12:D14)</f>
        <v>73600000</v>
      </c>
      <c r="E15" s="2385">
        <f>SUM(E12:E14)</f>
        <v>39800000</v>
      </c>
      <c r="F15" s="2385">
        <f>SUM(F12:F14)</f>
        <v>39800000</v>
      </c>
      <c r="G15" s="2385">
        <f>SUM(G12:G14)</f>
        <v>51000000</v>
      </c>
      <c r="H15" s="2385">
        <f>SUM(H12:H14)</f>
        <v>204200000</v>
      </c>
    </row>
    <row r="16" spans="1:8" ht="9" customHeight="1">
      <c r="B16" s="1443"/>
      <c r="C16" s="1443"/>
      <c r="D16" s="1443"/>
      <c r="E16" s="1443"/>
      <c r="F16" s="1443"/>
      <c r="G16" s="1443"/>
      <c r="H16" s="1443"/>
    </row>
    <row r="17" spans="1:10">
      <c r="A17" s="802" t="s">
        <v>422</v>
      </c>
      <c r="B17" s="802" t="s">
        <v>495</v>
      </c>
      <c r="C17" s="802"/>
      <c r="D17" s="2161"/>
      <c r="E17" s="2161"/>
      <c r="F17" s="2161"/>
      <c r="G17" s="2161"/>
      <c r="H17" s="2161"/>
    </row>
    <row r="18" spans="1:10">
      <c r="B18" s="809" t="s">
        <v>72</v>
      </c>
      <c r="C18" s="809" t="s">
        <v>432</v>
      </c>
      <c r="D18" s="2658"/>
      <c r="E18" s="2658"/>
      <c r="F18" s="2658"/>
      <c r="G18" s="2654"/>
      <c r="H18" s="1443" t="s">
        <v>492</v>
      </c>
    </row>
    <row r="19" spans="1:10">
      <c r="B19" s="2654">
        <v>1</v>
      </c>
      <c r="C19" s="2654" t="s">
        <v>425</v>
      </c>
      <c r="D19" s="2654"/>
      <c r="E19" s="2654"/>
      <c r="F19" s="2654"/>
      <c r="G19" s="2654"/>
      <c r="H19" s="2657">
        <v>100000</v>
      </c>
    </row>
    <row r="20" spans="1:10">
      <c r="B20" s="2654">
        <v>2</v>
      </c>
      <c r="C20" s="2654" t="s">
        <v>400</v>
      </c>
      <c r="D20" s="2654"/>
      <c r="E20" s="2654"/>
      <c r="F20" s="2654"/>
      <c r="G20" s="2654"/>
      <c r="H20" s="2657">
        <f>'Bank DOK PERNC'!H30</f>
        <v>1478143</v>
      </c>
    </row>
    <row r="21" spans="1:10">
      <c r="B21" s="2654">
        <v>3</v>
      </c>
      <c r="C21" s="2654" t="s">
        <v>790</v>
      </c>
      <c r="D21" s="2654"/>
      <c r="E21" s="2654"/>
      <c r="F21" s="2654"/>
      <c r="G21" s="2654"/>
      <c r="H21" s="2657"/>
    </row>
    <row r="22" spans="1:10" ht="21.75" customHeight="1">
      <c r="B22" s="3712" t="s">
        <v>492</v>
      </c>
      <c r="C22" s="3712"/>
      <c r="D22" s="2654"/>
      <c r="E22" s="2654"/>
      <c r="F22" s="2654"/>
      <c r="G22" s="2654"/>
      <c r="H22" s="2657">
        <f>SUM(H19:H21)</f>
        <v>1578143</v>
      </c>
    </row>
    <row r="23" spans="1:10" ht="9" customHeight="1">
      <c r="D23" s="2161"/>
      <c r="E23" s="2161"/>
      <c r="F23" s="2161"/>
      <c r="G23" s="2161"/>
      <c r="H23" s="2161"/>
    </row>
    <row r="24" spans="1:10">
      <c r="A24" s="802" t="s">
        <v>423</v>
      </c>
      <c r="B24" s="802" t="s">
        <v>497</v>
      </c>
      <c r="C24" s="802"/>
      <c r="D24" s="2161"/>
      <c r="E24" s="2161"/>
      <c r="F24" s="2161"/>
      <c r="G24" s="2161"/>
      <c r="H24" s="2161"/>
    </row>
    <row r="25" spans="1:10">
      <c r="B25" s="809" t="s">
        <v>72</v>
      </c>
      <c r="C25" s="809" t="s">
        <v>498</v>
      </c>
      <c r="D25" s="1443"/>
      <c r="E25" s="1443"/>
      <c r="F25" s="1443"/>
      <c r="G25" s="1443"/>
      <c r="H25" s="1443" t="s">
        <v>492</v>
      </c>
    </row>
    <row r="26" spans="1:10">
      <c r="B26" s="2384">
        <v>1</v>
      </c>
      <c r="C26" s="2384" t="s">
        <v>499</v>
      </c>
      <c r="D26" s="2385">
        <v>2700000</v>
      </c>
      <c r="E26" s="2385">
        <v>2700000</v>
      </c>
      <c r="F26" s="2385">
        <v>900000</v>
      </c>
      <c r="G26" s="2385">
        <v>2250000</v>
      </c>
      <c r="H26" s="2385">
        <f>SUM(D26:G26)</f>
        <v>8550000</v>
      </c>
      <c r="J26" s="833" t="s">
        <v>791</v>
      </c>
    </row>
    <row r="27" spans="1:10">
      <c r="B27" s="2384">
        <v>2</v>
      </c>
      <c r="C27" s="2384" t="s">
        <v>2162</v>
      </c>
      <c r="D27" s="2385">
        <v>2773100</v>
      </c>
      <c r="E27" s="2385">
        <v>1999945</v>
      </c>
      <c r="F27" s="2385">
        <v>2000000</v>
      </c>
      <c r="G27" s="2385">
        <v>2500000</v>
      </c>
      <c r="H27" s="2385">
        <f t="shared" ref="H27:H48" si="0">SUM(D27:G27)</f>
        <v>9273045</v>
      </c>
      <c r="J27" s="837" t="s">
        <v>499</v>
      </c>
    </row>
    <row r="28" spans="1:10">
      <c r="B28" s="2384">
        <v>3</v>
      </c>
      <c r="C28" s="2384" t="s">
        <v>501</v>
      </c>
      <c r="D28" s="2385">
        <v>1419125</v>
      </c>
      <c r="E28" s="2385">
        <v>1000000</v>
      </c>
      <c r="F28" s="2385">
        <v>2000430</v>
      </c>
      <c r="G28" s="2385">
        <v>2040000</v>
      </c>
      <c r="H28" s="2385">
        <f t="shared" si="0"/>
        <v>6459555</v>
      </c>
      <c r="I28" s="801"/>
      <c r="J28" s="837" t="s">
        <v>500</v>
      </c>
    </row>
    <row r="29" spans="1:10">
      <c r="B29" s="2384">
        <v>4</v>
      </c>
      <c r="C29" s="2384" t="s">
        <v>502</v>
      </c>
      <c r="D29" s="2385"/>
      <c r="E29" s="2385"/>
      <c r="F29" s="2385"/>
      <c r="G29" s="2385"/>
      <c r="H29" s="2385">
        <f t="shared" si="0"/>
        <v>0</v>
      </c>
      <c r="J29" s="837" t="s">
        <v>501</v>
      </c>
    </row>
    <row r="30" spans="1:10">
      <c r="B30" s="2384">
        <v>5</v>
      </c>
      <c r="C30" s="2384" t="s">
        <v>503</v>
      </c>
      <c r="D30" s="2385"/>
      <c r="E30" s="2385">
        <v>1400000</v>
      </c>
      <c r="F30" s="2385"/>
      <c r="G30" s="2385"/>
      <c r="H30" s="2385">
        <f t="shared" si="0"/>
        <v>1400000</v>
      </c>
      <c r="J30" s="837" t="s">
        <v>502</v>
      </c>
    </row>
    <row r="31" spans="1:10">
      <c r="B31" s="2384">
        <v>6</v>
      </c>
      <c r="C31" s="2384" t="s">
        <v>2163</v>
      </c>
      <c r="D31" s="2385"/>
      <c r="E31" s="2385">
        <v>1800000</v>
      </c>
      <c r="F31" s="2385">
        <v>900000</v>
      </c>
      <c r="G31" s="2385">
        <v>1750000</v>
      </c>
      <c r="H31" s="2385">
        <f t="shared" si="0"/>
        <v>4450000</v>
      </c>
      <c r="J31" s="837" t="s">
        <v>503</v>
      </c>
    </row>
    <row r="32" spans="1:10" ht="14.25" customHeight="1">
      <c r="B32" s="2384">
        <v>7</v>
      </c>
      <c r="C32" s="2384" t="s">
        <v>2164</v>
      </c>
      <c r="D32" s="2385"/>
      <c r="E32" s="2385">
        <v>300000</v>
      </c>
      <c r="F32" s="2385">
        <v>300000</v>
      </c>
      <c r="G32" s="2385">
        <v>980000</v>
      </c>
      <c r="H32" s="2385">
        <f t="shared" si="0"/>
        <v>1580000</v>
      </c>
      <c r="J32" s="837" t="s">
        <v>792</v>
      </c>
    </row>
    <row r="33" spans="2:10">
      <c r="B33" s="2384">
        <v>8</v>
      </c>
      <c r="C33" s="2384" t="s">
        <v>2165</v>
      </c>
      <c r="D33" s="2385"/>
      <c r="E33" s="2385"/>
      <c r="F33" s="2385"/>
      <c r="G33" s="2385"/>
      <c r="H33" s="2385">
        <f t="shared" si="0"/>
        <v>0</v>
      </c>
      <c r="J33" s="837" t="s">
        <v>793</v>
      </c>
    </row>
    <row r="34" spans="2:10">
      <c r="B34" s="2384">
        <v>9</v>
      </c>
      <c r="C34" s="2384" t="s">
        <v>2153</v>
      </c>
      <c r="D34" s="2385"/>
      <c r="E34" s="2385">
        <v>620000</v>
      </c>
      <c r="F34" s="2385">
        <v>2100000</v>
      </c>
      <c r="G34" s="2385">
        <v>6000000</v>
      </c>
      <c r="H34" s="2385">
        <f t="shared" si="0"/>
        <v>8720000</v>
      </c>
      <c r="J34" s="837" t="s">
        <v>794</v>
      </c>
    </row>
    <row r="35" spans="2:10">
      <c r="B35" s="2384">
        <v>10</v>
      </c>
      <c r="C35" s="2384" t="s">
        <v>2166</v>
      </c>
      <c r="D35" s="2385"/>
      <c r="E35" s="2385">
        <v>540000</v>
      </c>
      <c r="F35" s="2385">
        <v>600000</v>
      </c>
      <c r="G35" s="2385">
        <v>980000</v>
      </c>
      <c r="H35" s="2385">
        <f t="shared" si="0"/>
        <v>2120000</v>
      </c>
      <c r="J35" s="837" t="s">
        <v>795</v>
      </c>
    </row>
    <row r="36" spans="2:10">
      <c r="B36" s="2384">
        <v>11</v>
      </c>
      <c r="C36" s="2384" t="s">
        <v>797</v>
      </c>
      <c r="D36" s="2385">
        <v>500000</v>
      </c>
      <c r="E36" s="2385"/>
      <c r="F36" s="2385"/>
      <c r="G36" s="2385"/>
      <c r="H36" s="2385">
        <f t="shared" si="0"/>
        <v>500000</v>
      </c>
      <c r="J36" s="837" t="s">
        <v>796</v>
      </c>
    </row>
    <row r="37" spans="2:10">
      <c r="B37" s="2384">
        <v>12</v>
      </c>
      <c r="C37" s="2384" t="s">
        <v>798</v>
      </c>
      <c r="D37" s="2385">
        <v>2000000</v>
      </c>
      <c r="E37" s="2385"/>
      <c r="F37" s="2385"/>
      <c r="G37" s="2385"/>
      <c r="H37" s="2385">
        <f t="shared" si="0"/>
        <v>2000000</v>
      </c>
      <c r="J37" s="837" t="s">
        <v>797</v>
      </c>
    </row>
    <row r="38" spans="2:10">
      <c r="B38" s="2384">
        <v>13</v>
      </c>
      <c r="C38" s="2384" t="s">
        <v>2167</v>
      </c>
      <c r="D38" s="2385">
        <v>160000</v>
      </c>
      <c r="E38" s="2385">
        <v>300000</v>
      </c>
      <c r="F38" s="2385"/>
      <c r="G38" s="2385"/>
      <c r="H38" s="2385">
        <f t="shared" si="0"/>
        <v>460000</v>
      </c>
      <c r="J38" s="837" t="s">
        <v>798</v>
      </c>
    </row>
    <row r="39" spans="2:10">
      <c r="B39" s="2384">
        <v>14</v>
      </c>
      <c r="C39" s="2384" t="s">
        <v>504</v>
      </c>
      <c r="D39" s="2385">
        <v>266000</v>
      </c>
      <c r="E39" s="2385">
        <v>1225000</v>
      </c>
      <c r="F39" s="2385">
        <v>2100000</v>
      </c>
      <c r="G39" s="2385">
        <v>1950000</v>
      </c>
      <c r="H39" s="2385">
        <f t="shared" si="0"/>
        <v>5541000</v>
      </c>
      <c r="J39" s="837" t="s">
        <v>799</v>
      </c>
    </row>
    <row r="40" spans="2:10">
      <c r="B40" s="2384">
        <v>15</v>
      </c>
      <c r="C40" s="2384" t="s">
        <v>2168</v>
      </c>
      <c r="D40" s="2385">
        <v>3500000</v>
      </c>
      <c r="E40" s="2385">
        <v>2000000</v>
      </c>
      <c r="F40" s="2385">
        <v>4400000</v>
      </c>
      <c r="G40" s="2385">
        <v>3600000</v>
      </c>
      <c r="H40" s="2385">
        <f t="shared" si="0"/>
        <v>13500000</v>
      </c>
      <c r="J40" s="837" t="s">
        <v>504</v>
      </c>
    </row>
    <row r="41" spans="2:10">
      <c r="B41" s="2384">
        <v>16</v>
      </c>
      <c r="C41" s="2384" t="s">
        <v>2169</v>
      </c>
      <c r="D41" s="2385">
        <v>29100000</v>
      </c>
      <c r="E41" s="2385">
        <v>18100000</v>
      </c>
      <c r="F41" s="2385">
        <v>32700000</v>
      </c>
      <c r="G41" s="2385">
        <v>22500000</v>
      </c>
      <c r="H41" s="2385">
        <f t="shared" si="0"/>
        <v>102400000</v>
      </c>
      <c r="J41" s="837" t="s">
        <v>800</v>
      </c>
    </row>
    <row r="42" spans="2:10">
      <c r="B42" s="2384">
        <v>17</v>
      </c>
      <c r="C42" s="2384" t="s">
        <v>2170</v>
      </c>
      <c r="D42" s="2385"/>
      <c r="E42" s="2385"/>
      <c r="F42" s="2385">
        <v>2000000</v>
      </c>
      <c r="G42" s="2385">
        <v>1600000</v>
      </c>
      <c r="H42" s="2385">
        <f t="shared" si="0"/>
        <v>3600000</v>
      </c>
      <c r="J42" s="837" t="s">
        <v>801</v>
      </c>
    </row>
    <row r="43" spans="2:10">
      <c r="B43" s="2384">
        <v>18</v>
      </c>
      <c r="C43" s="2384" t="s">
        <v>2171</v>
      </c>
      <c r="D43" s="2385">
        <v>1700000</v>
      </c>
      <c r="E43" s="2385">
        <v>583750</v>
      </c>
      <c r="F43" s="2385"/>
      <c r="G43" s="2385"/>
      <c r="H43" s="2385">
        <f t="shared" si="0"/>
        <v>2283750</v>
      </c>
      <c r="J43" s="837" t="s">
        <v>802</v>
      </c>
    </row>
    <row r="44" spans="2:10">
      <c r="B44" s="2384">
        <v>19</v>
      </c>
      <c r="C44" s="2384" t="s">
        <v>2172</v>
      </c>
      <c r="D44" s="2385">
        <v>3570600</v>
      </c>
      <c r="E44" s="2385"/>
      <c r="F44" s="2385"/>
      <c r="G44" s="2385"/>
      <c r="H44" s="2385">
        <f t="shared" si="0"/>
        <v>3570600</v>
      </c>
      <c r="J44" s="820" t="s">
        <v>803</v>
      </c>
    </row>
    <row r="45" spans="2:10">
      <c r="B45" s="2384">
        <v>20</v>
      </c>
      <c r="C45" s="2384" t="s">
        <v>2173</v>
      </c>
      <c r="D45" s="2385">
        <v>700000</v>
      </c>
      <c r="E45" s="2385"/>
      <c r="F45" s="2385"/>
      <c r="G45" s="2385"/>
      <c r="H45" s="2385">
        <f t="shared" si="0"/>
        <v>700000</v>
      </c>
      <c r="J45" s="820" t="s">
        <v>804</v>
      </c>
    </row>
    <row r="46" spans="2:10">
      <c r="B46" s="2384">
        <v>21</v>
      </c>
      <c r="C46" s="2384" t="s">
        <v>2174</v>
      </c>
      <c r="D46" s="2385">
        <v>700000</v>
      </c>
      <c r="E46" s="2385"/>
      <c r="F46" s="2385"/>
      <c r="G46" s="2385">
        <v>1800000</v>
      </c>
      <c r="H46" s="2385">
        <f t="shared" si="0"/>
        <v>2500000</v>
      </c>
    </row>
    <row r="47" spans="2:10">
      <c r="B47" s="2384">
        <v>22</v>
      </c>
      <c r="C47" s="2384" t="s">
        <v>2175</v>
      </c>
      <c r="D47" s="2385"/>
      <c r="E47" s="2385"/>
      <c r="F47" s="2385">
        <v>1500000</v>
      </c>
      <c r="G47" s="2385"/>
      <c r="H47" s="2385">
        <f t="shared" si="0"/>
        <v>1500000</v>
      </c>
    </row>
    <row r="48" spans="2:10">
      <c r="B48" s="2384">
        <v>23</v>
      </c>
      <c r="C48" s="2384" t="s">
        <v>2176</v>
      </c>
      <c r="D48" s="2385"/>
      <c r="E48" s="2385">
        <v>5740000</v>
      </c>
      <c r="F48" s="2385">
        <v>3240000</v>
      </c>
      <c r="G48" s="2385"/>
      <c r="H48" s="2385">
        <f t="shared" si="0"/>
        <v>8980000</v>
      </c>
    </row>
    <row r="49" spans="1:8" ht="21.75" customHeight="1">
      <c r="B49" s="3739" t="s">
        <v>496</v>
      </c>
      <c r="C49" s="3739"/>
      <c r="D49" s="2385">
        <f>SUM(D26:D48)</f>
        <v>49088825</v>
      </c>
      <c r="E49" s="2385">
        <f>SUM(E26:E48)</f>
        <v>38308695</v>
      </c>
      <c r="F49" s="2385">
        <f>SUM(F26:F48)</f>
        <v>54740430</v>
      </c>
      <c r="G49" s="2385">
        <f>SUM(G26:G48)</f>
        <v>47950000</v>
      </c>
      <c r="H49" s="2385">
        <f>SUM(H26:H48)</f>
        <v>190087950</v>
      </c>
    </row>
    <row r="50" spans="1:8" ht="9" customHeight="1">
      <c r="D50" s="2386"/>
      <c r="E50" s="2386"/>
      <c r="F50" s="2386"/>
      <c r="G50" s="2386"/>
      <c r="H50" s="2386"/>
    </row>
    <row r="51" spans="1:8">
      <c r="A51" s="802" t="s">
        <v>426</v>
      </c>
      <c r="B51" s="802" t="s">
        <v>427</v>
      </c>
      <c r="C51" s="802"/>
      <c r="D51" s="2386"/>
      <c r="E51" s="2386"/>
      <c r="F51" s="2386"/>
      <c r="G51" s="2386"/>
      <c r="H51" s="2386"/>
    </row>
    <row r="52" spans="1:8">
      <c r="B52" s="809" t="s">
        <v>72</v>
      </c>
      <c r="C52" s="809" t="s">
        <v>432</v>
      </c>
      <c r="D52" s="2385"/>
      <c r="E52" s="2385"/>
      <c r="F52" s="2385"/>
      <c r="G52" s="2385"/>
      <c r="H52" s="2385" t="s">
        <v>492</v>
      </c>
    </row>
    <row r="53" spans="1:8">
      <c r="B53" s="2384">
        <v>1</v>
      </c>
      <c r="C53" s="2384" t="s">
        <v>421</v>
      </c>
      <c r="D53" s="2385"/>
      <c r="E53" s="2385"/>
      <c r="F53" s="2385"/>
      <c r="G53" s="2385"/>
      <c r="H53" s="2385">
        <f>'Bank DOK PERNC'!J30</f>
        <v>446200</v>
      </c>
    </row>
    <row r="54" spans="1:8">
      <c r="B54" s="2384">
        <v>2</v>
      </c>
      <c r="C54" s="2384" t="s">
        <v>428</v>
      </c>
      <c r="D54" s="2385"/>
      <c r="E54" s="2385"/>
      <c r="F54" s="2385"/>
      <c r="G54" s="2385"/>
      <c r="H54" s="2385">
        <f>'Bank DOK PERNC'!K30</f>
        <v>261182</v>
      </c>
    </row>
    <row r="55" spans="1:8">
      <c r="B55" s="2384">
        <v>3</v>
      </c>
      <c r="C55" s="2384" t="s">
        <v>805</v>
      </c>
      <c r="D55" s="2385"/>
      <c r="E55" s="2385"/>
      <c r="F55" s="2385"/>
      <c r="G55" s="2385"/>
      <c r="H55" s="2385"/>
    </row>
    <row r="56" spans="1:8" ht="21.75" customHeight="1">
      <c r="B56" s="3739" t="s">
        <v>496</v>
      </c>
      <c r="C56" s="3739"/>
      <c r="D56" s="2385"/>
      <c r="E56" s="2385"/>
      <c r="F56" s="2385"/>
      <c r="G56" s="2385"/>
      <c r="H56" s="2385">
        <f>SUM(H53:H55)</f>
        <v>707382</v>
      </c>
    </row>
    <row r="57" spans="1:8" ht="9" customHeight="1">
      <c r="D57" s="2386"/>
      <c r="E57" s="2386"/>
      <c r="F57" s="2386"/>
      <c r="G57" s="2386"/>
      <c r="H57" s="2386"/>
    </row>
    <row r="58" spans="1:8" ht="21.75" customHeight="1">
      <c r="A58" s="802" t="s">
        <v>429</v>
      </c>
      <c r="B58" s="3712" t="s">
        <v>806</v>
      </c>
      <c r="C58" s="3712"/>
      <c r="D58" s="2385">
        <f>D15-D49</f>
        <v>24511175</v>
      </c>
      <c r="E58" s="2385">
        <f>E15-E49</f>
        <v>1491305</v>
      </c>
      <c r="F58" s="2385">
        <f>F15-F49</f>
        <v>-14940430</v>
      </c>
      <c r="G58" s="2385">
        <f>G15-G49</f>
        <v>3050000</v>
      </c>
      <c r="H58" s="2385">
        <f>H15-H49</f>
        <v>14112050</v>
      </c>
    </row>
    <row r="59" spans="1:8" ht="9" customHeight="1">
      <c r="B59" s="850"/>
      <c r="C59" s="850"/>
      <c r="D59" s="2386"/>
      <c r="E59" s="2386"/>
      <c r="F59" s="2386"/>
      <c r="G59" s="2386"/>
      <c r="H59" s="2386"/>
    </row>
    <row r="60" spans="1:8" ht="21.75" customHeight="1">
      <c r="A60" s="802" t="s">
        <v>430</v>
      </c>
      <c r="B60" s="3712" t="s">
        <v>807</v>
      </c>
      <c r="C60" s="3712"/>
      <c r="D60" s="2385"/>
      <c r="E60" s="2385"/>
      <c r="F60" s="2385"/>
      <c r="G60" s="2385"/>
      <c r="H60" s="2385">
        <f>H15+H22-H49-H56</f>
        <v>14982811</v>
      </c>
    </row>
    <row r="61" spans="1:8">
      <c r="H61" s="1443"/>
    </row>
    <row r="62" spans="1:8">
      <c r="B62" s="802"/>
    </row>
    <row r="63" spans="1:8">
      <c r="B63" s="802"/>
    </row>
    <row r="64" spans="1:8">
      <c r="B64" s="802"/>
    </row>
  </sheetData>
  <mergeCells count="10">
    <mergeCell ref="B49:C49"/>
    <mergeCell ref="B56:C56"/>
    <mergeCell ref="B58:C58"/>
    <mergeCell ref="B60:C60"/>
    <mergeCell ref="A1:H1"/>
    <mergeCell ref="A2:H2"/>
    <mergeCell ref="A3:H3"/>
    <mergeCell ref="A4:H4"/>
    <mergeCell ref="B15:C15"/>
    <mergeCell ref="B22:C22"/>
  </mergeCells>
  <pageMargins left="0.18" right="0.13" top="0.56999999999999995" bottom="0.35" header="0.3" footer="0.19"/>
  <pageSetup paperSize="9" scale="84" orientation="portrait" r:id="rId1"/>
  <drawing r:id="rId2"/>
  <legacyDrawing r:id="rId3"/>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tabColor rgb="FFFF6600"/>
  </sheetPr>
  <dimension ref="A1:J64"/>
  <sheetViews>
    <sheetView topLeftCell="A34" zoomScale="85" zoomScaleNormal="85" workbookViewId="0">
      <selection activeCell="G26" sqref="G26"/>
    </sheetView>
  </sheetViews>
  <sheetFormatPr defaultColWidth="9.140625" defaultRowHeight="12.75"/>
  <cols>
    <col min="1" max="1" width="2.28515625" style="800" customWidth="1"/>
    <col min="2" max="2" width="4.140625" style="800" customWidth="1"/>
    <col min="3" max="3" width="44.42578125" style="800" customWidth="1"/>
    <col min="4" max="5" width="13.5703125" style="800" customWidth="1"/>
    <col min="6" max="6" width="14.5703125" style="800" customWidth="1"/>
    <col min="7" max="7" width="13.42578125" style="800" customWidth="1"/>
    <col min="8" max="8" width="14.42578125" style="801" customWidth="1"/>
    <col min="9" max="9" width="9.140625" style="800"/>
    <col min="10" max="10" width="46.7109375" style="820" bestFit="1" customWidth="1"/>
    <col min="11" max="16384" width="9.140625" style="800"/>
  </cols>
  <sheetData>
    <row r="1" spans="1:8" ht="15.75">
      <c r="A1" s="3599" t="s">
        <v>808</v>
      </c>
      <c r="B1" s="3599"/>
      <c r="C1" s="3599"/>
      <c r="D1" s="3599"/>
      <c r="E1" s="3599"/>
      <c r="F1" s="3599"/>
      <c r="G1" s="3599"/>
      <c r="H1" s="3599"/>
    </row>
    <row r="2" spans="1:8" ht="15.75">
      <c r="A2" s="3599" t="str">
        <f>"KECAMATAN  "&amp;DT!D3 &amp;" - KABUPATEN SUKABUMI"</f>
        <v>KECAMATAN  Nagrak - KABUPATEN SUKABUMI</v>
      </c>
      <c r="B2" s="3599"/>
      <c r="C2" s="3599"/>
      <c r="D2" s="3599"/>
      <c r="E2" s="3599"/>
      <c r="F2" s="3599"/>
      <c r="G2" s="3599"/>
      <c r="H2" s="3599"/>
    </row>
    <row r="3" spans="1:8" ht="15.75">
      <c r="A3" s="3599" t="str">
        <f>"SAMPAI DENGAN BULAN  "&amp;DT!D25</f>
        <v>SAMPAI DENGAN BULAN  Februari 2016</v>
      </c>
      <c r="B3" s="3599"/>
      <c r="C3" s="3599"/>
      <c r="D3" s="3599"/>
      <c r="E3" s="3599"/>
      <c r="F3" s="3599"/>
      <c r="G3" s="3599"/>
      <c r="H3" s="3599"/>
    </row>
    <row r="4" spans="1:8" ht="15.75">
      <c r="A4" s="3599" t="s">
        <v>1298</v>
      </c>
      <c r="B4" s="3599"/>
      <c r="C4" s="3599"/>
      <c r="D4" s="3599"/>
      <c r="E4" s="3599"/>
      <c r="F4" s="3599"/>
      <c r="G4" s="3599"/>
      <c r="H4" s="3599"/>
    </row>
    <row r="5" spans="1:8" ht="13.5" thickBot="1"/>
    <row r="6" spans="1:8" ht="23.25" thickBot="1">
      <c r="A6" s="802"/>
      <c r="B6" s="802"/>
      <c r="C6" s="802"/>
      <c r="D6" s="884">
        <v>2008</v>
      </c>
      <c r="E6" s="803">
        <v>2009</v>
      </c>
      <c r="F6" s="885">
        <v>2010</v>
      </c>
      <c r="G6" s="803">
        <v>2011</v>
      </c>
      <c r="H6" s="886" t="s">
        <v>77</v>
      </c>
    </row>
    <row r="7" spans="1:8">
      <c r="A7" s="802"/>
      <c r="B7" s="802"/>
      <c r="C7" s="802"/>
      <c r="D7" s="1443"/>
      <c r="E7" s="1443"/>
      <c r="F7" s="1443"/>
      <c r="G7" s="1443"/>
      <c r="H7" s="1443"/>
    </row>
    <row r="8" spans="1:8" ht="21.75" customHeight="1">
      <c r="A8" s="802" t="s">
        <v>572</v>
      </c>
      <c r="B8" s="2384" t="s">
        <v>787</v>
      </c>
      <c r="C8" s="2384"/>
      <c r="D8" s="2385">
        <v>22830000</v>
      </c>
      <c r="E8" s="2385">
        <v>17025000</v>
      </c>
      <c r="F8" s="2385">
        <v>18525000</v>
      </c>
      <c r="G8" s="2385">
        <v>53450000</v>
      </c>
      <c r="H8" s="2385">
        <f>SUM(D8:G8)</f>
        <v>111830000</v>
      </c>
    </row>
    <row r="9" spans="1:8" ht="9" customHeight="1">
      <c r="B9" s="2384"/>
      <c r="C9" s="2384"/>
      <c r="D9" s="2385"/>
      <c r="E9" s="2385"/>
      <c r="F9" s="2385"/>
      <c r="G9" s="2385"/>
      <c r="H9" s="2385"/>
    </row>
    <row r="10" spans="1:8">
      <c r="A10" s="802" t="s">
        <v>788</v>
      </c>
      <c r="B10" s="2387" t="s">
        <v>491</v>
      </c>
      <c r="C10" s="2387"/>
      <c r="D10" s="2384"/>
      <c r="E10" s="2384"/>
      <c r="F10" s="2384"/>
      <c r="G10" s="2384"/>
      <c r="H10" s="2384"/>
    </row>
    <row r="11" spans="1:8">
      <c r="B11" s="809" t="s">
        <v>72</v>
      </c>
      <c r="C11" s="809" t="s">
        <v>505</v>
      </c>
      <c r="D11" s="2384"/>
      <c r="E11" s="2384"/>
      <c r="F11" s="2384"/>
      <c r="G11" s="2384"/>
      <c r="H11" s="2384" t="s">
        <v>492</v>
      </c>
    </row>
    <row r="12" spans="1:8">
      <c r="B12" s="2384">
        <v>1</v>
      </c>
      <c r="C12" s="2384" t="s">
        <v>493</v>
      </c>
      <c r="D12" s="2385">
        <v>22830000</v>
      </c>
      <c r="E12" s="2385">
        <v>17025000</v>
      </c>
      <c r="F12" s="2385">
        <v>18525000</v>
      </c>
      <c r="G12" s="2385">
        <v>53450000</v>
      </c>
      <c r="H12" s="2385">
        <f>SUM(D12:G12)</f>
        <v>111830000</v>
      </c>
    </row>
    <row r="13" spans="1:8">
      <c r="B13" s="2384">
        <v>2</v>
      </c>
      <c r="C13" s="2384" t="s">
        <v>494</v>
      </c>
      <c r="D13" s="2385"/>
      <c r="E13" s="2385"/>
      <c r="F13" s="2385"/>
      <c r="G13" s="2385"/>
      <c r="H13" s="2385">
        <f>SUM(D13:G13)</f>
        <v>0</v>
      </c>
    </row>
    <row r="14" spans="1:8">
      <c r="B14" s="2384">
        <v>3</v>
      </c>
      <c r="C14" s="2384" t="s">
        <v>789</v>
      </c>
      <c r="D14" s="2385"/>
      <c r="E14" s="2385"/>
      <c r="F14" s="2385"/>
      <c r="G14" s="2385"/>
      <c r="H14" s="2385">
        <f>SUM(D14:G14)</f>
        <v>0</v>
      </c>
    </row>
    <row r="15" spans="1:8" ht="21.75" customHeight="1">
      <c r="B15" s="3712" t="s">
        <v>77</v>
      </c>
      <c r="C15" s="3712"/>
      <c r="D15" s="2385">
        <f>SUM(D12:D14)</f>
        <v>22830000</v>
      </c>
      <c r="E15" s="2385">
        <f>SUM(E12:E14)</f>
        <v>17025000</v>
      </c>
      <c r="F15" s="2385">
        <f>SUM(F12:F14)</f>
        <v>18525000</v>
      </c>
      <c r="G15" s="2385">
        <f>SUM(G12:G14)</f>
        <v>53450000</v>
      </c>
      <c r="H15" s="2385">
        <f>SUM(H12:H14)</f>
        <v>111830000</v>
      </c>
    </row>
    <row r="16" spans="1:8" ht="9" customHeight="1">
      <c r="B16" s="1443"/>
      <c r="C16" s="1443"/>
      <c r="D16" s="1443"/>
      <c r="E16" s="1443"/>
      <c r="F16" s="1443"/>
      <c r="G16" s="1443"/>
      <c r="H16" s="1443"/>
    </row>
    <row r="17" spans="1:10">
      <c r="A17" s="802" t="s">
        <v>422</v>
      </c>
      <c r="B17" s="802" t="s">
        <v>495</v>
      </c>
      <c r="C17" s="802"/>
      <c r="D17" s="1443"/>
      <c r="E17" s="1443"/>
      <c r="F17" s="1443"/>
      <c r="G17" s="1443"/>
      <c r="H17" s="1443"/>
    </row>
    <row r="18" spans="1:10">
      <c r="B18" s="809" t="s">
        <v>72</v>
      </c>
      <c r="C18" s="2384" t="s">
        <v>432</v>
      </c>
      <c r="D18" s="2384"/>
      <c r="E18" s="2384"/>
      <c r="F18" s="2384"/>
      <c r="G18" s="2384"/>
      <c r="H18" s="2384" t="s">
        <v>492</v>
      </c>
    </row>
    <row r="19" spans="1:10">
      <c r="B19" s="2384">
        <v>1</v>
      </c>
      <c r="C19" s="2384" t="s">
        <v>425</v>
      </c>
      <c r="D19" s="2384"/>
      <c r="E19" s="2384"/>
      <c r="F19" s="2384"/>
      <c r="G19" s="2384"/>
      <c r="H19" s="2385"/>
    </row>
    <row r="20" spans="1:10">
      <c r="B20" s="2384">
        <v>2</v>
      </c>
      <c r="C20" s="2384" t="s">
        <v>400</v>
      </c>
      <c r="D20" s="2384"/>
      <c r="E20" s="2384"/>
      <c r="F20" s="2384"/>
      <c r="G20" s="2384"/>
      <c r="H20" s="2385">
        <f>'Bank DOK PELTH'!H30</f>
        <v>1833102</v>
      </c>
    </row>
    <row r="21" spans="1:10">
      <c r="B21" s="2384">
        <v>3</v>
      </c>
      <c r="C21" s="2384" t="s">
        <v>790</v>
      </c>
      <c r="D21" s="2384"/>
      <c r="E21" s="2384"/>
      <c r="F21" s="2384"/>
      <c r="G21" s="2384"/>
      <c r="H21" s="2385">
        <v>100000</v>
      </c>
    </row>
    <row r="22" spans="1:10" ht="21.75" customHeight="1">
      <c r="B22" s="3712" t="s">
        <v>492</v>
      </c>
      <c r="C22" s="3712"/>
      <c r="D22" s="2384"/>
      <c r="E22" s="2384"/>
      <c r="F22" s="2384"/>
      <c r="G22" s="2384"/>
      <c r="H22" s="2385">
        <f>SUM(H19:H21)</f>
        <v>1933102</v>
      </c>
    </row>
    <row r="23" spans="1:10" ht="9" customHeight="1">
      <c r="B23" s="1443"/>
      <c r="C23" s="1443"/>
      <c r="D23" s="1443"/>
      <c r="E23" s="1443"/>
      <c r="F23" s="1443"/>
      <c r="G23" s="1443"/>
      <c r="H23" s="1443"/>
    </row>
    <row r="24" spans="1:10">
      <c r="A24" s="802" t="s">
        <v>423</v>
      </c>
      <c r="B24" s="802" t="s">
        <v>497</v>
      </c>
      <c r="C24" s="802"/>
      <c r="D24" s="1443"/>
      <c r="E24" s="1443"/>
      <c r="F24" s="1443"/>
      <c r="G24" s="1443"/>
      <c r="H24" s="1443"/>
    </row>
    <row r="25" spans="1:10">
      <c r="B25" s="809" t="s">
        <v>72</v>
      </c>
      <c r="C25" s="1443" t="s">
        <v>498</v>
      </c>
      <c r="D25" s="1443"/>
      <c r="E25" s="1443"/>
      <c r="F25" s="1443"/>
      <c r="G25" s="1443"/>
      <c r="H25" s="1443" t="s">
        <v>492</v>
      </c>
    </row>
    <row r="26" spans="1:10">
      <c r="B26" s="2384">
        <v>1</v>
      </c>
      <c r="C26" s="2384" t="s">
        <v>506</v>
      </c>
      <c r="D26" s="2385">
        <v>1811000</v>
      </c>
      <c r="E26" s="2385">
        <v>700000</v>
      </c>
      <c r="F26" s="2385"/>
      <c r="G26" s="2385">
        <v>1800000</v>
      </c>
      <c r="H26" s="2385">
        <f>SUM(D26:G26)</f>
        <v>4311000</v>
      </c>
      <c r="J26" s="833" t="s">
        <v>809</v>
      </c>
    </row>
    <row r="27" spans="1:10">
      <c r="B27" s="2384">
        <v>2</v>
      </c>
      <c r="C27" s="2384" t="s">
        <v>2177</v>
      </c>
      <c r="D27" s="2385">
        <v>50000</v>
      </c>
      <c r="E27" s="2385">
        <v>15000</v>
      </c>
      <c r="F27" s="2385">
        <v>280000</v>
      </c>
      <c r="G27" s="2385">
        <v>1200000</v>
      </c>
      <c r="H27" s="2385">
        <f t="shared" ref="H27:H48" si="0">SUM(D27:G27)</f>
        <v>1545000</v>
      </c>
      <c r="J27" s="837" t="s">
        <v>506</v>
      </c>
    </row>
    <row r="28" spans="1:10">
      <c r="B28" s="2384">
        <v>3</v>
      </c>
      <c r="C28" s="2384" t="s">
        <v>2178</v>
      </c>
      <c r="D28" s="2385">
        <v>5750100</v>
      </c>
      <c r="E28" s="2385">
        <v>2845300</v>
      </c>
      <c r="F28" s="2385">
        <v>5785000</v>
      </c>
      <c r="G28" s="2385">
        <v>8000000</v>
      </c>
      <c r="H28" s="2385">
        <f t="shared" si="0"/>
        <v>22380400</v>
      </c>
      <c r="I28" s="801"/>
      <c r="J28" s="837" t="s">
        <v>507</v>
      </c>
    </row>
    <row r="29" spans="1:10">
      <c r="B29" s="2384">
        <v>4</v>
      </c>
      <c r="C29" s="2384" t="s">
        <v>2179</v>
      </c>
      <c r="D29" s="2385">
        <v>3500000</v>
      </c>
      <c r="E29" s="2385"/>
      <c r="F29" s="2385"/>
      <c r="G29" s="2385">
        <v>9000000</v>
      </c>
      <c r="H29" s="2385">
        <f t="shared" si="0"/>
        <v>12500000</v>
      </c>
      <c r="J29" s="837" t="s">
        <v>810</v>
      </c>
    </row>
    <row r="30" spans="1:10">
      <c r="B30" s="2384">
        <v>5</v>
      </c>
      <c r="C30" s="2384" t="s">
        <v>509</v>
      </c>
      <c r="D30" s="2385">
        <v>1403000</v>
      </c>
      <c r="E30" s="2385">
        <v>702700</v>
      </c>
      <c r="F30" s="2385">
        <v>1482200</v>
      </c>
      <c r="G30" s="2385">
        <v>3750000</v>
      </c>
      <c r="H30" s="2385">
        <f t="shared" si="0"/>
        <v>7337900</v>
      </c>
      <c r="J30" s="837" t="s">
        <v>508</v>
      </c>
    </row>
    <row r="31" spans="1:10">
      <c r="B31" s="2384">
        <v>6</v>
      </c>
      <c r="C31" s="2384" t="s">
        <v>510</v>
      </c>
      <c r="D31" s="2385">
        <v>176900</v>
      </c>
      <c r="E31" s="2385">
        <v>250000</v>
      </c>
      <c r="F31" s="2385">
        <v>291500</v>
      </c>
      <c r="G31" s="2385">
        <v>1575000</v>
      </c>
      <c r="H31" s="2385">
        <f t="shared" si="0"/>
        <v>2293400</v>
      </c>
      <c r="J31" s="837" t="s">
        <v>509</v>
      </c>
    </row>
    <row r="32" spans="1:10" ht="14.25" customHeight="1">
      <c r="B32" s="2384">
        <v>7</v>
      </c>
      <c r="C32" s="2384" t="s">
        <v>2180</v>
      </c>
      <c r="D32" s="2385">
        <v>156125</v>
      </c>
      <c r="E32" s="2385">
        <v>469000</v>
      </c>
      <c r="F32" s="2385">
        <v>900000</v>
      </c>
      <c r="G32" s="2385">
        <v>3600000</v>
      </c>
      <c r="H32" s="2385">
        <f t="shared" si="0"/>
        <v>5125125</v>
      </c>
      <c r="J32" s="837" t="s">
        <v>510</v>
      </c>
    </row>
    <row r="33" spans="2:10">
      <c r="B33" s="2384">
        <v>8</v>
      </c>
      <c r="C33" s="2384" t="s">
        <v>512</v>
      </c>
      <c r="D33" s="2385">
        <v>306125</v>
      </c>
      <c r="E33" s="2385">
        <v>450000</v>
      </c>
      <c r="F33" s="2385"/>
      <c r="G33" s="2385">
        <v>1200000</v>
      </c>
      <c r="H33" s="2385">
        <f t="shared" si="0"/>
        <v>1956125</v>
      </c>
      <c r="J33" s="837" t="s">
        <v>511</v>
      </c>
    </row>
    <row r="34" spans="2:10">
      <c r="B34" s="2384">
        <v>9</v>
      </c>
      <c r="C34" s="2384" t="s">
        <v>2181</v>
      </c>
      <c r="D34" s="2385">
        <v>890000</v>
      </c>
      <c r="E34" s="2385">
        <v>1288200</v>
      </c>
      <c r="F34" s="2385">
        <v>3000000</v>
      </c>
      <c r="G34" s="2385"/>
      <c r="H34" s="2385">
        <f t="shared" si="0"/>
        <v>5178200</v>
      </c>
      <c r="J34" s="837" t="s">
        <v>512</v>
      </c>
    </row>
    <row r="35" spans="2:10">
      <c r="B35" s="2384">
        <v>10</v>
      </c>
      <c r="C35" s="2384" t="s">
        <v>2182</v>
      </c>
      <c r="D35" s="2385">
        <v>1880500</v>
      </c>
      <c r="E35" s="2385">
        <v>1588500</v>
      </c>
      <c r="F35" s="2385">
        <v>3000000</v>
      </c>
      <c r="G35" s="2385">
        <v>3000000</v>
      </c>
      <c r="H35" s="2385">
        <f t="shared" si="0"/>
        <v>9469000</v>
      </c>
      <c r="J35" s="837" t="s">
        <v>811</v>
      </c>
    </row>
    <row r="36" spans="2:10">
      <c r="B36" s="2384">
        <v>11</v>
      </c>
      <c r="C36" s="2384" t="s">
        <v>2183</v>
      </c>
      <c r="D36" s="2385"/>
      <c r="E36" s="2385"/>
      <c r="F36" s="2385">
        <v>1566350</v>
      </c>
      <c r="G36" s="2385">
        <v>3575000</v>
      </c>
      <c r="H36" s="2385">
        <f t="shared" si="0"/>
        <v>5141350</v>
      </c>
      <c r="J36" s="837" t="s">
        <v>513</v>
      </c>
    </row>
    <row r="37" spans="2:10">
      <c r="B37" s="2384">
        <v>12</v>
      </c>
      <c r="C37" s="2384" t="s">
        <v>514</v>
      </c>
      <c r="D37" s="2385">
        <v>1699000</v>
      </c>
      <c r="E37" s="2385">
        <v>1200000</v>
      </c>
      <c r="F37" s="2385">
        <v>1500000</v>
      </c>
      <c r="G37" s="2385">
        <v>3000000</v>
      </c>
      <c r="H37" s="2385">
        <f t="shared" si="0"/>
        <v>7399000</v>
      </c>
      <c r="J37" s="837" t="s">
        <v>514</v>
      </c>
    </row>
    <row r="38" spans="2:10">
      <c r="B38" s="2384">
        <v>13</v>
      </c>
      <c r="C38" s="2384" t="s">
        <v>2184</v>
      </c>
      <c r="D38" s="2385"/>
      <c r="E38" s="2385"/>
      <c r="F38" s="2385">
        <v>2000000</v>
      </c>
      <c r="G38" s="2385"/>
      <c r="H38" s="2385">
        <f t="shared" si="0"/>
        <v>2000000</v>
      </c>
      <c r="J38" s="837"/>
    </row>
    <row r="39" spans="2:10">
      <c r="B39" s="2384">
        <v>14</v>
      </c>
      <c r="C39" s="2384" t="s">
        <v>2185</v>
      </c>
      <c r="D39" s="2385">
        <v>1037250</v>
      </c>
      <c r="E39" s="2385">
        <v>1194000</v>
      </c>
      <c r="F39" s="2385"/>
      <c r="G39" s="2385"/>
      <c r="H39" s="2385">
        <f t="shared" si="0"/>
        <v>2231250</v>
      </c>
      <c r="J39" s="837"/>
    </row>
    <row r="40" spans="2:10">
      <c r="B40" s="2384">
        <v>15</v>
      </c>
      <c r="C40" s="2384" t="s">
        <v>2203</v>
      </c>
      <c r="D40" s="2385"/>
      <c r="E40" s="2385"/>
      <c r="F40" s="2385"/>
      <c r="G40" s="2385">
        <v>200000</v>
      </c>
      <c r="H40" s="2385">
        <f t="shared" si="0"/>
        <v>200000</v>
      </c>
      <c r="J40" s="837"/>
    </row>
    <row r="41" spans="2:10">
      <c r="B41" s="2384">
        <v>16</v>
      </c>
      <c r="C41" s="2384" t="s">
        <v>2205</v>
      </c>
      <c r="D41" s="2385"/>
      <c r="E41" s="2385"/>
      <c r="F41" s="2385"/>
      <c r="G41" s="2385">
        <v>2250000</v>
      </c>
      <c r="H41" s="2385">
        <f t="shared" si="0"/>
        <v>2250000</v>
      </c>
      <c r="J41" s="837"/>
    </row>
    <row r="42" spans="2:10">
      <c r="B42" s="2384">
        <v>17</v>
      </c>
      <c r="C42" s="2409" t="s">
        <v>2218</v>
      </c>
      <c r="D42" s="2385"/>
      <c r="E42" s="2385"/>
      <c r="F42" s="2385"/>
      <c r="G42" s="2385">
        <v>14500000</v>
      </c>
      <c r="H42" s="2385">
        <f t="shared" si="0"/>
        <v>14500000</v>
      </c>
      <c r="J42" s="837"/>
    </row>
    <row r="43" spans="2:10">
      <c r="B43" s="2384">
        <v>18</v>
      </c>
      <c r="C43" s="2384"/>
      <c r="D43" s="2385"/>
      <c r="E43" s="2385"/>
      <c r="F43" s="2385"/>
      <c r="G43" s="2385"/>
      <c r="H43" s="2385">
        <f t="shared" si="0"/>
        <v>0</v>
      </c>
      <c r="J43" s="837"/>
    </row>
    <row r="44" spans="2:10">
      <c r="B44" s="2384">
        <v>19</v>
      </c>
      <c r="C44" s="2384"/>
      <c r="D44" s="2385"/>
      <c r="E44" s="2385"/>
      <c r="F44" s="2385"/>
      <c r="G44" s="2385"/>
      <c r="H44" s="2385">
        <f t="shared" si="0"/>
        <v>0</v>
      </c>
    </row>
    <row r="45" spans="2:10">
      <c r="B45" s="2384">
        <v>20</v>
      </c>
      <c r="C45" s="2384"/>
      <c r="D45" s="2385"/>
      <c r="E45" s="2385"/>
      <c r="F45" s="2385"/>
      <c r="G45" s="2385"/>
      <c r="H45" s="2385">
        <f t="shared" si="0"/>
        <v>0</v>
      </c>
    </row>
    <row r="46" spans="2:10">
      <c r="B46" s="2384">
        <v>21</v>
      </c>
      <c r="C46" s="2384"/>
      <c r="D46" s="2385"/>
      <c r="E46" s="2385"/>
      <c r="F46" s="2385"/>
      <c r="G46" s="2385"/>
      <c r="H46" s="2385">
        <f t="shared" si="0"/>
        <v>0</v>
      </c>
    </row>
    <row r="47" spans="2:10">
      <c r="B47" s="2384">
        <v>22</v>
      </c>
      <c r="C47" s="2384"/>
      <c r="D47" s="2385"/>
      <c r="E47" s="2385"/>
      <c r="F47" s="2385"/>
      <c r="G47" s="2385"/>
      <c r="H47" s="2385">
        <f t="shared" si="0"/>
        <v>0</v>
      </c>
    </row>
    <row r="48" spans="2:10">
      <c r="B48" s="2384">
        <v>23</v>
      </c>
      <c r="C48" s="2384"/>
      <c r="D48" s="2385"/>
      <c r="E48" s="2385"/>
      <c r="F48" s="2385"/>
      <c r="G48" s="2385"/>
      <c r="H48" s="2385">
        <f t="shared" si="0"/>
        <v>0</v>
      </c>
    </row>
    <row r="49" spans="1:8" ht="21.75" customHeight="1">
      <c r="B49" s="3739" t="s">
        <v>496</v>
      </c>
      <c r="C49" s="3739"/>
      <c r="D49" s="2386">
        <f>SUM(D26:D48)</f>
        <v>18660000</v>
      </c>
      <c r="E49" s="2386">
        <f>SUM(E26:E48)</f>
        <v>10702700</v>
      </c>
      <c r="F49" s="2386">
        <f>SUM(F26:F48)</f>
        <v>19805050</v>
      </c>
      <c r="G49" s="2386">
        <f>SUM(G26:G48)</f>
        <v>56650000</v>
      </c>
      <c r="H49" s="2386">
        <f>SUM(H26:H48)</f>
        <v>105817750</v>
      </c>
    </row>
    <row r="50" spans="1:8" ht="9" customHeight="1">
      <c r="B50" s="1443"/>
      <c r="C50" s="1443"/>
      <c r="D50" s="2386"/>
      <c r="E50" s="2386"/>
      <c r="F50" s="2386"/>
      <c r="G50" s="2386"/>
      <c r="H50" s="2386"/>
    </row>
    <row r="51" spans="1:8">
      <c r="A51" s="802" t="s">
        <v>426</v>
      </c>
      <c r="B51" s="802" t="s">
        <v>427</v>
      </c>
      <c r="C51" s="802"/>
      <c r="D51" s="1443"/>
      <c r="E51" s="1443"/>
      <c r="F51" s="1443"/>
      <c r="G51" s="1443"/>
      <c r="H51" s="1443"/>
    </row>
    <row r="52" spans="1:8">
      <c r="B52" s="809" t="s">
        <v>72</v>
      </c>
      <c r="C52" s="2384" t="s">
        <v>432</v>
      </c>
      <c r="D52" s="2385"/>
      <c r="E52" s="2385"/>
      <c r="F52" s="2385"/>
      <c r="G52" s="2385"/>
      <c r="H52" s="2385" t="s">
        <v>492</v>
      </c>
    </row>
    <row r="53" spans="1:8">
      <c r="B53" s="2384">
        <v>1</v>
      </c>
      <c r="C53" s="2384" t="s">
        <v>421</v>
      </c>
      <c r="D53" s="2385"/>
      <c r="E53" s="2385"/>
      <c r="F53" s="2385"/>
      <c r="G53" s="2385"/>
      <c r="H53" s="2385">
        <f>'Bank DOK PELTH'!J30</f>
        <v>529051</v>
      </c>
    </row>
    <row r="54" spans="1:8">
      <c r="B54" s="2384">
        <v>2</v>
      </c>
      <c r="C54" s="2384" t="s">
        <v>428</v>
      </c>
      <c r="D54" s="2385"/>
      <c r="E54" s="2385"/>
      <c r="F54" s="2385"/>
      <c r="G54" s="2385"/>
      <c r="H54" s="2385">
        <f>'Bank DOK PELTH'!K30</f>
        <v>265469</v>
      </c>
    </row>
    <row r="55" spans="1:8">
      <c r="B55" s="2384">
        <v>3</v>
      </c>
      <c r="C55" s="2384" t="s">
        <v>805</v>
      </c>
      <c r="D55" s="2385"/>
      <c r="E55" s="2385"/>
      <c r="F55" s="2385"/>
      <c r="G55" s="2385"/>
      <c r="H55" s="2385"/>
    </row>
    <row r="56" spans="1:8" ht="21.75" customHeight="1">
      <c r="B56" s="3712" t="s">
        <v>496</v>
      </c>
      <c r="C56" s="3712"/>
      <c r="D56" s="2385"/>
      <c r="E56" s="2385"/>
      <c r="F56" s="2385"/>
      <c r="G56" s="2385"/>
      <c r="H56" s="2385">
        <f>SUM(H53:H55)</f>
        <v>794520</v>
      </c>
    </row>
    <row r="57" spans="1:8" ht="9" customHeight="1">
      <c r="B57" s="1443"/>
      <c r="C57" s="1443"/>
      <c r="D57" s="2386"/>
      <c r="E57" s="2386"/>
      <c r="F57" s="2386"/>
      <c r="G57" s="2386"/>
      <c r="H57" s="2386"/>
    </row>
    <row r="58" spans="1:8" ht="21.75" customHeight="1">
      <c r="A58" s="802" t="s">
        <v>429</v>
      </c>
      <c r="B58" s="3712" t="s">
        <v>806</v>
      </c>
      <c r="C58" s="3712"/>
      <c r="D58" s="2385">
        <f>D15-D49</f>
        <v>4170000</v>
      </c>
      <c r="E58" s="2385">
        <f>E15-E49</f>
        <v>6322300</v>
      </c>
      <c r="F58" s="2385">
        <f>F15-F49</f>
        <v>-1280050</v>
      </c>
      <c r="G58" s="2385">
        <f>G15-G49</f>
        <v>-3200000</v>
      </c>
      <c r="H58" s="2385">
        <f>H15-H49</f>
        <v>6012250</v>
      </c>
    </row>
    <row r="59" spans="1:8" ht="9" customHeight="1">
      <c r="B59" s="2384"/>
      <c r="C59" s="2384"/>
      <c r="D59" s="2385"/>
      <c r="E59" s="2385"/>
      <c r="F59" s="2385"/>
      <c r="G59" s="2385"/>
      <c r="H59" s="2385"/>
    </row>
    <row r="60" spans="1:8" ht="21.75" customHeight="1">
      <c r="A60" s="802" t="s">
        <v>430</v>
      </c>
      <c r="B60" s="3712" t="s">
        <v>807</v>
      </c>
      <c r="C60" s="3712"/>
      <c r="D60" s="2385"/>
      <c r="E60" s="2385"/>
      <c r="F60" s="2385"/>
      <c r="G60" s="2385"/>
      <c r="H60" s="2385">
        <f>H15+H22-H49-H56</f>
        <v>7150832</v>
      </c>
    </row>
    <row r="62" spans="1:8">
      <c r="B62" s="802"/>
    </row>
    <row r="63" spans="1:8">
      <c r="B63" s="802"/>
    </row>
    <row r="64" spans="1:8">
      <c r="B64" s="802"/>
    </row>
  </sheetData>
  <mergeCells count="10">
    <mergeCell ref="B49:C49"/>
    <mergeCell ref="B56:C56"/>
    <mergeCell ref="B58:C58"/>
    <mergeCell ref="B60:C60"/>
    <mergeCell ref="A1:H1"/>
    <mergeCell ref="A2:H2"/>
    <mergeCell ref="A3:H3"/>
    <mergeCell ref="A4:H4"/>
    <mergeCell ref="B15:C15"/>
    <mergeCell ref="B22:C22"/>
  </mergeCells>
  <pageMargins left="0.18" right="0.13" top="0.56999999999999995" bottom="0.35" header="0.3" footer="0.19"/>
  <pageSetup paperSize="9" scale="84" orientation="portrait" r:id="rId1"/>
  <drawing r:id="rId2"/>
  <legacyDrawing r:id="rId3"/>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1">
    <tabColor rgb="FFFF6600"/>
  </sheetPr>
  <dimension ref="A1:H61"/>
  <sheetViews>
    <sheetView topLeftCell="A9" zoomScale="70" zoomScaleNormal="70" workbookViewId="0">
      <selection sqref="A1:D1"/>
    </sheetView>
  </sheetViews>
  <sheetFormatPr defaultColWidth="9.140625" defaultRowHeight="12.75"/>
  <cols>
    <col min="1" max="1" width="3.85546875" style="800" customWidth="1"/>
    <col min="2" max="2" width="6" style="800" customWidth="1"/>
    <col min="3" max="3" width="56.7109375" style="800" customWidth="1"/>
    <col min="4" max="4" width="18.28515625" style="801" customWidth="1"/>
    <col min="5" max="5" width="9.140625" style="800"/>
    <col min="6" max="6" width="46.7109375" style="820" bestFit="1" customWidth="1"/>
    <col min="7" max="16384" width="9.140625" style="800"/>
  </cols>
  <sheetData>
    <row r="1" spans="1:8">
      <c r="A1" s="3410" t="s">
        <v>1338</v>
      </c>
      <c r="B1" s="3410"/>
      <c r="C1" s="3410"/>
      <c r="D1" s="3410"/>
    </row>
    <row r="2" spans="1:8" ht="15.75">
      <c r="A2" s="3410" t="str">
        <f>"KECAMATAN  "&amp;DT!D3 &amp;" - KABUPATEN SUKABUMI"</f>
        <v>KECAMATAN  Nagrak - KABUPATEN SUKABUMI</v>
      </c>
      <c r="B2" s="3410"/>
      <c r="C2" s="3410"/>
      <c r="D2" s="3410"/>
      <c r="E2" s="914"/>
      <c r="F2" s="914"/>
      <c r="G2" s="914"/>
      <c r="H2" s="914"/>
    </row>
    <row r="3" spans="1:8" ht="15.75">
      <c r="A3" s="3410" t="str">
        <f>"SAMPAI DENGAN BULAN  "&amp;DT!D25</f>
        <v>SAMPAI DENGAN BULAN  Februari 2016</v>
      </c>
      <c r="B3" s="3410"/>
      <c r="C3" s="3410"/>
      <c r="D3" s="3410"/>
      <c r="E3" s="914"/>
      <c r="F3" s="914"/>
      <c r="G3" s="914"/>
      <c r="H3" s="914"/>
    </row>
    <row r="4" spans="1:8">
      <c r="A4" s="3410" t="s">
        <v>819</v>
      </c>
      <c r="B4" s="3410"/>
      <c r="C4" s="3410"/>
      <c r="D4" s="3410"/>
    </row>
    <row r="5" spans="1:8" ht="22.5">
      <c r="A5" s="802"/>
      <c r="B5" s="802"/>
      <c r="C5" s="802"/>
      <c r="D5" s="915"/>
    </row>
    <row r="6" spans="1:8" ht="21.75" customHeight="1">
      <c r="A6" s="802" t="s">
        <v>572</v>
      </c>
      <c r="B6" s="802" t="s">
        <v>787</v>
      </c>
      <c r="C6" s="802"/>
      <c r="D6" s="887"/>
    </row>
    <row r="7" spans="1:8" ht="9" customHeight="1">
      <c r="D7" s="807"/>
    </row>
    <row r="8" spans="1:8" ht="14.25">
      <c r="A8" s="802" t="s">
        <v>788</v>
      </c>
      <c r="B8" s="802" t="s">
        <v>491</v>
      </c>
      <c r="C8" s="802"/>
      <c r="D8" s="808"/>
    </row>
    <row r="9" spans="1:8">
      <c r="B9" s="809" t="s">
        <v>72</v>
      </c>
      <c r="C9" s="809" t="s">
        <v>505</v>
      </c>
      <c r="D9" s="811" t="s">
        <v>492</v>
      </c>
    </row>
    <row r="10" spans="1:8">
      <c r="B10" s="812">
        <v>1</v>
      </c>
      <c r="C10" s="812" t="s">
        <v>493</v>
      </c>
      <c r="D10" s="888"/>
    </row>
    <row r="11" spans="1:8">
      <c r="B11" s="816">
        <v>2</v>
      </c>
      <c r="C11" s="816" t="s">
        <v>494</v>
      </c>
      <c r="D11" s="890"/>
    </row>
    <row r="12" spans="1:8" ht="21.75" customHeight="1">
      <c r="B12" s="3410" t="s">
        <v>77</v>
      </c>
      <c r="C12" s="3410"/>
      <c r="D12" s="891">
        <f>SUM(D10:D11)</f>
        <v>0</v>
      </c>
    </row>
    <row r="13" spans="1:8" ht="9" customHeight="1">
      <c r="D13" s="913"/>
    </row>
    <row r="14" spans="1:8">
      <c r="A14" s="802" t="s">
        <v>422</v>
      </c>
      <c r="B14" s="802" t="s">
        <v>495</v>
      </c>
      <c r="C14" s="802"/>
      <c r="D14" s="819"/>
    </row>
    <row r="15" spans="1:8">
      <c r="B15" s="809" t="s">
        <v>72</v>
      </c>
      <c r="C15" s="809" t="s">
        <v>432</v>
      </c>
      <c r="D15" s="893" t="s">
        <v>492</v>
      </c>
    </row>
    <row r="16" spans="1:8">
      <c r="B16" s="812">
        <v>1</v>
      </c>
      <c r="C16" s="812" t="s">
        <v>425</v>
      </c>
      <c r="D16" s="894"/>
    </row>
    <row r="17" spans="1:6">
      <c r="B17" s="814">
        <v>2</v>
      </c>
      <c r="C17" s="814" t="s">
        <v>400</v>
      </c>
      <c r="D17" s="895"/>
    </row>
    <row r="18" spans="1:6">
      <c r="B18" s="816">
        <v>3</v>
      </c>
      <c r="C18" s="816" t="s">
        <v>790</v>
      </c>
      <c r="D18" s="896"/>
    </row>
    <row r="19" spans="1:6" ht="21.75" customHeight="1">
      <c r="B19" s="3410" t="s">
        <v>492</v>
      </c>
      <c r="C19" s="3410"/>
      <c r="D19" s="897">
        <f>SUM(D16:D18)</f>
        <v>0</v>
      </c>
    </row>
    <row r="20" spans="1:6" ht="9" customHeight="1">
      <c r="D20" s="819"/>
    </row>
    <row r="21" spans="1:6">
      <c r="A21" s="802" t="s">
        <v>423</v>
      </c>
      <c r="B21" s="802" t="s">
        <v>497</v>
      </c>
      <c r="C21" s="802"/>
      <c r="D21" s="819"/>
    </row>
    <row r="22" spans="1:6">
      <c r="B22" s="809" t="s">
        <v>72</v>
      </c>
      <c r="C22" s="809" t="s">
        <v>498</v>
      </c>
      <c r="D22" s="893" t="s">
        <v>492</v>
      </c>
    </row>
    <row r="23" spans="1:6">
      <c r="B23" s="812">
        <v>1</v>
      </c>
      <c r="C23" s="830"/>
      <c r="D23" s="888"/>
      <c r="F23" s="833"/>
    </row>
    <row r="24" spans="1:6">
      <c r="B24" s="814">
        <v>2</v>
      </c>
      <c r="C24" s="834"/>
      <c r="D24" s="889"/>
      <c r="F24" s="837"/>
    </row>
    <row r="25" spans="1:6">
      <c r="B25" s="814">
        <v>3</v>
      </c>
      <c r="C25" s="834"/>
      <c r="D25" s="889"/>
      <c r="E25" s="801"/>
      <c r="F25" s="837"/>
    </row>
    <row r="26" spans="1:6">
      <c r="B26" s="814">
        <v>4</v>
      </c>
      <c r="C26" s="834"/>
      <c r="D26" s="889"/>
      <c r="F26" s="837"/>
    </row>
    <row r="27" spans="1:6">
      <c r="B27" s="814">
        <v>5</v>
      </c>
      <c r="C27" s="834"/>
      <c r="D27" s="889"/>
      <c r="F27" s="837"/>
    </row>
    <row r="28" spans="1:6">
      <c r="B28" s="814">
        <v>6</v>
      </c>
      <c r="C28" s="834"/>
      <c r="D28" s="889"/>
      <c r="F28" s="837"/>
    </row>
    <row r="29" spans="1:6" ht="14.25" customHeight="1">
      <c r="B29" s="814">
        <v>7</v>
      </c>
      <c r="C29" s="834"/>
      <c r="D29" s="889"/>
      <c r="F29" s="837"/>
    </row>
    <row r="30" spans="1:6">
      <c r="B30" s="814">
        <v>8</v>
      </c>
      <c r="C30" s="834"/>
      <c r="D30" s="889"/>
      <c r="F30" s="837"/>
    </row>
    <row r="31" spans="1:6">
      <c r="B31" s="814">
        <v>9</v>
      </c>
      <c r="C31" s="834"/>
      <c r="D31" s="889"/>
      <c r="F31" s="837"/>
    </row>
    <row r="32" spans="1:6">
      <c r="B32" s="814">
        <v>10</v>
      </c>
      <c r="C32" s="834"/>
      <c r="D32" s="889"/>
      <c r="F32" s="837"/>
    </row>
    <row r="33" spans="1:6">
      <c r="B33" s="814">
        <v>11</v>
      </c>
      <c r="C33" s="834"/>
      <c r="D33" s="889"/>
      <c r="F33" s="837"/>
    </row>
    <row r="34" spans="1:6">
      <c r="B34" s="814">
        <v>12</v>
      </c>
      <c r="C34" s="834"/>
      <c r="D34" s="889"/>
      <c r="F34" s="837"/>
    </row>
    <row r="35" spans="1:6">
      <c r="B35" s="814">
        <v>13</v>
      </c>
      <c r="C35" s="834"/>
      <c r="D35" s="889"/>
      <c r="F35" s="837"/>
    </row>
    <row r="36" spans="1:6">
      <c r="B36" s="814">
        <v>14</v>
      </c>
      <c r="C36" s="834"/>
      <c r="D36" s="889"/>
      <c r="F36" s="837"/>
    </row>
    <row r="37" spans="1:6">
      <c r="B37" s="814">
        <v>15</v>
      </c>
      <c r="C37" s="839"/>
      <c r="D37" s="889"/>
      <c r="F37" s="837"/>
    </row>
    <row r="38" spans="1:6">
      <c r="B38" s="814">
        <v>16</v>
      </c>
      <c r="C38" s="839"/>
      <c r="D38" s="889"/>
      <c r="F38" s="837"/>
    </row>
    <row r="39" spans="1:6">
      <c r="B39" s="814">
        <v>17</v>
      </c>
      <c r="C39" s="839"/>
      <c r="D39" s="889"/>
      <c r="F39" s="837"/>
    </row>
    <row r="40" spans="1:6">
      <c r="B40" s="814">
        <v>18</v>
      </c>
      <c r="C40" s="839"/>
      <c r="D40" s="889"/>
      <c r="F40" s="837"/>
    </row>
    <row r="41" spans="1:6">
      <c r="B41" s="814">
        <v>19</v>
      </c>
      <c r="C41" s="839"/>
      <c r="D41" s="889"/>
    </row>
    <row r="42" spans="1:6">
      <c r="B42" s="814">
        <v>20</v>
      </c>
      <c r="C42" s="839"/>
      <c r="D42" s="889"/>
    </row>
    <row r="43" spans="1:6">
      <c r="B43" s="814">
        <v>21</v>
      </c>
      <c r="C43" s="839"/>
      <c r="D43" s="889"/>
    </row>
    <row r="44" spans="1:6">
      <c r="B44" s="814">
        <v>22</v>
      </c>
      <c r="C44" s="839"/>
      <c r="D44" s="889"/>
    </row>
    <row r="45" spans="1:6">
      <c r="B45" s="814">
        <v>23</v>
      </c>
      <c r="C45" s="842"/>
      <c r="D45" s="890"/>
    </row>
    <row r="46" spans="1:6" ht="21.75" customHeight="1">
      <c r="B46" s="3410" t="s">
        <v>496</v>
      </c>
      <c r="C46" s="3410"/>
      <c r="D46" s="907">
        <f>SUM(D23:D45)</f>
        <v>0</v>
      </c>
    </row>
    <row r="47" spans="1:6" ht="9" customHeight="1">
      <c r="D47" s="819"/>
    </row>
    <row r="48" spans="1:6">
      <c r="A48" s="802" t="s">
        <v>426</v>
      </c>
      <c r="B48" s="802" t="s">
        <v>427</v>
      </c>
      <c r="C48" s="802"/>
      <c r="D48" s="819"/>
    </row>
    <row r="49" spans="1:4">
      <c r="B49" s="809" t="s">
        <v>72</v>
      </c>
      <c r="C49" s="809" t="s">
        <v>432</v>
      </c>
      <c r="D49" s="908" t="s">
        <v>492</v>
      </c>
    </row>
    <row r="50" spans="1:4">
      <c r="B50" s="812">
        <v>1</v>
      </c>
      <c r="C50" s="812" t="s">
        <v>421</v>
      </c>
      <c r="D50" s="909"/>
    </row>
    <row r="51" spans="1:4">
      <c r="B51" s="814">
        <v>2</v>
      </c>
      <c r="C51" s="814" t="s">
        <v>428</v>
      </c>
      <c r="D51" s="910"/>
    </row>
    <row r="52" spans="1:4">
      <c r="B52" s="845">
        <v>3</v>
      </c>
      <c r="C52" s="845" t="s">
        <v>805</v>
      </c>
      <c r="D52" s="911"/>
    </row>
    <row r="53" spans="1:4" ht="21.75" customHeight="1">
      <c r="B53" s="3410" t="s">
        <v>496</v>
      </c>
      <c r="C53" s="3410"/>
      <c r="D53" s="897">
        <f>SUM(D50:D52)</f>
        <v>0</v>
      </c>
    </row>
    <row r="54" spans="1:4" ht="9" customHeight="1">
      <c r="D54" s="819"/>
    </row>
    <row r="55" spans="1:4" ht="21.75" customHeight="1">
      <c r="A55" s="802" t="s">
        <v>429</v>
      </c>
      <c r="B55" s="3410" t="s">
        <v>806</v>
      </c>
      <c r="C55" s="3410"/>
      <c r="D55" s="912">
        <f>D12-D46</f>
        <v>0</v>
      </c>
    </row>
    <row r="56" spans="1:4" ht="9" customHeight="1">
      <c r="B56" s="850"/>
      <c r="C56" s="850"/>
      <c r="D56" s="851"/>
    </row>
    <row r="57" spans="1:4" ht="21.75" customHeight="1">
      <c r="A57" s="802" t="s">
        <v>430</v>
      </c>
      <c r="B57" s="3410" t="s">
        <v>807</v>
      </c>
      <c r="C57" s="3410"/>
      <c r="D57" s="907">
        <f>D12+D19-D46-D53</f>
        <v>0</v>
      </c>
    </row>
    <row r="59" spans="1:4">
      <c r="B59" s="802"/>
    </row>
    <row r="60" spans="1:4">
      <c r="B60" s="802"/>
    </row>
    <row r="61" spans="1:4">
      <c r="B61" s="802"/>
    </row>
  </sheetData>
  <mergeCells count="10">
    <mergeCell ref="B46:C46"/>
    <mergeCell ref="B53:C53"/>
    <mergeCell ref="B55:C55"/>
    <mergeCell ref="B57:C57"/>
    <mergeCell ref="A1:D1"/>
    <mergeCell ref="A2:D2"/>
    <mergeCell ref="A3:D3"/>
    <mergeCell ref="A4:D4"/>
    <mergeCell ref="B12:C12"/>
    <mergeCell ref="B19:C19"/>
  </mergeCells>
  <printOptions horizontalCentered="1" verticalCentered="1"/>
  <pageMargins left="0.18" right="0.13" top="0.56999999999999995" bottom="0.35" header="0.3" footer="0.19"/>
  <pageSetup paperSize="9" scale="95" orientation="portrait" horizontalDpi="4294967293" verticalDpi="300" r:id="rId1"/>
  <drawing r:id="rId2"/>
  <legacyDrawing r:id="rId3"/>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tabColor rgb="FFFF6600"/>
  </sheetPr>
  <dimension ref="A1:J64"/>
  <sheetViews>
    <sheetView topLeftCell="A34" zoomScale="85" zoomScaleNormal="85" workbookViewId="0">
      <selection sqref="A1:H1"/>
    </sheetView>
  </sheetViews>
  <sheetFormatPr defaultColWidth="9.140625" defaultRowHeight="12.75"/>
  <cols>
    <col min="1" max="1" width="2.28515625" style="800" customWidth="1"/>
    <col min="2" max="2" width="4.140625" style="800" customWidth="1"/>
    <col min="3" max="3" width="44.42578125" style="800" customWidth="1"/>
    <col min="4" max="5" width="13.5703125" style="800" customWidth="1"/>
    <col min="6" max="6" width="14.5703125" style="800" customWidth="1"/>
    <col min="7" max="7" width="13.42578125" style="800" customWidth="1"/>
    <col min="8" max="8" width="14.42578125" style="801" customWidth="1"/>
    <col min="9" max="9" width="9.140625" style="800"/>
    <col min="10" max="10" width="46.7109375" style="820" bestFit="1" customWidth="1"/>
    <col min="11" max="16384" width="9.140625" style="800"/>
  </cols>
  <sheetData>
    <row r="1" spans="1:8">
      <c r="A1" s="3410" t="s">
        <v>1299</v>
      </c>
      <c r="B1" s="3410"/>
      <c r="C1" s="3410"/>
      <c r="D1" s="3410"/>
      <c r="E1" s="3410"/>
      <c r="F1" s="3410"/>
      <c r="G1" s="3410"/>
      <c r="H1" s="3410"/>
    </row>
    <row r="2" spans="1:8">
      <c r="A2" s="3410" t="str">
        <f>"KECAMATAN  "&amp;DT!D3 &amp;" - KABUPATEN SUKABUMI"</f>
        <v>KECAMATAN  Nagrak - KABUPATEN SUKABUMI</v>
      </c>
      <c r="B2" s="3410"/>
      <c r="C2" s="3410"/>
      <c r="D2" s="3410"/>
      <c r="E2" s="3410"/>
      <c r="F2" s="3410"/>
      <c r="G2" s="3410"/>
      <c r="H2" s="3410"/>
    </row>
    <row r="3" spans="1:8">
      <c r="A3" s="3410" t="str">
        <f>"SAMPAI DENGAN BULAN  "&amp;DT!D25</f>
        <v>SAMPAI DENGAN BULAN  Februari 2016</v>
      </c>
      <c r="B3" s="3410"/>
      <c r="C3" s="3410"/>
      <c r="D3" s="3410"/>
      <c r="E3" s="3410"/>
      <c r="F3" s="3410"/>
      <c r="G3" s="3410"/>
      <c r="H3" s="3410"/>
    </row>
    <row r="4" spans="1:8">
      <c r="A4" s="3410" t="s">
        <v>1298</v>
      </c>
      <c r="B4" s="3410"/>
      <c r="C4" s="3410"/>
      <c r="D4" s="3410"/>
      <c r="E4" s="3410"/>
      <c r="F4" s="3410"/>
      <c r="G4" s="3410"/>
      <c r="H4" s="3410"/>
    </row>
    <row r="5" spans="1:8" ht="13.5" thickBot="1"/>
    <row r="6" spans="1:8" ht="23.25" thickBot="1">
      <c r="A6" s="802"/>
      <c r="B6" s="802"/>
      <c r="C6" s="802"/>
      <c r="D6" s="884"/>
      <c r="E6" s="803"/>
      <c r="F6" s="885"/>
      <c r="G6" s="803"/>
      <c r="H6" s="886" t="s">
        <v>77</v>
      </c>
    </row>
    <row r="7" spans="1:8" ht="22.5">
      <c r="A7" s="802"/>
      <c r="B7" s="802"/>
      <c r="C7" s="802"/>
      <c r="D7" s="804"/>
      <c r="E7" s="804"/>
      <c r="F7" s="804"/>
      <c r="G7" s="804"/>
      <c r="H7" s="804"/>
    </row>
    <row r="8" spans="1:8" ht="21.75" customHeight="1">
      <c r="A8" s="802" t="s">
        <v>572</v>
      </c>
      <c r="B8" s="802" t="s">
        <v>787</v>
      </c>
      <c r="C8" s="802"/>
      <c r="D8" s="887">
        <v>0</v>
      </c>
      <c r="E8" s="805">
        <v>0</v>
      </c>
      <c r="F8" s="887">
        <v>0</v>
      </c>
      <c r="G8" s="805">
        <v>0</v>
      </c>
      <c r="H8" s="887">
        <f>SUM(D8:G8)</f>
        <v>0</v>
      </c>
    </row>
    <row r="9" spans="1:8" ht="9" customHeight="1">
      <c r="D9" s="806"/>
      <c r="E9" s="806"/>
      <c r="F9" s="806"/>
      <c r="G9" s="806"/>
      <c r="H9" s="807"/>
    </row>
    <row r="10" spans="1:8" ht="14.25">
      <c r="A10" s="802" t="s">
        <v>788</v>
      </c>
      <c r="B10" s="802" t="s">
        <v>491</v>
      </c>
      <c r="C10" s="802"/>
      <c r="D10" s="808"/>
      <c r="E10" s="808"/>
      <c r="F10" s="808"/>
      <c r="G10" s="808"/>
      <c r="H10" s="808"/>
    </row>
    <row r="11" spans="1:8">
      <c r="B11" s="809" t="s">
        <v>72</v>
      </c>
      <c r="C11" s="809" t="s">
        <v>505</v>
      </c>
      <c r="D11" s="810"/>
      <c r="E11" s="810"/>
      <c r="F11" s="811"/>
      <c r="G11" s="811"/>
      <c r="H11" s="811" t="s">
        <v>492</v>
      </c>
    </row>
    <row r="12" spans="1:8">
      <c r="B12" s="812">
        <v>1</v>
      </c>
      <c r="C12" s="812" t="s">
        <v>493</v>
      </c>
      <c r="D12" s="888"/>
      <c r="E12" s="813"/>
      <c r="F12" s="888"/>
      <c r="G12" s="813"/>
      <c r="H12" s="888">
        <f>SUM(D12:G12)</f>
        <v>0</v>
      </c>
    </row>
    <row r="13" spans="1:8">
      <c r="B13" s="814">
        <v>2</v>
      </c>
      <c r="C13" s="814" t="s">
        <v>494</v>
      </c>
      <c r="D13" s="889"/>
      <c r="E13" s="815"/>
      <c r="F13" s="889"/>
      <c r="G13" s="815"/>
      <c r="H13" s="889">
        <f>SUM(D13:G13)</f>
        <v>0</v>
      </c>
    </row>
    <row r="14" spans="1:8">
      <c r="B14" s="816">
        <v>3</v>
      </c>
      <c r="C14" s="816" t="s">
        <v>789</v>
      </c>
      <c r="D14" s="890"/>
      <c r="E14" s="817"/>
      <c r="F14" s="892"/>
      <c r="G14" s="817"/>
      <c r="H14" s="890">
        <f>SUM(D14:G14)</f>
        <v>0</v>
      </c>
    </row>
    <row r="15" spans="1:8" ht="21.75" customHeight="1">
      <c r="B15" s="3410" t="s">
        <v>77</v>
      </c>
      <c r="C15" s="3410"/>
      <c r="D15" s="891">
        <f>SUM(D12:D14)</f>
        <v>0</v>
      </c>
      <c r="E15" s="818">
        <f>SUM(E12:E14)</f>
        <v>0</v>
      </c>
      <c r="F15" s="891">
        <f>SUM(F12:F14)</f>
        <v>0</v>
      </c>
      <c r="G15" s="818">
        <f>SUM(G12:G14)</f>
        <v>0</v>
      </c>
      <c r="H15" s="891">
        <f>SUM(H12:H14)</f>
        <v>0</v>
      </c>
    </row>
    <row r="16" spans="1:8" ht="9" customHeight="1">
      <c r="D16" s="806"/>
      <c r="E16" s="806"/>
      <c r="F16" s="806"/>
      <c r="G16" s="806"/>
      <c r="H16" s="913"/>
    </row>
    <row r="17" spans="1:10">
      <c r="A17" s="802" t="s">
        <v>422</v>
      </c>
      <c r="B17" s="802" t="s">
        <v>495</v>
      </c>
      <c r="C17" s="802"/>
      <c r="D17" s="806"/>
      <c r="E17" s="806"/>
      <c r="F17" s="806"/>
      <c r="G17" s="806"/>
      <c r="H17" s="819"/>
    </row>
    <row r="18" spans="1:10">
      <c r="B18" s="809" t="s">
        <v>72</v>
      </c>
      <c r="C18" s="809" t="s">
        <v>432</v>
      </c>
      <c r="D18" s="821"/>
      <c r="E18" s="822"/>
      <c r="F18" s="822"/>
      <c r="G18" s="823"/>
      <c r="H18" s="893" t="s">
        <v>492</v>
      </c>
    </row>
    <row r="19" spans="1:10">
      <c r="B19" s="812">
        <v>1</v>
      </c>
      <c r="C19" s="812" t="s">
        <v>425</v>
      </c>
      <c r="D19" s="824"/>
      <c r="E19" s="825"/>
      <c r="F19" s="825"/>
      <c r="G19" s="826"/>
      <c r="H19" s="894"/>
    </row>
    <row r="20" spans="1:10">
      <c r="B20" s="814">
        <v>2</v>
      </c>
      <c r="C20" s="814" t="s">
        <v>400</v>
      </c>
      <c r="D20" s="824"/>
      <c r="E20" s="825"/>
      <c r="F20" s="825"/>
      <c r="G20" s="826"/>
      <c r="H20" s="895"/>
    </row>
    <row r="21" spans="1:10">
      <c r="B21" s="816">
        <v>3</v>
      </c>
      <c r="C21" s="816" t="s">
        <v>790</v>
      </c>
      <c r="D21" s="824"/>
      <c r="E21" s="825"/>
      <c r="F21" s="825"/>
      <c r="G21" s="826"/>
      <c r="H21" s="896"/>
    </row>
    <row r="22" spans="1:10" ht="21.75" customHeight="1">
      <c r="B22" s="3410" t="s">
        <v>492</v>
      </c>
      <c r="C22" s="3410"/>
      <c r="D22" s="827"/>
      <c r="E22" s="828"/>
      <c r="F22" s="828"/>
      <c r="G22" s="829"/>
      <c r="H22" s="897">
        <f>SUM(H19:H21)</f>
        <v>0</v>
      </c>
    </row>
    <row r="23" spans="1:10" ht="9" customHeight="1">
      <c r="D23" s="806"/>
      <c r="E23" s="806"/>
      <c r="F23" s="806"/>
      <c r="G23" s="806"/>
      <c r="H23" s="819"/>
    </row>
    <row r="24" spans="1:10">
      <c r="A24" s="802" t="s">
        <v>423</v>
      </c>
      <c r="B24" s="802" t="s">
        <v>497</v>
      </c>
      <c r="C24" s="802"/>
      <c r="D24" s="806"/>
      <c r="E24" s="806"/>
      <c r="F24" s="806"/>
      <c r="G24" s="806"/>
      <c r="H24" s="819"/>
    </row>
    <row r="25" spans="1:10">
      <c r="B25" s="809" t="s">
        <v>72</v>
      </c>
      <c r="C25" s="809" t="s">
        <v>498</v>
      </c>
      <c r="D25" s="810"/>
      <c r="E25" s="810"/>
      <c r="F25" s="810"/>
      <c r="G25" s="810"/>
      <c r="H25" s="893" t="s">
        <v>492</v>
      </c>
    </row>
    <row r="26" spans="1:10">
      <c r="B26" s="812">
        <v>1</v>
      </c>
      <c r="C26" s="830"/>
      <c r="D26" s="898"/>
      <c r="E26" s="831"/>
      <c r="F26" s="903"/>
      <c r="G26" s="832"/>
      <c r="H26" s="888">
        <f>SUM(D26:G26)</f>
        <v>0</v>
      </c>
      <c r="J26" s="833"/>
    </row>
    <row r="27" spans="1:10">
      <c r="B27" s="814">
        <v>2</v>
      </c>
      <c r="C27" s="834"/>
      <c r="D27" s="899"/>
      <c r="E27" s="835"/>
      <c r="F27" s="904"/>
      <c r="G27" s="836"/>
      <c r="H27" s="889">
        <f t="shared" ref="H27:H48" si="0">SUM(D27:G27)</f>
        <v>0</v>
      </c>
      <c r="J27" s="837"/>
    </row>
    <row r="28" spans="1:10">
      <c r="B28" s="814">
        <v>3</v>
      </c>
      <c r="C28" s="834"/>
      <c r="D28" s="899"/>
      <c r="E28" s="835"/>
      <c r="F28" s="904"/>
      <c r="G28" s="836"/>
      <c r="H28" s="889">
        <f t="shared" si="0"/>
        <v>0</v>
      </c>
      <c r="I28" s="801"/>
      <c r="J28" s="837"/>
    </row>
    <row r="29" spans="1:10">
      <c r="B29" s="814">
        <v>4</v>
      </c>
      <c r="C29" s="834"/>
      <c r="D29" s="899"/>
      <c r="E29" s="836"/>
      <c r="F29" s="904"/>
      <c r="G29" s="836"/>
      <c r="H29" s="889">
        <f t="shared" si="0"/>
        <v>0</v>
      </c>
      <c r="J29" s="837"/>
    </row>
    <row r="30" spans="1:10">
      <c r="B30" s="814">
        <v>5</v>
      </c>
      <c r="C30" s="834"/>
      <c r="D30" s="899"/>
      <c r="E30" s="836"/>
      <c r="F30" s="904"/>
      <c r="G30" s="836"/>
      <c r="H30" s="889">
        <f t="shared" si="0"/>
        <v>0</v>
      </c>
      <c r="J30" s="837"/>
    </row>
    <row r="31" spans="1:10">
      <c r="B31" s="814">
        <v>6</v>
      </c>
      <c r="C31" s="834"/>
      <c r="D31" s="899"/>
      <c r="E31" s="835"/>
      <c r="F31" s="899"/>
      <c r="G31" s="835"/>
      <c r="H31" s="889">
        <f t="shared" si="0"/>
        <v>0</v>
      </c>
      <c r="J31" s="837"/>
    </row>
    <row r="32" spans="1:10" ht="14.25" customHeight="1">
      <c r="B32" s="814">
        <v>7</v>
      </c>
      <c r="C32" s="834"/>
      <c r="D32" s="899"/>
      <c r="E32" s="835"/>
      <c r="F32" s="899"/>
      <c r="G32" s="835"/>
      <c r="H32" s="889">
        <f t="shared" si="0"/>
        <v>0</v>
      </c>
      <c r="J32" s="837"/>
    </row>
    <row r="33" spans="2:10">
      <c r="B33" s="814">
        <v>8</v>
      </c>
      <c r="C33" s="834"/>
      <c r="D33" s="899"/>
      <c r="E33" s="835"/>
      <c r="F33" s="899"/>
      <c r="G33" s="835"/>
      <c r="H33" s="889">
        <f t="shared" si="0"/>
        <v>0</v>
      </c>
      <c r="J33" s="837"/>
    </row>
    <row r="34" spans="2:10">
      <c r="B34" s="814">
        <v>9</v>
      </c>
      <c r="C34" s="834"/>
      <c r="D34" s="899"/>
      <c r="E34" s="838"/>
      <c r="F34" s="905"/>
      <c r="G34" s="838"/>
      <c r="H34" s="889">
        <f t="shared" si="0"/>
        <v>0</v>
      </c>
      <c r="J34" s="837"/>
    </row>
    <row r="35" spans="2:10">
      <c r="B35" s="814">
        <v>10</v>
      </c>
      <c r="C35" s="834"/>
      <c r="D35" s="899"/>
      <c r="E35" s="838"/>
      <c r="F35" s="905"/>
      <c r="G35" s="838"/>
      <c r="H35" s="889">
        <f t="shared" si="0"/>
        <v>0</v>
      </c>
      <c r="J35" s="837"/>
    </row>
    <row r="36" spans="2:10">
      <c r="B36" s="814">
        <v>11</v>
      </c>
      <c r="C36" s="834"/>
      <c r="D36" s="899"/>
      <c r="E36" s="835"/>
      <c r="F36" s="899"/>
      <c r="G36" s="835"/>
      <c r="H36" s="889">
        <f t="shared" si="0"/>
        <v>0</v>
      </c>
      <c r="J36" s="837"/>
    </row>
    <row r="37" spans="2:10">
      <c r="B37" s="814">
        <v>12</v>
      </c>
      <c r="C37" s="834"/>
      <c r="D37" s="899"/>
      <c r="E37" s="835"/>
      <c r="F37" s="899"/>
      <c r="G37" s="835"/>
      <c r="H37" s="889">
        <f t="shared" si="0"/>
        <v>0</v>
      </c>
      <c r="J37" s="837"/>
    </row>
    <row r="38" spans="2:10">
      <c r="B38" s="814">
        <v>13</v>
      </c>
      <c r="C38" s="834"/>
      <c r="D38" s="899"/>
      <c r="E38" s="835"/>
      <c r="F38" s="899"/>
      <c r="G38" s="835"/>
      <c r="H38" s="889">
        <f t="shared" si="0"/>
        <v>0</v>
      </c>
      <c r="J38" s="837"/>
    </row>
    <row r="39" spans="2:10">
      <c r="B39" s="814">
        <v>14</v>
      </c>
      <c r="C39" s="834"/>
      <c r="D39" s="899"/>
      <c r="E39" s="835"/>
      <c r="F39" s="899"/>
      <c r="G39" s="835"/>
      <c r="H39" s="889">
        <f t="shared" si="0"/>
        <v>0</v>
      </c>
      <c r="J39" s="837"/>
    </row>
    <row r="40" spans="2:10">
      <c r="B40" s="814">
        <v>15</v>
      </c>
      <c r="C40" s="839"/>
      <c r="D40" s="899"/>
      <c r="E40" s="840"/>
      <c r="F40" s="906"/>
      <c r="G40" s="841"/>
      <c r="H40" s="889">
        <f t="shared" si="0"/>
        <v>0</v>
      </c>
      <c r="J40" s="837"/>
    </row>
    <row r="41" spans="2:10">
      <c r="B41" s="814">
        <v>16</v>
      </c>
      <c r="C41" s="839"/>
      <c r="D41" s="900"/>
      <c r="E41" s="840"/>
      <c r="F41" s="906"/>
      <c r="G41" s="841"/>
      <c r="H41" s="889">
        <f t="shared" si="0"/>
        <v>0</v>
      </c>
      <c r="J41" s="837"/>
    </row>
    <row r="42" spans="2:10">
      <c r="B42" s="814">
        <v>17</v>
      </c>
      <c r="C42" s="839"/>
      <c r="D42" s="900"/>
      <c r="E42" s="840"/>
      <c r="F42" s="906"/>
      <c r="G42" s="841"/>
      <c r="H42" s="889">
        <f t="shared" si="0"/>
        <v>0</v>
      </c>
      <c r="J42" s="837"/>
    </row>
    <row r="43" spans="2:10">
      <c r="B43" s="814">
        <v>18</v>
      </c>
      <c r="C43" s="839"/>
      <c r="D43" s="900"/>
      <c r="E43" s="840"/>
      <c r="F43" s="906"/>
      <c r="G43" s="841"/>
      <c r="H43" s="889">
        <f t="shared" si="0"/>
        <v>0</v>
      </c>
      <c r="J43" s="837"/>
    </row>
    <row r="44" spans="2:10">
      <c r="B44" s="814">
        <v>19</v>
      </c>
      <c r="C44" s="839"/>
      <c r="D44" s="900"/>
      <c r="E44" s="840"/>
      <c r="F44" s="906"/>
      <c r="G44" s="841"/>
      <c r="H44" s="889">
        <f t="shared" si="0"/>
        <v>0</v>
      </c>
    </row>
    <row r="45" spans="2:10">
      <c r="B45" s="814">
        <v>20</v>
      </c>
      <c r="C45" s="839"/>
      <c r="D45" s="900"/>
      <c r="E45" s="840"/>
      <c r="F45" s="906"/>
      <c r="G45" s="841"/>
      <c r="H45" s="889">
        <f t="shared" si="0"/>
        <v>0</v>
      </c>
    </row>
    <row r="46" spans="2:10">
      <c r="B46" s="814">
        <v>21</v>
      </c>
      <c r="C46" s="839"/>
      <c r="D46" s="900"/>
      <c r="E46" s="840"/>
      <c r="F46" s="906"/>
      <c r="G46" s="841"/>
      <c r="H46" s="889">
        <f t="shared" si="0"/>
        <v>0</v>
      </c>
    </row>
    <row r="47" spans="2:10">
      <c r="B47" s="814">
        <v>22</v>
      </c>
      <c r="C47" s="839"/>
      <c r="D47" s="900"/>
      <c r="E47" s="840"/>
      <c r="F47" s="906"/>
      <c r="G47" s="841"/>
      <c r="H47" s="889">
        <f t="shared" si="0"/>
        <v>0</v>
      </c>
    </row>
    <row r="48" spans="2:10">
      <c r="B48" s="814">
        <v>23</v>
      </c>
      <c r="C48" s="842"/>
      <c r="D48" s="901"/>
      <c r="E48" s="843"/>
      <c r="F48" s="901"/>
      <c r="G48" s="841"/>
      <c r="H48" s="890">
        <f t="shared" si="0"/>
        <v>0</v>
      </c>
    </row>
    <row r="49" spans="1:8" ht="21.75" customHeight="1">
      <c r="B49" s="3410" t="s">
        <v>496</v>
      </c>
      <c r="C49" s="3410"/>
      <c r="D49" s="902">
        <f>SUM(D26:D48)</f>
        <v>0</v>
      </c>
      <c r="E49" s="844">
        <f>SUM(E26:E48)</f>
        <v>0</v>
      </c>
      <c r="F49" s="902">
        <f>SUM(F26:F48)</f>
        <v>0</v>
      </c>
      <c r="G49" s="844">
        <f>SUM(G26:G48)</f>
        <v>0</v>
      </c>
      <c r="H49" s="907">
        <f>SUM(H26:H48)</f>
        <v>0</v>
      </c>
    </row>
    <row r="50" spans="1:8" ht="9" customHeight="1">
      <c r="D50" s="806"/>
      <c r="E50" s="806"/>
      <c r="F50" s="806"/>
      <c r="G50" s="806"/>
      <c r="H50" s="819"/>
    </row>
    <row r="51" spans="1:8">
      <c r="A51" s="802" t="s">
        <v>426</v>
      </c>
      <c r="B51" s="802" t="s">
        <v>427</v>
      </c>
      <c r="C51" s="802"/>
      <c r="D51" s="806"/>
      <c r="E51" s="806"/>
      <c r="F51" s="806"/>
      <c r="G51" s="806"/>
      <c r="H51" s="819"/>
    </row>
    <row r="52" spans="1:8">
      <c r="B52" s="809" t="s">
        <v>72</v>
      </c>
      <c r="C52" s="809" t="s">
        <v>432</v>
      </c>
      <c r="D52" s="821"/>
      <c r="E52" s="822"/>
      <c r="F52" s="822"/>
      <c r="G52" s="823"/>
      <c r="H52" s="908" t="s">
        <v>492</v>
      </c>
    </row>
    <row r="53" spans="1:8">
      <c r="B53" s="812">
        <v>1</v>
      </c>
      <c r="C53" s="812" t="s">
        <v>421</v>
      </c>
      <c r="D53" s="824"/>
      <c r="E53" s="825"/>
      <c r="F53" s="825"/>
      <c r="G53" s="826"/>
      <c r="H53" s="909"/>
    </row>
    <row r="54" spans="1:8">
      <c r="B54" s="814">
        <v>2</v>
      </c>
      <c r="C54" s="814" t="s">
        <v>428</v>
      </c>
      <c r="D54" s="824"/>
      <c r="E54" s="825"/>
      <c r="F54" s="825"/>
      <c r="G54" s="826"/>
      <c r="H54" s="910"/>
    </row>
    <row r="55" spans="1:8">
      <c r="B55" s="845">
        <v>3</v>
      </c>
      <c r="C55" s="845" t="s">
        <v>805</v>
      </c>
      <c r="D55" s="824"/>
      <c r="E55" s="825"/>
      <c r="F55" s="825"/>
      <c r="G55" s="826"/>
      <c r="H55" s="911"/>
    </row>
    <row r="56" spans="1:8" ht="21.75" customHeight="1">
      <c r="B56" s="3410" t="s">
        <v>496</v>
      </c>
      <c r="C56" s="3410"/>
      <c r="D56" s="846"/>
      <c r="E56" s="847"/>
      <c r="F56" s="847"/>
      <c r="G56" s="848"/>
      <c r="H56" s="897">
        <f>SUM(H53:H55)</f>
        <v>0</v>
      </c>
    </row>
    <row r="57" spans="1:8" ht="9" customHeight="1">
      <c r="D57" s="806"/>
      <c r="E57" s="806"/>
      <c r="F57" s="806"/>
      <c r="G57" s="806"/>
      <c r="H57" s="819"/>
    </row>
    <row r="58" spans="1:8" ht="21.75" customHeight="1">
      <c r="A58" s="802" t="s">
        <v>429</v>
      </c>
      <c r="B58" s="3410" t="s">
        <v>806</v>
      </c>
      <c r="C58" s="3410"/>
      <c r="D58" s="912">
        <f>D15-D49</f>
        <v>0</v>
      </c>
      <c r="E58" s="849">
        <f>E15-E49</f>
        <v>0</v>
      </c>
      <c r="F58" s="912">
        <f>F15-F49</f>
        <v>0</v>
      </c>
      <c r="G58" s="849">
        <f>G15-G49</f>
        <v>0</v>
      </c>
      <c r="H58" s="912">
        <f>H15-H49</f>
        <v>0</v>
      </c>
    </row>
    <row r="59" spans="1:8" ht="9" customHeight="1">
      <c r="B59" s="850"/>
      <c r="C59" s="850"/>
      <c r="D59" s="806"/>
      <c r="E59" s="806"/>
      <c r="F59" s="806"/>
      <c r="G59" s="806"/>
      <c r="H59" s="851"/>
    </row>
    <row r="60" spans="1:8" ht="21.75" customHeight="1">
      <c r="A60" s="802" t="s">
        <v>430</v>
      </c>
      <c r="B60" s="3410" t="s">
        <v>807</v>
      </c>
      <c r="C60" s="3410"/>
      <c r="D60" s="852"/>
      <c r="E60" s="853"/>
      <c r="F60" s="853"/>
      <c r="G60" s="854"/>
      <c r="H60" s="907">
        <f>H15+H22-H49-H56</f>
        <v>0</v>
      </c>
    </row>
    <row r="62" spans="1:8">
      <c r="B62" s="802"/>
    </row>
    <row r="63" spans="1:8">
      <c r="B63" s="802"/>
    </row>
    <row r="64" spans="1:8">
      <c r="B64" s="802"/>
    </row>
  </sheetData>
  <mergeCells count="10">
    <mergeCell ref="B49:C49"/>
    <mergeCell ref="B56:C56"/>
    <mergeCell ref="B58:C58"/>
    <mergeCell ref="B60:C60"/>
    <mergeCell ref="A1:H1"/>
    <mergeCell ref="A2:H2"/>
    <mergeCell ref="A3:H3"/>
    <mergeCell ref="A4:H4"/>
    <mergeCell ref="B15:C15"/>
    <mergeCell ref="B22:C22"/>
  </mergeCells>
  <printOptions horizontalCentered="1" verticalCentered="1"/>
  <pageMargins left="0.18" right="0.13" top="0.56999999999999995" bottom="0.35" header="0.3" footer="0.19"/>
  <pageSetup paperSize="9" scale="83" orientation="portrait" horizontalDpi="4294967293" verticalDpi="300" r:id="rId1"/>
  <drawing r:id="rId2"/>
  <legacyDrawing r:id="rId3"/>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9">
    <tabColor rgb="FFFF6600"/>
  </sheetPr>
  <dimension ref="A1:J64"/>
  <sheetViews>
    <sheetView topLeftCell="A34" zoomScale="85" zoomScaleNormal="85" workbookViewId="0">
      <selection sqref="A1:H1"/>
    </sheetView>
  </sheetViews>
  <sheetFormatPr defaultColWidth="9.140625" defaultRowHeight="12.75"/>
  <cols>
    <col min="1" max="1" width="2.28515625" style="800" customWidth="1"/>
    <col min="2" max="2" width="4.140625" style="800" customWidth="1"/>
    <col min="3" max="3" width="44.42578125" style="800" customWidth="1"/>
    <col min="4" max="5" width="13.5703125" style="800" customWidth="1"/>
    <col min="6" max="6" width="14.5703125" style="800" customWidth="1"/>
    <col min="7" max="7" width="13.42578125" style="800" customWidth="1"/>
    <col min="8" max="8" width="14.42578125" style="801" customWidth="1"/>
    <col min="9" max="9" width="9.140625" style="800"/>
    <col min="10" max="10" width="46.7109375" style="820" bestFit="1" customWidth="1"/>
    <col min="11" max="16384" width="9.140625" style="800"/>
  </cols>
  <sheetData>
    <row r="1" spans="1:8">
      <c r="A1" s="3410" t="s">
        <v>1300</v>
      </c>
      <c r="B1" s="3410"/>
      <c r="C1" s="3410"/>
      <c r="D1" s="3410"/>
      <c r="E1" s="3410"/>
      <c r="F1" s="3410"/>
      <c r="G1" s="3410"/>
      <c r="H1" s="3410"/>
    </row>
    <row r="2" spans="1:8">
      <c r="A2" s="3410" t="str">
        <f>"KECAMATAN  "&amp;DT!D3 &amp;" - KABUPATEN SUKABUMI"</f>
        <v>KECAMATAN  Nagrak - KABUPATEN SUKABUMI</v>
      </c>
      <c r="B2" s="3410"/>
      <c r="C2" s="3410"/>
      <c r="D2" s="3410"/>
      <c r="E2" s="3410"/>
      <c r="F2" s="3410"/>
      <c r="G2" s="3410"/>
      <c r="H2" s="3410"/>
    </row>
    <row r="3" spans="1:8">
      <c r="A3" s="3410" t="str">
        <f>"SAMPAI DENGAN BULAN  "&amp;DT!D25</f>
        <v>SAMPAI DENGAN BULAN  Februari 2016</v>
      </c>
      <c r="B3" s="3410"/>
      <c r="C3" s="3410"/>
      <c r="D3" s="3410"/>
      <c r="E3" s="3410"/>
      <c r="F3" s="3410"/>
      <c r="G3" s="3410"/>
      <c r="H3" s="3410"/>
    </row>
    <row r="4" spans="1:8">
      <c r="A4" s="3410" t="s">
        <v>1298</v>
      </c>
      <c r="B4" s="3410"/>
      <c r="C4" s="3410"/>
      <c r="D4" s="3410"/>
      <c r="E4" s="3410"/>
      <c r="F4" s="3410"/>
      <c r="G4" s="3410"/>
      <c r="H4" s="3410"/>
    </row>
    <row r="5" spans="1:8" ht="13.5" thickBot="1"/>
    <row r="6" spans="1:8" ht="23.25" thickBot="1">
      <c r="A6" s="802"/>
      <c r="B6" s="802"/>
      <c r="C6" s="802"/>
      <c r="D6" s="884"/>
      <c r="E6" s="803"/>
      <c r="F6" s="885"/>
      <c r="G6" s="803"/>
      <c r="H6" s="886" t="s">
        <v>77</v>
      </c>
    </row>
    <row r="7" spans="1:8" ht="22.5">
      <c r="A7" s="802"/>
      <c r="B7" s="802"/>
      <c r="C7" s="802"/>
      <c r="D7" s="804"/>
      <c r="E7" s="804"/>
      <c r="F7" s="804"/>
      <c r="G7" s="804"/>
      <c r="H7" s="804"/>
    </row>
    <row r="8" spans="1:8" ht="21.75" customHeight="1">
      <c r="A8" s="802" t="s">
        <v>572</v>
      </c>
      <c r="B8" s="802" t="s">
        <v>787</v>
      </c>
      <c r="C8" s="802"/>
      <c r="D8" s="887">
        <v>0</v>
      </c>
      <c r="E8" s="805">
        <v>0</v>
      </c>
      <c r="F8" s="887">
        <v>0</v>
      </c>
      <c r="G8" s="805">
        <v>0</v>
      </c>
      <c r="H8" s="887">
        <f>SUM(D8:G8)</f>
        <v>0</v>
      </c>
    </row>
    <row r="9" spans="1:8" ht="9" customHeight="1">
      <c r="D9" s="806"/>
      <c r="E9" s="806"/>
      <c r="F9" s="806"/>
      <c r="G9" s="806"/>
      <c r="H9" s="807"/>
    </row>
    <row r="10" spans="1:8" ht="14.25">
      <c r="A10" s="802" t="s">
        <v>788</v>
      </c>
      <c r="B10" s="802" t="s">
        <v>491</v>
      </c>
      <c r="C10" s="802"/>
      <c r="D10" s="808"/>
      <c r="E10" s="808"/>
      <c r="F10" s="808"/>
      <c r="G10" s="808"/>
      <c r="H10" s="808"/>
    </row>
    <row r="11" spans="1:8">
      <c r="B11" s="809" t="s">
        <v>72</v>
      </c>
      <c r="C11" s="809" t="s">
        <v>505</v>
      </c>
      <c r="D11" s="810"/>
      <c r="E11" s="810"/>
      <c r="F11" s="811"/>
      <c r="G11" s="811"/>
      <c r="H11" s="811" t="s">
        <v>492</v>
      </c>
    </row>
    <row r="12" spans="1:8">
      <c r="B12" s="812">
        <v>1</v>
      </c>
      <c r="C12" s="812" t="s">
        <v>493</v>
      </c>
      <c r="D12" s="888"/>
      <c r="E12" s="813"/>
      <c r="F12" s="888"/>
      <c r="G12" s="813"/>
      <c r="H12" s="888">
        <f>SUM(D12:G12)</f>
        <v>0</v>
      </c>
    </row>
    <row r="13" spans="1:8">
      <c r="B13" s="814">
        <v>2</v>
      </c>
      <c r="C13" s="814" t="s">
        <v>494</v>
      </c>
      <c r="D13" s="889"/>
      <c r="E13" s="815"/>
      <c r="F13" s="889"/>
      <c r="G13" s="815"/>
      <c r="H13" s="889">
        <f>SUM(D13:G13)</f>
        <v>0</v>
      </c>
    </row>
    <row r="14" spans="1:8">
      <c r="B14" s="816">
        <v>3</v>
      </c>
      <c r="C14" s="816" t="s">
        <v>789</v>
      </c>
      <c r="D14" s="890"/>
      <c r="E14" s="817"/>
      <c r="F14" s="892"/>
      <c r="G14" s="817"/>
      <c r="H14" s="890">
        <f>SUM(D14:G14)</f>
        <v>0</v>
      </c>
    </row>
    <row r="15" spans="1:8" ht="21.75" customHeight="1">
      <c r="B15" s="3410" t="s">
        <v>77</v>
      </c>
      <c r="C15" s="3410"/>
      <c r="D15" s="891">
        <f>SUM(D12:D14)</f>
        <v>0</v>
      </c>
      <c r="E15" s="818">
        <f>SUM(E12:E14)</f>
        <v>0</v>
      </c>
      <c r="F15" s="891">
        <f>SUM(F12:F14)</f>
        <v>0</v>
      </c>
      <c r="G15" s="818">
        <f>SUM(G12:G14)</f>
        <v>0</v>
      </c>
      <c r="H15" s="891">
        <f>SUM(H12:H14)</f>
        <v>0</v>
      </c>
    </row>
    <row r="16" spans="1:8" ht="9" customHeight="1">
      <c r="D16" s="806"/>
      <c r="E16" s="806"/>
      <c r="F16" s="806"/>
      <c r="G16" s="806"/>
      <c r="H16" s="913"/>
    </row>
    <row r="17" spans="1:10">
      <c r="A17" s="802" t="s">
        <v>422</v>
      </c>
      <c r="B17" s="802" t="s">
        <v>495</v>
      </c>
      <c r="C17" s="802"/>
      <c r="D17" s="806"/>
      <c r="E17" s="806"/>
      <c r="F17" s="806"/>
      <c r="G17" s="806"/>
      <c r="H17" s="819"/>
    </row>
    <row r="18" spans="1:10">
      <c r="B18" s="809" t="s">
        <v>72</v>
      </c>
      <c r="C18" s="809" t="s">
        <v>432</v>
      </c>
      <c r="D18" s="821"/>
      <c r="E18" s="822"/>
      <c r="F18" s="822"/>
      <c r="G18" s="823"/>
      <c r="H18" s="893" t="s">
        <v>492</v>
      </c>
    </row>
    <row r="19" spans="1:10">
      <c r="B19" s="812">
        <v>1</v>
      </c>
      <c r="C19" s="812" t="s">
        <v>425</v>
      </c>
      <c r="D19" s="824"/>
      <c r="E19" s="825"/>
      <c r="F19" s="825"/>
      <c r="G19" s="826"/>
      <c r="H19" s="894"/>
    </row>
    <row r="20" spans="1:10">
      <c r="B20" s="814">
        <v>2</v>
      </c>
      <c r="C20" s="814" t="s">
        <v>400</v>
      </c>
      <c r="D20" s="824"/>
      <c r="E20" s="825"/>
      <c r="F20" s="825"/>
      <c r="G20" s="826"/>
      <c r="H20" s="895"/>
    </row>
    <row r="21" spans="1:10">
      <c r="B21" s="816">
        <v>3</v>
      </c>
      <c r="C21" s="816" t="s">
        <v>790</v>
      </c>
      <c r="D21" s="824"/>
      <c r="E21" s="825"/>
      <c r="F21" s="825"/>
      <c r="G21" s="826"/>
      <c r="H21" s="896"/>
    </row>
    <row r="22" spans="1:10" ht="21.75" customHeight="1">
      <c r="B22" s="3410" t="s">
        <v>492</v>
      </c>
      <c r="C22" s="3410"/>
      <c r="D22" s="827"/>
      <c r="E22" s="828"/>
      <c r="F22" s="828"/>
      <c r="G22" s="829"/>
      <c r="H22" s="897">
        <f>SUM(H19:H21)</f>
        <v>0</v>
      </c>
    </row>
    <row r="23" spans="1:10" ht="9" customHeight="1">
      <c r="D23" s="806"/>
      <c r="E23" s="806"/>
      <c r="F23" s="806"/>
      <c r="G23" s="806"/>
      <c r="H23" s="819"/>
    </row>
    <row r="24" spans="1:10">
      <c r="A24" s="802" t="s">
        <v>423</v>
      </c>
      <c r="B24" s="802" t="s">
        <v>497</v>
      </c>
      <c r="C24" s="802"/>
      <c r="D24" s="806"/>
      <c r="E24" s="806"/>
      <c r="F24" s="806"/>
      <c r="G24" s="806"/>
      <c r="H24" s="819"/>
    </row>
    <row r="25" spans="1:10">
      <c r="B25" s="809" t="s">
        <v>72</v>
      </c>
      <c r="C25" s="809" t="s">
        <v>498</v>
      </c>
      <c r="D25" s="810"/>
      <c r="E25" s="810"/>
      <c r="F25" s="810"/>
      <c r="G25" s="810"/>
      <c r="H25" s="893" t="s">
        <v>492</v>
      </c>
    </row>
    <row r="26" spans="1:10">
      <c r="B26" s="812">
        <v>1</v>
      </c>
      <c r="C26" s="830"/>
      <c r="D26" s="898"/>
      <c r="E26" s="831"/>
      <c r="F26" s="903"/>
      <c r="G26" s="832"/>
      <c r="H26" s="888">
        <f>SUM(D26:G26)</f>
        <v>0</v>
      </c>
      <c r="J26" s="833"/>
    </row>
    <row r="27" spans="1:10">
      <c r="B27" s="814">
        <v>2</v>
      </c>
      <c r="C27" s="834"/>
      <c r="D27" s="899"/>
      <c r="E27" s="835"/>
      <c r="F27" s="904"/>
      <c r="G27" s="836"/>
      <c r="H27" s="889">
        <f t="shared" ref="H27:H48" si="0">SUM(D27:G27)</f>
        <v>0</v>
      </c>
      <c r="J27" s="837"/>
    </row>
    <row r="28" spans="1:10">
      <c r="B28" s="814">
        <v>3</v>
      </c>
      <c r="C28" s="834"/>
      <c r="D28" s="899"/>
      <c r="E28" s="835"/>
      <c r="F28" s="904"/>
      <c r="G28" s="836"/>
      <c r="H28" s="889">
        <f t="shared" si="0"/>
        <v>0</v>
      </c>
      <c r="I28" s="801"/>
      <c r="J28" s="837"/>
    </row>
    <row r="29" spans="1:10">
      <c r="B29" s="814">
        <v>4</v>
      </c>
      <c r="C29" s="834"/>
      <c r="D29" s="899"/>
      <c r="E29" s="836"/>
      <c r="F29" s="904"/>
      <c r="G29" s="836"/>
      <c r="H29" s="889">
        <f t="shared" si="0"/>
        <v>0</v>
      </c>
      <c r="J29" s="837"/>
    </row>
    <row r="30" spans="1:10">
      <c r="B30" s="814">
        <v>5</v>
      </c>
      <c r="C30" s="834"/>
      <c r="D30" s="899"/>
      <c r="E30" s="836"/>
      <c r="F30" s="904"/>
      <c r="G30" s="836"/>
      <c r="H30" s="889">
        <f t="shared" si="0"/>
        <v>0</v>
      </c>
      <c r="J30" s="837"/>
    </row>
    <row r="31" spans="1:10">
      <c r="B31" s="814">
        <v>6</v>
      </c>
      <c r="C31" s="834"/>
      <c r="D31" s="899"/>
      <c r="E31" s="835"/>
      <c r="F31" s="899"/>
      <c r="G31" s="835"/>
      <c r="H31" s="889">
        <f t="shared" si="0"/>
        <v>0</v>
      </c>
      <c r="J31" s="837"/>
    </row>
    <row r="32" spans="1:10" ht="14.25" customHeight="1">
      <c r="B32" s="814">
        <v>7</v>
      </c>
      <c r="C32" s="834"/>
      <c r="D32" s="899"/>
      <c r="E32" s="835"/>
      <c r="F32" s="899"/>
      <c r="G32" s="835"/>
      <c r="H32" s="889">
        <f t="shared" si="0"/>
        <v>0</v>
      </c>
      <c r="J32" s="837"/>
    </row>
    <row r="33" spans="2:10">
      <c r="B33" s="814">
        <v>8</v>
      </c>
      <c r="C33" s="834"/>
      <c r="D33" s="899"/>
      <c r="E33" s="835"/>
      <c r="F33" s="899"/>
      <c r="G33" s="835"/>
      <c r="H33" s="889">
        <f t="shared" si="0"/>
        <v>0</v>
      </c>
      <c r="J33" s="837"/>
    </row>
    <row r="34" spans="2:10">
      <c r="B34" s="814">
        <v>9</v>
      </c>
      <c r="C34" s="834"/>
      <c r="D34" s="899"/>
      <c r="E34" s="838"/>
      <c r="F34" s="905"/>
      <c r="G34" s="838"/>
      <c r="H34" s="889">
        <f t="shared" si="0"/>
        <v>0</v>
      </c>
      <c r="J34" s="837"/>
    </row>
    <row r="35" spans="2:10">
      <c r="B35" s="814">
        <v>10</v>
      </c>
      <c r="C35" s="834"/>
      <c r="D35" s="899"/>
      <c r="E35" s="838"/>
      <c r="F35" s="905"/>
      <c r="G35" s="838"/>
      <c r="H35" s="889">
        <f t="shared" si="0"/>
        <v>0</v>
      </c>
      <c r="J35" s="837"/>
    </row>
    <row r="36" spans="2:10">
      <c r="B36" s="814">
        <v>11</v>
      </c>
      <c r="C36" s="834"/>
      <c r="D36" s="899"/>
      <c r="E36" s="835"/>
      <c r="F36" s="899"/>
      <c r="G36" s="835"/>
      <c r="H36" s="889">
        <f t="shared" si="0"/>
        <v>0</v>
      </c>
      <c r="J36" s="837"/>
    </row>
    <row r="37" spans="2:10">
      <c r="B37" s="814">
        <v>12</v>
      </c>
      <c r="C37" s="834"/>
      <c r="D37" s="899"/>
      <c r="E37" s="835"/>
      <c r="F37" s="899"/>
      <c r="G37" s="835"/>
      <c r="H37" s="889">
        <f t="shared" si="0"/>
        <v>0</v>
      </c>
      <c r="J37" s="837"/>
    </row>
    <row r="38" spans="2:10">
      <c r="B38" s="814">
        <v>13</v>
      </c>
      <c r="C38" s="834"/>
      <c r="D38" s="899"/>
      <c r="E38" s="835"/>
      <c r="F38" s="899"/>
      <c r="G38" s="835"/>
      <c r="H38" s="889">
        <f t="shared" si="0"/>
        <v>0</v>
      </c>
      <c r="J38" s="837"/>
    </row>
    <row r="39" spans="2:10">
      <c r="B39" s="814">
        <v>14</v>
      </c>
      <c r="C39" s="834"/>
      <c r="D39" s="899"/>
      <c r="E39" s="835"/>
      <c r="F39" s="899"/>
      <c r="G39" s="835"/>
      <c r="H39" s="889">
        <f t="shared" si="0"/>
        <v>0</v>
      </c>
      <c r="J39" s="837"/>
    </row>
    <row r="40" spans="2:10">
      <c r="B40" s="814">
        <v>15</v>
      </c>
      <c r="C40" s="839"/>
      <c r="D40" s="899"/>
      <c r="E40" s="840"/>
      <c r="F40" s="906"/>
      <c r="G40" s="841"/>
      <c r="H40" s="889">
        <f t="shared" si="0"/>
        <v>0</v>
      </c>
      <c r="J40" s="837"/>
    </row>
    <row r="41" spans="2:10">
      <c r="B41" s="814">
        <v>16</v>
      </c>
      <c r="C41" s="839"/>
      <c r="D41" s="900"/>
      <c r="E41" s="840"/>
      <c r="F41" s="906"/>
      <c r="G41" s="841"/>
      <c r="H41" s="889">
        <f t="shared" si="0"/>
        <v>0</v>
      </c>
      <c r="J41" s="837"/>
    </row>
    <row r="42" spans="2:10">
      <c r="B42" s="814">
        <v>17</v>
      </c>
      <c r="C42" s="839"/>
      <c r="D42" s="900"/>
      <c r="E42" s="840"/>
      <c r="F42" s="906"/>
      <c r="G42" s="841"/>
      <c r="H42" s="889">
        <f t="shared" si="0"/>
        <v>0</v>
      </c>
      <c r="J42" s="837"/>
    </row>
    <row r="43" spans="2:10">
      <c r="B43" s="814">
        <v>18</v>
      </c>
      <c r="C43" s="839"/>
      <c r="D43" s="900"/>
      <c r="E43" s="840"/>
      <c r="F43" s="906"/>
      <c r="G43" s="841"/>
      <c r="H43" s="889">
        <f t="shared" si="0"/>
        <v>0</v>
      </c>
      <c r="J43" s="837"/>
    </row>
    <row r="44" spans="2:10">
      <c r="B44" s="814">
        <v>19</v>
      </c>
      <c r="C44" s="839"/>
      <c r="D44" s="900"/>
      <c r="E44" s="840"/>
      <c r="F44" s="906"/>
      <c r="G44" s="841"/>
      <c r="H44" s="889">
        <f t="shared" si="0"/>
        <v>0</v>
      </c>
    </row>
    <row r="45" spans="2:10">
      <c r="B45" s="814">
        <v>20</v>
      </c>
      <c r="C45" s="839"/>
      <c r="D45" s="900"/>
      <c r="E45" s="840"/>
      <c r="F45" s="906"/>
      <c r="G45" s="841"/>
      <c r="H45" s="889">
        <f t="shared" si="0"/>
        <v>0</v>
      </c>
    </row>
    <row r="46" spans="2:10">
      <c r="B46" s="814">
        <v>21</v>
      </c>
      <c r="C46" s="839"/>
      <c r="D46" s="900"/>
      <c r="E46" s="840"/>
      <c r="F46" s="906"/>
      <c r="G46" s="841"/>
      <c r="H46" s="889">
        <f t="shared" si="0"/>
        <v>0</v>
      </c>
    </row>
    <row r="47" spans="2:10">
      <c r="B47" s="814">
        <v>22</v>
      </c>
      <c r="C47" s="839"/>
      <c r="D47" s="900"/>
      <c r="E47" s="840"/>
      <c r="F47" s="906"/>
      <c r="G47" s="841"/>
      <c r="H47" s="889">
        <f t="shared" si="0"/>
        <v>0</v>
      </c>
    </row>
    <row r="48" spans="2:10">
      <c r="B48" s="814">
        <v>23</v>
      </c>
      <c r="C48" s="842"/>
      <c r="D48" s="901"/>
      <c r="E48" s="843"/>
      <c r="F48" s="901"/>
      <c r="G48" s="841"/>
      <c r="H48" s="890">
        <f t="shared" si="0"/>
        <v>0</v>
      </c>
    </row>
    <row r="49" spans="1:8" ht="21.75" customHeight="1">
      <c r="B49" s="3410" t="s">
        <v>496</v>
      </c>
      <c r="C49" s="3410"/>
      <c r="D49" s="902">
        <f>SUM(D26:D48)</f>
        <v>0</v>
      </c>
      <c r="E49" s="844">
        <f>SUM(E26:E48)</f>
        <v>0</v>
      </c>
      <c r="F49" s="902">
        <f>SUM(F26:F48)</f>
        <v>0</v>
      </c>
      <c r="G49" s="844">
        <f>SUM(G26:G48)</f>
        <v>0</v>
      </c>
      <c r="H49" s="907">
        <f>SUM(H26:H48)</f>
        <v>0</v>
      </c>
    </row>
    <row r="50" spans="1:8" ht="9" customHeight="1">
      <c r="D50" s="806"/>
      <c r="E50" s="806"/>
      <c r="F50" s="806"/>
      <c r="G50" s="806"/>
      <c r="H50" s="819"/>
    </row>
    <row r="51" spans="1:8">
      <c r="A51" s="802" t="s">
        <v>426</v>
      </c>
      <c r="B51" s="802" t="s">
        <v>427</v>
      </c>
      <c r="C51" s="802"/>
      <c r="D51" s="806"/>
      <c r="E51" s="806"/>
      <c r="F51" s="806"/>
      <c r="G51" s="806"/>
      <c r="H51" s="819"/>
    </row>
    <row r="52" spans="1:8">
      <c r="B52" s="809" t="s">
        <v>72</v>
      </c>
      <c r="C52" s="809" t="s">
        <v>432</v>
      </c>
      <c r="D52" s="821"/>
      <c r="E52" s="822"/>
      <c r="F52" s="822"/>
      <c r="G52" s="823"/>
      <c r="H52" s="908" t="s">
        <v>492</v>
      </c>
    </row>
    <row r="53" spans="1:8">
      <c r="B53" s="812">
        <v>1</v>
      </c>
      <c r="C53" s="812" t="s">
        <v>421</v>
      </c>
      <c r="D53" s="824"/>
      <c r="E53" s="825"/>
      <c r="F53" s="825"/>
      <c r="G53" s="826"/>
      <c r="H53" s="909"/>
    </row>
    <row r="54" spans="1:8">
      <c r="B54" s="814">
        <v>2</v>
      </c>
      <c r="C54" s="814" t="s">
        <v>428</v>
      </c>
      <c r="D54" s="824"/>
      <c r="E54" s="825"/>
      <c r="F54" s="825"/>
      <c r="G54" s="826"/>
      <c r="H54" s="910"/>
    </row>
    <row r="55" spans="1:8">
      <c r="B55" s="845">
        <v>3</v>
      </c>
      <c r="C55" s="845" t="s">
        <v>805</v>
      </c>
      <c r="D55" s="824"/>
      <c r="E55" s="825"/>
      <c r="F55" s="825"/>
      <c r="G55" s="826"/>
      <c r="H55" s="911"/>
    </row>
    <row r="56" spans="1:8" ht="21.75" customHeight="1">
      <c r="B56" s="3410" t="s">
        <v>496</v>
      </c>
      <c r="C56" s="3410"/>
      <c r="D56" s="846"/>
      <c r="E56" s="847"/>
      <c r="F56" s="847"/>
      <c r="G56" s="848"/>
      <c r="H56" s="897">
        <f>SUM(H53:H55)</f>
        <v>0</v>
      </c>
    </row>
    <row r="57" spans="1:8" ht="9" customHeight="1">
      <c r="D57" s="806"/>
      <c r="E57" s="806"/>
      <c r="F57" s="806"/>
      <c r="G57" s="806"/>
      <c r="H57" s="819"/>
    </row>
    <row r="58" spans="1:8" ht="21.75" customHeight="1">
      <c r="A58" s="802" t="s">
        <v>429</v>
      </c>
      <c r="B58" s="3410" t="s">
        <v>806</v>
      </c>
      <c r="C58" s="3410"/>
      <c r="D58" s="912">
        <f>D15-D49</f>
        <v>0</v>
      </c>
      <c r="E58" s="849">
        <f>E15-E49</f>
        <v>0</v>
      </c>
      <c r="F58" s="912">
        <f>F15-F49</f>
        <v>0</v>
      </c>
      <c r="G58" s="849">
        <f>G15-G49</f>
        <v>0</v>
      </c>
      <c r="H58" s="912">
        <f>H15-H49</f>
        <v>0</v>
      </c>
    </row>
    <row r="59" spans="1:8" ht="9" customHeight="1">
      <c r="B59" s="850"/>
      <c r="C59" s="850"/>
      <c r="D59" s="806"/>
      <c r="E59" s="806"/>
      <c r="F59" s="806"/>
      <c r="G59" s="806"/>
      <c r="H59" s="851"/>
    </row>
    <row r="60" spans="1:8" ht="21.75" customHeight="1">
      <c r="A60" s="802" t="s">
        <v>430</v>
      </c>
      <c r="B60" s="3410" t="s">
        <v>807</v>
      </c>
      <c r="C60" s="3410"/>
      <c r="D60" s="852"/>
      <c r="E60" s="853"/>
      <c r="F60" s="853"/>
      <c r="G60" s="854"/>
      <c r="H60" s="907">
        <f>H15+H22-H49-H56</f>
        <v>0</v>
      </c>
    </row>
    <row r="62" spans="1:8">
      <c r="B62" s="802"/>
    </row>
    <row r="63" spans="1:8">
      <c r="B63" s="802"/>
    </row>
    <row r="64" spans="1:8">
      <c r="B64" s="802"/>
    </row>
  </sheetData>
  <mergeCells count="10">
    <mergeCell ref="B49:C49"/>
    <mergeCell ref="B56:C56"/>
    <mergeCell ref="B58:C58"/>
    <mergeCell ref="B60:C60"/>
    <mergeCell ref="A1:H1"/>
    <mergeCell ref="A2:H2"/>
    <mergeCell ref="A3:H3"/>
    <mergeCell ref="A4:H4"/>
    <mergeCell ref="B15:C15"/>
    <mergeCell ref="B22:C22"/>
  </mergeCells>
  <pageMargins left="0.18" right="0.13" top="0.56999999999999995" bottom="0.35" header="0.3" footer="0.19"/>
  <pageSetup paperSize="9" scale="83" orientation="portrait" horizontalDpi="4294967293" verticalDpi="300" r:id="rId1"/>
  <drawing r:id="rId2"/>
  <legacyDrawing r:id="rId3"/>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tabColor rgb="FFFF6600"/>
  </sheetPr>
  <dimension ref="A1:H61"/>
  <sheetViews>
    <sheetView zoomScale="85" zoomScaleNormal="85" workbookViewId="0">
      <selection activeCell="C27" sqref="C27"/>
    </sheetView>
  </sheetViews>
  <sheetFormatPr defaultColWidth="9.140625" defaultRowHeight="12.75"/>
  <cols>
    <col min="1" max="1" width="3.85546875" style="800" customWidth="1"/>
    <col min="2" max="2" width="6" style="800" customWidth="1"/>
    <col min="3" max="3" width="56.7109375" style="800" customWidth="1"/>
    <col min="4" max="4" width="18.28515625" style="2390" customWidth="1"/>
    <col min="5" max="5" width="9.140625" style="800"/>
    <col min="6" max="6" width="46.7109375" style="820" bestFit="1" customWidth="1"/>
    <col min="7" max="16384" width="9.140625" style="800"/>
  </cols>
  <sheetData>
    <row r="1" spans="1:8" ht="15.75">
      <c r="A1" s="3599" t="s">
        <v>820</v>
      </c>
      <c r="B1" s="3599"/>
      <c r="C1" s="3599"/>
      <c r="D1" s="3599"/>
    </row>
    <row r="2" spans="1:8" ht="15.75">
      <c r="A2" s="3599" t="str">
        <f>"KECAMATAN  "&amp;DT!D3 &amp;" - KABUPATEN SUKABUMI"</f>
        <v>KECAMATAN  Nagrak - KABUPATEN SUKABUMI</v>
      </c>
      <c r="B2" s="3599"/>
      <c r="C2" s="3599"/>
      <c r="D2" s="3599"/>
      <c r="E2" s="914"/>
      <c r="F2" s="914"/>
      <c r="G2" s="914"/>
      <c r="H2" s="914"/>
    </row>
    <row r="3" spans="1:8" ht="15.75">
      <c r="A3" s="3599" t="str">
        <f>"SAMPAI DENGAN BULAN  "&amp;DT!D25</f>
        <v>SAMPAI DENGAN BULAN  Februari 2016</v>
      </c>
      <c r="B3" s="3599"/>
      <c r="C3" s="3599"/>
      <c r="D3" s="3599"/>
      <c r="E3" s="914"/>
      <c r="F3" s="914"/>
      <c r="G3" s="914"/>
      <c r="H3" s="914"/>
    </row>
    <row r="4" spans="1:8" ht="15.75">
      <c r="A4" s="3599" t="s">
        <v>819</v>
      </c>
      <c r="B4" s="3599"/>
      <c r="C4" s="3599"/>
      <c r="D4" s="3599"/>
    </row>
    <row r="5" spans="1:8">
      <c r="A5" s="802"/>
      <c r="B5" s="802"/>
      <c r="C5" s="802"/>
      <c r="D5" s="2386"/>
    </row>
    <row r="6" spans="1:8" ht="21.75" customHeight="1">
      <c r="A6" s="1443" t="s">
        <v>572</v>
      </c>
      <c r="B6" s="2384" t="s">
        <v>787</v>
      </c>
      <c r="C6" s="2384"/>
      <c r="D6" s="2385">
        <v>50000000</v>
      </c>
    </row>
    <row r="7" spans="1:8" ht="9" customHeight="1">
      <c r="B7" s="1443"/>
      <c r="C7" s="1443"/>
      <c r="D7" s="2386"/>
    </row>
    <row r="8" spans="1:8">
      <c r="A8" s="1443" t="s">
        <v>788</v>
      </c>
      <c r="B8" s="2384" t="s">
        <v>491</v>
      </c>
      <c r="C8" s="2384"/>
      <c r="D8" s="2385"/>
      <c r="E8" s="1443"/>
    </row>
    <row r="9" spans="1:8">
      <c r="A9" s="1443"/>
      <c r="B9" s="809" t="s">
        <v>72</v>
      </c>
      <c r="C9" s="809" t="s">
        <v>505</v>
      </c>
      <c r="D9" s="2385" t="s">
        <v>492</v>
      </c>
      <c r="E9" s="1443"/>
    </row>
    <row r="10" spans="1:8">
      <c r="A10" s="1443"/>
      <c r="B10" s="2384">
        <v>1</v>
      </c>
      <c r="C10" s="2384" t="s">
        <v>493</v>
      </c>
      <c r="D10" s="2385">
        <v>20000000</v>
      </c>
      <c r="E10" s="1443"/>
    </row>
    <row r="11" spans="1:8">
      <c r="A11" s="1443"/>
      <c r="B11" s="2384">
        <v>2</v>
      </c>
      <c r="C11" s="2384" t="s">
        <v>494</v>
      </c>
      <c r="D11" s="2385">
        <v>30000000</v>
      </c>
      <c r="E11" s="1443"/>
    </row>
    <row r="12" spans="1:8" ht="21.75" customHeight="1">
      <c r="A12" s="1443"/>
      <c r="B12" s="3739" t="s">
        <v>77</v>
      </c>
      <c r="C12" s="3739"/>
      <c r="D12" s="2385">
        <f>SUM(D10:D11)</f>
        <v>50000000</v>
      </c>
      <c r="E12" s="1443"/>
    </row>
    <row r="13" spans="1:8" ht="9" customHeight="1">
      <c r="B13" s="1443"/>
      <c r="C13" s="1443"/>
      <c r="D13" s="2385"/>
      <c r="E13" s="1443"/>
    </row>
    <row r="14" spans="1:8">
      <c r="A14" s="1443" t="s">
        <v>422</v>
      </c>
      <c r="B14" s="1443" t="s">
        <v>495</v>
      </c>
      <c r="C14" s="1443"/>
      <c r="D14" s="2386"/>
    </row>
    <row r="15" spans="1:8">
      <c r="A15" s="1443"/>
      <c r="B15" s="809" t="s">
        <v>72</v>
      </c>
      <c r="C15" s="809" t="s">
        <v>432</v>
      </c>
      <c r="D15" s="2385" t="s">
        <v>492</v>
      </c>
      <c r="E15" s="1443"/>
    </row>
    <row r="16" spans="1:8">
      <c r="A16" s="1443"/>
      <c r="B16" s="2384">
        <v>1</v>
      </c>
      <c r="C16" s="2384" t="s">
        <v>425</v>
      </c>
      <c r="D16" s="2385"/>
      <c r="E16" s="1443"/>
    </row>
    <row r="17" spans="1:6">
      <c r="A17" s="1443"/>
      <c r="B17" s="2384">
        <v>2</v>
      </c>
      <c r="C17" s="2384" t="s">
        <v>400</v>
      </c>
      <c r="D17" s="2385">
        <f>'Bank DOK GEMPA'!G30</f>
        <v>666121</v>
      </c>
      <c r="E17" s="1443"/>
    </row>
    <row r="18" spans="1:6">
      <c r="A18" s="1443"/>
      <c r="B18" s="2384">
        <v>3</v>
      </c>
      <c r="C18" s="2384" t="s">
        <v>790</v>
      </c>
      <c r="D18" s="2385"/>
      <c r="E18" s="1443"/>
    </row>
    <row r="19" spans="1:6" ht="21.75" customHeight="1">
      <c r="A19" s="1443"/>
      <c r="B19" s="3739" t="s">
        <v>492</v>
      </c>
      <c r="C19" s="3739"/>
      <c r="D19" s="2385">
        <f>SUM(D16:D18)</f>
        <v>666121</v>
      </c>
      <c r="E19" s="1443"/>
    </row>
    <row r="20" spans="1:6" ht="9" customHeight="1">
      <c r="D20" s="2386"/>
    </row>
    <row r="21" spans="1:6">
      <c r="A21" s="802" t="s">
        <v>423</v>
      </c>
      <c r="B21" s="802" t="s">
        <v>497</v>
      </c>
      <c r="C21" s="802"/>
      <c r="D21" s="2386"/>
    </row>
    <row r="22" spans="1:6">
      <c r="B22" s="1443" t="s">
        <v>72</v>
      </c>
      <c r="C22" s="1443" t="s">
        <v>498</v>
      </c>
      <c r="D22" s="2386" t="s">
        <v>492</v>
      </c>
    </row>
    <row r="23" spans="1:6">
      <c r="B23" s="2384">
        <v>1</v>
      </c>
      <c r="C23" s="2384" t="s">
        <v>2184</v>
      </c>
      <c r="D23" s="2385">
        <v>2000000</v>
      </c>
      <c r="E23" s="1443"/>
      <c r="F23" s="833"/>
    </row>
    <row r="24" spans="1:6">
      <c r="B24" s="2384">
        <v>2</v>
      </c>
      <c r="C24" s="2384" t="s">
        <v>2186</v>
      </c>
      <c r="D24" s="2385">
        <v>13500000</v>
      </c>
      <c r="E24" s="1443"/>
      <c r="F24" s="837"/>
    </row>
    <row r="25" spans="1:6">
      <c r="B25" s="2384">
        <v>3</v>
      </c>
      <c r="C25" s="2384" t="s">
        <v>2187</v>
      </c>
      <c r="D25" s="2385">
        <v>2000000</v>
      </c>
      <c r="E25" s="1443"/>
      <c r="F25" s="837"/>
    </row>
    <row r="26" spans="1:6">
      <c r="B26" s="2384">
        <v>4</v>
      </c>
      <c r="C26" s="2384" t="s">
        <v>2188</v>
      </c>
      <c r="D26" s="2385">
        <v>3000000</v>
      </c>
      <c r="E26" s="1443"/>
      <c r="F26" s="837"/>
    </row>
    <row r="27" spans="1:6">
      <c r="B27" s="2384">
        <v>5</v>
      </c>
      <c r="C27" s="2384" t="s">
        <v>2258</v>
      </c>
      <c r="D27" s="2385">
        <v>29500000</v>
      </c>
      <c r="E27" s="1443"/>
      <c r="F27" s="837"/>
    </row>
    <row r="28" spans="1:6">
      <c r="B28" s="2384">
        <v>6</v>
      </c>
      <c r="C28" s="2384"/>
      <c r="D28" s="2385"/>
      <c r="E28" s="1443"/>
      <c r="F28" s="837"/>
    </row>
    <row r="29" spans="1:6" ht="14.25" customHeight="1">
      <c r="B29" s="2384">
        <v>7</v>
      </c>
      <c r="C29" s="2384"/>
      <c r="D29" s="2385"/>
      <c r="E29" s="1443"/>
      <c r="F29" s="837"/>
    </row>
    <row r="30" spans="1:6">
      <c r="B30" s="2384">
        <v>8</v>
      </c>
      <c r="C30" s="2384"/>
      <c r="D30" s="2385"/>
      <c r="E30" s="1443"/>
      <c r="F30" s="837"/>
    </row>
    <row r="31" spans="1:6">
      <c r="B31" s="2384">
        <v>9</v>
      </c>
      <c r="C31" s="2384"/>
      <c r="D31" s="2385"/>
      <c r="E31" s="1443"/>
      <c r="F31" s="837"/>
    </row>
    <row r="32" spans="1:6">
      <c r="B32" s="2384">
        <v>10</v>
      </c>
      <c r="C32" s="2384"/>
      <c r="D32" s="2385"/>
      <c r="E32" s="1443"/>
      <c r="F32" s="837"/>
    </row>
    <row r="33" spans="1:6">
      <c r="B33" s="2384">
        <v>11</v>
      </c>
      <c r="C33" s="2384"/>
      <c r="D33" s="2385"/>
      <c r="E33" s="1443"/>
      <c r="F33" s="837"/>
    </row>
    <row r="34" spans="1:6">
      <c r="B34" s="2384">
        <v>12</v>
      </c>
      <c r="C34" s="2384"/>
      <c r="D34" s="2385"/>
      <c r="E34" s="1443"/>
      <c r="F34" s="837"/>
    </row>
    <row r="35" spans="1:6">
      <c r="B35" s="2384">
        <v>13</v>
      </c>
      <c r="C35" s="2384"/>
      <c r="D35" s="2385"/>
      <c r="E35" s="1443"/>
      <c r="F35" s="837"/>
    </row>
    <row r="36" spans="1:6">
      <c r="B36" s="2384">
        <v>14</v>
      </c>
      <c r="C36" s="2384"/>
      <c r="D36" s="2385"/>
      <c r="E36" s="1443"/>
      <c r="F36" s="837"/>
    </row>
    <row r="37" spans="1:6">
      <c r="B37" s="2384">
        <v>15</v>
      </c>
      <c r="C37" s="2384"/>
      <c r="D37" s="2385"/>
      <c r="E37" s="1443"/>
      <c r="F37" s="837"/>
    </row>
    <row r="38" spans="1:6">
      <c r="B38" s="2384">
        <v>16</v>
      </c>
      <c r="C38" s="2384"/>
      <c r="D38" s="2385"/>
      <c r="E38" s="1443"/>
      <c r="F38" s="837"/>
    </row>
    <row r="39" spans="1:6">
      <c r="B39" s="2384">
        <v>17</v>
      </c>
      <c r="C39" s="2384"/>
      <c r="D39" s="2385"/>
      <c r="E39" s="1443"/>
      <c r="F39" s="837"/>
    </row>
    <row r="40" spans="1:6">
      <c r="B40" s="2384">
        <v>18</v>
      </c>
      <c r="C40" s="2384"/>
      <c r="D40" s="2385"/>
      <c r="E40" s="1443"/>
      <c r="F40" s="837"/>
    </row>
    <row r="41" spans="1:6">
      <c r="B41" s="2384">
        <v>19</v>
      </c>
      <c r="C41" s="2384"/>
      <c r="D41" s="2385"/>
      <c r="E41" s="1443"/>
    </row>
    <row r="42" spans="1:6">
      <c r="B42" s="2384">
        <v>20</v>
      </c>
      <c r="C42" s="2384"/>
      <c r="D42" s="2385"/>
      <c r="E42" s="1443"/>
    </row>
    <row r="43" spans="1:6">
      <c r="B43" s="2384">
        <v>21</v>
      </c>
      <c r="C43" s="2384"/>
      <c r="D43" s="2385"/>
      <c r="E43" s="1443"/>
    </row>
    <row r="44" spans="1:6">
      <c r="B44" s="2384">
        <v>22</v>
      </c>
      <c r="C44" s="2384"/>
      <c r="D44" s="2385"/>
      <c r="E44" s="1443"/>
    </row>
    <row r="45" spans="1:6">
      <c r="B45" s="2384">
        <v>23</v>
      </c>
      <c r="C45" s="2384"/>
      <c r="D45" s="2385"/>
      <c r="E45" s="1443"/>
    </row>
    <row r="46" spans="1:6" ht="21.75" customHeight="1">
      <c r="B46" s="3739" t="s">
        <v>496</v>
      </c>
      <c r="C46" s="3739"/>
      <c r="D46" s="2385">
        <f>SUM(D23:D45)</f>
        <v>50000000</v>
      </c>
      <c r="E46" s="1443"/>
    </row>
    <row r="47" spans="1:6" ht="9" customHeight="1">
      <c r="D47" s="2386"/>
    </row>
    <row r="48" spans="1:6">
      <c r="A48" s="802" t="s">
        <v>426</v>
      </c>
      <c r="B48" s="802" t="s">
        <v>427</v>
      </c>
      <c r="C48" s="802"/>
      <c r="D48" s="2386"/>
    </row>
    <row r="49" spans="1:5">
      <c r="B49" s="809" t="s">
        <v>72</v>
      </c>
      <c r="C49" s="809" t="s">
        <v>432</v>
      </c>
      <c r="D49" s="2385" t="s">
        <v>492</v>
      </c>
      <c r="E49" s="1443"/>
    </row>
    <row r="50" spans="1:5">
      <c r="B50" s="2384">
        <v>1</v>
      </c>
      <c r="C50" s="2384" t="s">
        <v>421</v>
      </c>
      <c r="D50" s="2385">
        <f>'Bank DOK GEMPA'!I30</f>
        <v>132245</v>
      </c>
      <c r="E50" s="1443"/>
    </row>
    <row r="51" spans="1:5">
      <c r="B51" s="2384">
        <v>2</v>
      </c>
      <c r="C51" s="2384" t="s">
        <v>428</v>
      </c>
      <c r="D51" s="2385">
        <f>'Bank DOK GEMPA'!J30</f>
        <v>226500</v>
      </c>
      <c r="E51" s="1443"/>
    </row>
    <row r="52" spans="1:5">
      <c r="B52" s="2384">
        <v>3</v>
      </c>
      <c r="C52" s="2384" t="s">
        <v>805</v>
      </c>
      <c r="D52" s="2385"/>
      <c r="E52" s="1443"/>
    </row>
    <row r="53" spans="1:5" ht="21.75" customHeight="1">
      <c r="B53" s="3712" t="s">
        <v>496</v>
      </c>
      <c r="C53" s="3712"/>
      <c r="D53" s="2385">
        <f>SUM(D50:D52)</f>
        <v>358745</v>
      </c>
      <c r="E53" s="1443"/>
    </row>
    <row r="54" spans="1:5" ht="9" customHeight="1">
      <c r="B54" s="2384"/>
      <c r="C54" s="2384"/>
      <c r="D54" s="2385"/>
      <c r="E54" s="1443"/>
    </row>
    <row r="55" spans="1:5" ht="21.75" customHeight="1">
      <c r="A55" s="802" t="s">
        <v>429</v>
      </c>
      <c r="B55" s="3712" t="s">
        <v>806</v>
      </c>
      <c r="C55" s="3712"/>
      <c r="D55" s="2385">
        <f>D12-D46</f>
        <v>0</v>
      </c>
      <c r="E55" s="1443"/>
    </row>
    <row r="56" spans="1:5" ht="9" customHeight="1">
      <c r="B56" s="2384"/>
      <c r="C56" s="2384"/>
      <c r="D56" s="2385"/>
      <c r="E56" s="1443"/>
    </row>
    <row r="57" spans="1:5" ht="21.75" customHeight="1">
      <c r="A57" s="802" t="s">
        <v>430</v>
      </c>
      <c r="B57" s="3712" t="s">
        <v>807</v>
      </c>
      <c r="C57" s="3712"/>
      <c r="D57" s="2385">
        <f>D12+D19-D46-D53</f>
        <v>307376</v>
      </c>
      <c r="E57" s="1443"/>
    </row>
    <row r="59" spans="1:5">
      <c r="B59" s="802"/>
    </row>
    <row r="60" spans="1:5">
      <c r="B60" s="802"/>
    </row>
    <row r="61" spans="1:5">
      <c r="B61" s="802"/>
    </row>
  </sheetData>
  <mergeCells count="10">
    <mergeCell ref="B46:C46"/>
    <mergeCell ref="B53:C53"/>
    <mergeCell ref="B55:C55"/>
    <mergeCell ref="B57:C57"/>
    <mergeCell ref="A1:D1"/>
    <mergeCell ref="A2:D2"/>
    <mergeCell ref="A3:D3"/>
    <mergeCell ref="A4:D4"/>
    <mergeCell ref="B12:C12"/>
    <mergeCell ref="B19:C19"/>
  </mergeCells>
  <printOptions horizontalCentered="1" verticalCentered="1"/>
  <pageMargins left="0.19685039370078741" right="0.11811023622047245" top="0.55118110236220474" bottom="0.35433070866141736" header="0.31496062992125984" footer="0.19685039370078741"/>
  <pageSetup paperSize="9" scale="94" orientation="portrait" r:id="rId1"/>
  <drawing r:id="rId2"/>
  <legacyDrawing r:id="rId3"/>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tabColor rgb="FFFF6600"/>
  </sheetPr>
  <dimension ref="A1:F61"/>
  <sheetViews>
    <sheetView zoomScale="85" zoomScaleNormal="85" workbookViewId="0">
      <selection activeCell="C23" sqref="C23:D31"/>
    </sheetView>
  </sheetViews>
  <sheetFormatPr defaultColWidth="9.140625" defaultRowHeight="12.75"/>
  <cols>
    <col min="1" max="1" width="3.85546875" style="800" customWidth="1"/>
    <col min="2" max="2" width="4.140625" style="800" customWidth="1"/>
    <col min="3" max="3" width="55.85546875" style="800" customWidth="1"/>
    <col min="4" max="4" width="18.28515625" style="2390" customWidth="1"/>
    <col min="5" max="5" width="9.140625" style="800"/>
    <col min="6" max="6" width="46.7109375" style="820" bestFit="1" customWidth="1"/>
    <col min="7" max="16384" width="9.140625" style="800"/>
  </cols>
  <sheetData>
    <row r="1" spans="1:4" ht="15.75">
      <c r="A1" s="3599" t="s">
        <v>821</v>
      </c>
      <c r="B1" s="3599"/>
      <c r="C1" s="3599"/>
      <c r="D1" s="3599"/>
    </row>
    <row r="2" spans="1:4" ht="15.75">
      <c r="A2" s="3599" t="str">
        <f>"KECAMATAN  "&amp;DT!D3 &amp;" - KABUPATEN SUKABUMI"</f>
        <v>KECAMATAN  Nagrak - KABUPATEN SUKABUMI</v>
      </c>
      <c r="B2" s="3599"/>
      <c r="C2" s="3599"/>
      <c r="D2" s="3599"/>
    </row>
    <row r="3" spans="1:4" ht="15.75">
      <c r="A3" s="3599" t="str">
        <f>"SAMPAI DENGAN BULAN  "&amp;DT!D25</f>
        <v>SAMPAI DENGAN BULAN  Februari 2016</v>
      </c>
      <c r="B3" s="3599"/>
      <c r="C3" s="3599"/>
      <c r="D3" s="3599"/>
    </row>
    <row r="4" spans="1:4" ht="15.75">
      <c r="A4" s="3599" t="s">
        <v>819</v>
      </c>
      <c r="B4" s="3599"/>
      <c r="C4" s="3599"/>
      <c r="D4" s="3599"/>
    </row>
    <row r="5" spans="1:4">
      <c r="A5" s="802"/>
      <c r="B5" s="802"/>
      <c r="C5" s="802"/>
      <c r="D5" s="2157"/>
    </row>
    <row r="6" spans="1:4" ht="21.75" customHeight="1">
      <c r="A6" t="s">
        <v>572</v>
      </c>
      <c r="B6" s="2155" t="s">
        <v>787</v>
      </c>
      <c r="C6" s="2155"/>
      <c r="D6" s="2160">
        <v>18525000</v>
      </c>
    </row>
    <row r="7" spans="1:4" ht="9" customHeight="1">
      <c r="B7" s="2388"/>
      <c r="C7" s="2388"/>
      <c r="D7" s="2160"/>
    </row>
    <row r="8" spans="1:4">
      <c r="A8" s="802" t="s">
        <v>788</v>
      </c>
      <c r="B8" s="2387" t="s">
        <v>491</v>
      </c>
      <c r="C8" s="2387"/>
      <c r="D8" s="2160"/>
    </row>
    <row r="9" spans="1:4">
      <c r="B9" s="809" t="s">
        <v>72</v>
      </c>
      <c r="C9" s="809" t="s">
        <v>505</v>
      </c>
      <c r="D9" s="2160" t="s">
        <v>492</v>
      </c>
    </row>
    <row r="10" spans="1:4">
      <c r="B10" s="2155">
        <v>1</v>
      </c>
      <c r="C10" s="2155" t="s">
        <v>493</v>
      </c>
      <c r="D10" s="2160">
        <v>18525000</v>
      </c>
    </row>
    <row r="11" spans="1:4">
      <c r="B11" s="2155">
        <v>2</v>
      </c>
      <c r="C11" s="2155" t="s">
        <v>494</v>
      </c>
      <c r="D11" s="2160"/>
    </row>
    <row r="12" spans="1:4" ht="21.75" customHeight="1">
      <c r="B12" s="3652" t="s">
        <v>77</v>
      </c>
      <c r="C12" s="3652"/>
      <c r="D12" s="2160">
        <f>SUM(D10:D11)</f>
        <v>18525000</v>
      </c>
    </row>
    <row r="13" spans="1:4" ht="9" customHeight="1">
      <c r="B13" s="2388"/>
      <c r="C13" s="2388"/>
      <c r="D13" s="2160"/>
    </row>
    <row r="14" spans="1:4">
      <c r="A14" s="802" t="s">
        <v>422</v>
      </c>
      <c r="B14" s="2387" t="s">
        <v>495</v>
      </c>
      <c r="C14" s="2387"/>
      <c r="D14" s="2160"/>
    </row>
    <row r="15" spans="1:4">
      <c r="B15" s="809" t="s">
        <v>72</v>
      </c>
      <c r="C15" s="809" t="s">
        <v>432</v>
      </c>
      <c r="D15" s="2160" t="s">
        <v>492</v>
      </c>
    </row>
    <row r="16" spans="1:4">
      <c r="B16" s="2155">
        <v>1</v>
      </c>
      <c r="C16" s="2155" t="s">
        <v>425</v>
      </c>
      <c r="D16" s="2160"/>
    </row>
    <row r="17" spans="1:6">
      <c r="B17" s="2155">
        <v>2</v>
      </c>
      <c r="C17" s="2155" t="s">
        <v>400</v>
      </c>
      <c r="D17" s="2160">
        <v>77327</v>
      </c>
    </row>
    <row r="18" spans="1:6">
      <c r="B18" s="2155">
        <v>3</v>
      </c>
      <c r="C18" s="2155" t="s">
        <v>790</v>
      </c>
      <c r="D18" s="2160">
        <v>100000</v>
      </c>
    </row>
    <row r="19" spans="1:6" ht="21.75" customHeight="1">
      <c r="B19" s="3652" t="s">
        <v>492</v>
      </c>
      <c r="C19" s="3652"/>
      <c r="D19" s="2160">
        <f>SUM(D16:D18)</f>
        <v>177327</v>
      </c>
    </row>
    <row r="20" spans="1:6" ht="9" customHeight="1">
      <c r="B20" s="2388"/>
      <c r="C20" s="2388"/>
      <c r="D20" s="2160"/>
    </row>
    <row r="21" spans="1:6">
      <c r="A21" s="802" t="s">
        <v>423</v>
      </c>
      <c r="B21" s="2387" t="s">
        <v>497</v>
      </c>
      <c r="C21" s="2387"/>
      <c r="D21" s="2160"/>
    </row>
    <row r="22" spans="1:6">
      <c r="B22" s="809" t="s">
        <v>72</v>
      </c>
      <c r="C22" s="809" t="s">
        <v>498</v>
      </c>
      <c r="D22" s="2160" t="s">
        <v>492</v>
      </c>
    </row>
    <row r="23" spans="1:6">
      <c r="B23" s="2155">
        <v>1</v>
      </c>
      <c r="C23" s="2155" t="s">
        <v>2189</v>
      </c>
      <c r="D23" s="2160">
        <v>525000</v>
      </c>
      <c r="F23" s="833"/>
    </row>
    <row r="24" spans="1:6">
      <c r="B24" s="2155">
        <v>2</v>
      </c>
      <c r="C24" s="2155" t="s">
        <v>2190</v>
      </c>
      <c r="D24" s="2160">
        <v>5435300</v>
      </c>
      <c r="F24" s="837"/>
    </row>
    <row r="25" spans="1:6">
      <c r="B25" s="2155">
        <v>3</v>
      </c>
      <c r="C25" s="2155" t="s">
        <v>2191</v>
      </c>
      <c r="D25" s="2160">
        <v>5000000</v>
      </c>
      <c r="E25" s="801"/>
      <c r="F25" s="837"/>
    </row>
    <row r="26" spans="1:6">
      <c r="B26" s="2155">
        <v>4</v>
      </c>
      <c r="C26" s="2155" t="s">
        <v>2192</v>
      </c>
      <c r="D26" s="2160">
        <v>2000000</v>
      </c>
      <c r="F26" s="837"/>
    </row>
    <row r="27" spans="1:6">
      <c r="B27" s="2155">
        <v>5</v>
      </c>
      <c r="C27" s="2378" t="s">
        <v>2212</v>
      </c>
      <c r="D27" s="2160">
        <v>2000000</v>
      </c>
      <c r="F27" s="837"/>
    </row>
    <row r="28" spans="1:6">
      <c r="B28" s="2155">
        <v>6</v>
      </c>
      <c r="C28" s="2155" t="s">
        <v>2254</v>
      </c>
      <c r="D28" s="2160">
        <v>1000000</v>
      </c>
      <c r="F28" s="837"/>
    </row>
    <row r="29" spans="1:6" ht="14.25" customHeight="1">
      <c r="B29" s="2155">
        <v>7</v>
      </c>
      <c r="C29" s="2155" t="s">
        <v>2255</v>
      </c>
      <c r="D29" s="2160">
        <v>1000000</v>
      </c>
      <c r="F29" s="837"/>
    </row>
    <row r="30" spans="1:6">
      <c r="B30" s="2155">
        <v>8</v>
      </c>
      <c r="C30" s="2155" t="s">
        <v>2256</v>
      </c>
      <c r="D30" s="2160">
        <v>500000</v>
      </c>
      <c r="F30" s="837"/>
    </row>
    <row r="31" spans="1:6">
      <c r="B31" s="2155">
        <v>9</v>
      </c>
      <c r="C31" s="2155" t="s">
        <v>2259</v>
      </c>
      <c r="D31" s="2160">
        <v>500000</v>
      </c>
      <c r="F31" s="837"/>
    </row>
    <row r="32" spans="1:6">
      <c r="B32" s="2155">
        <v>10</v>
      </c>
      <c r="C32" s="2155"/>
      <c r="D32" s="2160"/>
      <c r="F32" s="837"/>
    </row>
    <row r="33" spans="1:6">
      <c r="B33" s="2155">
        <v>11</v>
      </c>
      <c r="C33" s="2155"/>
      <c r="D33" s="2160"/>
      <c r="F33" s="837"/>
    </row>
    <row r="34" spans="1:6">
      <c r="B34" s="2155">
        <v>12</v>
      </c>
      <c r="C34" s="2155"/>
      <c r="D34" s="2160"/>
      <c r="F34" s="837"/>
    </row>
    <row r="35" spans="1:6">
      <c r="B35" s="2155">
        <v>13</v>
      </c>
      <c r="C35" s="2155"/>
      <c r="D35" s="2160"/>
      <c r="F35" s="837"/>
    </row>
    <row r="36" spans="1:6">
      <c r="B36" s="2155">
        <v>14</v>
      </c>
      <c r="C36" s="2155"/>
      <c r="D36" s="2160"/>
      <c r="F36" s="837"/>
    </row>
    <row r="37" spans="1:6">
      <c r="B37" s="2155">
        <v>15</v>
      </c>
      <c r="C37" s="2155"/>
      <c r="D37" s="2160"/>
      <c r="F37" s="837"/>
    </row>
    <row r="38" spans="1:6">
      <c r="B38" s="2155">
        <v>16</v>
      </c>
      <c r="C38" s="2155"/>
      <c r="D38" s="2160"/>
      <c r="F38" s="837"/>
    </row>
    <row r="39" spans="1:6">
      <c r="B39" s="2155">
        <v>17</v>
      </c>
      <c r="C39" s="2155"/>
      <c r="D39" s="2160"/>
      <c r="F39" s="837"/>
    </row>
    <row r="40" spans="1:6">
      <c r="B40" s="2155">
        <v>18</v>
      </c>
      <c r="C40" s="2155"/>
      <c r="D40" s="2160"/>
      <c r="F40" s="837"/>
    </row>
    <row r="41" spans="1:6">
      <c r="B41" s="2155">
        <v>19</v>
      </c>
      <c r="C41" s="2155"/>
      <c r="D41" s="2160"/>
    </row>
    <row r="42" spans="1:6">
      <c r="B42" s="2155">
        <v>20</v>
      </c>
      <c r="C42" s="2155"/>
      <c r="D42" s="2160"/>
    </row>
    <row r="43" spans="1:6">
      <c r="B43" s="2155">
        <v>21</v>
      </c>
      <c r="C43" s="2155"/>
      <c r="D43" s="2160"/>
    </row>
    <row r="44" spans="1:6">
      <c r="B44" s="2155">
        <v>22</v>
      </c>
      <c r="C44" s="2155"/>
      <c r="D44" s="2160"/>
    </row>
    <row r="45" spans="1:6">
      <c r="B45" s="2155">
        <v>23</v>
      </c>
      <c r="C45" s="2155"/>
      <c r="D45" s="2160"/>
    </row>
    <row r="46" spans="1:6" ht="21.75" customHeight="1">
      <c r="B46" s="3652" t="s">
        <v>496</v>
      </c>
      <c r="C46" s="3652"/>
      <c r="D46" s="2160">
        <f>SUM(D23:D45)</f>
        <v>17960300</v>
      </c>
    </row>
    <row r="47" spans="1:6" ht="9" customHeight="1">
      <c r="D47" s="2157"/>
    </row>
    <row r="48" spans="1:6">
      <c r="A48" s="802" t="s">
        <v>426</v>
      </c>
      <c r="B48" s="802" t="s">
        <v>427</v>
      </c>
      <c r="C48" s="802"/>
      <c r="D48" s="2157"/>
    </row>
    <row r="49" spans="1:4">
      <c r="B49" s="809" t="s">
        <v>72</v>
      </c>
      <c r="C49" s="809" t="s">
        <v>432</v>
      </c>
      <c r="D49" s="2385" t="s">
        <v>492</v>
      </c>
    </row>
    <row r="50" spans="1:4">
      <c r="B50" s="2384">
        <v>1</v>
      </c>
      <c r="C50" s="2384" t="s">
        <v>421</v>
      </c>
      <c r="D50" s="2385">
        <v>13298</v>
      </c>
    </row>
    <row r="51" spans="1:4">
      <c r="B51" s="2384">
        <v>2</v>
      </c>
      <c r="C51" s="2384" t="s">
        <v>428</v>
      </c>
      <c r="D51" s="2385">
        <v>30000</v>
      </c>
    </row>
    <row r="52" spans="1:4">
      <c r="B52" s="2384">
        <v>3</v>
      </c>
      <c r="C52" s="2384" t="s">
        <v>805</v>
      </c>
      <c r="D52" s="2385"/>
    </row>
    <row r="53" spans="1:4" ht="21.75" customHeight="1">
      <c r="B53" s="3712" t="s">
        <v>496</v>
      </c>
      <c r="C53" s="3712"/>
      <c r="D53" s="2385">
        <f>SUM(D50:D52)</f>
        <v>43298</v>
      </c>
    </row>
    <row r="54" spans="1:4" ht="9" customHeight="1">
      <c r="B54" s="2388"/>
      <c r="C54" s="2388"/>
      <c r="D54" s="2385"/>
    </row>
    <row r="55" spans="1:4" ht="21.75" customHeight="1">
      <c r="A55" s="802" t="s">
        <v>429</v>
      </c>
      <c r="B55" s="3712" t="s">
        <v>806</v>
      </c>
      <c r="C55" s="3712"/>
      <c r="D55" s="2385">
        <f>D12-D46</f>
        <v>564700</v>
      </c>
    </row>
    <row r="56" spans="1:4" ht="9" customHeight="1">
      <c r="B56" s="2389"/>
      <c r="C56" s="2389"/>
      <c r="D56" s="2385"/>
    </row>
    <row r="57" spans="1:4" ht="21.75" customHeight="1">
      <c r="A57" s="802" t="s">
        <v>430</v>
      </c>
      <c r="B57" s="3712" t="s">
        <v>807</v>
      </c>
      <c r="C57" s="3712"/>
      <c r="D57" s="2385">
        <f>D12+D19-D46-D53</f>
        <v>698729</v>
      </c>
    </row>
    <row r="59" spans="1:4">
      <c r="B59" s="802"/>
    </row>
    <row r="60" spans="1:4">
      <c r="B60" s="802"/>
    </row>
    <row r="61" spans="1:4">
      <c r="B61" s="802"/>
    </row>
  </sheetData>
  <mergeCells count="10">
    <mergeCell ref="B46:C46"/>
    <mergeCell ref="B53:C53"/>
    <mergeCell ref="B55:C55"/>
    <mergeCell ref="B57:C57"/>
    <mergeCell ref="A1:D1"/>
    <mergeCell ref="A2:D2"/>
    <mergeCell ref="A3:D3"/>
    <mergeCell ref="A4:D4"/>
    <mergeCell ref="B12:C12"/>
    <mergeCell ref="B19:C19"/>
  </mergeCells>
  <printOptions horizontalCentered="1" verticalCentered="1"/>
  <pageMargins left="0.18" right="0.13" top="0.56999999999999995" bottom="0.35" header="0.3" footer="0.19"/>
  <pageSetup paperSize="9" scale="95" orientation="portrait" r:id="rId1"/>
  <drawing r:id="rId2"/>
  <legacyDrawing r:id="rId3"/>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A81" zoomScale="55" zoomScaleNormal="55" zoomScaleSheetLayoutView="40" workbookViewId="0">
      <selection sqref="A1:AA1"/>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"&amp;DT!I3</f>
        <v>:  CIHANYAWAR</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CIHANYAWAR</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31.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mergeCells count="74">
    <mergeCell ref="AB10:AB11"/>
    <mergeCell ref="AB63:AB64"/>
    <mergeCell ref="E107:N107"/>
    <mergeCell ref="P107:R107"/>
    <mergeCell ref="V107:Y107"/>
    <mergeCell ref="A56:AA56"/>
    <mergeCell ref="A102:C102"/>
    <mergeCell ref="E104:N104"/>
    <mergeCell ref="V104:Y104"/>
    <mergeCell ref="I10:I12"/>
    <mergeCell ref="J10:J12"/>
    <mergeCell ref="H10:H12"/>
    <mergeCell ref="H63:H65"/>
    <mergeCell ref="I63:I65"/>
    <mergeCell ref="J63:J65"/>
    <mergeCell ref="A54:AA54"/>
    <mergeCell ref="E106:N106"/>
    <mergeCell ref="P106:R106"/>
    <mergeCell ref="V106:Y106"/>
    <mergeCell ref="O63:Q63"/>
    <mergeCell ref="R63:T63"/>
    <mergeCell ref="U63:W63"/>
    <mergeCell ref="X63:X64"/>
    <mergeCell ref="Y63:Y64"/>
    <mergeCell ref="Z63:AA63"/>
    <mergeCell ref="A61:C61"/>
    <mergeCell ref="A63:A64"/>
    <mergeCell ref="E63:F63"/>
    <mergeCell ref="G63:G64"/>
    <mergeCell ref="M63:N63"/>
    <mergeCell ref="B63:C63"/>
    <mergeCell ref="D63:D65"/>
    <mergeCell ref="A1:AA1"/>
    <mergeCell ref="A2:AA2"/>
    <mergeCell ref="A4:AA4"/>
    <mergeCell ref="E53:N53"/>
    <mergeCell ref="P53:R53"/>
    <mergeCell ref="V53:Y53"/>
    <mergeCell ref="A10:A11"/>
    <mergeCell ref="Z10:AA10"/>
    <mergeCell ref="A3:AA3"/>
    <mergeCell ref="B10:C10"/>
    <mergeCell ref="A5:C5"/>
    <mergeCell ref="D10:D12"/>
    <mergeCell ref="A7:C7"/>
    <mergeCell ref="A8:C8"/>
    <mergeCell ref="A6:C6"/>
    <mergeCell ref="O10:Q10"/>
    <mergeCell ref="V50:Y50"/>
    <mergeCell ref="R10:T10"/>
    <mergeCell ref="E10:F10"/>
    <mergeCell ref="E52:N52"/>
    <mergeCell ref="P52:R52"/>
    <mergeCell ref="V52:Y52"/>
    <mergeCell ref="U10:W10"/>
    <mergeCell ref="X10:X11"/>
    <mergeCell ref="Y10:Y11"/>
    <mergeCell ref="G10:G11"/>
    <mergeCell ref="A103:C103"/>
    <mergeCell ref="K10:L10"/>
    <mergeCell ref="K11:K12"/>
    <mergeCell ref="L11:L12"/>
    <mergeCell ref="K63:L63"/>
    <mergeCell ref="K64:K65"/>
    <mergeCell ref="L64:L65"/>
    <mergeCell ref="A48:C48"/>
    <mergeCell ref="E50:N50"/>
    <mergeCell ref="A49:C49"/>
    <mergeCell ref="M10:N10"/>
    <mergeCell ref="A55:AA55"/>
    <mergeCell ref="A57:AA57"/>
    <mergeCell ref="A59:C59"/>
    <mergeCell ref="A58:C58"/>
    <mergeCell ref="A60:C60"/>
  </mergeCells>
  <printOptions horizontalCentered="1" verticalCentered="1"/>
  <pageMargins left="0.15748031496063" right="0.15748031496063" top="0.23622047244094499" bottom="0.23622047244094499" header="0.511811023622047" footer="0.511811023622047"/>
  <pageSetup paperSize="9" scale="38" orientation="landscape" r:id="rId1"/>
  <headerFooter alignWithMargins="0"/>
  <rowBreaks count="1" manualBreakCount="1">
    <brk id="53" max="24" man="1"/>
  </rowBreaks>
  <drawing r:id="rId2"/>
  <legacyDrawing r:id="rId3"/>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A198" zoomScale="55" zoomScaleNormal="55" workbookViewId="0">
      <selection sqref="A1:AA1"/>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"&amp;DT!I4</f>
        <v>:  NAGRAK UTARA</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NAGRAK UTARA</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A13:E46 G13:J46 M13:R46 Z13:Z46 A66:E100 G66:J100 M66:R100 Z66:Z100" name="Range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1" orientation="landscape" r:id="rId1"/>
  <headerFooter alignWithMargins="0"/>
  <rowBreaks count="1" manualBreakCount="1">
    <brk id="53" max="24" man="1"/>
  </rowBreaks>
  <drawing r:id="rId2"/>
  <legacyDrawing r:id="rId3"/>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M1"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"&amp;DT!I5</f>
        <v>:  DARMAREJA</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DARMAREJA</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A13:E46 G13:J46 M13:R46 Z13:Z46 A66:E100 G66:J100 M66:R100 Z66:Z100" name="Range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1" orientation="landscape" r:id="rId1"/>
  <headerFooter alignWithMargins="0"/>
  <rowBreaks count="1" manualBreakCount="1">
    <brk id="53" max="24" man="1"/>
  </rowBreaks>
  <drawing r:id="rId2"/>
  <legacyDrawing r:id="rId3"/>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A81" zoomScale="55" zoomScaleNormal="55" workbookViewId="0">
      <selection activeCell="N51" sqref="N51"/>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"&amp;DT!I6</f>
        <v>:  BALEKAMBANG</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BALEKAMBANG</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A13:E46 G13:J46 M13:R46 Z13:Z46 A66:E100 G66:J100 M66:R100 Z66:Z100" name="Range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1" orientation="landscape" r:id="rId1"/>
  <headerFooter alignWithMargins="0"/>
  <rowBreaks count="1" manualBreakCount="1">
    <brk id="53" max="24" man="1"/>
  </rowBreaks>
  <drawing r:id="rId2"/>
  <legacyDrawing r:id="rId3"/>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A28"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"&amp;DT!I7</f>
        <v>:  NAGRAK SELATAN</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NAGRAK SELATAN</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A81"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"&amp;DT!I8</f>
        <v>:  KALAPAREA</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KALAPAREA</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A81"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"&amp;DT!I9</f>
        <v>:  BABAKAN PANJANG</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BABAKAN PANJANG</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A24"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"&amp;DT!I10</f>
        <v>:  PAWENANG</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PAWENANG</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A81"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"&amp;DT!I11</f>
        <v>:  CISARUA</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CISARUA</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zoomScale="55" zoomScaleNormal="55" workbookViewId="0">
      <selection activeCell="M98" sqref="M98"/>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"&amp;DT!I12</f>
        <v>:  GIRIJAYA</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GIRIJAYA</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A25"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"&amp;DT!I13</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A46"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"&amp;DT!I14</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A27"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"&amp;DT!I15</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A28"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"&amp;DT!I16</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A26"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"&amp;DT!I17</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F107"/>
  <sheetViews>
    <sheetView topLeftCell="A121"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'LPP-UEP'!A2:W2</f>
        <v>LAPORAN PERKEMBANGAN PINJAMAN  UEP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'LPP-UEP'!A4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"&amp;DT!I18</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'LPP-UEP'!F6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'LPP-UEP'!F7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'LPP-UEP'!F8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'LPP-UEP'!G39</f>
        <v>Endang Taryana</v>
      </c>
      <c r="F52" s="3410"/>
      <c r="G52" s="3410"/>
      <c r="H52" s="3410"/>
      <c r="I52" s="3410"/>
      <c r="J52" s="3410"/>
      <c r="K52" s="3410"/>
      <c r="L52" s="3410"/>
      <c r="M52" s="3410"/>
      <c r="N52" s="3410"/>
      <c r="O52" s="1467" t="s">
        <v>1461</v>
      </c>
      <c r="P52" s="3410"/>
      <c r="Q52" s="3410"/>
      <c r="R52" s="3410"/>
      <c r="S52" s="1465"/>
      <c r="T52" s="1465"/>
      <c r="U52" s="1465"/>
      <c r="V52" s="3410" t="str">
        <f>'LPP-UEP'!T39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UEP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241"/>
  <sheetViews>
    <sheetView topLeftCell="A10" zoomScale="63" zoomScaleNormal="63" zoomScaleSheetLayoutView="40" workbookViewId="0">
      <pane xSplit="4" ySplit="3" topLeftCell="E212" activePane="bottomRight" state="frozen"/>
      <selection activeCell="A10" sqref="A10"/>
      <selection pane="topRight" activeCell="E10" sqref="E10"/>
      <selection pane="bottomLeft" activeCell="A13" sqref="A13"/>
      <selection pane="bottomRight" activeCell="I227" sqref="I227"/>
    </sheetView>
  </sheetViews>
  <sheetFormatPr defaultColWidth="9.140625" defaultRowHeight="15.75"/>
  <cols>
    <col min="1" max="1" width="7.28515625" style="1460" customWidth="1"/>
    <col min="2" max="2" width="24.4257812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1" width="15.42578125" style="1463" bestFit="1" customWidth="1"/>
    <col min="12"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8554687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525" t="s">
        <v>1461</v>
      </c>
      <c r="B1" s="3525"/>
      <c r="C1" s="3525"/>
      <c r="D1" s="3525"/>
      <c r="E1" s="3525"/>
      <c r="F1" s="3525"/>
      <c r="G1" s="3525"/>
      <c r="H1" s="3525"/>
      <c r="I1" s="3525"/>
      <c r="J1" s="3525"/>
      <c r="K1" s="3525"/>
      <c r="L1" s="3525"/>
      <c r="M1" s="3525"/>
      <c r="N1" s="3525"/>
      <c r="O1" s="3525"/>
      <c r="P1" s="3525"/>
      <c r="Q1" s="3525"/>
      <c r="R1" s="3525"/>
      <c r="S1" s="3525"/>
      <c r="T1" s="3525"/>
      <c r="U1" s="3525"/>
      <c r="V1" s="3525"/>
      <c r="W1" s="3525"/>
      <c r="X1" s="3525"/>
      <c r="Y1" s="3525"/>
      <c r="Z1" s="3525"/>
      <c r="AA1" s="3525"/>
      <c r="AB1" s="1562"/>
      <c r="AC1" s="1560"/>
      <c r="AD1" s="1560"/>
      <c r="AE1" s="1560"/>
      <c r="AF1" s="1560"/>
    </row>
    <row r="2" spans="1:32" s="1559" customFormat="1" ht="24.75" customHeight="1">
      <c r="A2" s="3525" t="str">
        <f>'LPP-SPP'!A2:W2</f>
        <v>LAPORAN PERKEMBANGAN PINJAMAN  SPP</v>
      </c>
      <c r="B2" s="3525"/>
      <c r="C2" s="3525"/>
      <c r="D2" s="3525"/>
      <c r="E2" s="3525"/>
      <c r="F2" s="3525"/>
      <c r="G2" s="3525"/>
      <c r="H2" s="3525"/>
      <c r="I2" s="3525"/>
      <c r="J2" s="3525"/>
      <c r="K2" s="3525"/>
      <c r="L2" s="3525"/>
      <c r="M2" s="3525"/>
      <c r="N2" s="3525"/>
      <c r="O2" s="3525"/>
      <c r="P2" s="3525"/>
      <c r="Q2" s="3525"/>
      <c r="R2" s="3525"/>
      <c r="S2" s="3525"/>
      <c r="T2" s="3525"/>
      <c r="U2" s="3525"/>
      <c r="V2" s="3525"/>
      <c r="W2" s="3525"/>
      <c r="X2" s="3525"/>
      <c r="Y2" s="3525"/>
      <c r="Z2" s="3525"/>
      <c r="AA2" s="3525"/>
      <c r="AB2" s="1562"/>
      <c r="AC2" s="1560"/>
      <c r="AD2" s="1560"/>
      <c r="AE2" s="1560"/>
      <c r="AF2" s="1560"/>
    </row>
    <row r="3" spans="1:32" s="1559" customFormat="1" ht="34.5">
      <c r="A3" s="3525" t="s">
        <v>1506</v>
      </c>
      <c r="B3" s="3525"/>
      <c r="C3" s="3525"/>
      <c r="D3" s="3525"/>
      <c r="E3" s="3525"/>
      <c r="F3" s="3525"/>
      <c r="G3" s="3525"/>
      <c r="H3" s="3525"/>
      <c r="I3" s="3525"/>
      <c r="J3" s="3525"/>
      <c r="K3" s="3525"/>
      <c r="L3" s="3525"/>
      <c r="M3" s="3525"/>
      <c r="N3" s="3525"/>
      <c r="O3" s="3525"/>
      <c r="P3" s="3525"/>
      <c r="Q3" s="3525"/>
      <c r="R3" s="3525"/>
      <c r="S3" s="3525"/>
      <c r="T3" s="3525"/>
      <c r="U3" s="3525"/>
      <c r="V3" s="3525"/>
      <c r="W3" s="3525"/>
      <c r="X3" s="3525"/>
      <c r="Y3" s="3525"/>
      <c r="Z3" s="3525"/>
      <c r="AA3" s="3525"/>
      <c r="AB3" s="1561"/>
      <c r="AC3" s="1560"/>
      <c r="AD3" s="1560"/>
      <c r="AE3" s="1560"/>
      <c r="AF3" s="1560"/>
    </row>
    <row r="4" spans="1:32" s="1542" customFormat="1" ht="24.75" customHeight="1">
      <c r="A4" s="3525" t="str">
        <f>'LPP-SPP'!A4</f>
        <v>Per - Februari 2016 2016</v>
      </c>
      <c r="B4" s="3525"/>
      <c r="C4" s="3525"/>
      <c r="D4" s="3525"/>
      <c r="E4" s="3525"/>
      <c r="F4" s="3525"/>
      <c r="G4" s="3525"/>
      <c r="H4" s="3525"/>
      <c r="I4" s="3525"/>
      <c r="J4" s="3525"/>
      <c r="K4" s="3525"/>
      <c r="L4" s="3525"/>
      <c r="M4" s="3525"/>
      <c r="N4" s="3525"/>
      <c r="O4" s="3525"/>
      <c r="P4" s="3525"/>
      <c r="Q4" s="3525"/>
      <c r="R4" s="3525"/>
      <c r="S4" s="3525"/>
      <c r="T4" s="3525"/>
      <c r="U4" s="3525"/>
      <c r="V4" s="3525"/>
      <c r="W4" s="3525"/>
      <c r="X4" s="3525"/>
      <c r="Y4" s="3525"/>
      <c r="Z4" s="3525"/>
      <c r="AA4" s="3525"/>
      <c r="AB4" s="1556"/>
      <c r="AC4" s="1555"/>
      <c r="AD4" s="1555"/>
      <c r="AE4" s="1555"/>
      <c r="AF4" s="1555"/>
    </row>
    <row r="5" spans="1:32" s="1542" customFormat="1" ht="24.75" customHeight="1">
      <c r="A5" s="3410" t="s">
        <v>1503</v>
      </c>
      <c r="B5" s="3410"/>
      <c r="C5" s="3410"/>
      <c r="D5" s="1553"/>
      <c r="E5" t="str">
        <f>":  "&amp;DT!I3</f>
        <v>:  CIHANYAWAR</v>
      </c>
      <c r="F5"/>
      <c r="G5"/>
      <c r="H5"/>
      <c r="I5"/>
      <c r="J5"/>
      <c r="K5"/>
      <c r="L5"/>
      <c r="M5"/>
      <c r="N5"/>
      <c r="O5"/>
      <c r="P5"/>
      <c r="Q5"/>
      <c r="R5"/>
      <c r="S5"/>
      <c r="T5"/>
      <c r="U5"/>
      <c r="V5"/>
      <c r="W5"/>
      <c r="X5"/>
      <c r="Y5"/>
      <c r="Z5"/>
      <c r="AA5"/>
      <c r="AB5" s="1556"/>
      <c r="AC5" s="1555"/>
      <c r="AD5" s="1555"/>
      <c r="AE5" s="1555"/>
      <c r="AF5" s="1555"/>
    </row>
    <row r="6" spans="1:32" s="1547" customFormat="1" ht="18.75" customHeight="1">
      <c r="A6" s="3410" t="s">
        <v>1502</v>
      </c>
      <c r="B6" s="3410"/>
      <c r="C6" s="3410"/>
      <c r="D6" s="1553"/>
      <c r="E6" s="1552" t="str">
        <f>'LPP-SPP'!F6</f>
        <v>:  Nagrak</v>
      </c>
      <c r="F6" s="1552"/>
      <c r="G6" s="1551"/>
      <c r="H6" s="1551"/>
      <c r="I6" s="1551"/>
      <c r="J6" s="1551"/>
      <c r="K6" s="1551"/>
      <c r="L6" s="1551"/>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'LPP-SPP'!F7</f>
        <v>:  Sukabumi</v>
      </c>
      <c r="F7" s="1552"/>
      <c r="G7" s="1551"/>
      <c r="H7" s="1551"/>
      <c r="I7" s="1551"/>
      <c r="J7" s="1551"/>
      <c r="K7" s="1551"/>
      <c r="L7" s="1551"/>
      <c r="M7" s="1548"/>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'LPP-SPP'!F8</f>
        <v>:  Jawa Barat</v>
      </c>
      <c r="F8" s="1552"/>
      <c r="G8" s="1551"/>
      <c r="H8" s="1551"/>
      <c r="I8" s="1551"/>
      <c r="J8" s="1551"/>
      <c r="K8" s="1551"/>
      <c r="L8" s="1551"/>
      <c r="O8" s="1548"/>
      <c r="P8" s="1548"/>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3" t="s">
        <v>36</v>
      </c>
      <c r="B10" s="3413" t="s">
        <v>1499</v>
      </c>
      <c r="C10" s="3413"/>
      <c r="D10" s="3413" t="s">
        <v>1498</v>
      </c>
      <c r="E10" s="3413" t="s">
        <v>1497</v>
      </c>
      <c r="F10" s="3413"/>
      <c r="G10" s="3413" t="s">
        <v>1496</v>
      </c>
      <c r="H10" s="3413" t="s">
        <v>1495</v>
      </c>
      <c r="I10" s="3413" t="s">
        <v>1494</v>
      </c>
      <c r="J10" s="3413" t="s">
        <v>1493</v>
      </c>
      <c r="K10" s="3413" t="s">
        <v>1492</v>
      </c>
      <c r="L10" s="3413"/>
      <c r="M10" s="3413" t="s">
        <v>1491</v>
      </c>
      <c r="N10" s="3413"/>
      <c r="O10" s="3413" t="s">
        <v>1490</v>
      </c>
      <c r="P10" s="3413"/>
      <c r="Q10" s="3413"/>
      <c r="R10" s="3413" t="s">
        <v>1489</v>
      </c>
      <c r="S10" s="3413"/>
      <c r="T10" s="3413"/>
      <c r="U10" s="3413" t="s">
        <v>1488</v>
      </c>
      <c r="V10" s="3413"/>
      <c r="W10" s="3413"/>
      <c r="X10" s="3413" t="s">
        <v>1487</v>
      </c>
      <c r="Y10" s="3413" t="s">
        <v>1486</v>
      </c>
      <c r="Z10" s="3413" t="s">
        <v>1485</v>
      </c>
      <c r="AA10" s="3413"/>
      <c r="AB10" s="3741" t="s">
        <v>1484</v>
      </c>
      <c r="AC10" s="1541" t="s">
        <v>1483</v>
      </c>
      <c r="AD10" s="1540" t="s">
        <v>1482</v>
      </c>
      <c r="AE10" s="1540" t="s">
        <v>1481</v>
      </c>
      <c r="AF10" s="1539" t="s">
        <v>1480</v>
      </c>
    </row>
    <row r="11" spans="1:32" ht="31.5" customHeight="1">
      <c r="A11" s="3413"/>
      <c r="B11" s="1536" t="s">
        <v>1479</v>
      </c>
      <c r="C11" s="1536" t="s">
        <v>1478</v>
      </c>
      <c r="D11" s="3413"/>
      <c r="E11" s="1537" t="s">
        <v>16</v>
      </c>
      <c r="F11" s="1537" t="s">
        <v>1476</v>
      </c>
      <c r="G11" s="3413"/>
      <c r="H11" s="3413"/>
      <c r="I11" s="3413"/>
      <c r="J11" s="3413"/>
      <c r="K11" s="3413" t="s">
        <v>16</v>
      </c>
      <c r="L11" s="3413" t="s">
        <v>1476</v>
      </c>
      <c r="M11" s="1537" t="s">
        <v>16</v>
      </c>
      <c r="N11" s="1537" t="s">
        <v>1476</v>
      </c>
      <c r="O11" s="1537" t="s">
        <v>16</v>
      </c>
      <c r="P11" s="1537" t="s">
        <v>1476</v>
      </c>
      <c r="Q11" s="1537" t="s">
        <v>1477</v>
      </c>
      <c r="R11" s="1537" t="s">
        <v>16</v>
      </c>
      <c r="S11" s="1537" t="s">
        <v>1476</v>
      </c>
      <c r="T11" s="1537" t="s">
        <v>1477</v>
      </c>
      <c r="U11" s="1537" t="s">
        <v>16</v>
      </c>
      <c r="V11" s="1537" t="s">
        <v>1476</v>
      </c>
      <c r="W11" s="1537" t="s">
        <v>1477</v>
      </c>
      <c r="X11" s="3413"/>
      <c r="Y11" s="3413"/>
      <c r="Z11" s="1537" t="s">
        <v>16</v>
      </c>
      <c r="AA11" s="2154" t="s">
        <v>1476</v>
      </c>
      <c r="AB11" s="3741"/>
      <c r="AC11" s="1531" t="s">
        <v>1475</v>
      </c>
      <c r="AD11" s="1530" t="s">
        <v>1474</v>
      </c>
      <c r="AE11" s="1530" t="s">
        <v>1473</v>
      </c>
      <c r="AF11" s="1529" t="s">
        <v>1472</v>
      </c>
    </row>
    <row r="12" spans="1:32" s="1528" customFormat="1" ht="14.25" customHeight="1" thickBot="1">
      <c r="A12" s="2154">
        <v>1</v>
      </c>
      <c r="B12" s="2154">
        <v>2</v>
      </c>
      <c r="C12" s="2154">
        <v>3</v>
      </c>
      <c r="D12" s="3413"/>
      <c r="E12" s="2154">
        <v>4</v>
      </c>
      <c r="F12" s="2154">
        <v>5</v>
      </c>
      <c r="G12" s="2154">
        <v>6</v>
      </c>
      <c r="H12" s="3413"/>
      <c r="I12" s="3413"/>
      <c r="J12" s="3413"/>
      <c r="K12" s="3413"/>
      <c r="L12" s="3413"/>
      <c r="M12" s="2154">
        <v>7</v>
      </c>
      <c r="N12" s="2154">
        <v>8</v>
      </c>
      <c r="O12" s="2154">
        <v>9</v>
      </c>
      <c r="P12" s="2154">
        <v>10</v>
      </c>
      <c r="Q12" s="2154">
        <v>11</v>
      </c>
      <c r="R12" s="2154">
        <v>12</v>
      </c>
      <c r="S12" s="2154">
        <v>13</v>
      </c>
      <c r="T12" s="2154">
        <v>14</v>
      </c>
      <c r="U12" s="2154" t="s">
        <v>1471</v>
      </c>
      <c r="V12" s="2154" t="s">
        <v>1470</v>
      </c>
      <c r="W12" s="2154" t="s">
        <v>1469</v>
      </c>
      <c r="X12" s="2154" t="s">
        <v>1468</v>
      </c>
      <c r="Y12" s="2154" t="s">
        <v>1467</v>
      </c>
      <c r="Z12" s="2154" t="s">
        <v>1466</v>
      </c>
      <c r="AA12" s="2154" t="s">
        <v>1465</v>
      </c>
      <c r="AB12" s="1444">
        <v>22</v>
      </c>
      <c r="AC12" s="1518">
        <v>23</v>
      </c>
      <c r="AD12" s="1517">
        <v>24</v>
      </c>
      <c r="AE12" s="1517">
        <v>25</v>
      </c>
      <c r="AF12" s="1516">
        <v>26</v>
      </c>
    </row>
    <row r="13" spans="1:32" s="1474" customFormat="1" ht="23.25" customHeight="1">
      <c r="A13" s="1515">
        <v>1</v>
      </c>
      <c r="B13" s="1513" t="s">
        <v>1897</v>
      </c>
      <c r="C13" s="1514" t="s">
        <v>1916</v>
      </c>
      <c r="D13" s="1514"/>
      <c r="E13" s="1513">
        <v>13500000</v>
      </c>
      <c r="F13" s="1512">
        <f t="shared" ref="F13:F46" si="0">E13*H13</f>
        <v>2430000</v>
      </c>
      <c r="G13" s="2139" t="s">
        <v>1921</v>
      </c>
      <c r="H13" s="1511">
        <v>0.18</v>
      </c>
      <c r="I13" s="1508">
        <v>12</v>
      </c>
      <c r="J13" s="1569">
        <v>12</v>
      </c>
      <c r="K13" s="1508">
        <f>E13/I13</f>
        <v>1125000</v>
      </c>
      <c r="L13" s="1508">
        <f t="shared" ref="L13:L32" si="1">F13/I13</f>
        <v>202500</v>
      </c>
      <c r="M13" s="1567">
        <f t="shared" ref="M13:M46" si="2">IF(J13&lt;I13,J13*K13,IF(J13&gt;=I13,E13))</f>
        <v>13500000</v>
      </c>
      <c r="N13" s="1510">
        <f t="shared" ref="N13:N46" si="3">IF(J13&lt;I13,J13*L13,IF(J13&gt;=I13,F13))</f>
        <v>2430000</v>
      </c>
      <c r="O13" s="1509">
        <v>13500000</v>
      </c>
      <c r="P13" s="1509">
        <v>2430000</v>
      </c>
      <c r="Q13" s="1509"/>
      <c r="R13" s="2156"/>
      <c r="S13" s="2156"/>
      <c r="T13" s="1507"/>
      <c r="U13" s="1495">
        <f t="shared" ref="U13:U46" si="4">SUM(O13+R13)</f>
        <v>13500000</v>
      </c>
      <c r="V13" s="1495">
        <f t="shared" ref="V13:V46" si="5">SUM(P13+S13)</f>
        <v>2430000</v>
      </c>
      <c r="W13" s="1495">
        <f t="shared" ref="W13:W46" si="6">SUM(Q13+T13)</f>
        <v>0</v>
      </c>
      <c r="X13" s="1495">
        <f t="shared" ref="X13:X46" si="7">SUM(E13-U13)</f>
        <v>0</v>
      </c>
      <c r="Y13" s="1495">
        <f t="shared" ref="Y13:Y46" si="8">SUM(U13/M13)*100</f>
        <v>100</v>
      </c>
      <c r="Z13" s="1495">
        <f t="shared" ref="Z13:Z46" si="9">SUM(M13-U13)</f>
        <v>0</v>
      </c>
      <c r="AA13" s="1506">
        <f t="shared" ref="AA13:AA46" si="10">SUM(N13-V13)</f>
        <v>0</v>
      </c>
      <c r="AB13" s="1505"/>
      <c r="AC13" s="1504">
        <f t="shared" ref="AC13:AC46" si="11">IF(AND(AB13&gt;0,AB13&lt;=2),X13,0)</f>
        <v>0</v>
      </c>
      <c r="AD13" s="1503">
        <f t="shared" ref="AD13:AD46" si="12">IF(AND(AB13&gt;=3,AB13&lt;=4),X13,0)</f>
        <v>0</v>
      </c>
      <c r="AE13" s="1503">
        <f t="shared" ref="AE13:AE46" si="13">IF(AND(AB13&gt;=5,AB13&lt;=6),X13,0)</f>
        <v>0</v>
      </c>
      <c r="AF13" s="1502">
        <f t="shared" ref="AF13:AF46" si="14">IF(AB13&gt;6,X13,0)</f>
        <v>0</v>
      </c>
    </row>
    <row r="14" spans="1:32" s="1474" customFormat="1" ht="23.25" customHeight="1">
      <c r="A14" s="1515">
        <f>A13+1</f>
        <v>2</v>
      </c>
      <c r="B14" s="1513" t="s">
        <v>1898</v>
      </c>
      <c r="C14" s="1514" t="s">
        <v>1916</v>
      </c>
      <c r="D14" s="1514"/>
      <c r="E14" s="1513">
        <v>8500000</v>
      </c>
      <c r="F14" s="1512">
        <f t="shared" si="0"/>
        <v>1530000</v>
      </c>
      <c r="G14" s="2139" t="s">
        <v>1921</v>
      </c>
      <c r="H14" s="1511">
        <v>0.18</v>
      </c>
      <c r="I14" s="1508">
        <v>12</v>
      </c>
      <c r="J14" s="1508">
        <v>12</v>
      </c>
      <c r="K14" s="1508">
        <f>E14/I14</f>
        <v>708333.33333333337</v>
      </c>
      <c r="L14" s="1508">
        <f t="shared" si="1"/>
        <v>127500</v>
      </c>
      <c r="M14" s="1510">
        <f t="shared" si="2"/>
        <v>8500000</v>
      </c>
      <c r="N14" s="1510">
        <f t="shared" si="3"/>
        <v>1530000</v>
      </c>
      <c r="O14" s="1509">
        <v>8500000</v>
      </c>
      <c r="P14" s="1509">
        <v>1530000</v>
      </c>
      <c r="Q14" s="1509"/>
      <c r="R14" s="2156"/>
      <c r="S14" s="2156"/>
      <c r="T14" s="1507"/>
      <c r="U14" s="1495">
        <f t="shared" si="4"/>
        <v>8500000</v>
      </c>
      <c r="V14" s="1495">
        <f t="shared" si="5"/>
        <v>1530000</v>
      </c>
      <c r="W14" s="1495">
        <f t="shared" si="6"/>
        <v>0</v>
      </c>
      <c r="X14" s="1495">
        <f t="shared" si="7"/>
        <v>0</v>
      </c>
      <c r="Y14" s="1495">
        <f t="shared" si="8"/>
        <v>100</v>
      </c>
      <c r="Z14" s="1495">
        <f t="shared" si="9"/>
        <v>0</v>
      </c>
      <c r="AA14" s="1506">
        <f t="shared" si="10"/>
        <v>0</v>
      </c>
      <c r="AB14" s="1505"/>
      <c r="AC14" s="1504">
        <f t="shared" si="11"/>
        <v>0</v>
      </c>
      <c r="AD14" s="1503">
        <f t="shared" si="12"/>
        <v>0</v>
      </c>
      <c r="AE14" s="1503">
        <f t="shared" si="13"/>
        <v>0</v>
      </c>
      <c r="AF14" s="1502">
        <f t="shared" si="14"/>
        <v>0</v>
      </c>
    </row>
    <row r="15" spans="1:32" s="1474" customFormat="1" ht="23.25" customHeight="1">
      <c r="A15" s="1515">
        <f t="shared" ref="A15:A31" si="15">A14+1</f>
        <v>3</v>
      </c>
      <c r="B15" s="1513" t="s">
        <v>1899</v>
      </c>
      <c r="C15" s="1514" t="s">
        <v>1916</v>
      </c>
      <c r="D15" s="1514"/>
      <c r="E15" s="1513">
        <v>9000000</v>
      </c>
      <c r="F15" s="1512">
        <f t="shared" si="0"/>
        <v>1620000</v>
      </c>
      <c r="G15" s="2139" t="s">
        <v>1921</v>
      </c>
      <c r="H15" s="1511">
        <v>0.18</v>
      </c>
      <c r="I15" s="1508">
        <v>12</v>
      </c>
      <c r="J15" s="1508">
        <v>12</v>
      </c>
      <c r="K15" s="1508">
        <f>E15/I15</f>
        <v>750000</v>
      </c>
      <c r="L15" s="1508">
        <f t="shared" si="1"/>
        <v>135000</v>
      </c>
      <c r="M15" s="1510">
        <f t="shared" si="2"/>
        <v>9000000</v>
      </c>
      <c r="N15" s="1510">
        <f t="shared" si="3"/>
        <v>1620000</v>
      </c>
      <c r="O15" s="1509">
        <v>9000000</v>
      </c>
      <c r="P15" s="1509">
        <v>1620000</v>
      </c>
      <c r="Q15" s="1509"/>
      <c r="R15" s="2156"/>
      <c r="S15" s="2156"/>
      <c r="T15" s="1507"/>
      <c r="U15" s="1495">
        <f t="shared" si="4"/>
        <v>9000000</v>
      </c>
      <c r="V15" s="1495">
        <f t="shared" si="5"/>
        <v>1620000</v>
      </c>
      <c r="W15" s="1495">
        <f t="shared" si="6"/>
        <v>0</v>
      </c>
      <c r="X15" s="1495">
        <f t="shared" si="7"/>
        <v>0</v>
      </c>
      <c r="Y15" s="1495">
        <f t="shared" si="8"/>
        <v>100</v>
      </c>
      <c r="Z15" s="1495">
        <f t="shared" si="9"/>
        <v>0</v>
      </c>
      <c r="AA15" s="1506">
        <f t="shared" si="10"/>
        <v>0</v>
      </c>
      <c r="AB15" s="1505"/>
      <c r="AC15" s="1504">
        <f t="shared" si="11"/>
        <v>0</v>
      </c>
      <c r="AD15" s="1503">
        <f t="shared" si="12"/>
        <v>0</v>
      </c>
      <c r="AE15" s="1503">
        <f t="shared" si="13"/>
        <v>0</v>
      </c>
      <c r="AF15" s="1502">
        <f t="shared" si="14"/>
        <v>0</v>
      </c>
    </row>
    <row r="16" spans="1:32" s="1474" customFormat="1" ht="23.25" customHeight="1">
      <c r="A16" s="1515">
        <f t="shared" si="15"/>
        <v>4</v>
      </c>
      <c r="B16" s="1513" t="s">
        <v>1900</v>
      </c>
      <c r="C16" s="1514" t="s">
        <v>1916</v>
      </c>
      <c r="D16" s="1514"/>
      <c r="E16" s="1513">
        <v>12000000</v>
      </c>
      <c r="F16" s="1512">
        <f t="shared" si="0"/>
        <v>2160000</v>
      </c>
      <c r="G16" s="2139" t="s">
        <v>1921</v>
      </c>
      <c r="H16" s="1511">
        <v>0.18</v>
      </c>
      <c r="I16" s="1508">
        <v>12</v>
      </c>
      <c r="J16" s="1508">
        <v>12</v>
      </c>
      <c r="K16" s="1508">
        <f>E16/I16</f>
        <v>1000000</v>
      </c>
      <c r="L16" s="1508">
        <f t="shared" si="1"/>
        <v>180000</v>
      </c>
      <c r="M16" s="1510">
        <f t="shared" si="2"/>
        <v>12000000</v>
      </c>
      <c r="N16" s="1510">
        <f t="shared" si="3"/>
        <v>2160000</v>
      </c>
      <c r="O16" s="1509">
        <v>12000000</v>
      </c>
      <c r="P16" s="1509">
        <v>2160000</v>
      </c>
      <c r="Q16" s="1509"/>
      <c r="R16" s="2156"/>
      <c r="S16" s="2156"/>
      <c r="T16" s="1507"/>
      <c r="U16" s="1495">
        <f t="shared" si="4"/>
        <v>12000000</v>
      </c>
      <c r="V16" s="1495">
        <f t="shared" si="5"/>
        <v>2160000</v>
      </c>
      <c r="W16" s="1495">
        <f t="shared" si="6"/>
        <v>0</v>
      </c>
      <c r="X16" s="1495">
        <f t="shared" si="7"/>
        <v>0</v>
      </c>
      <c r="Y16" s="1495">
        <f t="shared" si="8"/>
        <v>100</v>
      </c>
      <c r="Z16" s="1495">
        <f t="shared" si="9"/>
        <v>0</v>
      </c>
      <c r="AA16" s="1506">
        <f t="shared" si="10"/>
        <v>0</v>
      </c>
      <c r="AB16" s="1505"/>
      <c r="AC16" s="1504">
        <f t="shared" si="11"/>
        <v>0</v>
      </c>
      <c r="AD16" s="1503">
        <f t="shared" si="12"/>
        <v>0</v>
      </c>
      <c r="AE16" s="1503">
        <f t="shared" si="13"/>
        <v>0</v>
      </c>
      <c r="AF16" s="1502">
        <f t="shared" si="14"/>
        <v>0</v>
      </c>
    </row>
    <row r="17" spans="1:32" s="1474" customFormat="1" ht="23.25" customHeight="1">
      <c r="A17" s="1515">
        <f t="shared" si="15"/>
        <v>5</v>
      </c>
      <c r="B17" s="1513" t="s">
        <v>1901</v>
      </c>
      <c r="C17" s="1514" t="s">
        <v>1916</v>
      </c>
      <c r="D17" s="1514"/>
      <c r="E17" s="1513">
        <v>7500000</v>
      </c>
      <c r="F17" s="1512">
        <f t="shared" si="0"/>
        <v>1350000</v>
      </c>
      <c r="G17" s="2139" t="s">
        <v>1921</v>
      </c>
      <c r="H17" s="1511">
        <v>0.18</v>
      </c>
      <c r="I17" s="1508">
        <v>12</v>
      </c>
      <c r="J17" s="1508">
        <v>12</v>
      </c>
      <c r="K17" s="1508">
        <f>E17/I17</f>
        <v>625000</v>
      </c>
      <c r="L17" s="1508">
        <f t="shared" si="1"/>
        <v>112500</v>
      </c>
      <c r="M17" s="1510">
        <f t="shared" si="2"/>
        <v>7500000</v>
      </c>
      <c r="N17" s="1510">
        <f t="shared" si="3"/>
        <v>1350000</v>
      </c>
      <c r="O17" s="1509">
        <v>7500000</v>
      </c>
      <c r="P17" s="1509">
        <v>1350000</v>
      </c>
      <c r="Q17" s="1509"/>
      <c r="R17" s="2156"/>
      <c r="S17" s="2156"/>
      <c r="T17" s="1507"/>
      <c r="U17" s="1495">
        <f t="shared" si="4"/>
        <v>7500000</v>
      </c>
      <c r="V17" s="1495">
        <f t="shared" si="5"/>
        <v>1350000</v>
      </c>
      <c r="W17" s="1495">
        <f t="shared" si="6"/>
        <v>0</v>
      </c>
      <c r="X17" s="1495">
        <f t="shared" si="7"/>
        <v>0</v>
      </c>
      <c r="Y17" s="1495">
        <f t="shared" si="8"/>
        <v>100</v>
      </c>
      <c r="Z17" s="1495">
        <f t="shared" si="9"/>
        <v>0</v>
      </c>
      <c r="AA17" s="1506">
        <f t="shared" si="10"/>
        <v>0</v>
      </c>
      <c r="AB17" s="1505"/>
      <c r="AC17" s="1504">
        <f t="shared" si="11"/>
        <v>0</v>
      </c>
      <c r="AD17" s="1503">
        <f t="shared" si="12"/>
        <v>0</v>
      </c>
      <c r="AE17" s="1503">
        <f t="shared" si="13"/>
        <v>0</v>
      </c>
      <c r="AF17" s="1502">
        <f t="shared" si="14"/>
        <v>0</v>
      </c>
    </row>
    <row r="18" spans="1:32" s="1474" customFormat="1" ht="23.25" customHeight="1">
      <c r="A18" s="1515">
        <f t="shared" si="15"/>
        <v>6</v>
      </c>
      <c r="B18" s="1513" t="s">
        <v>1902</v>
      </c>
      <c r="C18" s="1514" t="s">
        <v>1917</v>
      </c>
      <c r="D18" s="1514"/>
      <c r="E18" s="1513">
        <v>6500000</v>
      </c>
      <c r="F18" s="1512">
        <f t="shared" si="0"/>
        <v>1170000</v>
      </c>
      <c r="G18" s="2139" t="s">
        <v>1921</v>
      </c>
      <c r="H18" s="1511">
        <v>0.18</v>
      </c>
      <c r="I18" s="1508">
        <v>12</v>
      </c>
      <c r="J18" s="1508">
        <v>12</v>
      </c>
      <c r="K18" s="1508">
        <v>541700</v>
      </c>
      <c r="L18" s="1508">
        <f t="shared" si="1"/>
        <v>97500</v>
      </c>
      <c r="M18" s="1510">
        <f>IF(J18&lt;I18,J18*K18,IF(J18&gt;=I18,E18))</f>
        <v>6500000</v>
      </c>
      <c r="N18" s="1510">
        <f t="shared" si="3"/>
        <v>1170000</v>
      </c>
      <c r="O18" s="1509">
        <v>6500000</v>
      </c>
      <c r="P18" s="1509">
        <v>1170000</v>
      </c>
      <c r="Q18" s="1509"/>
      <c r="R18" s="2156"/>
      <c r="S18" s="2156"/>
      <c r="T18" s="1507"/>
      <c r="U18" s="1495">
        <f t="shared" si="4"/>
        <v>6500000</v>
      </c>
      <c r="V18" s="1495">
        <f t="shared" si="5"/>
        <v>1170000</v>
      </c>
      <c r="W18" s="1495">
        <f t="shared" si="6"/>
        <v>0</v>
      </c>
      <c r="X18" s="1495">
        <f t="shared" si="7"/>
        <v>0</v>
      </c>
      <c r="Y18" s="1495">
        <f t="shared" si="8"/>
        <v>100</v>
      </c>
      <c r="Z18" s="1495">
        <f t="shared" si="9"/>
        <v>0</v>
      </c>
      <c r="AA18" s="1506">
        <f t="shared" si="10"/>
        <v>0</v>
      </c>
      <c r="AB18" s="1505"/>
      <c r="AC18" s="1504">
        <f t="shared" si="11"/>
        <v>0</v>
      </c>
      <c r="AD18" s="1503">
        <f t="shared" si="12"/>
        <v>0</v>
      </c>
      <c r="AE18" s="1503">
        <f t="shared" si="13"/>
        <v>0</v>
      </c>
      <c r="AF18" s="1502">
        <f t="shared" si="14"/>
        <v>0</v>
      </c>
    </row>
    <row r="19" spans="1:32" s="1474" customFormat="1" ht="23.25" customHeight="1">
      <c r="A19" s="1515">
        <f t="shared" si="15"/>
        <v>7</v>
      </c>
      <c r="B19" s="1513" t="s">
        <v>1903</v>
      </c>
      <c r="C19" s="1514" t="s">
        <v>1916</v>
      </c>
      <c r="D19" s="1514"/>
      <c r="E19" s="1513">
        <v>10000000</v>
      </c>
      <c r="F19" s="1512">
        <f t="shared" si="0"/>
        <v>1800000</v>
      </c>
      <c r="G19" s="2139" t="s">
        <v>1922</v>
      </c>
      <c r="H19" s="1511">
        <v>0.18</v>
      </c>
      <c r="I19" s="1508">
        <v>12</v>
      </c>
      <c r="J19" s="1508">
        <v>12</v>
      </c>
      <c r="K19" s="1508">
        <v>833300</v>
      </c>
      <c r="L19" s="1508">
        <f t="shared" si="1"/>
        <v>150000</v>
      </c>
      <c r="M19" s="1510">
        <f t="shared" si="2"/>
        <v>10000000</v>
      </c>
      <c r="N19" s="1510">
        <f t="shared" si="3"/>
        <v>1800000</v>
      </c>
      <c r="O19" s="1509">
        <v>10000000</v>
      </c>
      <c r="P19" s="1509">
        <v>1800000</v>
      </c>
      <c r="Q19" s="1509"/>
      <c r="R19" s="2156"/>
      <c r="S19" s="2156"/>
      <c r="T19" s="1507"/>
      <c r="U19" s="1495">
        <f t="shared" si="4"/>
        <v>10000000</v>
      </c>
      <c r="V19" s="1495">
        <f t="shared" si="5"/>
        <v>1800000</v>
      </c>
      <c r="W19" s="1495">
        <f t="shared" si="6"/>
        <v>0</v>
      </c>
      <c r="X19" s="1495">
        <f t="shared" si="7"/>
        <v>0</v>
      </c>
      <c r="Y19" s="1495">
        <f t="shared" si="8"/>
        <v>100</v>
      </c>
      <c r="Z19" s="1495">
        <f t="shared" si="9"/>
        <v>0</v>
      </c>
      <c r="AA19" s="1506">
        <f t="shared" si="10"/>
        <v>0</v>
      </c>
      <c r="AB19" s="1505"/>
      <c r="AC19" s="1504">
        <f t="shared" si="11"/>
        <v>0</v>
      </c>
      <c r="AD19" s="1503">
        <f t="shared" si="12"/>
        <v>0</v>
      </c>
      <c r="AE19" s="1503">
        <f t="shared" si="13"/>
        <v>0</v>
      </c>
      <c r="AF19" s="1502">
        <f t="shared" si="14"/>
        <v>0</v>
      </c>
    </row>
    <row r="20" spans="1:32" s="1474" customFormat="1" ht="23.25" customHeight="1">
      <c r="A20" s="1515">
        <f t="shared" si="15"/>
        <v>8</v>
      </c>
      <c r="B20" s="1513" t="s">
        <v>1904</v>
      </c>
      <c r="C20" s="1514" t="s">
        <v>1918</v>
      </c>
      <c r="D20" s="1514"/>
      <c r="E20" s="1513">
        <v>6000000</v>
      </c>
      <c r="F20" s="1512">
        <f t="shared" si="0"/>
        <v>1080000</v>
      </c>
      <c r="G20" s="2139" t="s">
        <v>1923</v>
      </c>
      <c r="H20" s="1511">
        <v>0.18</v>
      </c>
      <c r="I20" s="1508">
        <v>12</v>
      </c>
      <c r="J20" s="1508">
        <v>12</v>
      </c>
      <c r="K20" s="1508">
        <f>E20/I20</f>
        <v>500000</v>
      </c>
      <c r="L20" s="1508">
        <f t="shared" si="1"/>
        <v>90000</v>
      </c>
      <c r="M20" s="1510">
        <f t="shared" si="2"/>
        <v>6000000</v>
      </c>
      <c r="N20" s="1510">
        <f t="shared" si="3"/>
        <v>1080000</v>
      </c>
      <c r="O20" s="1509">
        <v>6000000</v>
      </c>
      <c r="P20" s="1509">
        <v>1080000</v>
      </c>
      <c r="Q20" s="1509"/>
      <c r="R20" s="2156"/>
      <c r="S20" s="2156"/>
      <c r="T20" s="1507"/>
      <c r="U20" s="1495">
        <f t="shared" si="4"/>
        <v>6000000</v>
      </c>
      <c r="V20" s="1495">
        <f t="shared" si="5"/>
        <v>1080000</v>
      </c>
      <c r="W20" s="1495">
        <f t="shared" si="6"/>
        <v>0</v>
      </c>
      <c r="X20" s="1495">
        <f t="shared" si="7"/>
        <v>0</v>
      </c>
      <c r="Y20" s="1495">
        <f t="shared" si="8"/>
        <v>100</v>
      </c>
      <c r="Z20" s="1495">
        <f t="shared" si="9"/>
        <v>0</v>
      </c>
      <c r="AA20" s="1506">
        <f t="shared" si="10"/>
        <v>0</v>
      </c>
      <c r="AB20" s="1505"/>
      <c r="AC20" s="1504">
        <f t="shared" si="11"/>
        <v>0</v>
      </c>
      <c r="AD20" s="1503">
        <f t="shared" si="12"/>
        <v>0</v>
      </c>
      <c r="AE20" s="1503">
        <f t="shared" si="13"/>
        <v>0</v>
      </c>
      <c r="AF20" s="1502">
        <f t="shared" si="14"/>
        <v>0</v>
      </c>
    </row>
    <row r="21" spans="1:32" s="1474" customFormat="1" ht="23.25" customHeight="1">
      <c r="A21" s="1515">
        <f t="shared" si="15"/>
        <v>9</v>
      </c>
      <c r="B21" s="1513" t="s">
        <v>1905</v>
      </c>
      <c r="C21" s="1514" t="s">
        <v>1919</v>
      </c>
      <c r="D21" s="1514"/>
      <c r="E21" s="1513">
        <v>7000000</v>
      </c>
      <c r="F21" s="1512">
        <f t="shared" si="0"/>
        <v>1260000</v>
      </c>
      <c r="G21" s="2139" t="s">
        <v>1923</v>
      </c>
      <c r="H21" s="1511">
        <v>0.18</v>
      </c>
      <c r="I21" s="1508">
        <v>12</v>
      </c>
      <c r="J21" s="1508">
        <v>12</v>
      </c>
      <c r="K21" s="1508">
        <v>583300</v>
      </c>
      <c r="L21" s="1508">
        <f t="shared" si="1"/>
        <v>105000</v>
      </c>
      <c r="M21" s="1510">
        <f t="shared" si="2"/>
        <v>7000000</v>
      </c>
      <c r="N21" s="1510">
        <f t="shared" si="3"/>
        <v>1260000</v>
      </c>
      <c r="O21" s="1509">
        <v>7000000</v>
      </c>
      <c r="P21" s="1509">
        <v>1260000</v>
      </c>
      <c r="Q21" s="1509"/>
      <c r="R21" s="2156"/>
      <c r="S21" s="2156"/>
      <c r="T21" s="1507"/>
      <c r="U21" s="1495">
        <f t="shared" si="4"/>
        <v>7000000</v>
      </c>
      <c r="V21" s="1495">
        <f t="shared" si="5"/>
        <v>1260000</v>
      </c>
      <c r="W21" s="1495">
        <f t="shared" si="6"/>
        <v>0</v>
      </c>
      <c r="X21" s="1495">
        <f t="shared" si="7"/>
        <v>0</v>
      </c>
      <c r="Y21" s="1495">
        <f t="shared" si="8"/>
        <v>100</v>
      </c>
      <c r="Z21" s="1495">
        <f t="shared" si="9"/>
        <v>0</v>
      </c>
      <c r="AA21" s="1506">
        <f t="shared" si="10"/>
        <v>0</v>
      </c>
      <c r="AB21" s="1505"/>
      <c r="AC21" s="1504">
        <f t="shared" si="11"/>
        <v>0</v>
      </c>
      <c r="AD21" s="1503">
        <f t="shared" si="12"/>
        <v>0</v>
      </c>
      <c r="AE21" s="1503">
        <f t="shared" si="13"/>
        <v>0</v>
      </c>
      <c r="AF21" s="1502">
        <f t="shared" si="14"/>
        <v>0</v>
      </c>
    </row>
    <row r="22" spans="1:32" s="1474" customFormat="1" ht="23.25" customHeight="1">
      <c r="A22" s="1515">
        <f t="shared" si="15"/>
        <v>10</v>
      </c>
      <c r="B22" s="1513" t="s">
        <v>1906</v>
      </c>
      <c r="C22" s="1514" t="s">
        <v>1918</v>
      </c>
      <c r="D22" s="1514"/>
      <c r="E22" s="1513">
        <v>7000000</v>
      </c>
      <c r="F22" s="1512">
        <f t="shared" si="0"/>
        <v>1260000</v>
      </c>
      <c r="G22" s="2139" t="s">
        <v>1923</v>
      </c>
      <c r="H22" s="1511">
        <v>0.18</v>
      </c>
      <c r="I22" s="1508">
        <v>12</v>
      </c>
      <c r="J22" s="1508">
        <v>12</v>
      </c>
      <c r="K22" s="1508">
        <v>583300</v>
      </c>
      <c r="L22" s="1508">
        <f t="shared" si="1"/>
        <v>105000</v>
      </c>
      <c r="M22" s="1510">
        <f t="shared" si="2"/>
        <v>7000000</v>
      </c>
      <c r="N22" s="1510">
        <f t="shared" si="3"/>
        <v>1260000</v>
      </c>
      <c r="O22" s="1509">
        <v>7000000</v>
      </c>
      <c r="P22" s="1509">
        <v>1260000</v>
      </c>
      <c r="Q22" s="1509"/>
      <c r="R22" s="2156"/>
      <c r="S22" s="2156"/>
      <c r="T22" s="1507"/>
      <c r="U22" s="1495">
        <f t="shared" si="4"/>
        <v>7000000</v>
      </c>
      <c r="V22" s="1495">
        <f t="shared" si="5"/>
        <v>1260000</v>
      </c>
      <c r="W22" s="1495">
        <f t="shared" si="6"/>
        <v>0</v>
      </c>
      <c r="X22" s="1495">
        <f t="shared" si="7"/>
        <v>0</v>
      </c>
      <c r="Y22" s="1495">
        <f t="shared" si="8"/>
        <v>100</v>
      </c>
      <c r="Z22" s="1495">
        <f t="shared" si="9"/>
        <v>0</v>
      </c>
      <c r="AA22" s="1506">
        <f t="shared" si="10"/>
        <v>0</v>
      </c>
      <c r="AB22" s="1505"/>
      <c r="AC22" s="1504">
        <f t="shared" si="11"/>
        <v>0</v>
      </c>
      <c r="AD22" s="1503">
        <f t="shared" si="12"/>
        <v>0</v>
      </c>
      <c r="AE22" s="1503">
        <f t="shared" si="13"/>
        <v>0</v>
      </c>
      <c r="AF22" s="1502">
        <f t="shared" si="14"/>
        <v>0</v>
      </c>
    </row>
    <row r="23" spans="1:32" s="1474" customFormat="1" ht="23.25" customHeight="1">
      <c r="A23" s="1515">
        <f t="shared" si="15"/>
        <v>11</v>
      </c>
      <c r="B23" s="1513" t="s">
        <v>1907</v>
      </c>
      <c r="C23" s="1514" t="s">
        <v>1919</v>
      </c>
      <c r="D23" s="1514"/>
      <c r="E23" s="1513">
        <v>7000000</v>
      </c>
      <c r="F23" s="1512">
        <f t="shared" si="0"/>
        <v>1260000</v>
      </c>
      <c r="G23" s="2139" t="s">
        <v>1923</v>
      </c>
      <c r="H23" s="1511">
        <v>0.18</v>
      </c>
      <c r="I23" s="1508">
        <v>12</v>
      </c>
      <c r="J23" s="1508">
        <v>12</v>
      </c>
      <c r="K23" s="1508">
        <v>583300</v>
      </c>
      <c r="L23" s="1508">
        <f t="shared" si="1"/>
        <v>105000</v>
      </c>
      <c r="M23" s="1510">
        <f t="shared" si="2"/>
        <v>7000000</v>
      </c>
      <c r="N23" s="1510">
        <f t="shared" si="3"/>
        <v>1260000</v>
      </c>
      <c r="O23" s="1509">
        <v>7000000</v>
      </c>
      <c r="P23" s="1509">
        <v>1260000</v>
      </c>
      <c r="Q23" s="1509"/>
      <c r="R23" s="2156"/>
      <c r="S23" s="2156"/>
      <c r="T23" s="1507"/>
      <c r="U23" s="1495">
        <f t="shared" si="4"/>
        <v>7000000</v>
      </c>
      <c r="V23" s="1495">
        <f t="shared" si="5"/>
        <v>1260000</v>
      </c>
      <c r="W23" s="1495">
        <f t="shared" si="6"/>
        <v>0</v>
      </c>
      <c r="X23" s="1495">
        <f t="shared" si="7"/>
        <v>0</v>
      </c>
      <c r="Y23" s="1495">
        <f t="shared" si="8"/>
        <v>100</v>
      </c>
      <c r="Z23" s="1495">
        <f t="shared" si="9"/>
        <v>0</v>
      </c>
      <c r="AA23" s="1506">
        <f t="shared" si="10"/>
        <v>0</v>
      </c>
      <c r="AB23" s="1505"/>
      <c r="AC23" s="1504">
        <f t="shared" si="11"/>
        <v>0</v>
      </c>
      <c r="AD23" s="1503">
        <f t="shared" si="12"/>
        <v>0</v>
      </c>
      <c r="AE23" s="1503">
        <f t="shared" si="13"/>
        <v>0</v>
      </c>
      <c r="AF23" s="1502">
        <f t="shared" si="14"/>
        <v>0</v>
      </c>
    </row>
    <row r="24" spans="1:32" s="1474" customFormat="1" ht="23.25" customHeight="1">
      <c r="A24" s="1515">
        <f t="shared" si="15"/>
        <v>12</v>
      </c>
      <c r="B24" s="1513" t="s">
        <v>1908</v>
      </c>
      <c r="C24" s="1514" t="s">
        <v>1919</v>
      </c>
      <c r="D24" s="1514"/>
      <c r="E24" s="1513">
        <v>7500000</v>
      </c>
      <c r="F24" s="1512">
        <f t="shared" si="0"/>
        <v>1350000</v>
      </c>
      <c r="G24" s="2139" t="s">
        <v>1923</v>
      </c>
      <c r="H24" s="1511">
        <v>0.18</v>
      </c>
      <c r="I24" s="1508">
        <v>12</v>
      </c>
      <c r="J24" s="1508">
        <v>12</v>
      </c>
      <c r="K24" s="1508">
        <v>625000</v>
      </c>
      <c r="L24" s="1508">
        <f t="shared" si="1"/>
        <v>112500</v>
      </c>
      <c r="M24" s="1510">
        <f t="shared" si="2"/>
        <v>7500000</v>
      </c>
      <c r="N24" s="1510">
        <f t="shared" si="3"/>
        <v>1350000</v>
      </c>
      <c r="O24" s="1509">
        <v>7500000</v>
      </c>
      <c r="P24" s="1509">
        <v>1350000</v>
      </c>
      <c r="Q24" s="1509"/>
      <c r="R24" s="2156"/>
      <c r="S24" s="2156"/>
      <c r="T24" s="1507"/>
      <c r="U24" s="1495">
        <f t="shared" si="4"/>
        <v>7500000</v>
      </c>
      <c r="V24" s="1495">
        <f t="shared" si="5"/>
        <v>1350000</v>
      </c>
      <c r="W24" s="1495">
        <f t="shared" si="6"/>
        <v>0</v>
      </c>
      <c r="X24" s="1495">
        <f t="shared" si="7"/>
        <v>0</v>
      </c>
      <c r="Y24" s="1495">
        <f t="shared" si="8"/>
        <v>100</v>
      </c>
      <c r="Z24" s="1495">
        <f t="shared" si="9"/>
        <v>0</v>
      </c>
      <c r="AA24" s="1506">
        <f t="shared" si="10"/>
        <v>0</v>
      </c>
      <c r="AB24" s="1505"/>
      <c r="AC24" s="1504">
        <f t="shared" si="11"/>
        <v>0</v>
      </c>
      <c r="AD24" s="1503">
        <f t="shared" si="12"/>
        <v>0</v>
      </c>
      <c r="AE24" s="1503">
        <f t="shared" si="13"/>
        <v>0</v>
      </c>
      <c r="AF24" s="1502">
        <f t="shared" si="14"/>
        <v>0</v>
      </c>
    </row>
    <row r="25" spans="1:32" s="1474" customFormat="1" ht="23.25" customHeight="1">
      <c r="A25" s="1515">
        <f t="shared" si="15"/>
        <v>13</v>
      </c>
      <c r="B25" s="1513" t="s">
        <v>1909</v>
      </c>
      <c r="C25" s="1514" t="s">
        <v>1919</v>
      </c>
      <c r="D25" s="1514"/>
      <c r="E25" s="1513">
        <v>6000000</v>
      </c>
      <c r="F25" s="1512">
        <f t="shared" si="0"/>
        <v>1080000</v>
      </c>
      <c r="G25" s="2139" t="s">
        <v>1923</v>
      </c>
      <c r="H25" s="1511">
        <v>0.18</v>
      </c>
      <c r="I25" s="1508">
        <v>12</v>
      </c>
      <c r="J25" s="1508">
        <v>12</v>
      </c>
      <c r="K25" s="1508">
        <v>500000</v>
      </c>
      <c r="L25" s="1508">
        <f t="shared" si="1"/>
        <v>90000</v>
      </c>
      <c r="M25" s="1510">
        <f t="shared" si="2"/>
        <v>6000000</v>
      </c>
      <c r="N25" s="1510">
        <f t="shared" si="3"/>
        <v>1080000</v>
      </c>
      <c r="O25" s="1509">
        <v>6000000</v>
      </c>
      <c r="P25" s="1509">
        <v>1080000</v>
      </c>
      <c r="Q25" s="1509"/>
      <c r="R25" s="2156"/>
      <c r="S25" s="2156"/>
      <c r="T25" s="1507"/>
      <c r="U25" s="1495">
        <f t="shared" si="4"/>
        <v>6000000</v>
      </c>
      <c r="V25" s="1495">
        <f t="shared" si="5"/>
        <v>1080000</v>
      </c>
      <c r="W25" s="1495">
        <f t="shared" si="6"/>
        <v>0</v>
      </c>
      <c r="X25" s="1495">
        <f t="shared" si="7"/>
        <v>0</v>
      </c>
      <c r="Y25" s="1495">
        <f t="shared" si="8"/>
        <v>100</v>
      </c>
      <c r="Z25" s="1495">
        <f t="shared" si="9"/>
        <v>0</v>
      </c>
      <c r="AA25" s="1506">
        <f t="shared" si="10"/>
        <v>0</v>
      </c>
      <c r="AB25" s="1505"/>
      <c r="AC25" s="1504">
        <f t="shared" si="11"/>
        <v>0</v>
      </c>
      <c r="AD25" s="1503">
        <f t="shared" si="12"/>
        <v>0</v>
      </c>
      <c r="AE25" s="1503">
        <f t="shared" si="13"/>
        <v>0</v>
      </c>
      <c r="AF25" s="1502">
        <f t="shared" si="14"/>
        <v>0</v>
      </c>
    </row>
    <row r="26" spans="1:32" s="1474" customFormat="1" ht="23.25" customHeight="1">
      <c r="A26" s="1515">
        <f t="shared" si="15"/>
        <v>14</v>
      </c>
      <c r="B26" s="1513" t="s">
        <v>1910</v>
      </c>
      <c r="C26" s="1514" t="s">
        <v>1920</v>
      </c>
      <c r="D26" s="1514"/>
      <c r="E26" s="1513">
        <v>9000000</v>
      </c>
      <c r="F26" s="1512">
        <f t="shared" si="0"/>
        <v>1620000</v>
      </c>
      <c r="G26" s="2140">
        <v>40484</v>
      </c>
      <c r="H26" s="1511">
        <v>0.18</v>
      </c>
      <c r="I26" s="1508">
        <v>12</v>
      </c>
      <c r="J26" s="1508">
        <v>12</v>
      </c>
      <c r="K26" s="1508">
        <v>750000</v>
      </c>
      <c r="L26" s="1508">
        <f t="shared" si="1"/>
        <v>135000</v>
      </c>
      <c r="M26" s="1510">
        <f t="shared" si="2"/>
        <v>9000000</v>
      </c>
      <c r="N26" s="1510">
        <f t="shared" si="3"/>
        <v>1620000</v>
      </c>
      <c r="O26" s="1509">
        <v>9000000</v>
      </c>
      <c r="P26" s="1509">
        <v>1620000</v>
      </c>
      <c r="Q26" s="1509"/>
      <c r="R26" s="2156"/>
      <c r="S26" s="2156"/>
      <c r="T26" s="1507"/>
      <c r="U26" s="1495">
        <f t="shared" si="4"/>
        <v>9000000</v>
      </c>
      <c r="V26" s="1495">
        <f t="shared" si="5"/>
        <v>1620000</v>
      </c>
      <c r="W26" s="1495">
        <f t="shared" si="6"/>
        <v>0</v>
      </c>
      <c r="X26" s="1495">
        <f t="shared" si="7"/>
        <v>0</v>
      </c>
      <c r="Y26" s="1495">
        <f t="shared" si="8"/>
        <v>100</v>
      </c>
      <c r="Z26" s="1495">
        <f t="shared" si="9"/>
        <v>0</v>
      </c>
      <c r="AA26" s="1506">
        <f t="shared" si="10"/>
        <v>0</v>
      </c>
      <c r="AB26" s="1505"/>
      <c r="AC26" s="1504">
        <f t="shared" si="11"/>
        <v>0</v>
      </c>
      <c r="AD26" s="1503">
        <f t="shared" si="12"/>
        <v>0</v>
      </c>
      <c r="AE26" s="1503">
        <f t="shared" si="13"/>
        <v>0</v>
      </c>
      <c r="AF26" s="1502">
        <f t="shared" si="14"/>
        <v>0</v>
      </c>
    </row>
    <row r="27" spans="1:32" s="1474" customFormat="1" ht="23.25" customHeight="1">
      <c r="A27" s="1515">
        <f t="shared" si="15"/>
        <v>15</v>
      </c>
      <c r="B27" s="1513" t="s">
        <v>1911</v>
      </c>
      <c r="C27" s="1514" t="s">
        <v>1920</v>
      </c>
      <c r="D27" s="1514"/>
      <c r="E27" s="1513">
        <v>5000000</v>
      </c>
      <c r="F27" s="1512">
        <f t="shared" si="0"/>
        <v>900000</v>
      </c>
      <c r="G27" s="2140">
        <v>40484</v>
      </c>
      <c r="H27" s="1511">
        <v>0.18</v>
      </c>
      <c r="I27" s="1508">
        <v>12</v>
      </c>
      <c r="J27" s="2404">
        <v>12</v>
      </c>
      <c r="K27" s="1508">
        <v>416700</v>
      </c>
      <c r="L27" s="1508">
        <f t="shared" si="1"/>
        <v>75000</v>
      </c>
      <c r="M27" s="1510">
        <f t="shared" si="2"/>
        <v>5000000</v>
      </c>
      <c r="N27" s="2401">
        <f>IF(J27&lt;I27,J27*L27,IF(J27&gt;=I27,F27))-75000</f>
        <v>825000</v>
      </c>
      <c r="O27" s="1509">
        <v>5000000</v>
      </c>
      <c r="P27" s="1509">
        <v>825000</v>
      </c>
      <c r="Q27" s="1509"/>
      <c r="R27" s="2405"/>
      <c r="S27" s="2156"/>
      <c r="T27" s="1507"/>
      <c r="U27" s="1495">
        <f t="shared" si="4"/>
        <v>5000000</v>
      </c>
      <c r="V27" s="1495">
        <f t="shared" si="5"/>
        <v>825000</v>
      </c>
      <c r="W27" s="1495">
        <f t="shared" si="6"/>
        <v>0</v>
      </c>
      <c r="X27" s="1495">
        <f t="shared" si="7"/>
        <v>0</v>
      </c>
      <c r="Y27" s="1495">
        <f t="shared" si="8"/>
        <v>100</v>
      </c>
      <c r="Z27" s="1495">
        <f t="shared" si="9"/>
        <v>0</v>
      </c>
      <c r="AA27" s="1506">
        <f t="shared" si="10"/>
        <v>0</v>
      </c>
      <c r="AB27" s="1505"/>
      <c r="AC27" s="1504">
        <f t="shared" si="11"/>
        <v>0</v>
      </c>
      <c r="AD27" s="1503">
        <f t="shared" si="12"/>
        <v>0</v>
      </c>
      <c r="AE27" s="1503">
        <f t="shared" si="13"/>
        <v>0</v>
      </c>
      <c r="AF27" s="1502">
        <f t="shared" si="14"/>
        <v>0</v>
      </c>
    </row>
    <row r="28" spans="1:32" s="1474" customFormat="1" ht="23.25" customHeight="1">
      <c r="A28" s="1515">
        <f t="shared" si="15"/>
        <v>16</v>
      </c>
      <c r="B28" s="1513" t="s">
        <v>1912</v>
      </c>
      <c r="C28" s="1514" t="s">
        <v>1920</v>
      </c>
      <c r="D28" s="1514"/>
      <c r="E28" s="1513">
        <v>8000000</v>
      </c>
      <c r="F28" s="1512">
        <f t="shared" si="0"/>
        <v>1440000</v>
      </c>
      <c r="G28" s="2140">
        <v>40484</v>
      </c>
      <c r="H28" s="1511">
        <v>0.18</v>
      </c>
      <c r="I28" s="1508">
        <v>12</v>
      </c>
      <c r="J28" s="2404">
        <v>12</v>
      </c>
      <c r="K28" s="1508">
        <v>666700</v>
      </c>
      <c r="L28" s="1508">
        <f t="shared" si="1"/>
        <v>120000</v>
      </c>
      <c r="M28" s="1510">
        <f t="shared" si="2"/>
        <v>8000000</v>
      </c>
      <c r="N28" s="2401">
        <f>IF(J28&lt;I28,J28*L28,IF(J28&gt;=I28,F28))-120000</f>
        <v>1320000</v>
      </c>
      <c r="O28" s="1509">
        <v>8000000</v>
      </c>
      <c r="P28" s="1509">
        <v>1320000</v>
      </c>
      <c r="Q28" s="1509"/>
      <c r="R28" s="2156"/>
      <c r="S28" s="2156"/>
      <c r="T28" s="1507"/>
      <c r="U28" s="1495">
        <f t="shared" si="4"/>
        <v>8000000</v>
      </c>
      <c r="V28" s="1495">
        <f t="shared" si="5"/>
        <v>1320000</v>
      </c>
      <c r="W28" s="1495">
        <f t="shared" si="6"/>
        <v>0</v>
      </c>
      <c r="X28" s="1495">
        <f t="shared" si="7"/>
        <v>0</v>
      </c>
      <c r="Y28" s="1495">
        <f t="shared" si="8"/>
        <v>100</v>
      </c>
      <c r="Z28" s="1495">
        <f t="shared" si="9"/>
        <v>0</v>
      </c>
      <c r="AA28" s="1506">
        <f t="shared" si="10"/>
        <v>0</v>
      </c>
      <c r="AB28" s="1505"/>
      <c r="AC28" s="1504">
        <f t="shared" si="11"/>
        <v>0</v>
      </c>
      <c r="AD28" s="1503">
        <f t="shared" si="12"/>
        <v>0</v>
      </c>
      <c r="AE28" s="1503">
        <f t="shared" si="13"/>
        <v>0</v>
      </c>
      <c r="AF28" s="1502">
        <f t="shared" si="14"/>
        <v>0</v>
      </c>
    </row>
    <row r="29" spans="1:32" s="1474" customFormat="1" ht="23.25" customHeight="1">
      <c r="A29" s="1515">
        <f t="shared" si="15"/>
        <v>17</v>
      </c>
      <c r="B29" s="1513" t="s">
        <v>1913</v>
      </c>
      <c r="C29" s="1514" t="s">
        <v>1920</v>
      </c>
      <c r="D29" s="1514"/>
      <c r="E29" s="1513">
        <v>8000000</v>
      </c>
      <c r="F29" s="1512">
        <f t="shared" si="0"/>
        <v>1440000</v>
      </c>
      <c r="G29" s="2140">
        <v>40484</v>
      </c>
      <c r="H29" s="1511">
        <v>0.18</v>
      </c>
      <c r="I29" s="1508">
        <v>12</v>
      </c>
      <c r="J29" s="1508">
        <v>12</v>
      </c>
      <c r="K29" s="1508">
        <v>666700</v>
      </c>
      <c r="L29" s="1508">
        <f t="shared" si="1"/>
        <v>120000</v>
      </c>
      <c r="M29" s="1510">
        <f t="shared" si="2"/>
        <v>8000000</v>
      </c>
      <c r="N29" s="1510">
        <f t="shared" si="3"/>
        <v>1440000</v>
      </c>
      <c r="O29" s="1509">
        <v>8000000</v>
      </c>
      <c r="P29" s="1509">
        <v>1440000</v>
      </c>
      <c r="Q29" s="1509"/>
      <c r="R29" s="2156"/>
      <c r="S29" s="2156"/>
      <c r="T29" s="1507"/>
      <c r="U29" s="1495">
        <f t="shared" si="4"/>
        <v>8000000</v>
      </c>
      <c r="V29" s="1495">
        <f t="shared" si="5"/>
        <v>1440000</v>
      </c>
      <c r="W29" s="1495">
        <f t="shared" si="6"/>
        <v>0</v>
      </c>
      <c r="X29" s="1495">
        <f t="shared" si="7"/>
        <v>0</v>
      </c>
      <c r="Y29" s="1495">
        <f t="shared" si="8"/>
        <v>100</v>
      </c>
      <c r="Z29" s="1495">
        <f t="shared" si="9"/>
        <v>0</v>
      </c>
      <c r="AA29" s="1506">
        <f t="shared" si="10"/>
        <v>0</v>
      </c>
      <c r="AB29" s="1505"/>
      <c r="AC29" s="1504">
        <f t="shared" si="11"/>
        <v>0</v>
      </c>
      <c r="AD29" s="1503">
        <f t="shared" si="12"/>
        <v>0</v>
      </c>
      <c r="AE29" s="1503">
        <f t="shared" si="13"/>
        <v>0</v>
      </c>
      <c r="AF29" s="1502">
        <f t="shared" si="14"/>
        <v>0</v>
      </c>
    </row>
    <row r="30" spans="1:32" s="1474" customFormat="1" ht="23.25" customHeight="1">
      <c r="A30" s="1515">
        <f t="shared" si="15"/>
        <v>18</v>
      </c>
      <c r="B30" s="1513" t="s">
        <v>1914</v>
      </c>
      <c r="C30" s="1514" t="s">
        <v>1920</v>
      </c>
      <c r="D30" s="1514"/>
      <c r="E30" s="1513">
        <v>7000000</v>
      </c>
      <c r="F30" s="1512">
        <f t="shared" si="0"/>
        <v>1260000</v>
      </c>
      <c r="G30" s="2140">
        <v>40484</v>
      </c>
      <c r="H30" s="1511">
        <v>0.18</v>
      </c>
      <c r="I30" s="1508">
        <v>12</v>
      </c>
      <c r="J30" s="2404">
        <v>12</v>
      </c>
      <c r="K30" s="1508">
        <v>583300</v>
      </c>
      <c r="L30" s="1508">
        <f t="shared" si="1"/>
        <v>105000</v>
      </c>
      <c r="M30" s="1510">
        <f t="shared" si="2"/>
        <v>7000000</v>
      </c>
      <c r="N30" s="2401">
        <f>IF(J30&lt;I30,J30*L30,IF(J30&gt;=I30,F30))-105000</f>
        <v>1155000</v>
      </c>
      <c r="O30" s="1509">
        <v>7000000</v>
      </c>
      <c r="P30" s="1509">
        <v>1155000</v>
      </c>
      <c r="Q30" s="1509"/>
      <c r="R30" s="2156"/>
      <c r="S30" s="2156"/>
      <c r="T30" s="1507"/>
      <c r="U30" s="1495">
        <f t="shared" si="4"/>
        <v>7000000</v>
      </c>
      <c r="V30" s="1495">
        <f t="shared" si="5"/>
        <v>1155000</v>
      </c>
      <c r="W30" s="1495">
        <f t="shared" si="6"/>
        <v>0</v>
      </c>
      <c r="X30" s="1495">
        <f t="shared" si="7"/>
        <v>0</v>
      </c>
      <c r="Y30" s="1495">
        <f t="shared" si="8"/>
        <v>100</v>
      </c>
      <c r="Z30" s="1495">
        <f t="shared" si="9"/>
        <v>0</v>
      </c>
      <c r="AA30" s="1506">
        <f t="shared" si="10"/>
        <v>0</v>
      </c>
      <c r="AB30" s="1505"/>
      <c r="AC30" s="1504">
        <f t="shared" si="11"/>
        <v>0</v>
      </c>
      <c r="AD30" s="1503">
        <f t="shared" si="12"/>
        <v>0</v>
      </c>
      <c r="AE30" s="1503">
        <f t="shared" si="13"/>
        <v>0</v>
      </c>
      <c r="AF30" s="1502">
        <f t="shared" si="14"/>
        <v>0</v>
      </c>
    </row>
    <row r="31" spans="1:32" s="1474" customFormat="1" ht="23.25" customHeight="1">
      <c r="A31" s="1515">
        <f t="shared" si="15"/>
        <v>19</v>
      </c>
      <c r="B31" s="1513" t="s">
        <v>1915</v>
      </c>
      <c r="C31" s="1514" t="s">
        <v>1920</v>
      </c>
      <c r="D31" s="2410"/>
      <c r="E31" s="1513">
        <v>10000000</v>
      </c>
      <c r="F31" s="1512">
        <f t="shared" si="0"/>
        <v>1800000</v>
      </c>
      <c r="G31" s="2140">
        <v>40484</v>
      </c>
      <c r="H31" s="1511">
        <v>0.18</v>
      </c>
      <c r="I31" s="1508">
        <v>12</v>
      </c>
      <c r="J31" s="2404">
        <v>12</v>
      </c>
      <c r="K31" s="1508">
        <v>833300</v>
      </c>
      <c r="L31" s="1508">
        <f t="shared" si="1"/>
        <v>150000</v>
      </c>
      <c r="M31" s="1510">
        <f t="shared" si="2"/>
        <v>10000000</v>
      </c>
      <c r="N31" s="2401">
        <f>IF(J31&lt;I31,J31*L31,IF(J31&gt;=I31,F31))-150000</f>
        <v>1650000</v>
      </c>
      <c r="O31" s="1509">
        <v>10000000</v>
      </c>
      <c r="P31" s="1509">
        <v>1650000</v>
      </c>
      <c r="Q31" s="1509"/>
      <c r="R31" s="2156"/>
      <c r="S31" s="2156"/>
      <c r="T31" s="1507"/>
      <c r="U31" s="1495">
        <f t="shared" si="4"/>
        <v>10000000</v>
      </c>
      <c r="V31" s="1495">
        <f t="shared" si="5"/>
        <v>1650000</v>
      </c>
      <c r="W31" s="1495">
        <f t="shared" si="6"/>
        <v>0</v>
      </c>
      <c r="X31" s="1495">
        <f t="shared" si="7"/>
        <v>0</v>
      </c>
      <c r="Y31" s="1495">
        <f t="shared" si="8"/>
        <v>100</v>
      </c>
      <c r="Z31" s="1495">
        <f t="shared" si="9"/>
        <v>0</v>
      </c>
      <c r="AA31" s="1506">
        <f t="shared" si="10"/>
        <v>0</v>
      </c>
      <c r="AB31" s="1505"/>
      <c r="AC31" s="1504">
        <f t="shared" si="11"/>
        <v>0</v>
      </c>
      <c r="AD31" s="1503">
        <f t="shared" si="12"/>
        <v>0</v>
      </c>
      <c r="AE31" s="1503">
        <f t="shared" si="13"/>
        <v>0</v>
      </c>
      <c r="AF31" s="1502">
        <f t="shared" si="14"/>
        <v>0</v>
      </c>
    </row>
    <row r="32" spans="1:32" s="1474" customFormat="1" ht="23.25" customHeight="1">
      <c r="A32" s="1515">
        <v>20</v>
      </c>
      <c r="B32" s="1513" t="s">
        <v>2035</v>
      </c>
      <c r="C32" s="1514" t="s">
        <v>2590</v>
      </c>
      <c r="D32" s="1514"/>
      <c r="E32" s="1513">
        <v>7200000</v>
      </c>
      <c r="F32" s="1512">
        <f t="shared" si="0"/>
        <v>1296000</v>
      </c>
      <c r="G32" s="2140" t="s">
        <v>2721</v>
      </c>
      <c r="H32" s="1511">
        <v>0.18</v>
      </c>
      <c r="I32" s="1508">
        <v>12</v>
      </c>
      <c r="J32" s="1508">
        <v>12</v>
      </c>
      <c r="K32" s="1508">
        <f>E32/I32</f>
        <v>600000</v>
      </c>
      <c r="L32" s="1508">
        <f t="shared" si="1"/>
        <v>108000</v>
      </c>
      <c r="M32" s="1510">
        <f t="shared" si="2"/>
        <v>7200000</v>
      </c>
      <c r="N32" s="1510">
        <f>IF(J32&lt;I32,J32*L32,IF(J32&gt;=I32,F32))-L32*1</f>
        <v>1188000</v>
      </c>
      <c r="O32" s="1509">
        <v>7200000</v>
      </c>
      <c r="P32" s="1509">
        <v>1188000</v>
      </c>
      <c r="Q32" s="1509"/>
      <c r="R32" s="3132"/>
      <c r="S32" s="3132"/>
      <c r="T32" s="1507"/>
      <c r="U32" s="1495">
        <f t="shared" si="4"/>
        <v>7200000</v>
      </c>
      <c r="V32" s="1495">
        <f t="shared" si="5"/>
        <v>1188000</v>
      </c>
      <c r="W32" s="1495">
        <f t="shared" si="6"/>
        <v>0</v>
      </c>
      <c r="X32" s="1495">
        <f t="shared" si="7"/>
        <v>0</v>
      </c>
      <c r="Y32" s="1495">
        <f t="shared" si="8"/>
        <v>100</v>
      </c>
      <c r="Z32" s="1495">
        <f t="shared" si="9"/>
        <v>0</v>
      </c>
      <c r="AA32" s="1506">
        <f t="shared" si="10"/>
        <v>0</v>
      </c>
      <c r="AB32" s="1505"/>
      <c r="AC32" s="1504">
        <f t="shared" si="11"/>
        <v>0</v>
      </c>
      <c r="AD32" s="1503">
        <f t="shared" si="12"/>
        <v>0</v>
      </c>
      <c r="AE32" s="1503">
        <f t="shared" si="13"/>
        <v>0</v>
      </c>
      <c r="AF32" s="1502">
        <f t="shared" si="14"/>
        <v>0</v>
      </c>
    </row>
    <row r="33" spans="1:32" s="1474" customFormat="1" ht="23.25" customHeight="1">
      <c r="A33" s="1515"/>
      <c r="B33" s="1513"/>
      <c r="C33" s="1514"/>
      <c r="D33" s="1514"/>
      <c r="E33" s="1513"/>
      <c r="F33" s="1512">
        <f t="shared" si="0"/>
        <v>0</v>
      </c>
      <c r="G33" s="1508"/>
      <c r="H33" s="1511"/>
      <c r="I33" s="1508"/>
      <c r="J33" s="1508"/>
      <c r="K33" s="1508"/>
      <c r="L33" s="1508"/>
      <c r="M33" s="1510">
        <f t="shared" si="2"/>
        <v>0</v>
      </c>
      <c r="N33" s="1510">
        <f t="shared" si="3"/>
        <v>0</v>
      </c>
      <c r="O33" s="1509"/>
      <c r="P33" s="1509"/>
      <c r="Q33" s="1509"/>
      <c r="R33" s="2156"/>
      <c r="S33" s="2156"/>
      <c r="T33" s="1507"/>
      <c r="U33" s="1495">
        <f t="shared" si="4"/>
        <v>0</v>
      </c>
      <c r="V33" s="1495">
        <f t="shared" si="5"/>
        <v>0</v>
      </c>
      <c r="W33" s="1495">
        <f t="shared" si="6"/>
        <v>0</v>
      </c>
      <c r="X33" s="1495">
        <f t="shared" si="7"/>
        <v>0</v>
      </c>
      <c r="Y33" s="1495" t="e">
        <f t="shared" si="8"/>
        <v>#DIV/0!</v>
      </c>
      <c r="Z33" s="1495">
        <f t="shared" si="9"/>
        <v>0</v>
      </c>
      <c r="AA33" s="1506">
        <f t="shared" si="10"/>
        <v>0</v>
      </c>
      <c r="AB33" s="1505"/>
      <c r="AC33" s="1504">
        <f t="shared" si="11"/>
        <v>0</v>
      </c>
      <c r="AD33" s="1503">
        <f t="shared" si="12"/>
        <v>0</v>
      </c>
      <c r="AE33" s="1503">
        <f t="shared" si="13"/>
        <v>0</v>
      </c>
      <c r="AF33" s="1502">
        <f t="shared" si="14"/>
        <v>0</v>
      </c>
    </row>
    <row r="34" spans="1:32" s="1474" customFormat="1" ht="23.25" customHeight="1">
      <c r="A34" s="1515"/>
      <c r="B34" s="1513"/>
      <c r="C34" s="1514"/>
      <c r="D34" s="1514"/>
      <c r="E34" s="1513"/>
      <c r="F34" s="1512">
        <f t="shared" si="0"/>
        <v>0</v>
      </c>
      <c r="G34" s="1508"/>
      <c r="H34" s="1511"/>
      <c r="I34" s="1508"/>
      <c r="J34" s="1508"/>
      <c r="K34" s="1508"/>
      <c r="L34" s="1508"/>
      <c r="M34" s="1510">
        <f t="shared" si="2"/>
        <v>0</v>
      </c>
      <c r="N34" s="1510">
        <f t="shared" si="3"/>
        <v>0</v>
      </c>
      <c r="O34" s="1509"/>
      <c r="P34" s="1509"/>
      <c r="Q34" s="1509"/>
      <c r="R34" s="2156"/>
      <c r="S34" s="2156"/>
      <c r="T34" s="1507"/>
      <c r="U34" s="1495">
        <f t="shared" si="4"/>
        <v>0</v>
      </c>
      <c r="V34" s="1495">
        <f t="shared" si="5"/>
        <v>0</v>
      </c>
      <c r="W34" s="1495">
        <f t="shared" si="6"/>
        <v>0</v>
      </c>
      <c r="X34" s="1495">
        <f t="shared" si="7"/>
        <v>0</v>
      </c>
      <c r="Y34" s="1495" t="e">
        <f t="shared" si="8"/>
        <v>#DIV/0!</v>
      </c>
      <c r="Z34" s="1495">
        <f t="shared" si="9"/>
        <v>0</v>
      </c>
      <c r="AA34" s="1506">
        <f t="shared" si="10"/>
        <v>0</v>
      </c>
      <c r="AB34" s="1505"/>
      <c r="AC34" s="1504">
        <f t="shared" si="11"/>
        <v>0</v>
      </c>
      <c r="AD34" s="1503">
        <f t="shared" si="12"/>
        <v>0</v>
      </c>
      <c r="AE34" s="1503">
        <f t="shared" si="13"/>
        <v>0</v>
      </c>
      <c r="AF34" s="1502">
        <f t="shared" si="14"/>
        <v>0</v>
      </c>
    </row>
    <row r="35" spans="1:32" s="1474" customFormat="1" ht="23.25" customHeight="1">
      <c r="A35" s="1515"/>
      <c r="B35" s="1513"/>
      <c r="C35" s="1514"/>
      <c r="D35" s="1514"/>
      <c r="E35" s="1513"/>
      <c r="F35" s="1512">
        <f t="shared" si="0"/>
        <v>0</v>
      </c>
      <c r="G35" s="1508"/>
      <c r="H35" s="1511"/>
      <c r="I35" s="1508"/>
      <c r="J35" s="1508"/>
      <c r="K35" s="1508"/>
      <c r="L35" s="1508"/>
      <c r="M35" s="1510">
        <f t="shared" si="2"/>
        <v>0</v>
      </c>
      <c r="N35" s="1510">
        <f t="shared" si="3"/>
        <v>0</v>
      </c>
      <c r="O35" s="1509"/>
      <c r="P35" s="1509"/>
      <c r="Q35" s="1509"/>
      <c r="R35" s="1508"/>
      <c r="S35" s="1508"/>
      <c r="T35" s="1507"/>
      <c r="U35" s="1495">
        <f t="shared" si="4"/>
        <v>0</v>
      </c>
      <c r="V35" s="1495">
        <f t="shared" si="5"/>
        <v>0</v>
      </c>
      <c r="W35" s="1495">
        <f t="shared" si="6"/>
        <v>0</v>
      </c>
      <c r="X35" s="1495">
        <f t="shared" si="7"/>
        <v>0</v>
      </c>
      <c r="Y35" s="1495" t="e">
        <f t="shared" si="8"/>
        <v>#DIV/0!</v>
      </c>
      <c r="Z35" s="1495">
        <f t="shared" si="9"/>
        <v>0</v>
      </c>
      <c r="AA35" s="1506">
        <f t="shared" si="10"/>
        <v>0</v>
      </c>
      <c r="AB35" s="1505"/>
      <c r="AC35" s="1504">
        <f t="shared" si="11"/>
        <v>0</v>
      </c>
      <c r="AD35" s="1503">
        <f t="shared" si="12"/>
        <v>0</v>
      </c>
      <c r="AE35" s="1503">
        <f t="shared" si="13"/>
        <v>0</v>
      </c>
      <c r="AF35" s="1502">
        <f t="shared" si="14"/>
        <v>0</v>
      </c>
    </row>
    <row r="36" spans="1:32" s="1474" customFormat="1" ht="23.25" customHeight="1">
      <c r="A36" s="1515"/>
      <c r="B36" s="1513"/>
      <c r="C36" s="1514"/>
      <c r="D36" s="1514"/>
      <c r="E36" s="1513"/>
      <c r="F36" s="1512">
        <f t="shared" si="0"/>
        <v>0</v>
      </c>
      <c r="G36" s="1508"/>
      <c r="H36" s="1511"/>
      <c r="I36" s="1508"/>
      <c r="J36" s="1508"/>
      <c r="K36" s="1508"/>
      <c r="L36" s="1508"/>
      <c r="M36" s="1510">
        <f t="shared" si="2"/>
        <v>0</v>
      </c>
      <c r="N36" s="1510">
        <f t="shared" si="3"/>
        <v>0</v>
      </c>
      <c r="O36" s="1509"/>
      <c r="P36" s="1509"/>
      <c r="Q36" s="1509"/>
      <c r="R36" s="1508"/>
      <c r="S36" s="1508"/>
      <c r="T36" s="1507"/>
      <c r="U36" s="1495">
        <f t="shared" si="4"/>
        <v>0</v>
      </c>
      <c r="V36" s="1495">
        <f t="shared" si="5"/>
        <v>0</v>
      </c>
      <c r="W36" s="1495">
        <f t="shared" si="6"/>
        <v>0</v>
      </c>
      <c r="X36" s="1495">
        <f t="shared" si="7"/>
        <v>0</v>
      </c>
      <c r="Y36" s="1495" t="e">
        <f t="shared" si="8"/>
        <v>#DIV/0!</v>
      </c>
      <c r="Z36" s="1495">
        <f t="shared" si="9"/>
        <v>0</v>
      </c>
      <c r="AA36" s="1506">
        <f t="shared" si="10"/>
        <v>0</v>
      </c>
      <c r="AB36" s="1505"/>
      <c r="AC36" s="1504">
        <f t="shared" si="11"/>
        <v>0</v>
      </c>
      <c r="AD36" s="1503">
        <f t="shared" si="12"/>
        <v>0</v>
      </c>
      <c r="AE36" s="1503">
        <f t="shared" si="13"/>
        <v>0</v>
      </c>
      <c r="AF36" s="1502">
        <f t="shared" si="14"/>
        <v>0</v>
      </c>
    </row>
    <row r="37" spans="1:32" s="1474" customFormat="1" ht="23.25" customHeight="1">
      <c r="A37" s="1515"/>
      <c r="B37" s="1513"/>
      <c r="C37" s="1514"/>
      <c r="D37" s="1514"/>
      <c r="E37" s="1513"/>
      <c r="F37" s="1512">
        <f t="shared" si="0"/>
        <v>0</v>
      </c>
      <c r="G37" s="1508"/>
      <c r="H37" s="1511"/>
      <c r="I37" s="1508"/>
      <c r="J37" s="1508"/>
      <c r="K37" s="1508"/>
      <c r="L37" s="1508"/>
      <c r="M37" s="1510">
        <f t="shared" si="2"/>
        <v>0</v>
      </c>
      <c r="N37" s="1510">
        <f t="shared" si="3"/>
        <v>0</v>
      </c>
      <c r="O37" s="1509"/>
      <c r="P37" s="1509"/>
      <c r="Q37" s="1509"/>
      <c r="R37" s="1508"/>
      <c r="S37" s="1508"/>
      <c r="T37" s="1507"/>
      <c r="U37" s="1495">
        <f t="shared" si="4"/>
        <v>0</v>
      </c>
      <c r="V37" s="1495">
        <f t="shared" si="5"/>
        <v>0</v>
      </c>
      <c r="W37" s="1495">
        <f t="shared" si="6"/>
        <v>0</v>
      </c>
      <c r="X37" s="1495">
        <f t="shared" si="7"/>
        <v>0</v>
      </c>
      <c r="Y37" s="1495" t="e">
        <f t="shared" si="8"/>
        <v>#DIV/0!</v>
      </c>
      <c r="Z37" s="1495">
        <f t="shared" si="9"/>
        <v>0</v>
      </c>
      <c r="AA37" s="1506">
        <f t="shared" si="10"/>
        <v>0</v>
      </c>
      <c r="AB37" s="1505"/>
      <c r="AC37" s="1504">
        <f t="shared" si="11"/>
        <v>0</v>
      </c>
      <c r="AD37" s="1503">
        <f t="shared" si="12"/>
        <v>0</v>
      </c>
      <c r="AE37" s="1503">
        <f t="shared" si="13"/>
        <v>0</v>
      </c>
      <c r="AF37" s="1502">
        <f t="shared" si="14"/>
        <v>0</v>
      </c>
    </row>
    <row r="38" spans="1:32" s="1474" customFormat="1" ht="23.25" customHeight="1">
      <c r="A38" s="1515"/>
      <c r="B38" s="1513"/>
      <c r="C38" s="1514"/>
      <c r="D38" s="1514"/>
      <c r="E38" s="1513"/>
      <c r="F38" s="1512">
        <f t="shared" si="0"/>
        <v>0</v>
      </c>
      <c r="G38" s="1508"/>
      <c r="H38" s="1511"/>
      <c r="I38" s="1508"/>
      <c r="J38" s="1508"/>
      <c r="K38" s="1508"/>
      <c r="L38" s="1508"/>
      <c r="M38" s="1510">
        <f t="shared" si="2"/>
        <v>0</v>
      </c>
      <c r="N38" s="1510">
        <f t="shared" si="3"/>
        <v>0</v>
      </c>
      <c r="O38" s="1509"/>
      <c r="P38" s="1509"/>
      <c r="Q38" s="1509"/>
      <c r="R38" s="1508"/>
      <c r="S38" s="1508"/>
      <c r="T38" s="1507"/>
      <c r="U38" s="1495">
        <f t="shared" si="4"/>
        <v>0</v>
      </c>
      <c r="V38" s="1495">
        <f t="shared" si="5"/>
        <v>0</v>
      </c>
      <c r="W38" s="1495">
        <f t="shared" si="6"/>
        <v>0</v>
      </c>
      <c r="X38" s="1495">
        <f t="shared" si="7"/>
        <v>0</v>
      </c>
      <c r="Y38" s="1495" t="e">
        <f t="shared" si="8"/>
        <v>#DIV/0!</v>
      </c>
      <c r="Z38" s="1495">
        <f t="shared" si="9"/>
        <v>0</v>
      </c>
      <c r="AA38" s="1506">
        <f t="shared" si="10"/>
        <v>0</v>
      </c>
      <c r="AB38" s="1505"/>
      <c r="AC38" s="1504">
        <f t="shared" si="11"/>
        <v>0</v>
      </c>
      <c r="AD38" s="1503">
        <f t="shared" si="12"/>
        <v>0</v>
      </c>
      <c r="AE38" s="1503">
        <f t="shared" si="13"/>
        <v>0</v>
      </c>
      <c r="AF38" s="1502">
        <f t="shared" si="14"/>
        <v>0</v>
      </c>
    </row>
    <row r="39" spans="1:32" s="1474" customFormat="1" ht="23.25" customHeight="1">
      <c r="A39" s="1515"/>
      <c r="B39" s="1513"/>
      <c r="C39" s="1514"/>
      <c r="D39" s="1514"/>
      <c r="E39" s="1513"/>
      <c r="F39" s="1512">
        <f t="shared" si="0"/>
        <v>0</v>
      </c>
      <c r="G39" s="1508"/>
      <c r="H39" s="1511"/>
      <c r="I39" s="1508"/>
      <c r="J39" s="1508"/>
      <c r="K39" s="1508"/>
      <c r="L39" s="1508"/>
      <c r="M39" s="1510">
        <f t="shared" si="2"/>
        <v>0</v>
      </c>
      <c r="N39" s="1510">
        <f t="shared" si="3"/>
        <v>0</v>
      </c>
      <c r="O39" s="1509"/>
      <c r="P39" s="1509"/>
      <c r="Q39" s="1509"/>
      <c r="R39" s="1508"/>
      <c r="S39" s="1508"/>
      <c r="T39" s="1507"/>
      <c r="U39" s="1495">
        <f t="shared" si="4"/>
        <v>0</v>
      </c>
      <c r="V39" s="1495">
        <f t="shared" si="5"/>
        <v>0</v>
      </c>
      <c r="W39" s="1495">
        <f t="shared" si="6"/>
        <v>0</v>
      </c>
      <c r="X39" s="1495">
        <f t="shared" si="7"/>
        <v>0</v>
      </c>
      <c r="Y39" s="1495" t="e">
        <f t="shared" si="8"/>
        <v>#DIV/0!</v>
      </c>
      <c r="Z39" s="1495">
        <f t="shared" si="9"/>
        <v>0</v>
      </c>
      <c r="AA39" s="1506">
        <f t="shared" si="10"/>
        <v>0</v>
      </c>
      <c r="AB39" s="1505"/>
      <c r="AC39" s="1504">
        <f t="shared" si="11"/>
        <v>0</v>
      </c>
      <c r="AD39" s="1503">
        <f t="shared" si="12"/>
        <v>0</v>
      </c>
      <c r="AE39" s="1503">
        <f t="shared" si="13"/>
        <v>0</v>
      </c>
      <c r="AF39" s="1502">
        <f t="shared" si="14"/>
        <v>0</v>
      </c>
    </row>
    <row r="40" spans="1:32" s="1474" customFormat="1" ht="23.25" customHeight="1">
      <c r="A40" s="1515"/>
      <c r="B40" s="1513"/>
      <c r="C40" s="1514"/>
      <c r="D40" s="1514"/>
      <c r="E40" s="1513"/>
      <c r="F40" s="1512">
        <f t="shared" si="0"/>
        <v>0</v>
      </c>
      <c r="G40" s="1508"/>
      <c r="H40" s="1511"/>
      <c r="I40" s="1508"/>
      <c r="J40" s="1508"/>
      <c r="K40" s="1508"/>
      <c r="L40" s="1508"/>
      <c r="M40" s="1510">
        <f t="shared" si="2"/>
        <v>0</v>
      </c>
      <c r="N40" s="1510">
        <f t="shared" si="3"/>
        <v>0</v>
      </c>
      <c r="O40" s="1509"/>
      <c r="P40" s="1509"/>
      <c r="Q40" s="1509"/>
      <c r="R40" s="1508"/>
      <c r="S40" s="1508"/>
      <c r="T40" s="1507"/>
      <c r="U40" s="1495">
        <f t="shared" si="4"/>
        <v>0</v>
      </c>
      <c r="V40" s="1495">
        <f t="shared" si="5"/>
        <v>0</v>
      </c>
      <c r="W40" s="1495">
        <f t="shared" si="6"/>
        <v>0</v>
      </c>
      <c r="X40" s="1495">
        <f t="shared" si="7"/>
        <v>0</v>
      </c>
      <c r="Y40" s="1495" t="e">
        <f t="shared" si="8"/>
        <v>#DIV/0!</v>
      </c>
      <c r="Z40" s="1495">
        <f t="shared" si="9"/>
        <v>0</v>
      </c>
      <c r="AA40" s="1506">
        <f t="shared" si="10"/>
        <v>0</v>
      </c>
      <c r="AB40" s="1505"/>
      <c r="AC40" s="1504">
        <f t="shared" si="11"/>
        <v>0</v>
      </c>
      <c r="AD40" s="1503">
        <f t="shared" si="12"/>
        <v>0</v>
      </c>
      <c r="AE40" s="1503">
        <f t="shared" si="13"/>
        <v>0</v>
      </c>
      <c r="AF40" s="1502">
        <f t="shared" si="14"/>
        <v>0</v>
      </c>
    </row>
    <row r="41" spans="1:32" s="1474" customFormat="1" ht="23.25" customHeight="1">
      <c r="A41" s="1515"/>
      <c r="B41" s="1513"/>
      <c r="C41" s="1514"/>
      <c r="D41" s="1514"/>
      <c r="E41" s="1513"/>
      <c r="F41" s="1512">
        <f t="shared" si="0"/>
        <v>0</v>
      </c>
      <c r="G41" s="1508"/>
      <c r="H41" s="1511"/>
      <c r="I41" s="1508"/>
      <c r="J41" s="1508"/>
      <c r="K41" s="1508"/>
      <c r="L41" s="1508"/>
      <c r="M41" s="1510">
        <f t="shared" si="2"/>
        <v>0</v>
      </c>
      <c r="N41" s="1510">
        <f t="shared" si="3"/>
        <v>0</v>
      </c>
      <c r="O41" s="1509"/>
      <c r="P41" s="1509"/>
      <c r="Q41" s="1509"/>
      <c r="R41" s="1508"/>
      <c r="S41" s="1508"/>
      <c r="T41" s="1507"/>
      <c r="U41" s="1495">
        <f t="shared" si="4"/>
        <v>0</v>
      </c>
      <c r="V41" s="1495">
        <f t="shared" si="5"/>
        <v>0</v>
      </c>
      <c r="W41" s="1495">
        <f t="shared" si="6"/>
        <v>0</v>
      </c>
      <c r="X41" s="1495">
        <f t="shared" si="7"/>
        <v>0</v>
      </c>
      <c r="Y41" s="1495" t="e">
        <f t="shared" si="8"/>
        <v>#DIV/0!</v>
      </c>
      <c r="Z41" s="1495">
        <f t="shared" si="9"/>
        <v>0</v>
      </c>
      <c r="AA41" s="1506">
        <f t="shared" si="10"/>
        <v>0</v>
      </c>
      <c r="AB41" s="1505"/>
      <c r="AC41" s="1504">
        <f t="shared" si="11"/>
        <v>0</v>
      </c>
      <c r="AD41" s="1503">
        <f t="shared" si="12"/>
        <v>0</v>
      </c>
      <c r="AE41" s="1503">
        <f t="shared" si="13"/>
        <v>0</v>
      </c>
      <c r="AF41" s="1502">
        <f t="shared" si="14"/>
        <v>0</v>
      </c>
    </row>
    <row r="42" spans="1:32" s="1474" customFormat="1" ht="23.25" customHeight="1">
      <c r="A42" s="1515"/>
      <c r="B42" s="1513"/>
      <c r="C42" s="1514"/>
      <c r="D42" s="1514"/>
      <c r="E42" s="1513"/>
      <c r="F42" s="1512">
        <f t="shared" si="0"/>
        <v>0</v>
      </c>
      <c r="G42" s="1508"/>
      <c r="H42" s="1511"/>
      <c r="I42" s="1508"/>
      <c r="J42" s="1508"/>
      <c r="K42" s="1508"/>
      <c r="L42" s="1508"/>
      <c r="M42" s="1510">
        <f t="shared" si="2"/>
        <v>0</v>
      </c>
      <c r="N42" s="1510">
        <f t="shared" si="3"/>
        <v>0</v>
      </c>
      <c r="O42" s="1509"/>
      <c r="P42" s="1509"/>
      <c r="Q42" s="1509"/>
      <c r="R42" s="1508"/>
      <c r="S42" s="1508"/>
      <c r="T42" s="1507"/>
      <c r="U42" s="1495">
        <f t="shared" si="4"/>
        <v>0</v>
      </c>
      <c r="V42" s="1495">
        <f t="shared" si="5"/>
        <v>0</v>
      </c>
      <c r="W42" s="1495">
        <f t="shared" si="6"/>
        <v>0</v>
      </c>
      <c r="X42" s="1495">
        <f t="shared" si="7"/>
        <v>0</v>
      </c>
      <c r="Y42" s="1495" t="e">
        <f t="shared" si="8"/>
        <v>#DIV/0!</v>
      </c>
      <c r="Z42" s="1495">
        <f t="shared" si="9"/>
        <v>0</v>
      </c>
      <c r="AA42" s="1506">
        <f t="shared" si="10"/>
        <v>0</v>
      </c>
      <c r="AB42" s="1505"/>
      <c r="AC42" s="1504">
        <f t="shared" si="11"/>
        <v>0</v>
      </c>
      <c r="AD42" s="1503">
        <f t="shared" si="12"/>
        <v>0</v>
      </c>
      <c r="AE42" s="1503">
        <f t="shared" si="13"/>
        <v>0</v>
      </c>
      <c r="AF42" s="1502">
        <f t="shared" si="14"/>
        <v>0</v>
      </c>
    </row>
    <row r="43" spans="1:32" s="1474" customFormat="1" ht="23.25" customHeight="1">
      <c r="A43" s="1515"/>
      <c r="B43" s="1513"/>
      <c r="C43" s="1514"/>
      <c r="D43" s="1514"/>
      <c r="E43" s="1513"/>
      <c r="F43" s="1512">
        <f t="shared" si="0"/>
        <v>0</v>
      </c>
      <c r="G43" s="1508"/>
      <c r="H43" s="1511"/>
      <c r="I43" s="1508"/>
      <c r="J43" s="1508"/>
      <c r="K43" s="1508"/>
      <c r="L43" s="1508"/>
      <c r="M43" s="1510">
        <f t="shared" si="2"/>
        <v>0</v>
      </c>
      <c r="N43" s="1510">
        <f t="shared" si="3"/>
        <v>0</v>
      </c>
      <c r="O43" s="1509"/>
      <c r="P43" s="1509"/>
      <c r="Q43" s="1509"/>
      <c r="R43" s="1508"/>
      <c r="S43" s="1508"/>
      <c r="T43" s="1507"/>
      <c r="U43" s="1495">
        <f t="shared" si="4"/>
        <v>0</v>
      </c>
      <c r="V43" s="1495">
        <f t="shared" si="5"/>
        <v>0</v>
      </c>
      <c r="W43" s="1495">
        <f t="shared" si="6"/>
        <v>0</v>
      </c>
      <c r="X43" s="1495">
        <f t="shared" si="7"/>
        <v>0</v>
      </c>
      <c r="Y43" s="1495" t="e">
        <f t="shared" si="8"/>
        <v>#DIV/0!</v>
      </c>
      <c r="Z43" s="1495">
        <f t="shared" si="9"/>
        <v>0</v>
      </c>
      <c r="AA43" s="1506">
        <f t="shared" si="10"/>
        <v>0</v>
      </c>
      <c r="AB43" s="1505"/>
      <c r="AC43" s="1504">
        <f t="shared" si="11"/>
        <v>0</v>
      </c>
      <c r="AD43" s="1503">
        <f t="shared" si="12"/>
        <v>0</v>
      </c>
      <c r="AE43" s="1503">
        <f t="shared" si="13"/>
        <v>0</v>
      </c>
      <c r="AF43" s="1502">
        <f t="shared" si="14"/>
        <v>0</v>
      </c>
    </row>
    <row r="44" spans="1:32" s="1474" customFormat="1" ht="23.25" customHeight="1">
      <c r="A44" s="1515"/>
      <c r="B44" s="1513"/>
      <c r="C44" s="1514"/>
      <c r="D44" s="1514"/>
      <c r="E44" s="1513"/>
      <c r="F44" s="1512">
        <f t="shared" si="0"/>
        <v>0</v>
      </c>
      <c r="G44" s="1508"/>
      <c r="H44" s="1511"/>
      <c r="I44" s="1508"/>
      <c r="J44" s="1508"/>
      <c r="K44" s="1508"/>
      <c r="L44" s="1508"/>
      <c r="M44" s="1510">
        <f t="shared" si="2"/>
        <v>0</v>
      </c>
      <c r="N44" s="1510">
        <f t="shared" si="3"/>
        <v>0</v>
      </c>
      <c r="O44" s="1509"/>
      <c r="P44" s="1509"/>
      <c r="Q44" s="1509"/>
      <c r="R44" s="1508"/>
      <c r="S44" s="1508"/>
      <c r="T44" s="1507"/>
      <c r="U44" s="1495">
        <f t="shared" si="4"/>
        <v>0</v>
      </c>
      <c r="V44" s="1495">
        <f t="shared" si="5"/>
        <v>0</v>
      </c>
      <c r="W44" s="1495">
        <f t="shared" si="6"/>
        <v>0</v>
      </c>
      <c r="X44" s="1495">
        <f t="shared" si="7"/>
        <v>0</v>
      </c>
      <c r="Y44" s="1495" t="e">
        <f t="shared" si="8"/>
        <v>#DIV/0!</v>
      </c>
      <c r="Z44" s="1495">
        <f t="shared" si="9"/>
        <v>0</v>
      </c>
      <c r="AA44" s="1506">
        <f t="shared" si="10"/>
        <v>0</v>
      </c>
      <c r="AB44" s="1505"/>
      <c r="AC44" s="1504">
        <f t="shared" si="11"/>
        <v>0</v>
      </c>
      <c r="AD44" s="1503">
        <f t="shared" si="12"/>
        <v>0</v>
      </c>
      <c r="AE44" s="1503">
        <f t="shared" si="13"/>
        <v>0</v>
      </c>
      <c r="AF44" s="1502">
        <f t="shared" si="14"/>
        <v>0</v>
      </c>
    </row>
    <row r="45" spans="1:32" s="1474" customFormat="1" ht="23.25" customHeight="1">
      <c r="A45" s="1515"/>
      <c r="B45" s="1513"/>
      <c r="C45" s="1514"/>
      <c r="D45" s="1514"/>
      <c r="E45" s="1513"/>
      <c r="F45" s="1512">
        <f t="shared" si="0"/>
        <v>0</v>
      </c>
      <c r="G45" s="1508"/>
      <c r="H45" s="1511"/>
      <c r="I45" s="1508"/>
      <c r="J45" s="1508"/>
      <c r="K45" s="1508"/>
      <c r="L45" s="1508"/>
      <c r="M45" s="1510">
        <f t="shared" si="2"/>
        <v>0</v>
      </c>
      <c r="N45" s="1510">
        <f t="shared" si="3"/>
        <v>0</v>
      </c>
      <c r="O45" s="1509"/>
      <c r="P45" s="1509"/>
      <c r="Q45" s="1509"/>
      <c r="R45" s="1508"/>
      <c r="S45" s="1508"/>
      <c r="T45" s="1507"/>
      <c r="U45" s="1495">
        <f t="shared" si="4"/>
        <v>0</v>
      </c>
      <c r="V45" s="1495">
        <f t="shared" si="5"/>
        <v>0</v>
      </c>
      <c r="W45" s="1495">
        <f t="shared" si="6"/>
        <v>0</v>
      </c>
      <c r="X45" s="1495">
        <f t="shared" si="7"/>
        <v>0</v>
      </c>
      <c r="Y45" s="1495" t="e">
        <f t="shared" si="8"/>
        <v>#DIV/0!</v>
      </c>
      <c r="Z45" s="1495">
        <f t="shared" si="9"/>
        <v>0</v>
      </c>
      <c r="AA45" s="1506">
        <f t="shared" si="10"/>
        <v>0</v>
      </c>
      <c r="AB45" s="1505"/>
      <c r="AC45" s="1504">
        <f t="shared" si="11"/>
        <v>0</v>
      </c>
      <c r="AD45" s="1503">
        <f t="shared" si="12"/>
        <v>0</v>
      </c>
      <c r="AE45" s="1503">
        <f t="shared" si="13"/>
        <v>0</v>
      </c>
      <c r="AF45" s="1502">
        <f t="shared" si="14"/>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2"/>
        <v>0</v>
      </c>
      <c r="N46" s="1498">
        <f t="shared" si="3"/>
        <v>0</v>
      </c>
      <c r="O46" s="1497"/>
      <c r="P46" s="1497"/>
      <c r="Q46" s="1497"/>
      <c r="R46" s="1496"/>
      <c r="S46" s="1496"/>
      <c r="T46" s="1496"/>
      <c r="U46" s="1494">
        <f t="shared" si="4"/>
        <v>0</v>
      </c>
      <c r="V46" s="1494">
        <f t="shared" si="5"/>
        <v>0</v>
      </c>
      <c r="W46" s="1494">
        <f t="shared" si="6"/>
        <v>0</v>
      </c>
      <c r="X46" s="1494">
        <f t="shared" si="7"/>
        <v>0</v>
      </c>
      <c r="Y46" s="1495" t="e">
        <f t="shared" si="8"/>
        <v>#DIV/0!</v>
      </c>
      <c r="Z46" s="1494">
        <f t="shared" si="9"/>
        <v>0</v>
      </c>
      <c r="AA46" s="1493">
        <f t="shared" si="10"/>
        <v>0</v>
      </c>
      <c r="AB46" s="1492"/>
      <c r="AC46" s="1491">
        <f t="shared" si="11"/>
        <v>0</v>
      </c>
      <c r="AD46" s="1490">
        <f t="shared" si="12"/>
        <v>0</v>
      </c>
      <c r="AE46" s="1490">
        <f t="shared" si="13"/>
        <v>0</v>
      </c>
      <c r="AF46" s="1489">
        <f t="shared" si="14"/>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161700000</v>
      </c>
      <c r="F48" s="1480">
        <f>SUM(F13:F46)</f>
        <v>29106000</v>
      </c>
      <c r="G48" s="1481"/>
      <c r="H48" s="1481"/>
      <c r="I48" s="1481"/>
      <c r="J48" s="1481"/>
      <c r="K48" s="1481"/>
      <c r="L48" s="1481"/>
      <c r="M48" s="1480">
        <f t="shared" ref="M48:X48" si="16">SUM(M13:M46)</f>
        <v>161700000</v>
      </c>
      <c r="N48" s="1480">
        <f t="shared" si="16"/>
        <v>28548000</v>
      </c>
      <c r="O48" s="1480">
        <f t="shared" si="16"/>
        <v>161700000</v>
      </c>
      <c r="P48" s="1480">
        <f t="shared" si="16"/>
        <v>28548000</v>
      </c>
      <c r="Q48" s="1480">
        <f t="shared" si="16"/>
        <v>0</v>
      </c>
      <c r="R48" s="1480">
        <f t="shared" si="16"/>
        <v>0</v>
      </c>
      <c r="S48" s="1480">
        <f t="shared" si="16"/>
        <v>0</v>
      </c>
      <c r="T48" s="1480">
        <f t="shared" si="16"/>
        <v>0</v>
      </c>
      <c r="U48" s="1480">
        <f t="shared" si="16"/>
        <v>161700000</v>
      </c>
      <c r="V48" s="1480">
        <f t="shared" si="16"/>
        <v>28548000</v>
      </c>
      <c r="W48" s="1480">
        <f t="shared" si="16"/>
        <v>0</v>
      </c>
      <c r="X48" s="1480">
        <f t="shared" si="16"/>
        <v>0</v>
      </c>
      <c r="Y48" s="1480">
        <f>SUM(U48/M48)*100</f>
        <v>100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20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525" t="s">
        <v>0</v>
      </c>
      <c r="B54" s="3525"/>
      <c r="C54" s="3525"/>
      <c r="D54" s="3525"/>
      <c r="E54" s="3525"/>
      <c r="F54" s="3525"/>
      <c r="G54" s="3525"/>
      <c r="H54" s="3525"/>
      <c r="I54" s="3525"/>
      <c r="J54" s="3525"/>
      <c r="K54" s="3525"/>
      <c r="L54" s="3525"/>
      <c r="M54" s="3525"/>
      <c r="N54" s="3525"/>
      <c r="O54" s="3525"/>
      <c r="P54" s="3525"/>
      <c r="Q54" s="3525"/>
      <c r="R54" s="3525"/>
      <c r="S54" s="3525"/>
      <c r="T54" s="3525"/>
      <c r="U54" s="3525"/>
      <c r="V54" s="3525"/>
      <c r="W54" s="3525"/>
      <c r="X54" s="3525"/>
      <c r="Y54" s="3525"/>
      <c r="Z54" s="3525"/>
      <c r="AA54" s="3525"/>
      <c r="AB54" s="1562"/>
      <c r="AC54" s="1560"/>
      <c r="AD54" s="1560"/>
      <c r="AE54" s="1560"/>
      <c r="AF54" s="1560"/>
    </row>
    <row r="55" spans="1:32" s="1559" customFormat="1" ht="24.75" customHeight="1">
      <c r="A55" s="3525" t="str">
        <f>A2</f>
        <v>LAPORAN PERKEMBANGAN PINJAMAN  SPP</v>
      </c>
      <c r="B55" s="3525"/>
      <c r="C55" s="3525"/>
      <c r="D55" s="3525"/>
      <c r="E55" s="3525"/>
      <c r="F55" s="3525"/>
      <c r="G55" s="3525"/>
      <c r="H55" s="3525"/>
      <c r="I55" s="3525"/>
      <c r="J55" s="3525"/>
      <c r="K55" s="3525"/>
      <c r="L55" s="3525"/>
      <c r="M55" s="3525"/>
      <c r="N55" s="3525"/>
      <c r="O55" s="3525"/>
      <c r="P55" s="3525"/>
      <c r="Q55" s="3525"/>
      <c r="R55" s="3525"/>
      <c r="S55" s="3525"/>
      <c r="T55" s="3525"/>
      <c r="U55" s="3525"/>
      <c r="V55" s="3525"/>
      <c r="W55" s="3525"/>
      <c r="X55" s="3525"/>
      <c r="Y55" s="3525"/>
      <c r="Z55" s="3525"/>
      <c r="AA55" s="3525"/>
      <c r="AB55" s="1562"/>
      <c r="AC55" s="1560"/>
      <c r="AD55" s="1560"/>
      <c r="AE55" s="1560"/>
      <c r="AF55" s="1560"/>
    </row>
    <row r="56" spans="1:32" s="1559" customFormat="1" ht="34.5">
      <c r="A56" s="3525" t="s">
        <v>1504</v>
      </c>
      <c r="B56" s="3525"/>
      <c r="C56" s="3525"/>
      <c r="D56" s="3525"/>
      <c r="E56" s="3525"/>
      <c r="F56" s="3525"/>
      <c r="G56" s="3525"/>
      <c r="H56" s="3525"/>
      <c r="I56" s="3525"/>
      <c r="J56" s="3525"/>
      <c r="K56" s="3525"/>
      <c r="L56" s="3525"/>
      <c r="M56" s="3525"/>
      <c r="N56" s="3525"/>
      <c r="O56" s="3525"/>
      <c r="P56" s="3525"/>
      <c r="Q56" s="3525"/>
      <c r="R56" s="3525"/>
      <c r="S56" s="3525"/>
      <c r="T56" s="3525"/>
      <c r="U56" s="3525"/>
      <c r="V56" s="3525"/>
      <c r="W56" s="3525"/>
      <c r="X56" s="3525"/>
      <c r="Y56" s="3525"/>
      <c r="Z56" s="3525"/>
      <c r="AA56" s="3525"/>
      <c r="AB56" s="1561"/>
      <c r="AC56" s="1560"/>
      <c r="AD56" s="1560"/>
      <c r="AE56" s="1560"/>
      <c r="AF56" s="1560"/>
    </row>
    <row r="57" spans="1:32" s="1547" customFormat="1" ht="26.25">
      <c r="A57" s="3525" t="str">
        <f>A4</f>
        <v>Per - Februari 2016 2016</v>
      </c>
      <c r="B57" s="3525"/>
      <c r="C57" s="3525"/>
      <c r="D57" s="3525"/>
      <c r="E57" s="3525"/>
      <c r="F57" s="3525"/>
      <c r="G57" s="3525"/>
      <c r="H57" s="3525"/>
      <c r="I57" s="3525"/>
      <c r="J57" s="3525"/>
      <c r="K57" s="3525"/>
      <c r="L57" s="3525"/>
      <c r="M57" s="3525"/>
      <c r="N57" s="3525"/>
      <c r="O57" s="3525"/>
      <c r="P57" s="3525"/>
      <c r="Q57" s="3525"/>
      <c r="R57" s="3525"/>
      <c r="S57" s="3525"/>
      <c r="T57" s="3525"/>
      <c r="U57" s="3525"/>
      <c r="V57" s="3525"/>
      <c r="W57" s="3525"/>
      <c r="X57" s="3525"/>
      <c r="Y57" s="3525"/>
      <c r="Z57" s="3525"/>
      <c r="AA57" s="3525"/>
      <c r="AB57" s="1556"/>
      <c r="AC57" s="1548"/>
      <c r="AD57" s="1548"/>
    </row>
    <row r="58" spans="1:32" s="1542" customFormat="1" ht="24.75" customHeight="1">
      <c r="A58" s="3410" t="s">
        <v>1503</v>
      </c>
      <c r="B58" s="3410"/>
      <c r="C58" s="3410"/>
      <c r="D58" s="1553"/>
      <c r="E58" s="1558" t="str">
        <f>E5</f>
        <v>:  CIHANYAWAR</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3" t="s">
        <v>36</v>
      </c>
      <c r="B63" s="3413" t="s">
        <v>1499</v>
      </c>
      <c r="C63" s="3413"/>
      <c r="D63" s="3413" t="s">
        <v>1498</v>
      </c>
      <c r="E63" s="3413" t="s">
        <v>1497</v>
      </c>
      <c r="F63" s="3413"/>
      <c r="G63" s="3413" t="s">
        <v>1496</v>
      </c>
      <c r="H63" s="3413" t="s">
        <v>1495</v>
      </c>
      <c r="I63" s="3413" t="s">
        <v>1494</v>
      </c>
      <c r="J63" s="3413" t="s">
        <v>1493</v>
      </c>
      <c r="K63" s="3413" t="s">
        <v>1492</v>
      </c>
      <c r="L63" s="3413"/>
      <c r="M63" s="3413" t="s">
        <v>1491</v>
      </c>
      <c r="N63" s="3413"/>
      <c r="O63" s="3413" t="s">
        <v>1490</v>
      </c>
      <c r="P63" s="3413"/>
      <c r="Q63" s="3413"/>
      <c r="R63" s="3413" t="s">
        <v>1489</v>
      </c>
      <c r="S63" s="3413"/>
      <c r="T63" s="3413"/>
      <c r="U63" s="3413" t="s">
        <v>1488</v>
      </c>
      <c r="V63" s="3413"/>
      <c r="W63" s="3413"/>
      <c r="X63" s="3413" t="s">
        <v>1487</v>
      </c>
      <c r="Y63" s="3413" t="s">
        <v>1486</v>
      </c>
      <c r="Z63" s="3413" t="s">
        <v>1485</v>
      </c>
      <c r="AA63" s="3413"/>
      <c r="AB63" s="3410" t="s">
        <v>1484</v>
      </c>
      <c r="AC63" s="1541" t="s">
        <v>1483</v>
      </c>
      <c r="AD63" s="1540" t="s">
        <v>1482</v>
      </c>
      <c r="AE63" s="1540" t="s">
        <v>1481</v>
      </c>
      <c r="AF63" s="1539" t="s">
        <v>1480</v>
      </c>
    </row>
    <row r="64" spans="1:32" s="1528" customFormat="1" ht="31.5" customHeight="1" thickBot="1">
      <c r="A64" s="3413"/>
      <c r="B64" s="2154" t="s">
        <v>1479</v>
      </c>
      <c r="C64" s="2154" t="s">
        <v>1478</v>
      </c>
      <c r="D64" s="3413"/>
      <c r="E64" s="1537" t="s">
        <v>16</v>
      </c>
      <c r="F64" s="1537" t="s">
        <v>1476</v>
      </c>
      <c r="G64" s="3413"/>
      <c r="H64" s="3413"/>
      <c r="I64" s="3413"/>
      <c r="J64" s="3413"/>
      <c r="K64" s="3413" t="s">
        <v>16</v>
      </c>
      <c r="L64" s="3413" t="s">
        <v>1476</v>
      </c>
      <c r="M64" s="1537" t="s">
        <v>16</v>
      </c>
      <c r="N64" s="1537" t="s">
        <v>1476</v>
      </c>
      <c r="O64" s="1537" t="s">
        <v>16</v>
      </c>
      <c r="P64" s="1537" t="s">
        <v>1476</v>
      </c>
      <c r="Q64" s="1537" t="s">
        <v>1477</v>
      </c>
      <c r="R64" s="1537" t="s">
        <v>16</v>
      </c>
      <c r="S64" s="1537" t="s">
        <v>1476</v>
      </c>
      <c r="T64" s="1537" t="s">
        <v>1477</v>
      </c>
      <c r="U64" s="1537" t="s">
        <v>16</v>
      </c>
      <c r="V64" s="1537" t="s">
        <v>1476</v>
      </c>
      <c r="W64" s="1537" t="s">
        <v>1477</v>
      </c>
      <c r="X64" s="3413"/>
      <c r="Y64" s="3413"/>
      <c r="Z64" s="1537" t="s">
        <v>16</v>
      </c>
      <c r="AA64" s="2154" t="s">
        <v>1476</v>
      </c>
      <c r="AB64" s="3410"/>
      <c r="AC64" s="1531" t="s">
        <v>1475</v>
      </c>
      <c r="AD64" s="1530" t="s">
        <v>1474</v>
      </c>
      <c r="AE64" s="1530" t="s">
        <v>1473</v>
      </c>
      <c r="AF64" s="1529" t="s">
        <v>1472</v>
      </c>
    </row>
    <row r="65" spans="1:32" s="1461" customFormat="1" ht="13.5" customHeight="1" thickBot="1">
      <c r="A65" s="2154">
        <v>1</v>
      </c>
      <c r="B65" s="2154">
        <v>2</v>
      </c>
      <c r="C65" s="2154">
        <v>3</v>
      </c>
      <c r="D65" s="3413"/>
      <c r="E65" s="2154">
        <v>4</v>
      </c>
      <c r="F65" s="2154">
        <v>5</v>
      </c>
      <c r="G65" s="2154">
        <v>6</v>
      </c>
      <c r="H65" s="3413"/>
      <c r="I65" s="3413"/>
      <c r="J65" s="3413"/>
      <c r="K65" s="3413"/>
      <c r="L65" s="3413"/>
      <c r="M65" s="2154">
        <v>7</v>
      </c>
      <c r="N65" s="2154">
        <v>8</v>
      </c>
      <c r="O65" s="2154">
        <v>9</v>
      </c>
      <c r="P65" s="2154">
        <v>10</v>
      </c>
      <c r="Q65" s="2154">
        <v>11</v>
      </c>
      <c r="R65" s="2154">
        <v>12</v>
      </c>
      <c r="S65" s="2154">
        <v>13</v>
      </c>
      <c r="T65" s="2154">
        <v>14</v>
      </c>
      <c r="U65" s="2154" t="s">
        <v>1471</v>
      </c>
      <c r="V65" s="2154" t="s">
        <v>1470</v>
      </c>
      <c r="W65" s="2154" t="s">
        <v>1469</v>
      </c>
      <c r="X65" s="2154" t="s">
        <v>1468</v>
      </c>
      <c r="Y65" s="2154" t="s">
        <v>1467</v>
      </c>
      <c r="Z65" s="2154" t="s">
        <v>1466</v>
      </c>
      <c r="AA65" s="2154" t="s">
        <v>1465</v>
      </c>
      <c r="AB65">
        <v>22</v>
      </c>
      <c r="AC65" s="1518">
        <v>23</v>
      </c>
      <c r="AD65" s="1517">
        <v>24</v>
      </c>
      <c r="AE65" s="1517">
        <v>25</v>
      </c>
      <c r="AF65" s="1516">
        <v>26</v>
      </c>
    </row>
    <row r="66" spans="1:32" s="1474" customFormat="1" ht="23.25" customHeight="1" thickTop="1">
      <c r="A66" s="1515">
        <v>1</v>
      </c>
      <c r="B66" s="1513" t="s">
        <v>1924</v>
      </c>
      <c r="C66" s="1514" t="s">
        <v>1925</v>
      </c>
      <c r="D66" s="1514"/>
      <c r="E66" s="1513">
        <v>12000000</v>
      </c>
      <c r="F66" s="1512">
        <f t="shared" ref="F66:F234" si="17">E66*H66</f>
        <v>2160000</v>
      </c>
      <c r="G66" s="2141">
        <v>39939</v>
      </c>
      <c r="H66" s="1511">
        <v>0.18</v>
      </c>
      <c r="I66" s="1508">
        <v>12</v>
      </c>
      <c r="J66" s="1508">
        <v>12</v>
      </c>
      <c r="K66" s="1508">
        <v>1000000</v>
      </c>
      <c r="L66" s="1508">
        <v>180000</v>
      </c>
      <c r="M66" s="1510">
        <f>IF(J66&lt;I66,J66*K66,IF(J66&gt;=I66,E66))</f>
        <v>12000000</v>
      </c>
      <c r="N66" s="1510">
        <f t="shared" ref="N66:N234" si="18">IF(J66&lt;I66,J66*L66,IF(J66&gt;=I66,F66))</f>
        <v>2160000</v>
      </c>
      <c r="O66" s="1509">
        <v>12000000</v>
      </c>
      <c r="P66" s="1509">
        <v>2160000</v>
      </c>
      <c r="Q66" s="1509"/>
      <c r="R66" s="2651"/>
      <c r="S66" s="2651"/>
      <c r="T66" s="1507"/>
      <c r="U66" s="1495">
        <f t="shared" ref="U66:U234" si="19">SUM(O66+R66)</f>
        <v>12000000</v>
      </c>
      <c r="V66" s="1495">
        <f t="shared" ref="V66:V234" si="20">SUM(P66+S66)</f>
        <v>2160000</v>
      </c>
      <c r="W66" s="1495">
        <f t="shared" ref="W66:W116" si="21">SUM(Q66+T66)</f>
        <v>0</v>
      </c>
      <c r="X66" s="1495">
        <f t="shared" ref="X66:X234" si="22">SUM(E66-U66)</f>
        <v>0</v>
      </c>
      <c r="Y66" s="1495">
        <f t="shared" ref="Y66:Y234" si="23">SUM(U66/M66)*100</f>
        <v>100</v>
      </c>
      <c r="Z66" s="1495">
        <f t="shared" ref="Z66:Z234" si="24">SUM(M66-U66)</f>
        <v>0</v>
      </c>
      <c r="AA66" s="1506">
        <f t="shared" ref="AA66:AA234" si="25">SUM(N66-V66)</f>
        <v>0</v>
      </c>
      <c r="AB66" s="1505"/>
      <c r="AC66" s="1504">
        <f t="shared" ref="AC66:AC98" si="26">IF(AND(AB66&gt;0,AB66&lt;=2),X66,0)</f>
        <v>0</v>
      </c>
      <c r="AD66" s="1503">
        <f t="shared" ref="AD66:AD98" si="27">IF(AND(AB66&gt;=3,AB66&lt;=4),X66,0)</f>
        <v>0</v>
      </c>
      <c r="AE66" s="1503">
        <f t="shared" ref="AE66:AE98" si="28">IF(AND(AB66&gt;=5,AB66&lt;=6),X66,0)</f>
        <v>0</v>
      </c>
      <c r="AF66" s="1502">
        <f t="shared" ref="AF66:AF98" si="29">IF(AB66&gt;6,X66,0)</f>
        <v>0</v>
      </c>
    </row>
    <row r="67" spans="1:32" s="1474" customFormat="1" ht="23.25" customHeight="1">
      <c r="A67" s="1515">
        <f>A66+1</f>
        <v>2</v>
      </c>
      <c r="B67" s="1513" t="s">
        <v>1926</v>
      </c>
      <c r="C67" s="1514" t="s">
        <v>1925</v>
      </c>
      <c r="D67" s="1514"/>
      <c r="E67" s="1513">
        <v>7000000</v>
      </c>
      <c r="F67" s="1512">
        <f t="shared" si="17"/>
        <v>1260000</v>
      </c>
      <c r="G67" s="2141">
        <v>39939</v>
      </c>
      <c r="H67" s="1511">
        <v>0.18</v>
      </c>
      <c r="I67" s="1508">
        <v>12</v>
      </c>
      <c r="J67" s="1508">
        <v>12</v>
      </c>
      <c r="K67" s="1508">
        <v>583300</v>
      </c>
      <c r="L67" s="1508">
        <v>105000</v>
      </c>
      <c r="M67" s="1510">
        <f t="shared" ref="M67:M234" si="30">IF(J67&lt;I67,J67*K67,IF(J67&gt;=I67,E67))</f>
        <v>7000000</v>
      </c>
      <c r="N67" s="1510">
        <f t="shared" si="18"/>
        <v>1260000</v>
      </c>
      <c r="O67" s="1509">
        <v>7000000</v>
      </c>
      <c r="P67" s="1509">
        <v>1260000</v>
      </c>
      <c r="Q67" s="1509"/>
      <c r="R67" s="2651"/>
      <c r="S67" s="2651"/>
      <c r="T67" s="1507"/>
      <c r="U67" s="1495">
        <f t="shared" si="19"/>
        <v>7000000</v>
      </c>
      <c r="V67" s="1495">
        <f t="shared" si="20"/>
        <v>1260000</v>
      </c>
      <c r="W67" s="1495">
        <f t="shared" si="21"/>
        <v>0</v>
      </c>
      <c r="X67" s="1495">
        <f t="shared" si="22"/>
        <v>0</v>
      </c>
      <c r="Y67" s="1495">
        <f t="shared" si="23"/>
        <v>100</v>
      </c>
      <c r="Z67" s="1495">
        <f t="shared" si="24"/>
        <v>0</v>
      </c>
      <c r="AA67" s="1506">
        <f t="shared" si="25"/>
        <v>0</v>
      </c>
      <c r="AB67" s="1505"/>
      <c r="AC67" s="1504">
        <f t="shared" si="26"/>
        <v>0</v>
      </c>
      <c r="AD67" s="1503">
        <f t="shared" si="27"/>
        <v>0</v>
      </c>
      <c r="AE67" s="1503">
        <f t="shared" si="28"/>
        <v>0</v>
      </c>
      <c r="AF67" s="1502">
        <f t="shared" si="29"/>
        <v>0</v>
      </c>
    </row>
    <row r="68" spans="1:32" s="1474" customFormat="1" ht="23.25" customHeight="1">
      <c r="A68" s="1515">
        <f t="shared" ref="A68:A90" si="31">A67+1</f>
        <v>3</v>
      </c>
      <c r="B68" s="1513" t="s">
        <v>1927</v>
      </c>
      <c r="C68" s="1514" t="s">
        <v>1928</v>
      </c>
      <c r="D68" s="1514"/>
      <c r="E68" s="1513">
        <v>14100000</v>
      </c>
      <c r="F68" s="1512">
        <f t="shared" si="17"/>
        <v>2538000</v>
      </c>
      <c r="G68" s="2141">
        <v>40183</v>
      </c>
      <c r="H68" s="1511">
        <v>0.18</v>
      </c>
      <c r="I68" s="1508">
        <v>12</v>
      </c>
      <c r="J68" s="1508">
        <v>12</v>
      </c>
      <c r="K68" s="1508">
        <v>1175000</v>
      </c>
      <c r="L68" s="1508">
        <v>211500</v>
      </c>
      <c r="M68" s="1510">
        <f t="shared" si="30"/>
        <v>14100000</v>
      </c>
      <c r="N68" s="1510">
        <f t="shared" si="18"/>
        <v>2538000</v>
      </c>
      <c r="O68" s="1509">
        <v>14100000</v>
      </c>
      <c r="P68" s="1509">
        <v>2538000</v>
      </c>
      <c r="Q68" s="1509"/>
      <c r="R68" s="2651"/>
      <c r="S68" s="2651"/>
      <c r="T68" s="1507"/>
      <c r="U68" s="1495">
        <f t="shared" si="19"/>
        <v>14100000</v>
      </c>
      <c r="V68" s="1495">
        <f t="shared" si="20"/>
        <v>2538000</v>
      </c>
      <c r="W68" s="1495">
        <f t="shared" si="21"/>
        <v>0</v>
      </c>
      <c r="X68" s="1495">
        <f t="shared" si="22"/>
        <v>0</v>
      </c>
      <c r="Y68" s="1495">
        <f t="shared" si="23"/>
        <v>100</v>
      </c>
      <c r="Z68" s="1495">
        <f t="shared" si="24"/>
        <v>0</v>
      </c>
      <c r="AA68" s="1506">
        <f t="shared" si="25"/>
        <v>0</v>
      </c>
      <c r="AB68" s="1505"/>
      <c r="AC68" s="1504">
        <f t="shared" si="26"/>
        <v>0</v>
      </c>
      <c r="AD68" s="1503">
        <f t="shared" si="27"/>
        <v>0</v>
      </c>
      <c r="AE68" s="1503">
        <f t="shared" si="28"/>
        <v>0</v>
      </c>
      <c r="AF68" s="1502">
        <f t="shared" si="29"/>
        <v>0</v>
      </c>
    </row>
    <row r="69" spans="1:32" s="1474" customFormat="1" ht="23.25" customHeight="1">
      <c r="A69" s="1515">
        <f t="shared" si="31"/>
        <v>4</v>
      </c>
      <c r="B69" s="1513" t="s">
        <v>1929</v>
      </c>
      <c r="C69" s="1514" t="s">
        <v>1928</v>
      </c>
      <c r="D69" s="1514"/>
      <c r="E69" s="1513">
        <v>12600000</v>
      </c>
      <c r="F69" s="1512">
        <f t="shared" si="17"/>
        <v>2268000</v>
      </c>
      <c r="G69" s="2141">
        <v>40183</v>
      </c>
      <c r="H69" s="1511">
        <v>0.18</v>
      </c>
      <c r="I69" s="1508">
        <v>12</v>
      </c>
      <c r="J69" s="1508">
        <v>12</v>
      </c>
      <c r="K69" s="1508">
        <v>1050000</v>
      </c>
      <c r="L69" s="1508">
        <v>189000</v>
      </c>
      <c r="M69" s="1510">
        <f t="shared" si="30"/>
        <v>12600000</v>
      </c>
      <c r="N69" s="1510">
        <f t="shared" si="18"/>
        <v>2268000</v>
      </c>
      <c r="O69" s="1509">
        <v>12600000</v>
      </c>
      <c r="P69" s="1509">
        <v>2268000</v>
      </c>
      <c r="Q69" s="1509"/>
      <c r="R69" s="2651"/>
      <c r="S69" s="2651"/>
      <c r="T69" s="1507"/>
      <c r="U69" s="1495">
        <f t="shared" si="19"/>
        <v>12600000</v>
      </c>
      <c r="V69" s="1495">
        <f t="shared" si="20"/>
        <v>2268000</v>
      </c>
      <c r="W69" s="1495">
        <f t="shared" si="21"/>
        <v>0</v>
      </c>
      <c r="X69" s="1495">
        <f t="shared" si="22"/>
        <v>0</v>
      </c>
      <c r="Y69" s="1495">
        <f t="shared" si="23"/>
        <v>100</v>
      </c>
      <c r="Z69" s="1495">
        <f t="shared" si="24"/>
        <v>0</v>
      </c>
      <c r="AA69" s="1506">
        <f t="shared" si="25"/>
        <v>0</v>
      </c>
      <c r="AB69" s="1505"/>
      <c r="AC69" s="1504">
        <f t="shared" si="26"/>
        <v>0</v>
      </c>
      <c r="AD69" s="1503">
        <f t="shared" si="27"/>
        <v>0</v>
      </c>
      <c r="AE69" s="1503">
        <f t="shared" si="28"/>
        <v>0</v>
      </c>
      <c r="AF69" s="1502">
        <f t="shared" si="29"/>
        <v>0</v>
      </c>
    </row>
    <row r="70" spans="1:32" s="1474" customFormat="1" ht="23.25" customHeight="1">
      <c r="A70" s="1515">
        <f t="shared" si="31"/>
        <v>5</v>
      </c>
      <c r="B70" s="1513" t="s">
        <v>1899</v>
      </c>
      <c r="C70" s="1514" t="s">
        <v>1928</v>
      </c>
      <c r="D70" s="1514"/>
      <c r="E70" s="1513">
        <v>15100000</v>
      </c>
      <c r="F70" s="1512">
        <f t="shared" si="17"/>
        <v>2718000</v>
      </c>
      <c r="G70" s="2141">
        <v>40183</v>
      </c>
      <c r="H70" s="1511">
        <v>0.18</v>
      </c>
      <c r="I70" s="1508">
        <v>12</v>
      </c>
      <c r="J70" s="1508">
        <v>12</v>
      </c>
      <c r="K70" s="1508">
        <v>1258300</v>
      </c>
      <c r="L70" s="1508">
        <v>226500</v>
      </c>
      <c r="M70" s="1510">
        <f t="shared" si="30"/>
        <v>15100000</v>
      </c>
      <c r="N70" s="1510">
        <f t="shared" si="18"/>
        <v>2718000</v>
      </c>
      <c r="O70" s="1509">
        <v>15100000</v>
      </c>
      <c r="P70" s="1509">
        <v>2718000</v>
      </c>
      <c r="Q70" s="1509"/>
      <c r="R70" s="2651"/>
      <c r="S70" s="2651"/>
      <c r="T70" s="1507"/>
      <c r="U70" s="1495">
        <f t="shared" si="19"/>
        <v>15100000</v>
      </c>
      <c r="V70" s="1495">
        <f t="shared" si="20"/>
        <v>2718000</v>
      </c>
      <c r="W70" s="1495">
        <f t="shared" si="21"/>
        <v>0</v>
      </c>
      <c r="X70" s="1495">
        <f t="shared" si="22"/>
        <v>0</v>
      </c>
      <c r="Y70" s="1495">
        <f t="shared" si="23"/>
        <v>100</v>
      </c>
      <c r="Z70" s="1495">
        <f t="shared" si="24"/>
        <v>0</v>
      </c>
      <c r="AA70" s="1506">
        <f t="shared" si="25"/>
        <v>0</v>
      </c>
      <c r="AB70" s="1505"/>
      <c r="AC70" s="1504">
        <f t="shared" si="26"/>
        <v>0</v>
      </c>
      <c r="AD70" s="1503">
        <f t="shared" si="27"/>
        <v>0</v>
      </c>
      <c r="AE70" s="1503">
        <f t="shared" si="28"/>
        <v>0</v>
      </c>
      <c r="AF70" s="1502">
        <f t="shared" si="29"/>
        <v>0</v>
      </c>
    </row>
    <row r="71" spans="1:32" s="1474" customFormat="1" ht="23.25" customHeight="1">
      <c r="A71" s="1515">
        <f t="shared" si="31"/>
        <v>6</v>
      </c>
      <c r="B71" s="1513" t="s">
        <v>1898</v>
      </c>
      <c r="C71" s="1514" t="s">
        <v>1928</v>
      </c>
      <c r="D71" s="1514"/>
      <c r="E71" s="1513">
        <v>15100000</v>
      </c>
      <c r="F71" s="1512">
        <f t="shared" si="17"/>
        <v>2718000</v>
      </c>
      <c r="G71" s="2141">
        <v>40183</v>
      </c>
      <c r="H71" s="1511">
        <v>0.18</v>
      </c>
      <c r="I71" s="1508">
        <v>12</v>
      </c>
      <c r="J71" s="1508">
        <v>12</v>
      </c>
      <c r="K71" s="1508">
        <v>1258300</v>
      </c>
      <c r="L71" s="1508">
        <v>226500</v>
      </c>
      <c r="M71" s="1510">
        <f t="shared" si="30"/>
        <v>15100000</v>
      </c>
      <c r="N71" s="1510">
        <f t="shared" si="18"/>
        <v>2718000</v>
      </c>
      <c r="O71" s="1509">
        <v>15100000</v>
      </c>
      <c r="P71" s="1509">
        <v>2718000</v>
      </c>
      <c r="Q71" s="1509"/>
      <c r="R71" s="2651"/>
      <c r="S71" s="2651"/>
      <c r="T71" s="1507"/>
      <c r="U71" s="1495">
        <f t="shared" si="19"/>
        <v>15100000</v>
      </c>
      <c r="V71" s="1495">
        <f t="shared" si="20"/>
        <v>2718000</v>
      </c>
      <c r="W71" s="1495">
        <f t="shared" si="21"/>
        <v>0</v>
      </c>
      <c r="X71" s="1495">
        <f t="shared" si="22"/>
        <v>0</v>
      </c>
      <c r="Y71" s="1495">
        <f t="shared" si="23"/>
        <v>100</v>
      </c>
      <c r="Z71" s="1495">
        <f t="shared" si="24"/>
        <v>0</v>
      </c>
      <c r="AA71" s="1506">
        <f t="shared" si="25"/>
        <v>0</v>
      </c>
      <c r="AB71" s="1505"/>
      <c r="AC71" s="1504">
        <f t="shared" si="26"/>
        <v>0</v>
      </c>
      <c r="AD71" s="1503">
        <f t="shared" si="27"/>
        <v>0</v>
      </c>
      <c r="AE71" s="1503">
        <f t="shared" si="28"/>
        <v>0</v>
      </c>
      <c r="AF71" s="1502">
        <f t="shared" si="29"/>
        <v>0</v>
      </c>
    </row>
    <row r="72" spans="1:32" s="1474" customFormat="1" ht="23.25" customHeight="1">
      <c r="A72" s="1515">
        <f t="shared" si="31"/>
        <v>7</v>
      </c>
      <c r="B72" s="1513" t="s">
        <v>1897</v>
      </c>
      <c r="C72" s="1514" t="s">
        <v>1928</v>
      </c>
      <c r="D72" s="1514"/>
      <c r="E72" s="1513">
        <v>10000000</v>
      </c>
      <c r="F72" s="1512">
        <f t="shared" si="17"/>
        <v>1800000</v>
      </c>
      <c r="G72" s="2141">
        <v>40224</v>
      </c>
      <c r="H72" s="1511">
        <v>0.18</v>
      </c>
      <c r="I72" s="1508">
        <v>12</v>
      </c>
      <c r="J72" s="1508">
        <v>12</v>
      </c>
      <c r="K72" s="1508">
        <v>833300</v>
      </c>
      <c r="L72" s="1508">
        <v>150000</v>
      </c>
      <c r="M72" s="1510">
        <f t="shared" si="30"/>
        <v>10000000</v>
      </c>
      <c r="N72" s="1510">
        <f t="shared" si="18"/>
        <v>1800000</v>
      </c>
      <c r="O72" s="1509">
        <v>10000000</v>
      </c>
      <c r="P72" s="1509">
        <v>1800000</v>
      </c>
      <c r="Q72" s="1509"/>
      <c r="R72" s="2651"/>
      <c r="S72" s="2651"/>
      <c r="T72" s="1507"/>
      <c r="U72" s="1495">
        <f t="shared" si="19"/>
        <v>10000000</v>
      </c>
      <c r="V72" s="1495">
        <f t="shared" si="20"/>
        <v>1800000</v>
      </c>
      <c r="W72" s="1495">
        <f t="shared" si="21"/>
        <v>0</v>
      </c>
      <c r="X72" s="1495">
        <f t="shared" si="22"/>
        <v>0</v>
      </c>
      <c r="Y72" s="1495">
        <f t="shared" si="23"/>
        <v>100</v>
      </c>
      <c r="Z72" s="1495">
        <f t="shared" si="24"/>
        <v>0</v>
      </c>
      <c r="AA72" s="1506">
        <f t="shared" si="25"/>
        <v>0</v>
      </c>
      <c r="AB72" s="1505"/>
      <c r="AC72" s="1504">
        <f t="shared" si="26"/>
        <v>0</v>
      </c>
      <c r="AD72" s="1503">
        <f t="shared" si="27"/>
        <v>0</v>
      </c>
      <c r="AE72" s="1503">
        <f t="shared" si="28"/>
        <v>0</v>
      </c>
      <c r="AF72" s="1502">
        <f t="shared" si="29"/>
        <v>0</v>
      </c>
    </row>
    <row r="73" spans="1:32" s="1474" customFormat="1" ht="23.25" customHeight="1">
      <c r="A73" s="1515">
        <f t="shared" si="31"/>
        <v>8</v>
      </c>
      <c r="B73" s="1513" t="s">
        <v>1930</v>
      </c>
      <c r="C73" s="1514" t="s">
        <v>1931</v>
      </c>
      <c r="D73" s="1514"/>
      <c r="E73" s="1513">
        <v>6000000</v>
      </c>
      <c r="F73" s="1512">
        <f t="shared" si="17"/>
        <v>1080000</v>
      </c>
      <c r="G73" s="2141">
        <v>40245</v>
      </c>
      <c r="H73" s="1511">
        <v>0.18</v>
      </c>
      <c r="I73" s="1508">
        <v>12</v>
      </c>
      <c r="J73" s="1508">
        <v>12</v>
      </c>
      <c r="K73" s="1508">
        <v>500000</v>
      </c>
      <c r="L73" s="1508">
        <v>90000</v>
      </c>
      <c r="M73" s="1510">
        <f t="shared" si="30"/>
        <v>6000000</v>
      </c>
      <c r="N73" s="1510">
        <f t="shared" si="18"/>
        <v>1080000</v>
      </c>
      <c r="O73" s="1509">
        <v>6000000</v>
      </c>
      <c r="P73" s="1509">
        <v>1080000</v>
      </c>
      <c r="Q73" s="1509"/>
      <c r="R73" s="2651"/>
      <c r="S73" s="2651"/>
      <c r="T73" s="1507"/>
      <c r="U73" s="1495">
        <f t="shared" si="19"/>
        <v>6000000</v>
      </c>
      <c r="V73" s="1495">
        <f t="shared" si="20"/>
        <v>1080000</v>
      </c>
      <c r="W73" s="1495">
        <f t="shared" si="21"/>
        <v>0</v>
      </c>
      <c r="X73" s="1495">
        <f t="shared" si="22"/>
        <v>0</v>
      </c>
      <c r="Y73" s="1495">
        <f t="shared" si="23"/>
        <v>100</v>
      </c>
      <c r="Z73" s="1495">
        <f t="shared" si="24"/>
        <v>0</v>
      </c>
      <c r="AA73" s="1506">
        <f t="shared" si="25"/>
        <v>0</v>
      </c>
      <c r="AB73" s="1505"/>
      <c r="AC73" s="1504">
        <f t="shared" si="26"/>
        <v>0</v>
      </c>
      <c r="AD73" s="1503">
        <f t="shared" si="27"/>
        <v>0</v>
      </c>
      <c r="AE73" s="1503">
        <f t="shared" si="28"/>
        <v>0</v>
      </c>
      <c r="AF73" s="1502">
        <f t="shared" si="29"/>
        <v>0</v>
      </c>
    </row>
    <row r="74" spans="1:32" s="1474" customFormat="1" ht="23.25" customHeight="1">
      <c r="A74" s="1515">
        <f t="shared" si="31"/>
        <v>9</v>
      </c>
      <c r="B74" s="1513" t="s">
        <v>1901</v>
      </c>
      <c r="C74" s="1514" t="s">
        <v>1932</v>
      </c>
      <c r="D74" s="1514"/>
      <c r="E74" s="1513">
        <v>8000000</v>
      </c>
      <c r="F74" s="1512">
        <f t="shared" si="17"/>
        <v>1440000</v>
      </c>
      <c r="G74" s="2141">
        <v>40338</v>
      </c>
      <c r="H74" s="1511">
        <v>0.18</v>
      </c>
      <c r="I74" s="1508">
        <v>12</v>
      </c>
      <c r="J74" s="1508">
        <v>12</v>
      </c>
      <c r="K74" s="1508">
        <v>666700</v>
      </c>
      <c r="L74" s="1508">
        <v>120000</v>
      </c>
      <c r="M74" s="1510">
        <f>IF(J74&lt;I74,J74*K74,IF(J74&gt;=I74,E74))</f>
        <v>8000000</v>
      </c>
      <c r="N74" s="1510">
        <f t="shared" si="18"/>
        <v>1440000</v>
      </c>
      <c r="O74" s="1509">
        <v>8000000</v>
      </c>
      <c r="P74" s="1509">
        <v>1440000</v>
      </c>
      <c r="Q74" s="1509"/>
      <c r="R74" s="2651"/>
      <c r="S74" s="2651"/>
      <c r="T74" s="1507"/>
      <c r="U74" s="1495">
        <f t="shared" si="19"/>
        <v>8000000</v>
      </c>
      <c r="V74" s="1495">
        <f t="shared" si="20"/>
        <v>1440000</v>
      </c>
      <c r="W74" s="1495">
        <f t="shared" si="21"/>
        <v>0</v>
      </c>
      <c r="X74" s="1495">
        <f t="shared" si="22"/>
        <v>0</v>
      </c>
      <c r="Y74" s="1495">
        <f t="shared" si="23"/>
        <v>100</v>
      </c>
      <c r="Z74" s="1495">
        <f t="shared" si="24"/>
        <v>0</v>
      </c>
      <c r="AA74" s="1506">
        <f t="shared" si="25"/>
        <v>0</v>
      </c>
      <c r="AB74" s="1505"/>
      <c r="AC74" s="1504">
        <f t="shared" si="26"/>
        <v>0</v>
      </c>
      <c r="AD74" s="1503">
        <f t="shared" si="27"/>
        <v>0</v>
      </c>
      <c r="AE74" s="1503">
        <f t="shared" si="28"/>
        <v>0</v>
      </c>
      <c r="AF74" s="1502">
        <f t="shared" si="29"/>
        <v>0</v>
      </c>
    </row>
    <row r="75" spans="1:32" s="1474" customFormat="1" ht="23.25" customHeight="1">
      <c r="A75" s="1515">
        <f t="shared" si="31"/>
        <v>10</v>
      </c>
      <c r="B75" s="1513" t="s">
        <v>1924</v>
      </c>
      <c r="C75" s="1514" t="s">
        <v>1933</v>
      </c>
      <c r="D75" s="1514"/>
      <c r="E75" s="1513">
        <v>15000000</v>
      </c>
      <c r="F75" s="1512">
        <f t="shared" si="17"/>
        <v>2700000</v>
      </c>
      <c r="G75" s="2141">
        <v>40338</v>
      </c>
      <c r="H75" s="1511">
        <v>0.18</v>
      </c>
      <c r="I75" s="1508">
        <v>12</v>
      </c>
      <c r="J75" s="1508">
        <v>12</v>
      </c>
      <c r="K75" s="1508">
        <v>1250000</v>
      </c>
      <c r="L75" s="1508">
        <v>225000</v>
      </c>
      <c r="M75" s="1510">
        <f t="shared" si="30"/>
        <v>15000000</v>
      </c>
      <c r="N75" s="1510">
        <f t="shared" si="18"/>
        <v>2700000</v>
      </c>
      <c r="O75" s="1509">
        <v>15000000</v>
      </c>
      <c r="P75" s="1509">
        <v>2700000</v>
      </c>
      <c r="Q75" s="1509"/>
      <c r="R75" s="2651"/>
      <c r="S75" s="2651"/>
      <c r="T75" s="1507"/>
      <c r="U75" s="1495">
        <f t="shared" si="19"/>
        <v>15000000</v>
      </c>
      <c r="V75" s="1495">
        <f t="shared" si="20"/>
        <v>2700000</v>
      </c>
      <c r="W75" s="1495">
        <f t="shared" si="21"/>
        <v>0</v>
      </c>
      <c r="X75" s="1495">
        <f t="shared" si="22"/>
        <v>0</v>
      </c>
      <c r="Y75" s="1495">
        <f t="shared" si="23"/>
        <v>100</v>
      </c>
      <c r="Z75" s="1495">
        <f t="shared" si="24"/>
        <v>0</v>
      </c>
      <c r="AA75" s="1506">
        <f t="shared" si="25"/>
        <v>0</v>
      </c>
      <c r="AB75" s="1505"/>
      <c r="AC75" s="1504">
        <f t="shared" si="26"/>
        <v>0</v>
      </c>
      <c r="AD75" s="1503">
        <f t="shared" si="27"/>
        <v>0</v>
      </c>
      <c r="AE75" s="1503">
        <f t="shared" si="28"/>
        <v>0</v>
      </c>
      <c r="AF75" s="1502">
        <f t="shared" si="29"/>
        <v>0</v>
      </c>
    </row>
    <row r="76" spans="1:32" s="1474" customFormat="1" ht="23.25" customHeight="1">
      <c r="A76" s="1515">
        <f t="shared" si="31"/>
        <v>11</v>
      </c>
      <c r="B76" s="1513" t="s">
        <v>1934</v>
      </c>
      <c r="C76" s="1514" t="s">
        <v>1932</v>
      </c>
      <c r="D76" s="1514"/>
      <c r="E76" s="1513">
        <v>11500000</v>
      </c>
      <c r="F76" s="1512">
        <f t="shared" si="17"/>
        <v>2070000</v>
      </c>
      <c r="G76" s="2141">
        <v>40338</v>
      </c>
      <c r="H76" s="1511">
        <v>0.18</v>
      </c>
      <c r="I76" s="1508">
        <v>12</v>
      </c>
      <c r="J76" s="1508">
        <v>12</v>
      </c>
      <c r="K76" s="1508">
        <v>958300</v>
      </c>
      <c r="L76" s="1508">
        <v>172500</v>
      </c>
      <c r="M76" s="1510">
        <f t="shared" si="30"/>
        <v>11500000</v>
      </c>
      <c r="N76" s="1510">
        <f t="shared" si="18"/>
        <v>2070000</v>
      </c>
      <c r="O76" s="1509">
        <v>11500000</v>
      </c>
      <c r="P76" s="1509">
        <v>2070000</v>
      </c>
      <c r="Q76" s="1509"/>
      <c r="R76" s="2651"/>
      <c r="S76" s="2651"/>
      <c r="T76" s="1507"/>
      <c r="U76" s="1495">
        <f t="shared" si="19"/>
        <v>11500000</v>
      </c>
      <c r="V76" s="1495">
        <f t="shared" si="20"/>
        <v>2070000</v>
      </c>
      <c r="W76" s="1495">
        <f t="shared" si="21"/>
        <v>0</v>
      </c>
      <c r="X76" s="1495">
        <f t="shared" si="22"/>
        <v>0</v>
      </c>
      <c r="Y76" s="1495">
        <f t="shared" si="23"/>
        <v>100</v>
      </c>
      <c r="Z76" s="1495">
        <f t="shared" si="24"/>
        <v>0</v>
      </c>
      <c r="AA76" s="1506">
        <f t="shared" si="25"/>
        <v>0</v>
      </c>
      <c r="AB76" s="1505"/>
      <c r="AC76" s="1504">
        <f t="shared" si="26"/>
        <v>0</v>
      </c>
      <c r="AD76" s="1503">
        <f t="shared" si="27"/>
        <v>0</v>
      </c>
      <c r="AE76" s="1503">
        <f t="shared" si="28"/>
        <v>0</v>
      </c>
      <c r="AF76" s="1502">
        <f t="shared" si="29"/>
        <v>0</v>
      </c>
    </row>
    <row r="77" spans="1:32" s="1474" customFormat="1" ht="23.25" customHeight="1">
      <c r="A77" s="1515">
        <f t="shared" si="31"/>
        <v>12</v>
      </c>
      <c r="B77" s="1513" t="s">
        <v>1909</v>
      </c>
      <c r="C77" s="1514" t="s">
        <v>1935</v>
      </c>
      <c r="D77" s="1514"/>
      <c r="E77" s="1513">
        <v>12000000</v>
      </c>
      <c r="F77" s="1512">
        <f t="shared" si="17"/>
        <v>2160000</v>
      </c>
      <c r="G77" s="2141">
        <v>40484</v>
      </c>
      <c r="H77" s="1511">
        <v>0.18</v>
      </c>
      <c r="I77" s="1508">
        <v>12</v>
      </c>
      <c r="J77" s="2404">
        <v>12</v>
      </c>
      <c r="K77" s="1508">
        <v>1000000</v>
      </c>
      <c r="L77" s="1508">
        <v>180000</v>
      </c>
      <c r="M77" s="1510">
        <f t="shared" si="30"/>
        <v>12000000</v>
      </c>
      <c r="N77" s="2401">
        <f>IF(J77&lt;I77,J77*L77,IF(J77&gt;=I77,F77))-180000</f>
        <v>1980000</v>
      </c>
      <c r="O77" s="1509">
        <v>12000000</v>
      </c>
      <c r="P77" s="1509">
        <v>1980000</v>
      </c>
      <c r="Q77" s="1509"/>
      <c r="R77" s="2651"/>
      <c r="S77" s="2651"/>
      <c r="T77" s="1507"/>
      <c r="U77" s="1495">
        <f t="shared" si="19"/>
        <v>12000000</v>
      </c>
      <c r="V77" s="1495">
        <f t="shared" si="20"/>
        <v>1980000</v>
      </c>
      <c r="W77" s="1495">
        <f t="shared" si="21"/>
        <v>0</v>
      </c>
      <c r="X77" s="1495">
        <f t="shared" si="22"/>
        <v>0</v>
      </c>
      <c r="Y77" s="1495">
        <f t="shared" si="23"/>
        <v>100</v>
      </c>
      <c r="Z77" s="1495">
        <f t="shared" si="24"/>
        <v>0</v>
      </c>
      <c r="AA77" s="1506">
        <f t="shared" si="25"/>
        <v>0</v>
      </c>
      <c r="AB77" s="1505"/>
      <c r="AC77" s="1504">
        <f t="shared" si="26"/>
        <v>0</v>
      </c>
      <c r="AD77" s="1503">
        <f t="shared" si="27"/>
        <v>0</v>
      </c>
      <c r="AE77" s="1503">
        <f t="shared" si="28"/>
        <v>0</v>
      </c>
      <c r="AF77" s="1502">
        <f t="shared" si="29"/>
        <v>0</v>
      </c>
    </row>
    <row r="78" spans="1:32" s="1474" customFormat="1" ht="23.25" customHeight="1">
      <c r="A78" s="1515">
        <f t="shared" si="31"/>
        <v>13</v>
      </c>
      <c r="B78" s="1513" t="s">
        <v>1936</v>
      </c>
      <c r="C78" s="1514" t="s">
        <v>1935</v>
      </c>
      <c r="D78" s="1514"/>
      <c r="E78" s="1513">
        <v>12000000</v>
      </c>
      <c r="F78" s="1512">
        <f t="shared" si="17"/>
        <v>2160000</v>
      </c>
      <c r="G78" s="2141">
        <v>40484</v>
      </c>
      <c r="H78" s="1511">
        <v>0.18</v>
      </c>
      <c r="I78" s="1508">
        <v>12</v>
      </c>
      <c r="J78" s="2404">
        <v>12</v>
      </c>
      <c r="K78" s="1508">
        <v>1000000</v>
      </c>
      <c r="L78" s="1508">
        <v>180000</v>
      </c>
      <c r="M78" s="1510">
        <f t="shared" si="30"/>
        <v>12000000</v>
      </c>
      <c r="N78" s="2401">
        <f>IF(J78&lt;I78,J78*L78,IF(J78&gt;=I78,F78))-180000</f>
        <v>1980000</v>
      </c>
      <c r="O78" s="1509">
        <v>12000000</v>
      </c>
      <c r="P78" s="1509">
        <v>1980000</v>
      </c>
      <c r="Q78" s="1509"/>
      <c r="R78" s="2651"/>
      <c r="S78" s="2651"/>
      <c r="T78" s="1507"/>
      <c r="U78" s="1495">
        <f t="shared" si="19"/>
        <v>12000000</v>
      </c>
      <c r="V78" s="1495">
        <f t="shared" si="20"/>
        <v>1980000</v>
      </c>
      <c r="W78" s="1495">
        <f t="shared" si="21"/>
        <v>0</v>
      </c>
      <c r="X78" s="1495">
        <f t="shared" si="22"/>
        <v>0</v>
      </c>
      <c r="Y78" s="1495">
        <f t="shared" si="23"/>
        <v>100</v>
      </c>
      <c r="Z78" s="1495">
        <f t="shared" si="24"/>
        <v>0</v>
      </c>
      <c r="AA78" s="1506">
        <f t="shared" si="25"/>
        <v>0</v>
      </c>
      <c r="AB78" s="1505"/>
      <c r="AC78" s="1504">
        <f t="shared" si="26"/>
        <v>0</v>
      </c>
      <c r="AD78" s="1503">
        <f t="shared" si="27"/>
        <v>0</v>
      </c>
      <c r="AE78" s="1503">
        <f t="shared" si="28"/>
        <v>0</v>
      </c>
      <c r="AF78" s="1502">
        <f t="shared" si="29"/>
        <v>0</v>
      </c>
    </row>
    <row r="79" spans="1:32" s="1474" customFormat="1" ht="23.25" customHeight="1">
      <c r="A79" s="1515">
        <f t="shared" si="31"/>
        <v>14</v>
      </c>
      <c r="B79" s="1513" t="s">
        <v>1907</v>
      </c>
      <c r="C79" s="1514" t="s">
        <v>1935</v>
      </c>
      <c r="D79" s="1514"/>
      <c r="E79" s="1513">
        <v>17000000</v>
      </c>
      <c r="F79" s="1512">
        <f t="shared" si="17"/>
        <v>3060000</v>
      </c>
      <c r="G79" s="2141">
        <v>40484</v>
      </c>
      <c r="H79" s="1511">
        <v>0.18</v>
      </c>
      <c r="I79" s="1508">
        <v>12</v>
      </c>
      <c r="J79" s="2404">
        <v>12</v>
      </c>
      <c r="K79" s="1508">
        <v>1416700</v>
      </c>
      <c r="L79" s="1508">
        <v>255000</v>
      </c>
      <c r="M79" s="1510">
        <f t="shared" si="30"/>
        <v>17000000</v>
      </c>
      <c r="N79" s="2401">
        <f>IF(J79&lt;I79,J79*L79,IF(J79&gt;=I79,F79))-255000</f>
        <v>2805000</v>
      </c>
      <c r="O79" s="1509">
        <v>17000000</v>
      </c>
      <c r="P79" s="1509">
        <v>2805000</v>
      </c>
      <c r="Q79" s="1509"/>
      <c r="R79" s="2651"/>
      <c r="S79" s="2651"/>
      <c r="T79" s="1507"/>
      <c r="U79" s="1495">
        <f t="shared" si="19"/>
        <v>17000000</v>
      </c>
      <c r="V79" s="1495">
        <f t="shared" si="20"/>
        <v>2805000</v>
      </c>
      <c r="W79" s="1495">
        <f t="shared" si="21"/>
        <v>0</v>
      </c>
      <c r="X79" s="1495">
        <f t="shared" si="22"/>
        <v>0</v>
      </c>
      <c r="Y79" s="1495">
        <f t="shared" si="23"/>
        <v>100</v>
      </c>
      <c r="Z79" s="1495">
        <f t="shared" si="24"/>
        <v>0</v>
      </c>
      <c r="AA79" s="1506">
        <f t="shared" si="25"/>
        <v>0</v>
      </c>
      <c r="AB79" s="1505"/>
      <c r="AC79" s="1504">
        <f t="shared" si="26"/>
        <v>0</v>
      </c>
      <c r="AD79" s="1503">
        <f t="shared" si="27"/>
        <v>0</v>
      </c>
      <c r="AE79" s="1503">
        <f t="shared" si="28"/>
        <v>0</v>
      </c>
      <c r="AF79" s="1502">
        <f t="shared" si="29"/>
        <v>0</v>
      </c>
    </row>
    <row r="80" spans="1:32" s="1474" customFormat="1" ht="23.25" customHeight="1">
      <c r="A80" s="1515">
        <f t="shared" si="31"/>
        <v>15</v>
      </c>
      <c r="B80" s="1513" t="s">
        <v>1929</v>
      </c>
      <c r="C80" s="1514" t="s">
        <v>1935</v>
      </c>
      <c r="D80" s="1514"/>
      <c r="E80" s="1513">
        <v>24000000</v>
      </c>
      <c r="F80" s="1512">
        <f t="shared" si="17"/>
        <v>4320000</v>
      </c>
      <c r="G80" s="2141">
        <v>40522</v>
      </c>
      <c r="H80" s="1511">
        <v>0.18</v>
      </c>
      <c r="I80" s="1508">
        <v>12</v>
      </c>
      <c r="J80" s="2404">
        <v>12</v>
      </c>
      <c r="K80" s="1508">
        <v>2000000</v>
      </c>
      <c r="L80" s="1508">
        <v>360000</v>
      </c>
      <c r="M80" s="1510">
        <f t="shared" si="30"/>
        <v>24000000</v>
      </c>
      <c r="N80" s="2401">
        <f>IF(J80&lt;I80,J80*L80,IF(J80&gt;=I80,F80))-360000</f>
        <v>3960000</v>
      </c>
      <c r="O80" s="1509">
        <v>24000000</v>
      </c>
      <c r="P80" s="1509">
        <v>3960000</v>
      </c>
      <c r="Q80" s="1509"/>
      <c r="R80" s="2651"/>
      <c r="S80" s="2651"/>
      <c r="T80" s="1507"/>
      <c r="U80" s="1495">
        <f t="shared" si="19"/>
        <v>24000000</v>
      </c>
      <c r="V80" s="1495">
        <f t="shared" si="20"/>
        <v>3960000</v>
      </c>
      <c r="W80" s="1495">
        <f t="shared" si="21"/>
        <v>0</v>
      </c>
      <c r="X80" s="1495">
        <f t="shared" si="22"/>
        <v>0</v>
      </c>
      <c r="Y80" s="1495">
        <f t="shared" si="23"/>
        <v>100</v>
      </c>
      <c r="Z80" s="1495">
        <f t="shared" si="24"/>
        <v>0</v>
      </c>
      <c r="AA80" s="1506">
        <f t="shared" si="25"/>
        <v>0</v>
      </c>
      <c r="AB80" s="1505"/>
      <c r="AC80" s="1504">
        <f t="shared" si="26"/>
        <v>0</v>
      </c>
      <c r="AD80" s="1503">
        <f t="shared" si="27"/>
        <v>0</v>
      </c>
      <c r="AE80" s="1503">
        <f t="shared" si="28"/>
        <v>0</v>
      </c>
      <c r="AF80" s="1502">
        <f t="shared" si="29"/>
        <v>0</v>
      </c>
    </row>
    <row r="81" spans="1:32" s="1474" customFormat="1" ht="23.25" customHeight="1">
      <c r="A81" s="1515">
        <f t="shared" si="31"/>
        <v>16</v>
      </c>
      <c r="B81" s="1513" t="s">
        <v>1906</v>
      </c>
      <c r="C81" s="1514" t="s">
        <v>1935</v>
      </c>
      <c r="D81" s="1514"/>
      <c r="E81" s="1513">
        <v>14000000</v>
      </c>
      <c r="F81" s="1512">
        <f t="shared" si="17"/>
        <v>2520000</v>
      </c>
      <c r="G81" s="2141">
        <v>40526</v>
      </c>
      <c r="H81" s="1511">
        <v>0.18</v>
      </c>
      <c r="I81" s="1508">
        <v>12</v>
      </c>
      <c r="J81" s="1508">
        <v>12</v>
      </c>
      <c r="K81" s="1508">
        <v>1166700</v>
      </c>
      <c r="L81" s="1508">
        <v>210000</v>
      </c>
      <c r="M81" s="1510">
        <f t="shared" si="30"/>
        <v>14000000</v>
      </c>
      <c r="N81" s="1510">
        <f t="shared" si="18"/>
        <v>2520000</v>
      </c>
      <c r="O81" s="1509">
        <v>14000000</v>
      </c>
      <c r="P81" s="1509">
        <v>2520000</v>
      </c>
      <c r="Q81" s="1509"/>
      <c r="R81" s="2651"/>
      <c r="S81" s="2651"/>
      <c r="T81" s="1507"/>
      <c r="U81" s="1495">
        <f t="shared" si="19"/>
        <v>14000000</v>
      </c>
      <c r="V81" s="1495">
        <f t="shared" si="20"/>
        <v>2520000</v>
      </c>
      <c r="W81" s="1495">
        <f t="shared" si="21"/>
        <v>0</v>
      </c>
      <c r="X81" s="1495">
        <f t="shared" si="22"/>
        <v>0</v>
      </c>
      <c r="Y81" s="1495">
        <f t="shared" si="23"/>
        <v>100</v>
      </c>
      <c r="Z81" s="1495">
        <f t="shared" si="24"/>
        <v>0</v>
      </c>
      <c r="AA81" s="1506">
        <f t="shared" si="25"/>
        <v>0</v>
      </c>
      <c r="AB81" s="1505"/>
      <c r="AC81" s="1504">
        <f t="shared" si="26"/>
        <v>0</v>
      </c>
      <c r="AD81" s="1503">
        <f t="shared" si="27"/>
        <v>0</v>
      </c>
      <c r="AE81" s="1503">
        <f t="shared" si="28"/>
        <v>0</v>
      </c>
      <c r="AF81" s="1502">
        <f t="shared" si="29"/>
        <v>0</v>
      </c>
    </row>
    <row r="82" spans="1:32" s="1474" customFormat="1" ht="23.25" customHeight="1">
      <c r="A82" s="1515">
        <f t="shared" si="31"/>
        <v>17</v>
      </c>
      <c r="B82" s="1513" t="s">
        <v>1905</v>
      </c>
      <c r="C82" s="1514" t="s">
        <v>1935</v>
      </c>
      <c r="D82" s="1514"/>
      <c r="E82" s="1513">
        <v>12000000</v>
      </c>
      <c r="F82" s="1512">
        <f t="shared" si="17"/>
        <v>2160000</v>
      </c>
      <c r="G82" s="2141">
        <v>40560</v>
      </c>
      <c r="H82" s="1511">
        <v>0.18</v>
      </c>
      <c r="I82" s="1508">
        <v>12</v>
      </c>
      <c r="J82" s="1508">
        <v>12</v>
      </c>
      <c r="K82" s="1508">
        <v>1000000</v>
      </c>
      <c r="L82" s="1508">
        <v>180000</v>
      </c>
      <c r="M82" s="1510">
        <f t="shared" si="30"/>
        <v>12000000</v>
      </c>
      <c r="N82" s="1510">
        <f t="shared" si="18"/>
        <v>2160000</v>
      </c>
      <c r="O82" s="1509">
        <v>12000000</v>
      </c>
      <c r="P82" s="1509">
        <v>2160000</v>
      </c>
      <c r="Q82" s="1509"/>
      <c r="R82" s="2651"/>
      <c r="S82" s="2651"/>
      <c r="T82" s="1507"/>
      <c r="U82" s="1495">
        <f t="shared" si="19"/>
        <v>12000000</v>
      </c>
      <c r="V82" s="1495">
        <f t="shared" si="20"/>
        <v>2160000</v>
      </c>
      <c r="W82" s="1495">
        <f t="shared" si="21"/>
        <v>0</v>
      </c>
      <c r="X82" s="1495">
        <f t="shared" si="22"/>
        <v>0</v>
      </c>
      <c r="Y82" s="1495">
        <f t="shared" si="23"/>
        <v>100</v>
      </c>
      <c r="Z82" s="1495">
        <f t="shared" si="24"/>
        <v>0</v>
      </c>
      <c r="AA82" s="1506">
        <f t="shared" si="25"/>
        <v>0</v>
      </c>
      <c r="AB82" s="1505"/>
      <c r="AC82" s="1504">
        <f t="shared" si="26"/>
        <v>0</v>
      </c>
      <c r="AD82" s="1503">
        <f t="shared" si="27"/>
        <v>0</v>
      </c>
      <c r="AE82" s="1503">
        <f t="shared" si="28"/>
        <v>0</v>
      </c>
      <c r="AF82" s="1502">
        <f t="shared" si="29"/>
        <v>0</v>
      </c>
    </row>
    <row r="83" spans="1:32" s="1474" customFormat="1" ht="23.25" customHeight="1">
      <c r="A83" s="1515">
        <f t="shared" si="31"/>
        <v>18</v>
      </c>
      <c r="B83" s="1513" t="s">
        <v>1937</v>
      </c>
      <c r="C83" s="1514" t="s">
        <v>1935</v>
      </c>
      <c r="D83" s="1514"/>
      <c r="E83" s="1513">
        <v>5600000</v>
      </c>
      <c r="F83" s="1512">
        <f t="shared" si="17"/>
        <v>1008000</v>
      </c>
      <c r="G83" s="2141">
        <v>40560</v>
      </c>
      <c r="H83" s="1511">
        <v>0.18</v>
      </c>
      <c r="I83" s="1508">
        <v>12</v>
      </c>
      <c r="J83" s="1508">
        <v>12</v>
      </c>
      <c r="K83" s="1508">
        <v>466700</v>
      </c>
      <c r="L83" s="1508">
        <f>F83/I83</f>
        <v>84000</v>
      </c>
      <c r="M83" s="1510">
        <f t="shared" si="30"/>
        <v>5600000</v>
      </c>
      <c r="N83" s="1510">
        <f t="shared" si="18"/>
        <v>1008000</v>
      </c>
      <c r="O83" s="1509">
        <v>5600000</v>
      </c>
      <c r="P83" s="1509">
        <v>1008000</v>
      </c>
      <c r="Q83" s="1509"/>
      <c r="R83" s="2651"/>
      <c r="S83" s="2651"/>
      <c r="T83" s="1507"/>
      <c r="U83" s="1495">
        <f t="shared" si="19"/>
        <v>5600000</v>
      </c>
      <c r="V83" s="1495">
        <f t="shared" si="20"/>
        <v>1008000</v>
      </c>
      <c r="W83" s="1495">
        <f t="shared" si="21"/>
        <v>0</v>
      </c>
      <c r="X83" s="1495">
        <f t="shared" si="22"/>
        <v>0</v>
      </c>
      <c r="Y83" s="1495">
        <f t="shared" si="23"/>
        <v>100</v>
      </c>
      <c r="Z83" s="1495">
        <f t="shared" si="24"/>
        <v>0</v>
      </c>
      <c r="AA83" s="1506">
        <f t="shared" si="25"/>
        <v>0</v>
      </c>
      <c r="AB83" s="1505"/>
      <c r="AC83" s="1504">
        <f t="shared" si="26"/>
        <v>0</v>
      </c>
      <c r="AD83" s="1503">
        <f t="shared" si="27"/>
        <v>0</v>
      </c>
      <c r="AE83" s="1503">
        <f t="shared" si="28"/>
        <v>0</v>
      </c>
      <c r="AF83" s="1502">
        <f t="shared" si="29"/>
        <v>0</v>
      </c>
    </row>
    <row r="84" spans="1:32" s="1474" customFormat="1" ht="23.25" customHeight="1">
      <c r="A84" s="1515">
        <f t="shared" si="31"/>
        <v>19</v>
      </c>
      <c r="B84" s="1513" t="s">
        <v>1938</v>
      </c>
      <c r="C84" s="1514" t="s">
        <v>1935</v>
      </c>
      <c r="D84" s="1514"/>
      <c r="E84" s="1513">
        <v>15000000</v>
      </c>
      <c r="F84" s="1512">
        <f t="shared" si="17"/>
        <v>2700000</v>
      </c>
      <c r="G84" s="2141">
        <v>40576</v>
      </c>
      <c r="H84" s="1511">
        <v>0.18</v>
      </c>
      <c r="I84" s="1508">
        <v>12</v>
      </c>
      <c r="J84" s="1508">
        <v>12</v>
      </c>
      <c r="K84" s="1508">
        <v>1250000</v>
      </c>
      <c r="L84" s="1508">
        <v>225000</v>
      </c>
      <c r="M84" s="1510">
        <f t="shared" si="30"/>
        <v>15000000</v>
      </c>
      <c r="N84" s="1510">
        <f t="shared" si="18"/>
        <v>2700000</v>
      </c>
      <c r="O84" s="1509">
        <v>15000000</v>
      </c>
      <c r="P84" s="1509">
        <v>2700000</v>
      </c>
      <c r="Q84" s="1509"/>
      <c r="R84" s="2651"/>
      <c r="S84" s="2651">
        <v>0</v>
      </c>
      <c r="T84" s="1507"/>
      <c r="U84" s="1495">
        <f t="shared" si="19"/>
        <v>15000000</v>
      </c>
      <c r="V84" s="1495">
        <f t="shared" si="20"/>
        <v>2700000</v>
      </c>
      <c r="W84" s="1495">
        <f t="shared" si="21"/>
        <v>0</v>
      </c>
      <c r="X84" s="1495">
        <f t="shared" si="22"/>
        <v>0</v>
      </c>
      <c r="Y84" s="1495">
        <f t="shared" si="23"/>
        <v>100</v>
      </c>
      <c r="Z84" s="1495">
        <f t="shared" si="24"/>
        <v>0</v>
      </c>
      <c r="AA84" s="1506">
        <f t="shared" si="25"/>
        <v>0</v>
      </c>
      <c r="AB84" s="1505"/>
      <c r="AC84" s="1504">
        <f t="shared" si="26"/>
        <v>0</v>
      </c>
      <c r="AD84" s="1503">
        <f t="shared" si="27"/>
        <v>0</v>
      </c>
      <c r="AE84" s="1503">
        <f t="shared" si="28"/>
        <v>0</v>
      </c>
      <c r="AF84" s="1502">
        <f t="shared" si="29"/>
        <v>0</v>
      </c>
    </row>
    <row r="85" spans="1:32" s="1474" customFormat="1" ht="23.25" customHeight="1">
      <c r="A85" s="1515">
        <f t="shared" si="31"/>
        <v>20</v>
      </c>
      <c r="B85" s="1513" t="s">
        <v>1939</v>
      </c>
      <c r="C85" s="1514" t="s">
        <v>1935</v>
      </c>
      <c r="D85" s="1514"/>
      <c r="E85" s="1513">
        <v>10000000</v>
      </c>
      <c r="F85" s="1512">
        <f t="shared" si="17"/>
        <v>1800000</v>
      </c>
      <c r="G85" s="2141">
        <v>40576</v>
      </c>
      <c r="H85" s="1511">
        <v>0.18</v>
      </c>
      <c r="I85" s="1508">
        <v>12</v>
      </c>
      <c r="J85" s="1508">
        <v>12</v>
      </c>
      <c r="K85" s="1508">
        <v>833300</v>
      </c>
      <c r="L85" s="1508">
        <v>150000</v>
      </c>
      <c r="M85" s="1510">
        <f t="shared" si="30"/>
        <v>10000000</v>
      </c>
      <c r="N85" s="1510">
        <f t="shared" si="18"/>
        <v>1800000</v>
      </c>
      <c r="O85" s="1509">
        <v>10000000</v>
      </c>
      <c r="P85" s="1509">
        <v>1800000</v>
      </c>
      <c r="Q85" s="1509"/>
      <c r="R85" s="2651"/>
      <c r="S85" s="2651"/>
      <c r="T85" s="1507"/>
      <c r="U85" s="1495">
        <f t="shared" si="19"/>
        <v>10000000</v>
      </c>
      <c r="V85" s="1495">
        <f t="shared" si="20"/>
        <v>1800000</v>
      </c>
      <c r="W85" s="1495">
        <f t="shared" si="21"/>
        <v>0</v>
      </c>
      <c r="X85" s="1495">
        <f t="shared" si="22"/>
        <v>0</v>
      </c>
      <c r="Y85" s="1495">
        <f t="shared" si="23"/>
        <v>100</v>
      </c>
      <c r="Z85" s="1495">
        <f t="shared" si="24"/>
        <v>0</v>
      </c>
      <c r="AA85" s="1506">
        <f t="shared" si="25"/>
        <v>0</v>
      </c>
      <c r="AB85" s="1505"/>
      <c r="AC85" s="1504">
        <f t="shared" si="26"/>
        <v>0</v>
      </c>
      <c r="AD85" s="1503">
        <f t="shared" si="27"/>
        <v>0</v>
      </c>
      <c r="AE85" s="1503">
        <f t="shared" si="28"/>
        <v>0</v>
      </c>
      <c r="AF85" s="1502">
        <f t="shared" si="29"/>
        <v>0</v>
      </c>
    </row>
    <row r="86" spans="1:32" s="1474" customFormat="1" ht="23.25" customHeight="1">
      <c r="A86" s="1515">
        <f t="shared" si="31"/>
        <v>21</v>
      </c>
      <c r="B86" s="1513" t="s">
        <v>1898</v>
      </c>
      <c r="C86" s="1514" t="s">
        <v>1940</v>
      </c>
      <c r="D86" s="1514"/>
      <c r="E86" s="1513">
        <v>25000000</v>
      </c>
      <c r="F86" s="1512">
        <f t="shared" si="17"/>
        <v>4500000</v>
      </c>
      <c r="G86" s="2141">
        <v>40584</v>
      </c>
      <c r="H86" s="1511">
        <v>0.18</v>
      </c>
      <c r="I86" s="1508">
        <v>12</v>
      </c>
      <c r="J86" s="2404">
        <v>12</v>
      </c>
      <c r="K86" s="1508">
        <v>2083300</v>
      </c>
      <c r="L86" s="1508">
        <v>375000</v>
      </c>
      <c r="M86" s="1510">
        <f t="shared" si="30"/>
        <v>25000000</v>
      </c>
      <c r="N86" s="2401">
        <f>IF(J86&lt;I86,J86*L86,IF(J86&gt;=I86,F86))-375000</f>
        <v>4125000</v>
      </c>
      <c r="O86" s="1509">
        <v>25000000</v>
      </c>
      <c r="P86" s="1509">
        <v>4125000</v>
      </c>
      <c r="Q86" s="1509"/>
      <c r="R86" s="2651"/>
      <c r="S86" s="2651"/>
      <c r="T86" s="1507"/>
      <c r="U86" s="1495">
        <f t="shared" si="19"/>
        <v>25000000</v>
      </c>
      <c r="V86" s="1495">
        <f t="shared" si="20"/>
        <v>4125000</v>
      </c>
      <c r="W86" s="1495">
        <f t="shared" si="21"/>
        <v>0</v>
      </c>
      <c r="X86" s="1495">
        <f t="shared" si="22"/>
        <v>0</v>
      </c>
      <c r="Y86" s="1495">
        <f t="shared" si="23"/>
        <v>100</v>
      </c>
      <c r="Z86" s="1495">
        <f t="shared" si="24"/>
        <v>0</v>
      </c>
      <c r="AA86" s="1506">
        <f t="shared" si="25"/>
        <v>0</v>
      </c>
      <c r="AB86" s="1505"/>
      <c r="AC86" s="1504">
        <f t="shared" si="26"/>
        <v>0</v>
      </c>
      <c r="AD86" s="1503">
        <f t="shared" si="27"/>
        <v>0</v>
      </c>
      <c r="AE86" s="1503">
        <f t="shared" si="28"/>
        <v>0</v>
      </c>
      <c r="AF86" s="1502">
        <f t="shared" si="29"/>
        <v>0</v>
      </c>
    </row>
    <row r="87" spans="1:32" s="1474" customFormat="1" ht="23.25" customHeight="1">
      <c r="A87" s="1515">
        <f t="shared" si="31"/>
        <v>22</v>
      </c>
      <c r="B87" s="1513" t="s">
        <v>1927</v>
      </c>
      <c r="C87" s="1514" t="s">
        <v>1940</v>
      </c>
      <c r="D87" s="1514"/>
      <c r="E87" s="1513">
        <v>25000000</v>
      </c>
      <c r="F87" s="1512">
        <f t="shared" si="17"/>
        <v>4500000</v>
      </c>
      <c r="G87" s="2141">
        <v>40577</v>
      </c>
      <c r="H87" s="1511">
        <v>0.18</v>
      </c>
      <c r="I87" s="1508">
        <v>12</v>
      </c>
      <c r="J87" s="1508">
        <v>12</v>
      </c>
      <c r="K87" s="1508">
        <v>2083300</v>
      </c>
      <c r="L87" s="1508">
        <v>375000</v>
      </c>
      <c r="M87" s="1510">
        <f t="shared" si="30"/>
        <v>25000000</v>
      </c>
      <c r="N87" s="1510">
        <f t="shared" si="18"/>
        <v>4500000</v>
      </c>
      <c r="O87" s="1509">
        <v>25000000</v>
      </c>
      <c r="P87" s="1509">
        <v>4500000</v>
      </c>
      <c r="Q87" s="1509"/>
      <c r="R87" s="2651"/>
      <c r="S87" s="2651"/>
      <c r="T87" s="1507"/>
      <c r="U87" s="1495">
        <f t="shared" si="19"/>
        <v>25000000</v>
      </c>
      <c r="V87" s="1495">
        <f t="shared" si="20"/>
        <v>4500000</v>
      </c>
      <c r="W87" s="1495">
        <f t="shared" si="21"/>
        <v>0</v>
      </c>
      <c r="X87" s="1495">
        <f t="shared" si="22"/>
        <v>0</v>
      </c>
      <c r="Y87" s="1495">
        <f t="shared" si="23"/>
        <v>100</v>
      </c>
      <c r="Z87" s="1495">
        <f t="shared" si="24"/>
        <v>0</v>
      </c>
      <c r="AA87" s="1506">
        <f t="shared" si="25"/>
        <v>0</v>
      </c>
      <c r="AB87" s="1505"/>
      <c r="AC87" s="1504">
        <f t="shared" si="26"/>
        <v>0</v>
      </c>
      <c r="AD87" s="1503">
        <f t="shared" si="27"/>
        <v>0</v>
      </c>
      <c r="AE87" s="1503">
        <f t="shared" si="28"/>
        <v>0</v>
      </c>
      <c r="AF87" s="1502">
        <f t="shared" si="29"/>
        <v>0</v>
      </c>
    </row>
    <row r="88" spans="1:32" s="1474" customFormat="1" ht="23.25" customHeight="1">
      <c r="A88" s="1515">
        <f t="shared" si="31"/>
        <v>23</v>
      </c>
      <c r="B88" s="1513" t="s">
        <v>1908</v>
      </c>
      <c r="C88" s="1514" t="s">
        <v>1940</v>
      </c>
      <c r="D88" s="1514"/>
      <c r="E88" s="1513">
        <v>15000000</v>
      </c>
      <c r="F88" s="1512">
        <f t="shared" si="17"/>
        <v>2700000</v>
      </c>
      <c r="G88" s="2141">
        <v>40789</v>
      </c>
      <c r="H88" s="1511">
        <v>0.18</v>
      </c>
      <c r="I88" s="1508">
        <v>12</v>
      </c>
      <c r="J88" s="1508">
        <v>12</v>
      </c>
      <c r="K88" s="1508">
        <v>1250000</v>
      </c>
      <c r="L88" s="1508">
        <v>225000</v>
      </c>
      <c r="M88" s="1510">
        <f t="shared" si="30"/>
        <v>15000000</v>
      </c>
      <c r="N88" s="1510">
        <f t="shared" si="18"/>
        <v>2700000</v>
      </c>
      <c r="O88" s="1509">
        <v>15000000</v>
      </c>
      <c r="P88" s="1509">
        <v>2700000</v>
      </c>
      <c r="Q88" s="1509"/>
      <c r="R88" s="2841"/>
      <c r="S88" s="2841"/>
      <c r="T88" s="1507"/>
      <c r="U88" s="1495">
        <f t="shared" si="19"/>
        <v>15000000</v>
      </c>
      <c r="V88" s="1495">
        <f t="shared" si="20"/>
        <v>2700000</v>
      </c>
      <c r="W88" s="1495">
        <f t="shared" si="21"/>
        <v>0</v>
      </c>
      <c r="X88" s="1495">
        <f t="shared" si="22"/>
        <v>0</v>
      </c>
      <c r="Y88" s="1495">
        <f t="shared" si="23"/>
        <v>100</v>
      </c>
      <c r="Z88" s="1495">
        <f t="shared" si="24"/>
        <v>0</v>
      </c>
      <c r="AA88" s="1506">
        <f t="shared" si="25"/>
        <v>0</v>
      </c>
      <c r="AB88" s="1505"/>
      <c r="AC88" s="1504">
        <f t="shared" si="26"/>
        <v>0</v>
      </c>
      <c r="AD88" s="1503">
        <f t="shared" si="27"/>
        <v>0</v>
      </c>
      <c r="AE88" s="1503">
        <f t="shared" si="28"/>
        <v>0</v>
      </c>
      <c r="AF88" s="1502">
        <f t="shared" si="29"/>
        <v>0</v>
      </c>
    </row>
    <row r="89" spans="1:32" s="1474" customFormat="1" ht="23.25" customHeight="1">
      <c r="A89" s="1515">
        <f t="shared" si="31"/>
        <v>24</v>
      </c>
      <c r="B89" s="1513" t="s">
        <v>1897</v>
      </c>
      <c r="C89" s="1514" t="s">
        <v>1940</v>
      </c>
      <c r="D89" s="1514"/>
      <c r="E89" s="1513">
        <v>21000000</v>
      </c>
      <c r="F89" s="1512">
        <f t="shared" si="17"/>
        <v>3780000</v>
      </c>
      <c r="G89" s="2141">
        <v>40619</v>
      </c>
      <c r="H89" s="1511">
        <v>0.18</v>
      </c>
      <c r="I89" s="1508">
        <v>12</v>
      </c>
      <c r="J89" s="1508">
        <v>12</v>
      </c>
      <c r="K89" s="1508">
        <v>1750000</v>
      </c>
      <c r="L89" s="1508">
        <v>315000</v>
      </c>
      <c r="M89" s="1510">
        <f t="shared" si="30"/>
        <v>21000000</v>
      </c>
      <c r="N89" s="1510">
        <f t="shared" si="18"/>
        <v>3780000</v>
      </c>
      <c r="O89" s="1509">
        <v>21000000</v>
      </c>
      <c r="P89" s="1509">
        <v>3780000</v>
      </c>
      <c r="Q89" s="1509"/>
      <c r="R89" s="2651"/>
      <c r="S89" s="2651"/>
      <c r="T89" s="1507"/>
      <c r="U89" s="1495">
        <f t="shared" si="19"/>
        <v>21000000</v>
      </c>
      <c r="V89" s="1495">
        <f t="shared" si="20"/>
        <v>3780000</v>
      </c>
      <c r="W89" s="1495">
        <f t="shared" si="21"/>
        <v>0</v>
      </c>
      <c r="X89" s="1495">
        <f t="shared" si="22"/>
        <v>0</v>
      </c>
      <c r="Y89" s="1495">
        <f t="shared" si="23"/>
        <v>100</v>
      </c>
      <c r="Z89" s="1495">
        <f t="shared" si="24"/>
        <v>0</v>
      </c>
      <c r="AA89" s="1506">
        <f t="shared" si="25"/>
        <v>0</v>
      </c>
      <c r="AB89" s="1505"/>
      <c r="AC89" s="1504">
        <f t="shared" si="26"/>
        <v>0</v>
      </c>
      <c r="AD89" s="1503">
        <f t="shared" si="27"/>
        <v>0</v>
      </c>
      <c r="AE89" s="1503">
        <f t="shared" si="28"/>
        <v>0</v>
      </c>
      <c r="AF89" s="1502">
        <f t="shared" si="29"/>
        <v>0</v>
      </c>
    </row>
    <row r="90" spans="1:32" s="1474" customFormat="1" ht="23.25" customHeight="1">
      <c r="A90" s="1515">
        <f t="shared" si="31"/>
        <v>25</v>
      </c>
      <c r="B90" s="1513" t="s">
        <v>1930</v>
      </c>
      <c r="C90" s="1514" t="s">
        <v>1940</v>
      </c>
      <c r="D90" s="1514"/>
      <c r="E90" s="1513">
        <v>10000000</v>
      </c>
      <c r="F90" s="1512">
        <f t="shared" si="17"/>
        <v>1800000</v>
      </c>
      <c r="G90" s="2141">
        <v>40851</v>
      </c>
      <c r="H90" s="1511">
        <v>0.18</v>
      </c>
      <c r="I90" s="1508">
        <v>12</v>
      </c>
      <c r="J90" s="1508">
        <v>12</v>
      </c>
      <c r="K90" s="1508">
        <v>833300</v>
      </c>
      <c r="L90" s="1508">
        <v>150000</v>
      </c>
      <c r="M90" s="1510">
        <f t="shared" si="30"/>
        <v>10000000</v>
      </c>
      <c r="N90" s="1510">
        <f t="shared" si="18"/>
        <v>1800000</v>
      </c>
      <c r="O90" s="1509">
        <v>10000000</v>
      </c>
      <c r="P90" s="1509">
        <v>1800000</v>
      </c>
      <c r="Q90" s="1509"/>
      <c r="R90" s="2651"/>
      <c r="S90" s="2651"/>
      <c r="T90" s="1507"/>
      <c r="U90" s="1495">
        <f t="shared" si="19"/>
        <v>10000000</v>
      </c>
      <c r="V90" s="1495">
        <f t="shared" si="20"/>
        <v>1800000</v>
      </c>
      <c r="W90" s="1495">
        <f t="shared" si="21"/>
        <v>0</v>
      </c>
      <c r="X90" s="1495">
        <f t="shared" si="22"/>
        <v>0</v>
      </c>
      <c r="Y90" s="1495">
        <f t="shared" si="23"/>
        <v>100</v>
      </c>
      <c r="Z90" s="1495">
        <f t="shared" si="24"/>
        <v>0</v>
      </c>
      <c r="AA90" s="1506">
        <f t="shared" si="25"/>
        <v>0</v>
      </c>
      <c r="AB90" s="1505"/>
      <c r="AC90" s="1504">
        <f t="shared" si="26"/>
        <v>0</v>
      </c>
      <c r="AD90" s="1503">
        <f t="shared" si="27"/>
        <v>0</v>
      </c>
      <c r="AE90" s="1503">
        <f t="shared" si="28"/>
        <v>0</v>
      </c>
      <c r="AF90" s="1502">
        <f t="shared" si="29"/>
        <v>0</v>
      </c>
    </row>
    <row r="91" spans="1:32" s="1474" customFormat="1" ht="23.25" customHeight="1">
      <c r="A91" s="1515">
        <v>26</v>
      </c>
      <c r="B91" s="1513" t="s">
        <v>1924</v>
      </c>
      <c r="C91" s="1514" t="s">
        <v>1985</v>
      </c>
      <c r="D91" s="1514"/>
      <c r="E91" s="1513">
        <v>25000000</v>
      </c>
      <c r="F91" s="1512">
        <f t="shared" si="17"/>
        <v>4500000</v>
      </c>
      <c r="G91" s="2141">
        <v>40675</v>
      </c>
      <c r="H91" s="1511">
        <v>0.18</v>
      </c>
      <c r="I91" s="1508">
        <v>12</v>
      </c>
      <c r="J91" s="2404">
        <v>12</v>
      </c>
      <c r="K91" s="1508">
        <v>2083300</v>
      </c>
      <c r="L91" s="1508">
        <v>375000</v>
      </c>
      <c r="M91" s="2690">
        <f t="shared" si="30"/>
        <v>25000000</v>
      </c>
      <c r="N91" s="2407">
        <f>IF(J91&lt;I91,J91*L91,IF(J91&gt;=I91,F91))-375000</f>
        <v>4125000</v>
      </c>
      <c r="O91" s="2171">
        <v>25000000</v>
      </c>
      <c r="P91" s="2171">
        <v>4125000</v>
      </c>
      <c r="Q91" s="2171"/>
      <c r="R91" s="2842"/>
      <c r="S91" s="2842"/>
      <c r="T91" s="2173"/>
      <c r="U91" s="2174">
        <f t="shared" si="19"/>
        <v>25000000</v>
      </c>
      <c r="V91" s="2421">
        <f t="shared" si="20"/>
        <v>4125000</v>
      </c>
      <c r="W91" s="1495">
        <f t="shared" si="21"/>
        <v>0</v>
      </c>
      <c r="X91" s="1495">
        <f t="shared" si="22"/>
        <v>0</v>
      </c>
      <c r="Y91" s="1495">
        <f t="shared" si="23"/>
        <v>100</v>
      </c>
      <c r="Z91" s="1495">
        <f t="shared" si="24"/>
        <v>0</v>
      </c>
      <c r="AA91" s="1506">
        <f t="shared" si="25"/>
        <v>0</v>
      </c>
      <c r="AB91" s="1505"/>
      <c r="AC91" s="1504">
        <f t="shared" si="26"/>
        <v>0</v>
      </c>
      <c r="AD91" s="1503">
        <f t="shared" si="27"/>
        <v>0</v>
      </c>
      <c r="AE91" s="1503">
        <f t="shared" si="28"/>
        <v>0</v>
      </c>
      <c r="AF91" s="1502">
        <f t="shared" si="29"/>
        <v>0</v>
      </c>
    </row>
    <row r="92" spans="1:32" s="1474" customFormat="1" ht="23.25" customHeight="1">
      <c r="A92" s="1515">
        <v>27</v>
      </c>
      <c r="B92" s="1513" t="s">
        <v>1934</v>
      </c>
      <c r="C92" s="1514" t="s">
        <v>1985</v>
      </c>
      <c r="D92" s="1514"/>
      <c r="E92" s="1513">
        <v>20000000</v>
      </c>
      <c r="F92" s="1512">
        <f t="shared" si="17"/>
        <v>3600000</v>
      </c>
      <c r="G92" s="2141">
        <v>40703</v>
      </c>
      <c r="H92" s="1511">
        <v>0.18</v>
      </c>
      <c r="I92" s="1508">
        <v>12</v>
      </c>
      <c r="J92" s="1508">
        <v>12</v>
      </c>
      <c r="K92" s="1508">
        <v>1666700</v>
      </c>
      <c r="L92" s="1508">
        <f t="shared" ref="L92:L207" si="32">F92/I92</f>
        <v>300000</v>
      </c>
      <c r="M92" s="2420">
        <f t="shared" si="30"/>
        <v>20000000</v>
      </c>
      <c r="N92" s="2172">
        <f t="shared" si="18"/>
        <v>3600000</v>
      </c>
      <c r="O92" s="2171">
        <v>20000000</v>
      </c>
      <c r="P92" s="2171">
        <v>3600000</v>
      </c>
      <c r="Q92" s="2171"/>
      <c r="R92" s="2842"/>
      <c r="S92" s="2842"/>
      <c r="T92" s="2173"/>
      <c r="U92" s="2174">
        <f t="shared" si="19"/>
        <v>20000000</v>
      </c>
      <c r="V92" s="2421">
        <f t="shared" si="20"/>
        <v>3600000</v>
      </c>
      <c r="W92" s="1495">
        <f t="shared" si="21"/>
        <v>0</v>
      </c>
      <c r="X92" s="1495">
        <f t="shared" si="22"/>
        <v>0</v>
      </c>
      <c r="Y92" s="1495">
        <f t="shared" si="23"/>
        <v>100</v>
      </c>
      <c r="Z92" s="1495">
        <f t="shared" si="24"/>
        <v>0</v>
      </c>
      <c r="AA92" s="1506">
        <f t="shared" si="25"/>
        <v>0</v>
      </c>
      <c r="AB92" s="1505"/>
      <c r="AC92" s="1504">
        <f t="shared" si="26"/>
        <v>0</v>
      </c>
      <c r="AD92" s="1503">
        <f t="shared" si="27"/>
        <v>0</v>
      </c>
      <c r="AE92" s="1503">
        <f t="shared" si="28"/>
        <v>0</v>
      </c>
      <c r="AF92" s="1502">
        <f t="shared" si="29"/>
        <v>0</v>
      </c>
    </row>
    <row r="93" spans="1:32" s="1474" customFormat="1" ht="23.25" customHeight="1">
      <c r="A93" s="1515">
        <v>28</v>
      </c>
      <c r="B93" s="1513" t="s">
        <v>1901</v>
      </c>
      <c r="C93" s="1514" t="s">
        <v>1985</v>
      </c>
      <c r="D93" s="1514"/>
      <c r="E93" s="1513">
        <v>15000000</v>
      </c>
      <c r="F93" s="1512">
        <f t="shared" si="17"/>
        <v>2700000</v>
      </c>
      <c r="G93" s="2141">
        <v>40708</v>
      </c>
      <c r="H93" s="1511">
        <v>0.18</v>
      </c>
      <c r="I93" s="1508">
        <v>12</v>
      </c>
      <c r="J93" s="2404">
        <v>12</v>
      </c>
      <c r="K93" s="1508">
        <f>E93/I93</f>
        <v>1250000</v>
      </c>
      <c r="L93" s="1508">
        <f t="shared" si="32"/>
        <v>225000</v>
      </c>
      <c r="M93" s="2420">
        <f t="shared" si="30"/>
        <v>15000000</v>
      </c>
      <c r="N93" s="2407">
        <f>IF(J93&lt;I93,J93*L93,IF(J93&gt;=I93,F93))-225000</f>
        <v>2475000</v>
      </c>
      <c r="O93" s="2171">
        <v>15000000</v>
      </c>
      <c r="P93" s="2171">
        <v>2475000</v>
      </c>
      <c r="Q93" s="2171"/>
      <c r="R93" s="2842"/>
      <c r="S93" s="2842"/>
      <c r="T93" s="2173"/>
      <c r="U93" s="2174">
        <f t="shared" si="19"/>
        <v>15000000</v>
      </c>
      <c r="V93" s="2421">
        <f t="shared" si="20"/>
        <v>2475000</v>
      </c>
      <c r="W93" s="1495">
        <f t="shared" si="21"/>
        <v>0</v>
      </c>
      <c r="X93" s="1495">
        <f t="shared" si="22"/>
        <v>0</v>
      </c>
      <c r="Y93" s="1495">
        <f t="shared" si="23"/>
        <v>100</v>
      </c>
      <c r="Z93" s="1495">
        <f t="shared" si="24"/>
        <v>0</v>
      </c>
      <c r="AA93" s="1506">
        <f t="shared" si="25"/>
        <v>0</v>
      </c>
      <c r="AB93" s="1505"/>
      <c r="AC93" s="1504">
        <f t="shared" si="26"/>
        <v>0</v>
      </c>
      <c r="AD93" s="1503">
        <f t="shared" si="27"/>
        <v>0</v>
      </c>
      <c r="AE93" s="1503">
        <f t="shared" si="28"/>
        <v>0</v>
      </c>
      <c r="AF93" s="1502">
        <f t="shared" si="29"/>
        <v>0</v>
      </c>
    </row>
    <row r="94" spans="1:32" s="1474" customFormat="1" ht="23.25" customHeight="1">
      <c r="A94" s="1515">
        <v>29</v>
      </c>
      <c r="B94" s="1513" t="s">
        <v>1952</v>
      </c>
      <c r="C94" s="1514" t="s">
        <v>1985</v>
      </c>
      <c r="D94" s="1514"/>
      <c r="E94" s="1513">
        <v>6000000</v>
      </c>
      <c r="F94" s="1512">
        <f t="shared" si="17"/>
        <v>1080000</v>
      </c>
      <c r="G94" s="2141">
        <v>40729</v>
      </c>
      <c r="H94" s="1511">
        <v>0.18</v>
      </c>
      <c r="I94" s="1508">
        <v>12</v>
      </c>
      <c r="J94" s="2404">
        <v>12</v>
      </c>
      <c r="K94" s="1508">
        <f>E94/I94</f>
        <v>500000</v>
      </c>
      <c r="L94" s="1508">
        <f t="shared" si="32"/>
        <v>90000</v>
      </c>
      <c r="M94" s="2420">
        <f t="shared" si="30"/>
        <v>6000000</v>
      </c>
      <c r="N94" s="2172">
        <f>IF(J94&lt;I94,J94*L94,IF(J94&gt;=I94,F94))-90000</f>
        <v>990000</v>
      </c>
      <c r="O94" s="2171">
        <v>6000000</v>
      </c>
      <c r="P94" s="2171">
        <v>990000</v>
      </c>
      <c r="Q94" s="2171"/>
      <c r="R94" s="2842"/>
      <c r="S94" s="2842"/>
      <c r="T94" s="2173"/>
      <c r="U94" s="2174">
        <f t="shared" si="19"/>
        <v>6000000</v>
      </c>
      <c r="V94" s="2421">
        <f t="shared" si="20"/>
        <v>990000</v>
      </c>
      <c r="W94" s="1495">
        <f t="shared" si="21"/>
        <v>0</v>
      </c>
      <c r="X94" s="1495">
        <f t="shared" si="22"/>
        <v>0</v>
      </c>
      <c r="Y94" s="1495">
        <f t="shared" si="23"/>
        <v>100</v>
      </c>
      <c r="Z94" s="1495">
        <f t="shared" si="24"/>
        <v>0</v>
      </c>
      <c r="AA94" s="1506">
        <f t="shared" si="25"/>
        <v>0</v>
      </c>
      <c r="AB94" s="1505"/>
      <c r="AC94" s="1504">
        <f t="shared" si="26"/>
        <v>0</v>
      </c>
      <c r="AD94" s="1503">
        <f t="shared" si="27"/>
        <v>0</v>
      </c>
      <c r="AE94" s="1503">
        <f t="shared" si="28"/>
        <v>0</v>
      </c>
      <c r="AF94" s="1502">
        <f t="shared" si="29"/>
        <v>0</v>
      </c>
    </row>
    <row r="95" spans="1:32" s="1474" customFormat="1" ht="23.25" customHeight="1">
      <c r="A95" s="1515">
        <v>30</v>
      </c>
      <c r="B95" s="1513" t="s">
        <v>1944</v>
      </c>
      <c r="C95" s="1514" t="s">
        <v>1985</v>
      </c>
      <c r="D95" s="1514"/>
      <c r="E95" s="1513">
        <v>4800000</v>
      </c>
      <c r="F95" s="1512">
        <f t="shared" si="17"/>
        <v>864000</v>
      </c>
      <c r="G95" s="2141">
        <v>40729</v>
      </c>
      <c r="H95" s="1511">
        <v>0.18</v>
      </c>
      <c r="I95" s="1508">
        <v>12</v>
      </c>
      <c r="J95" s="2404">
        <v>12</v>
      </c>
      <c r="K95" s="1508">
        <f>E95/I95</f>
        <v>400000</v>
      </c>
      <c r="L95" s="1508">
        <f t="shared" si="32"/>
        <v>72000</v>
      </c>
      <c r="M95" s="2420">
        <f t="shared" si="30"/>
        <v>4800000</v>
      </c>
      <c r="N95" s="2172">
        <f>IF(J95&lt;I95,J95*L95,IF(J95&gt;=I95,F95))-72000</f>
        <v>792000</v>
      </c>
      <c r="O95" s="2171">
        <v>4800000</v>
      </c>
      <c r="P95" s="2171">
        <v>792000</v>
      </c>
      <c r="Q95" s="2171"/>
      <c r="R95" s="2842"/>
      <c r="S95" s="2842"/>
      <c r="T95" s="2173"/>
      <c r="U95" s="2174">
        <f t="shared" si="19"/>
        <v>4800000</v>
      </c>
      <c r="V95" s="2421">
        <f t="shared" si="20"/>
        <v>792000</v>
      </c>
      <c r="W95" s="1495">
        <f t="shared" si="21"/>
        <v>0</v>
      </c>
      <c r="X95" s="1495">
        <f t="shared" si="22"/>
        <v>0</v>
      </c>
      <c r="Y95" s="1495">
        <f t="shared" si="23"/>
        <v>100</v>
      </c>
      <c r="Z95" s="1495">
        <f t="shared" si="24"/>
        <v>0</v>
      </c>
      <c r="AA95" s="1506">
        <f t="shared" si="25"/>
        <v>0</v>
      </c>
      <c r="AB95" s="1505"/>
      <c r="AC95" s="1504">
        <f t="shared" si="26"/>
        <v>0</v>
      </c>
      <c r="AD95" s="1503">
        <f t="shared" si="27"/>
        <v>0</v>
      </c>
      <c r="AE95" s="1503">
        <f t="shared" si="28"/>
        <v>0</v>
      </c>
      <c r="AF95" s="1502">
        <f t="shared" si="29"/>
        <v>0</v>
      </c>
    </row>
    <row r="96" spans="1:32" s="1474" customFormat="1" ht="23.25" customHeight="1">
      <c r="A96" s="1515">
        <v>31</v>
      </c>
      <c r="B96" s="1513" t="s">
        <v>1907</v>
      </c>
      <c r="C96" s="1514" t="s">
        <v>2195</v>
      </c>
      <c r="D96" s="1514"/>
      <c r="E96" s="1513">
        <v>18500000</v>
      </c>
      <c r="F96" s="1512">
        <f t="shared" si="17"/>
        <v>3330000</v>
      </c>
      <c r="G96" s="2141">
        <v>40822</v>
      </c>
      <c r="H96" s="1511">
        <v>0.18</v>
      </c>
      <c r="I96" s="1508">
        <v>12</v>
      </c>
      <c r="J96" s="1508">
        <v>12</v>
      </c>
      <c r="K96" s="1508">
        <f>E96/I96+33.3333333</f>
        <v>1541699.9999999667</v>
      </c>
      <c r="L96" s="1508">
        <f t="shared" si="32"/>
        <v>277500</v>
      </c>
      <c r="M96" s="2420">
        <f t="shared" si="30"/>
        <v>18500000</v>
      </c>
      <c r="N96" s="2172">
        <f>IF(J96&lt;I96,J96*L96,IF(J96&gt;=I96,F96))-277500</f>
        <v>3052500</v>
      </c>
      <c r="O96" s="2171">
        <v>18500000</v>
      </c>
      <c r="P96" s="2171">
        <v>3052500</v>
      </c>
      <c r="Q96" s="2171"/>
      <c r="R96" s="2649"/>
      <c r="S96" s="2649"/>
      <c r="T96" s="2173"/>
      <c r="U96" s="2174">
        <f t="shared" si="19"/>
        <v>18500000</v>
      </c>
      <c r="V96" s="2421">
        <f t="shared" si="20"/>
        <v>3052500</v>
      </c>
      <c r="W96" s="1495">
        <f t="shared" si="21"/>
        <v>0</v>
      </c>
      <c r="X96" s="1495">
        <f t="shared" si="22"/>
        <v>0</v>
      </c>
      <c r="Y96" s="1495">
        <f t="shared" si="23"/>
        <v>100</v>
      </c>
      <c r="Z96" s="1495">
        <f t="shared" si="24"/>
        <v>0</v>
      </c>
      <c r="AA96" s="1506">
        <f t="shared" si="25"/>
        <v>0</v>
      </c>
      <c r="AB96" s="1505"/>
      <c r="AC96" s="1504">
        <f t="shared" si="26"/>
        <v>0</v>
      </c>
      <c r="AD96" s="1503">
        <f t="shared" si="27"/>
        <v>0</v>
      </c>
      <c r="AE96" s="1503">
        <f t="shared" si="28"/>
        <v>0</v>
      </c>
      <c r="AF96" s="1502">
        <f t="shared" si="29"/>
        <v>0</v>
      </c>
    </row>
    <row r="97" spans="1:32" s="1474" customFormat="1" ht="23.25" customHeight="1">
      <c r="A97" s="1515">
        <v>32</v>
      </c>
      <c r="B97" s="1513" t="s">
        <v>2213</v>
      </c>
      <c r="C97" s="1514" t="s">
        <v>2195</v>
      </c>
      <c r="D97" s="1514"/>
      <c r="E97" s="1513">
        <v>5500000</v>
      </c>
      <c r="F97" s="1512">
        <f t="shared" si="17"/>
        <v>990000</v>
      </c>
      <c r="G97" s="2141">
        <v>40822</v>
      </c>
      <c r="H97" s="1511">
        <v>0.18</v>
      </c>
      <c r="I97" s="1508">
        <v>12</v>
      </c>
      <c r="J97" s="1508">
        <v>12</v>
      </c>
      <c r="K97" s="1508">
        <f>E97/I97-33.333333333</f>
        <v>458300.00000000029</v>
      </c>
      <c r="L97" s="1508">
        <f t="shared" si="32"/>
        <v>82500</v>
      </c>
      <c r="M97" s="2420">
        <f t="shared" si="30"/>
        <v>5500000</v>
      </c>
      <c r="N97" s="2172">
        <f>IF(J97&lt;I97,J97*L97,IF(J97&gt;=I97,F97))-82500</f>
        <v>907500</v>
      </c>
      <c r="O97" s="2171">
        <v>5500000</v>
      </c>
      <c r="P97" s="2171">
        <v>907500</v>
      </c>
      <c r="Q97" s="2171"/>
      <c r="R97" s="2649"/>
      <c r="S97" s="2649"/>
      <c r="T97" s="2173"/>
      <c r="U97" s="2174">
        <f t="shared" si="19"/>
        <v>5500000</v>
      </c>
      <c r="V97" s="2421">
        <f t="shared" si="20"/>
        <v>907500</v>
      </c>
      <c r="W97" s="1495">
        <f t="shared" si="21"/>
        <v>0</v>
      </c>
      <c r="X97" s="1495">
        <f t="shared" si="22"/>
        <v>0</v>
      </c>
      <c r="Y97" s="1495">
        <f t="shared" si="23"/>
        <v>100</v>
      </c>
      <c r="Z97" s="1495">
        <f t="shared" si="24"/>
        <v>0</v>
      </c>
      <c r="AA97" s="1506">
        <f t="shared" si="25"/>
        <v>0</v>
      </c>
      <c r="AB97" s="1505"/>
      <c r="AC97" s="1504">
        <f t="shared" si="26"/>
        <v>0</v>
      </c>
      <c r="AD97" s="1503">
        <f t="shared" si="27"/>
        <v>0</v>
      </c>
      <c r="AE97" s="1503">
        <f t="shared" si="28"/>
        <v>0</v>
      </c>
      <c r="AF97" s="1502">
        <f t="shared" si="29"/>
        <v>0</v>
      </c>
    </row>
    <row r="98" spans="1:32" s="1474" customFormat="1" ht="23.25" customHeight="1">
      <c r="A98" s="1515">
        <v>33</v>
      </c>
      <c r="B98" s="1513" t="s">
        <v>2214</v>
      </c>
      <c r="C98" s="1514" t="s">
        <v>2195</v>
      </c>
      <c r="D98" s="1514"/>
      <c r="E98" s="1513">
        <v>3000000</v>
      </c>
      <c r="F98" s="1512">
        <f t="shared" si="17"/>
        <v>540000</v>
      </c>
      <c r="G98" s="2141">
        <v>40822</v>
      </c>
      <c r="H98" s="1511">
        <v>0.18</v>
      </c>
      <c r="I98" s="1508">
        <v>12</v>
      </c>
      <c r="J98" s="2404">
        <v>12</v>
      </c>
      <c r="K98" s="1508">
        <f>E98/I98</f>
        <v>250000</v>
      </c>
      <c r="L98" s="1508">
        <f t="shared" si="32"/>
        <v>45000</v>
      </c>
      <c r="M98" s="2420">
        <f t="shared" si="30"/>
        <v>3000000</v>
      </c>
      <c r="N98" s="2172">
        <f>IF(J98&lt;I98,J98*L98,IF(J98&gt;=I98,F98))-45000</f>
        <v>495000</v>
      </c>
      <c r="O98" s="2171">
        <v>3000000</v>
      </c>
      <c r="P98" s="2171">
        <v>495000</v>
      </c>
      <c r="Q98" s="2171"/>
      <c r="R98" s="2843"/>
      <c r="S98" s="2843"/>
      <c r="T98" s="2173"/>
      <c r="U98" s="2174">
        <f t="shared" si="19"/>
        <v>3000000</v>
      </c>
      <c r="V98" s="2421">
        <f t="shared" si="20"/>
        <v>495000</v>
      </c>
      <c r="W98" s="1495">
        <f t="shared" si="21"/>
        <v>0</v>
      </c>
      <c r="X98" s="1495">
        <f t="shared" si="22"/>
        <v>0</v>
      </c>
      <c r="Y98" s="1495">
        <f t="shared" si="23"/>
        <v>100</v>
      </c>
      <c r="Z98" s="1495">
        <f t="shared" si="24"/>
        <v>0</v>
      </c>
      <c r="AA98" s="1506">
        <f t="shared" si="25"/>
        <v>0</v>
      </c>
      <c r="AB98" s="1505"/>
      <c r="AC98" s="1504">
        <f t="shared" si="26"/>
        <v>0</v>
      </c>
      <c r="AD98" s="1503">
        <f t="shared" si="27"/>
        <v>0</v>
      </c>
      <c r="AE98" s="1503">
        <f t="shared" si="28"/>
        <v>0</v>
      </c>
      <c r="AF98" s="1502">
        <f t="shared" si="29"/>
        <v>0</v>
      </c>
    </row>
    <row r="99" spans="1:32" s="1474" customFormat="1" ht="23.25" customHeight="1">
      <c r="A99" s="1515">
        <v>34</v>
      </c>
      <c r="B99" s="1513" t="s">
        <v>2216</v>
      </c>
      <c r="C99" s="1514" t="s">
        <v>2195</v>
      </c>
      <c r="D99" s="1514"/>
      <c r="E99" s="1513">
        <v>15500000</v>
      </c>
      <c r="F99" s="1512">
        <f t="shared" si="17"/>
        <v>2790000</v>
      </c>
      <c r="G99" s="2141">
        <v>40834</v>
      </c>
      <c r="H99" s="1511">
        <v>0.18</v>
      </c>
      <c r="I99" s="1508">
        <v>12</v>
      </c>
      <c r="J99" s="1508">
        <v>12</v>
      </c>
      <c r="K99" s="1508">
        <f>E99/I99+33.33333</f>
        <v>1291699.9999966668</v>
      </c>
      <c r="L99" s="1508">
        <f t="shared" si="32"/>
        <v>232500</v>
      </c>
      <c r="M99" s="2420">
        <f t="shared" si="30"/>
        <v>15500000</v>
      </c>
      <c r="N99" s="2172">
        <f>IF(J99&lt;I99,J99*L99,IF(J99&gt;=I99,F99))-232500</f>
        <v>2557500</v>
      </c>
      <c r="O99" s="2171">
        <v>15500000</v>
      </c>
      <c r="P99" s="2171">
        <v>2557500</v>
      </c>
      <c r="Q99" s="2171"/>
      <c r="R99" s="2649"/>
      <c r="S99" s="2649"/>
      <c r="T99" s="2173"/>
      <c r="U99" s="2174">
        <f t="shared" si="19"/>
        <v>15500000</v>
      </c>
      <c r="V99" s="2421">
        <f t="shared" si="20"/>
        <v>2557500</v>
      </c>
      <c r="W99" s="1495">
        <f t="shared" si="21"/>
        <v>0</v>
      </c>
      <c r="X99" s="1495">
        <f t="shared" si="22"/>
        <v>0</v>
      </c>
      <c r="Y99" s="1495">
        <f t="shared" si="23"/>
        <v>100</v>
      </c>
      <c r="Z99" s="1495">
        <f t="shared" si="24"/>
        <v>0</v>
      </c>
      <c r="AA99" s="1506">
        <f t="shared" si="25"/>
        <v>0</v>
      </c>
      <c r="AB99" s="1505"/>
      <c r="AC99" s="1504">
        <f t="shared" ref="AC99:AC234" si="33">IF(AND(AB99&gt;0,AB99&lt;=2),X99,0)</f>
        <v>0</v>
      </c>
      <c r="AD99" s="1503">
        <f t="shared" ref="AD99:AD234" si="34">IF(AND(AB99&gt;=3,AB99&lt;=4),X99,0)</f>
        <v>0</v>
      </c>
      <c r="AE99" s="1503">
        <f t="shared" ref="AE99:AE234" si="35">IF(AND(AB99&gt;=5,AB99&lt;=6),X99,0)</f>
        <v>0</v>
      </c>
      <c r="AF99" s="1502">
        <f t="shared" ref="AF99:AF234" si="36">IF(AB99&gt;6,X99,0)</f>
        <v>0</v>
      </c>
    </row>
    <row r="100" spans="1:32" s="1474" customFormat="1" ht="23.25" customHeight="1">
      <c r="A100" s="1515">
        <v>35</v>
      </c>
      <c r="B100" s="1513" t="s">
        <v>1911</v>
      </c>
      <c r="C100" s="1514" t="s">
        <v>2195</v>
      </c>
      <c r="D100" s="1514"/>
      <c r="E100" s="1513">
        <v>9000000</v>
      </c>
      <c r="F100" s="1512">
        <f t="shared" si="17"/>
        <v>1620000</v>
      </c>
      <c r="G100" s="2141">
        <v>40834</v>
      </c>
      <c r="H100" s="1511">
        <v>0.18</v>
      </c>
      <c r="I100" s="1508">
        <v>12</v>
      </c>
      <c r="J100" s="1508">
        <v>12</v>
      </c>
      <c r="K100" s="1508">
        <f>E100/I100</f>
        <v>750000</v>
      </c>
      <c r="L100" s="1508">
        <f t="shared" si="32"/>
        <v>135000</v>
      </c>
      <c r="M100" s="2420">
        <f t="shared" si="30"/>
        <v>9000000</v>
      </c>
      <c r="N100" s="2172">
        <f>IF(J100&lt;I100,J100*L100,IF(J100&gt;=I100,F100))-135000</f>
        <v>1485000</v>
      </c>
      <c r="O100" s="2171">
        <v>9000000</v>
      </c>
      <c r="P100" s="2171">
        <v>1485000</v>
      </c>
      <c r="Q100" s="2171"/>
      <c r="R100" s="2649"/>
      <c r="S100" s="2649"/>
      <c r="T100" s="2173"/>
      <c r="U100" s="2174">
        <f>SUM(O100+R100)</f>
        <v>9000000</v>
      </c>
      <c r="V100" s="2421">
        <f t="shared" si="20"/>
        <v>1485000</v>
      </c>
      <c r="W100" s="1495">
        <f t="shared" si="21"/>
        <v>0</v>
      </c>
      <c r="X100" s="1495">
        <f t="shared" si="22"/>
        <v>0</v>
      </c>
      <c r="Y100" s="1495">
        <f t="shared" si="23"/>
        <v>100</v>
      </c>
      <c r="Z100" s="1495">
        <f t="shared" si="24"/>
        <v>0</v>
      </c>
      <c r="AA100" s="1506">
        <f t="shared" si="25"/>
        <v>0</v>
      </c>
      <c r="AB100" s="1505"/>
      <c r="AC100" s="1504">
        <f t="shared" si="33"/>
        <v>0</v>
      </c>
      <c r="AD100" s="1503">
        <f t="shared" si="34"/>
        <v>0</v>
      </c>
      <c r="AE100" s="1503">
        <f t="shared" si="35"/>
        <v>0</v>
      </c>
      <c r="AF100" s="1502">
        <f t="shared" si="36"/>
        <v>0</v>
      </c>
    </row>
    <row r="101" spans="1:32" s="1474" customFormat="1" ht="23.25" customHeight="1">
      <c r="A101" s="1515">
        <v>36</v>
      </c>
      <c r="B101" s="1513" t="s">
        <v>1912</v>
      </c>
      <c r="C101" s="1514" t="s">
        <v>2195</v>
      </c>
      <c r="D101" s="1514"/>
      <c r="E101" s="1513">
        <v>10000000</v>
      </c>
      <c r="F101" s="1512">
        <f t="shared" si="17"/>
        <v>1800000</v>
      </c>
      <c r="G101" s="2141">
        <v>40834</v>
      </c>
      <c r="H101" s="1511">
        <v>0.18</v>
      </c>
      <c r="I101" s="1508">
        <v>12</v>
      </c>
      <c r="J101" s="1508">
        <v>12</v>
      </c>
      <c r="K101" s="1508">
        <f>E101/I101-33.333333</f>
        <v>833300.00000033341</v>
      </c>
      <c r="L101" s="1508">
        <f t="shared" si="32"/>
        <v>150000</v>
      </c>
      <c r="M101" s="2420">
        <f t="shared" si="30"/>
        <v>10000000</v>
      </c>
      <c r="N101" s="2172">
        <f>IF(J101&lt;I101,J101*L101,IF(J101&gt;=I101,F101))</f>
        <v>1800000</v>
      </c>
      <c r="O101" s="2171">
        <v>10000000</v>
      </c>
      <c r="P101" s="2171">
        <v>1800000</v>
      </c>
      <c r="Q101" s="2171"/>
      <c r="R101" s="2649"/>
      <c r="S101" s="2649"/>
      <c r="T101" s="2173"/>
      <c r="U101" s="2174">
        <f>SUM(O101+R101)</f>
        <v>10000000</v>
      </c>
      <c r="V101" s="2421">
        <f t="shared" si="20"/>
        <v>1800000</v>
      </c>
      <c r="W101" s="1495">
        <f t="shared" si="21"/>
        <v>0</v>
      </c>
      <c r="X101" s="1495">
        <f t="shared" si="22"/>
        <v>0</v>
      </c>
      <c r="Y101" s="1495">
        <f t="shared" si="23"/>
        <v>100</v>
      </c>
      <c r="Z101" s="1495">
        <f t="shared" si="24"/>
        <v>0</v>
      </c>
      <c r="AA101" s="1506">
        <f t="shared" si="25"/>
        <v>0</v>
      </c>
      <c r="AB101" s="1505"/>
      <c r="AC101" s="1504">
        <f t="shared" si="33"/>
        <v>0</v>
      </c>
      <c r="AD101" s="1503">
        <f t="shared" si="34"/>
        <v>0</v>
      </c>
      <c r="AE101" s="1503">
        <f t="shared" si="35"/>
        <v>0</v>
      </c>
      <c r="AF101" s="1502">
        <f t="shared" si="36"/>
        <v>0</v>
      </c>
    </row>
    <row r="102" spans="1:32" s="1474" customFormat="1" ht="23.25" customHeight="1">
      <c r="A102" s="2175">
        <v>37</v>
      </c>
      <c r="B102" s="2175" t="s">
        <v>2221</v>
      </c>
      <c r="C102" s="2416" t="s">
        <v>2195</v>
      </c>
      <c r="D102" s="2416"/>
      <c r="E102" s="2175">
        <v>14000000</v>
      </c>
      <c r="F102" s="2417">
        <f t="shared" si="17"/>
        <v>2520000</v>
      </c>
      <c r="G102" s="2418">
        <v>40848</v>
      </c>
      <c r="H102" s="2419">
        <v>0.18</v>
      </c>
      <c r="I102" s="2164">
        <v>12</v>
      </c>
      <c r="J102" s="2164">
        <v>12</v>
      </c>
      <c r="K102" s="2164">
        <f>E102/I102+33.3333333</f>
        <v>1166699.9999999667</v>
      </c>
      <c r="L102" s="2164">
        <f t="shared" si="32"/>
        <v>210000</v>
      </c>
      <c r="M102" s="2172">
        <f t="shared" si="30"/>
        <v>14000000</v>
      </c>
      <c r="N102" s="2172">
        <f>IF(J102&lt;I102,J102*L102,IF(J102&gt;=I102,F102))-210000</f>
        <v>2310000</v>
      </c>
      <c r="O102" s="2171">
        <v>14000000</v>
      </c>
      <c r="P102" s="2171">
        <v>2310000</v>
      </c>
      <c r="Q102" s="2171"/>
      <c r="R102" s="2649"/>
      <c r="S102" s="2649"/>
      <c r="T102" s="2173"/>
      <c r="U102" s="2174">
        <f t="shared" si="19"/>
        <v>14000000</v>
      </c>
      <c r="V102" s="2174">
        <f t="shared" si="20"/>
        <v>2310000</v>
      </c>
      <c r="W102" s="2174">
        <f t="shared" si="21"/>
        <v>0</v>
      </c>
      <c r="X102" s="2174">
        <f t="shared" si="22"/>
        <v>0</v>
      </c>
      <c r="Y102" s="1495">
        <f t="shared" si="23"/>
        <v>100</v>
      </c>
      <c r="Z102" s="2174">
        <f t="shared" si="24"/>
        <v>0</v>
      </c>
      <c r="AA102" s="2174">
        <f t="shared" si="25"/>
        <v>0</v>
      </c>
      <c r="AB102" s="2416"/>
      <c r="AC102" s="1504">
        <f t="shared" si="33"/>
        <v>0</v>
      </c>
      <c r="AD102" s="1503">
        <f t="shared" si="34"/>
        <v>0</v>
      </c>
      <c r="AE102" s="1503">
        <f t="shared" si="35"/>
        <v>0</v>
      </c>
      <c r="AF102" s="1502">
        <f t="shared" si="36"/>
        <v>0</v>
      </c>
    </row>
    <row r="103" spans="1:32" s="1474" customFormat="1" ht="23.25" customHeight="1">
      <c r="A103" s="2175">
        <v>38</v>
      </c>
      <c r="B103" s="2175" t="s">
        <v>1914</v>
      </c>
      <c r="C103" s="2416" t="s">
        <v>2195</v>
      </c>
      <c r="D103" s="2416"/>
      <c r="E103" s="2175">
        <v>11000000</v>
      </c>
      <c r="F103" s="2417">
        <f t="shared" si="17"/>
        <v>1980000</v>
      </c>
      <c r="G103" s="2418">
        <v>40848</v>
      </c>
      <c r="H103" s="2419">
        <v>0.18</v>
      </c>
      <c r="I103" s="2164">
        <v>12</v>
      </c>
      <c r="J103" s="2450">
        <v>12</v>
      </c>
      <c r="K103" s="2164">
        <f>E103/I103+33.3333333</f>
        <v>916699.99999996659</v>
      </c>
      <c r="L103" s="2164">
        <f t="shared" si="32"/>
        <v>165000</v>
      </c>
      <c r="M103" s="2172">
        <f t="shared" si="30"/>
        <v>11000000</v>
      </c>
      <c r="N103" s="2172">
        <f>IF(J103&lt;I103,J103*L103,IF(J103&gt;=I103,F103))-165000</f>
        <v>1815000</v>
      </c>
      <c r="O103" s="2171">
        <v>11000000</v>
      </c>
      <c r="P103" s="2171">
        <v>1815000</v>
      </c>
      <c r="Q103" s="2171"/>
      <c r="R103" s="2649"/>
      <c r="S103" s="2649"/>
      <c r="T103" s="2173"/>
      <c r="U103" s="2174">
        <f t="shared" si="19"/>
        <v>11000000</v>
      </c>
      <c r="V103" s="2174">
        <f t="shared" si="20"/>
        <v>1815000</v>
      </c>
      <c r="W103" s="2174">
        <f t="shared" si="21"/>
        <v>0</v>
      </c>
      <c r="X103" s="2174">
        <f t="shared" si="22"/>
        <v>0</v>
      </c>
      <c r="Y103" s="1495">
        <f t="shared" si="23"/>
        <v>100</v>
      </c>
      <c r="Z103" s="2174">
        <f t="shared" si="24"/>
        <v>0</v>
      </c>
      <c r="AA103" s="2174">
        <f t="shared" si="25"/>
        <v>0</v>
      </c>
      <c r="AB103" s="2416"/>
      <c r="AC103" s="1504">
        <f t="shared" si="33"/>
        <v>0</v>
      </c>
      <c r="AD103" s="1503">
        <f t="shared" si="34"/>
        <v>0</v>
      </c>
      <c r="AE103" s="1503">
        <f t="shared" si="35"/>
        <v>0</v>
      </c>
      <c r="AF103" s="1502">
        <f t="shared" si="36"/>
        <v>0</v>
      </c>
    </row>
    <row r="104" spans="1:32" s="1474" customFormat="1" ht="23.25" customHeight="1">
      <c r="A104" s="2175">
        <v>39</v>
      </c>
      <c r="B104" s="2175" t="s">
        <v>1915</v>
      </c>
      <c r="C104" s="2416" t="s">
        <v>2195</v>
      </c>
      <c r="D104" s="2416"/>
      <c r="E104" s="2175">
        <v>12000000</v>
      </c>
      <c r="F104" s="2417">
        <f t="shared" si="17"/>
        <v>2160000</v>
      </c>
      <c r="G104" s="2418">
        <v>40848</v>
      </c>
      <c r="H104" s="2419">
        <v>0.18</v>
      </c>
      <c r="I104" s="2164">
        <v>12</v>
      </c>
      <c r="J104" s="2164">
        <v>12</v>
      </c>
      <c r="K104" s="2164">
        <f>E104/I104</f>
        <v>1000000</v>
      </c>
      <c r="L104" s="2164">
        <f t="shared" si="32"/>
        <v>180000</v>
      </c>
      <c r="M104" s="2172">
        <f t="shared" si="30"/>
        <v>12000000</v>
      </c>
      <c r="N104" s="2172">
        <f>IF(J104&lt;I104,J104*L104,IF(J104&gt;=I104,F104))-180000</f>
        <v>1980000</v>
      </c>
      <c r="O104" s="2171">
        <v>12000000</v>
      </c>
      <c r="P104" s="2171">
        <v>1980000</v>
      </c>
      <c r="Q104" s="2171"/>
      <c r="R104" s="2649"/>
      <c r="S104" s="2649"/>
      <c r="T104" s="2173"/>
      <c r="U104" s="2174">
        <f t="shared" si="19"/>
        <v>12000000</v>
      </c>
      <c r="V104" s="2174">
        <f t="shared" si="20"/>
        <v>1980000</v>
      </c>
      <c r="W104" s="2174">
        <f t="shared" si="21"/>
        <v>0</v>
      </c>
      <c r="X104" s="2174">
        <f t="shared" si="22"/>
        <v>0</v>
      </c>
      <c r="Y104" s="1495">
        <f t="shared" si="23"/>
        <v>100</v>
      </c>
      <c r="Z104" s="2174">
        <f t="shared" si="24"/>
        <v>0</v>
      </c>
      <c r="AA104" s="2174">
        <f t="shared" si="25"/>
        <v>0</v>
      </c>
      <c r="AB104" s="2416"/>
      <c r="AC104" s="1504">
        <f t="shared" si="33"/>
        <v>0</v>
      </c>
      <c r="AD104" s="1503">
        <f t="shared" si="34"/>
        <v>0</v>
      </c>
      <c r="AE104" s="1503">
        <f t="shared" si="35"/>
        <v>0</v>
      </c>
      <c r="AF104" s="1502">
        <f t="shared" si="36"/>
        <v>0</v>
      </c>
    </row>
    <row r="105" spans="1:32" s="1474" customFormat="1" ht="23.25" customHeight="1">
      <c r="A105" s="2175">
        <v>40</v>
      </c>
      <c r="B105" s="2175" t="s">
        <v>1913</v>
      </c>
      <c r="C105" s="2416" t="s">
        <v>2195</v>
      </c>
      <c r="D105" s="2416">
        <v>10</v>
      </c>
      <c r="E105" s="2175">
        <v>10000000</v>
      </c>
      <c r="F105" s="2417">
        <f t="shared" si="17"/>
        <v>1800000</v>
      </c>
      <c r="G105" s="2418">
        <v>40849</v>
      </c>
      <c r="H105" s="2419">
        <v>0.18</v>
      </c>
      <c r="I105" s="2164">
        <v>12</v>
      </c>
      <c r="J105" s="2164">
        <v>12</v>
      </c>
      <c r="K105" s="2164">
        <f>E105/I105-33.3333333</f>
        <v>833300.00000003341</v>
      </c>
      <c r="L105" s="2164">
        <f t="shared" si="32"/>
        <v>150000</v>
      </c>
      <c r="M105" s="2172">
        <f t="shared" si="30"/>
        <v>10000000</v>
      </c>
      <c r="N105" s="2172">
        <f t="shared" si="18"/>
        <v>1800000</v>
      </c>
      <c r="O105" s="2171">
        <v>5837200</v>
      </c>
      <c r="P105" s="2171">
        <v>1200000</v>
      </c>
      <c r="Q105" s="2171"/>
      <c r="R105" s="2649"/>
      <c r="S105" s="2649"/>
      <c r="T105" s="2173"/>
      <c r="U105" s="2174">
        <f t="shared" si="19"/>
        <v>5837200</v>
      </c>
      <c r="V105" s="2174">
        <f t="shared" si="20"/>
        <v>1200000</v>
      </c>
      <c r="W105" s="2174">
        <f t="shared" si="21"/>
        <v>0</v>
      </c>
      <c r="X105" s="2174">
        <f t="shared" si="22"/>
        <v>4162800</v>
      </c>
      <c r="Y105" s="1495">
        <f t="shared" si="23"/>
        <v>58.372</v>
      </c>
      <c r="Z105" s="2174">
        <f t="shared" si="24"/>
        <v>4162800</v>
      </c>
      <c r="AA105" s="2174">
        <f t="shared" si="25"/>
        <v>600000</v>
      </c>
      <c r="AB105" s="2416">
        <v>7</v>
      </c>
      <c r="AC105" s="1504">
        <f t="shared" si="33"/>
        <v>0</v>
      </c>
      <c r="AD105" s="1503">
        <f t="shared" si="34"/>
        <v>0</v>
      </c>
      <c r="AE105" s="1503">
        <f t="shared" si="35"/>
        <v>0</v>
      </c>
      <c r="AF105" s="1502">
        <f t="shared" si="36"/>
        <v>4162800</v>
      </c>
    </row>
    <row r="106" spans="1:32" s="1474" customFormat="1" ht="23.25" customHeight="1">
      <c r="A106" s="2175">
        <v>41</v>
      </c>
      <c r="B106" s="2175" t="s">
        <v>1910</v>
      </c>
      <c r="C106" s="2416" t="s">
        <v>2195</v>
      </c>
      <c r="D106" s="2416"/>
      <c r="E106" s="2175">
        <v>10000000</v>
      </c>
      <c r="F106" s="2417">
        <f t="shared" si="17"/>
        <v>1800000</v>
      </c>
      <c r="G106" s="2418">
        <v>40849</v>
      </c>
      <c r="H106" s="2419">
        <v>0.18</v>
      </c>
      <c r="I106" s="2164">
        <v>12</v>
      </c>
      <c r="J106" s="2164">
        <v>12</v>
      </c>
      <c r="K106" s="2164">
        <f>E106/I106-33.33333333</f>
        <v>833300.00000000338</v>
      </c>
      <c r="L106" s="2164">
        <f t="shared" si="32"/>
        <v>150000</v>
      </c>
      <c r="M106" s="2172">
        <f t="shared" si="30"/>
        <v>10000000</v>
      </c>
      <c r="N106" s="2172">
        <f>IF(J106&lt;I106,J106*L106,IF(J106&gt;=I106,F106))-150000</f>
        <v>1650000</v>
      </c>
      <c r="O106" s="2171">
        <v>10000000</v>
      </c>
      <c r="P106" s="2171">
        <v>1650000</v>
      </c>
      <c r="Q106" s="2171"/>
      <c r="R106" s="2649"/>
      <c r="S106" s="2649"/>
      <c r="T106" s="2173"/>
      <c r="U106" s="2174">
        <f t="shared" si="19"/>
        <v>10000000</v>
      </c>
      <c r="V106" s="2174">
        <f t="shared" si="20"/>
        <v>1650000</v>
      </c>
      <c r="W106" s="2174">
        <f t="shared" si="21"/>
        <v>0</v>
      </c>
      <c r="X106" s="2174">
        <f t="shared" si="22"/>
        <v>0</v>
      </c>
      <c r="Y106" s="1495">
        <f t="shared" si="23"/>
        <v>100</v>
      </c>
      <c r="Z106" s="2174">
        <f t="shared" si="24"/>
        <v>0</v>
      </c>
      <c r="AA106" s="2174">
        <f t="shared" si="25"/>
        <v>0</v>
      </c>
      <c r="AB106" s="2416"/>
      <c r="AC106" s="1504">
        <f t="shared" si="33"/>
        <v>0</v>
      </c>
      <c r="AD106" s="1503">
        <f t="shared" si="34"/>
        <v>0</v>
      </c>
      <c r="AE106" s="1503">
        <f t="shared" si="35"/>
        <v>0</v>
      </c>
      <c r="AF106" s="1502">
        <f t="shared" si="36"/>
        <v>0</v>
      </c>
    </row>
    <row r="107" spans="1:32" s="1474" customFormat="1" ht="23.25" customHeight="1">
      <c r="A107" s="2175">
        <v>42</v>
      </c>
      <c r="B107" s="2175" t="s">
        <v>1929</v>
      </c>
      <c r="C107" s="2416" t="s">
        <v>2195</v>
      </c>
      <c r="D107" s="2416"/>
      <c r="E107" s="2175">
        <v>25000000</v>
      </c>
      <c r="F107" s="2417">
        <f t="shared" si="17"/>
        <v>4500000</v>
      </c>
      <c r="G107" s="2418">
        <v>40861</v>
      </c>
      <c r="H107" s="2419">
        <v>0.18</v>
      </c>
      <c r="I107" s="2164">
        <v>12</v>
      </c>
      <c r="J107" s="2164">
        <v>12</v>
      </c>
      <c r="K107" s="2164">
        <v>2083300</v>
      </c>
      <c r="L107" s="2164">
        <f t="shared" si="32"/>
        <v>375000</v>
      </c>
      <c r="M107" s="2172">
        <f t="shared" si="30"/>
        <v>25000000</v>
      </c>
      <c r="N107" s="2172">
        <f>IF(J107&lt;I107,J107*L107,IF(J107&gt;=I107,F107))-375000</f>
        <v>4125000</v>
      </c>
      <c r="O107" s="2171">
        <v>25000000</v>
      </c>
      <c r="P107" s="2171">
        <v>4125000</v>
      </c>
      <c r="Q107" s="2171"/>
      <c r="R107" s="2649"/>
      <c r="S107" s="2649"/>
      <c r="T107" s="2173"/>
      <c r="U107" s="2174">
        <f t="shared" si="19"/>
        <v>25000000</v>
      </c>
      <c r="V107" s="2174">
        <f t="shared" si="20"/>
        <v>4125000</v>
      </c>
      <c r="W107" s="2174">
        <f t="shared" si="21"/>
        <v>0</v>
      </c>
      <c r="X107" s="2174">
        <f t="shared" si="22"/>
        <v>0</v>
      </c>
      <c r="Y107" s="1495">
        <f t="shared" si="23"/>
        <v>100</v>
      </c>
      <c r="Z107" s="2174">
        <f t="shared" si="24"/>
        <v>0</v>
      </c>
      <c r="AA107" s="2174">
        <f t="shared" si="25"/>
        <v>0</v>
      </c>
      <c r="AB107" s="2416"/>
      <c r="AC107" s="1504">
        <f t="shared" si="33"/>
        <v>0</v>
      </c>
      <c r="AD107" s="1503">
        <f t="shared" si="34"/>
        <v>0</v>
      </c>
      <c r="AE107" s="1503">
        <f t="shared" si="35"/>
        <v>0</v>
      </c>
      <c r="AF107" s="1502">
        <f t="shared" si="36"/>
        <v>0</v>
      </c>
    </row>
    <row r="108" spans="1:32" s="1474" customFormat="1" ht="23.25" customHeight="1">
      <c r="A108" s="2175">
        <v>43</v>
      </c>
      <c r="B108" s="2175" t="s">
        <v>1906</v>
      </c>
      <c r="C108" s="2416" t="s">
        <v>2195</v>
      </c>
      <c r="D108" s="2416"/>
      <c r="E108" s="2175">
        <v>16000000</v>
      </c>
      <c r="F108" s="2417">
        <f t="shared" si="17"/>
        <v>2880000</v>
      </c>
      <c r="G108" s="2418">
        <v>40911</v>
      </c>
      <c r="H108" s="2419">
        <v>0.18</v>
      </c>
      <c r="I108" s="2164">
        <v>12</v>
      </c>
      <c r="J108" s="2164">
        <v>12</v>
      </c>
      <c r="K108" s="2164">
        <v>1333300</v>
      </c>
      <c r="L108" s="2164">
        <f t="shared" si="32"/>
        <v>240000</v>
      </c>
      <c r="M108" s="2172">
        <f t="shared" si="30"/>
        <v>16000000</v>
      </c>
      <c r="N108" s="2172">
        <f t="shared" si="18"/>
        <v>2880000</v>
      </c>
      <c r="O108" s="2171">
        <v>16000000</v>
      </c>
      <c r="P108" s="2171">
        <v>2880000</v>
      </c>
      <c r="Q108" s="2171"/>
      <c r="R108" s="2649"/>
      <c r="S108" s="2649"/>
      <c r="T108" s="2173"/>
      <c r="U108" s="2174">
        <f t="shared" si="19"/>
        <v>16000000</v>
      </c>
      <c r="V108" s="2174">
        <f t="shared" si="20"/>
        <v>2880000</v>
      </c>
      <c r="W108" s="2174">
        <f t="shared" si="21"/>
        <v>0</v>
      </c>
      <c r="X108" s="2174">
        <f t="shared" si="22"/>
        <v>0</v>
      </c>
      <c r="Y108" s="2174">
        <f t="shared" si="23"/>
        <v>100</v>
      </c>
      <c r="Z108" s="2174">
        <f t="shared" si="24"/>
        <v>0</v>
      </c>
      <c r="AA108" s="2174">
        <f t="shared" si="25"/>
        <v>0</v>
      </c>
      <c r="AB108" s="2416"/>
      <c r="AC108" s="1504">
        <f t="shared" si="33"/>
        <v>0</v>
      </c>
      <c r="AD108" s="1503">
        <f t="shared" si="34"/>
        <v>0</v>
      </c>
      <c r="AE108" s="1503">
        <f t="shared" si="35"/>
        <v>0</v>
      </c>
      <c r="AF108" s="1502">
        <f t="shared" si="36"/>
        <v>0</v>
      </c>
    </row>
    <row r="109" spans="1:32" s="1474" customFormat="1" ht="23.25" customHeight="1">
      <c r="A109" s="2175">
        <v>44</v>
      </c>
      <c r="B109" s="2175" t="s">
        <v>1898</v>
      </c>
      <c r="C109" s="2416" t="s">
        <v>2248</v>
      </c>
      <c r="D109" s="2416"/>
      <c r="E109" s="2175">
        <v>25000000</v>
      </c>
      <c r="F109" s="2417">
        <f t="shared" si="17"/>
        <v>4500000</v>
      </c>
      <c r="G109" s="2418">
        <v>40946</v>
      </c>
      <c r="H109" s="2419">
        <v>0.18</v>
      </c>
      <c r="I109" s="2164">
        <v>12</v>
      </c>
      <c r="J109" s="2164">
        <v>12</v>
      </c>
      <c r="K109" s="2164">
        <v>2083300</v>
      </c>
      <c r="L109" s="2164">
        <f t="shared" si="32"/>
        <v>375000</v>
      </c>
      <c r="M109" s="2172">
        <f t="shared" si="30"/>
        <v>25000000</v>
      </c>
      <c r="N109" s="2407">
        <f>IF(J109&lt;I109,J109*L109,IF(J109&gt;=I109,F109))-750000</f>
        <v>3750000</v>
      </c>
      <c r="O109" s="2171">
        <v>25000000</v>
      </c>
      <c r="P109" s="2171">
        <v>3750000</v>
      </c>
      <c r="Q109" s="2171"/>
      <c r="R109" s="2649"/>
      <c r="S109" s="2649"/>
      <c r="T109" s="2173"/>
      <c r="U109" s="2174">
        <f t="shared" si="19"/>
        <v>25000000</v>
      </c>
      <c r="V109" s="2174">
        <f t="shared" si="20"/>
        <v>3750000</v>
      </c>
      <c r="W109" s="2174">
        <f t="shared" si="21"/>
        <v>0</v>
      </c>
      <c r="X109" s="2174">
        <f t="shared" si="22"/>
        <v>0</v>
      </c>
      <c r="Y109" s="2174">
        <f t="shared" si="23"/>
        <v>100</v>
      </c>
      <c r="Z109" s="2174">
        <f t="shared" si="24"/>
        <v>0</v>
      </c>
      <c r="AA109" s="2174">
        <f t="shared" si="25"/>
        <v>0</v>
      </c>
      <c r="AB109" s="2416"/>
      <c r="AC109" s="1504">
        <f t="shared" si="33"/>
        <v>0</v>
      </c>
      <c r="AD109" s="1503">
        <f t="shared" si="34"/>
        <v>0</v>
      </c>
      <c r="AE109" s="1503">
        <f t="shared" si="35"/>
        <v>0</v>
      </c>
      <c r="AF109" s="1502">
        <f t="shared" si="36"/>
        <v>0</v>
      </c>
    </row>
    <row r="110" spans="1:32" s="1474" customFormat="1" ht="23.25" customHeight="1">
      <c r="A110" s="2175">
        <v>45</v>
      </c>
      <c r="B110" s="2175" t="s">
        <v>1938</v>
      </c>
      <c r="C110" s="2416" t="s">
        <v>2248</v>
      </c>
      <c r="D110" s="2416"/>
      <c r="E110" s="2175">
        <v>20000000</v>
      </c>
      <c r="F110" s="2417">
        <f t="shared" si="17"/>
        <v>3600000</v>
      </c>
      <c r="G110" s="2418">
        <v>40946</v>
      </c>
      <c r="H110" s="2419">
        <v>0.18</v>
      </c>
      <c r="I110" s="2164">
        <v>12</v>
      </c>
      <c r="J110" s="2164">
        <v>12</v>
      </c>
      <c r="K110" s="2164">
        <v>1666700</v>
      </c>
      <c r="L110" s="2164">
        <f t="shared" si="32"/>
        <v>300000</v>
      </c>
      <c r="M110" s="2172">
        <f t="shared" si="30"/>
        <v>20000000</v>
      </c>
      <c r="N110" s="2172">
        <f t="shared" si="18"/>
        <v>3600000</v>
      </c>
      <c r="O110" s="2171">
        <v>20000000</v>
      </c>
      <c r="P110" s="2171">
        <v>3600000</v>
      </c>
      <c r="Q110" s="2171"/>
      <c r="R110" s="2649"/>
      <c r="S110" s="2649"/>
      <c r="T110" s="2173"/>
      <c r="U110" s="2174">
        <f t="shared" si="19"/>
        <v>20000000</v>
      </c>
      <c r="V110" s="2174">
        <f t="shared" si="20"/>
        <v>3600000</v>
      </c>
      <c r="W110" s="2174">
        <f t="shared" si="21"/>
        <v>0</v>
      </c>
      <c r="X110" s="2174">
        <f t="shared" si="22"/>
        <v>0</v>
      </c>
      <c r="Y110" s="2174">
        <f t="shared" si="23"/>
        <v>100</v>
      </c>
      <c r="Z110" s="2174">
        <f t="shared" si="24"/>
        <v>0</v>
      </c>
      <c r="AA110" s="2174">
        <f t="shared" si="25"/>
        <v>0</v>
      </c>
      <c r="AB110" s="2416"/>
      <c r="AC110" s="1504">
        <f t="shared" si="33"/>
        <v>0</v>
      </c>
      <c r="AD110" s="1503">
        <f t="shared" si="34"/>
        <v>0</v>
      </c>
      <c r="AE110" s="1503">
        <f t="shared" si="35"/>
        <v>0</v>
      </c>
      <c r="AF110" s="1502">
        <f t="shared" si="36"/>
        <v>0</v>
      </c>
    </row>
    <row r="111" spans="1:32" s="1474" customFormat="1" ht="23.25" customHeight="1">
      <c r="A111" s="2175">
        <v>46</v>
      </c>
      <c r="B111" s="2175" t="s">
        <v>1939</v>
      </c>
      <c r="C111" s="2416" t="s">
        <v>2248</v>
      </c>
      <c r="D111" s="2416"/>
      <c r="E111" s="2175">
        <v>15000000</v>
      </c>
      <c r="F111" s="2417">
        <f t="shared" si="17"/>
        <v>2700000</v>
      </c>
      <c r="G111" s="2418">
        <v>40946</v>
      </c>
      <c r="H111" s="2419">
        <v>0.18</v>
      </c>
      <c r="I111" s="2164">
        <v>12</v>
      </c>
      <c r="J111" s="2164">
        <v>12</v>
      </c>
      <c r="K111" s="2164">
        <v>1250000</v>
      </c>
      <c r="L111" s="2164">
        <f t="shared" si="32"/>
        <v>225000</v>
      </c>
      <c r="M111" s="2172">
        <f t="shared" si="30"/>
        <v>15000000</v>
      </c>
      <c r="N111" s="2172">
        <f t="shared" si="18"/>
        <v>2700000</v>
      </c>
      <c r="O111" s="2171">
        <v>15000000</v>
      </c>
      <c r="P111" s="2171">
        <v>2700000</v>
      </c>
      <c r="Q111" s="2171"/>
      <c r="R111" s="2649"/>
      <c r="S111" s="2649"/>
      <c r="T111" s="2173"/>
      <c r="U111" s="2174">
        <f t="shared" si="19"/>
        <v>15000000</v>
      </c>
      <c r="V111" s="2174">
        <f t="shared" si="20"/>
        <v>2700000</v>
      </c>
      <c r="W111" s="2174">
        <f t="shared" si="21"/>
        <v>0</v>
      </c>
      <c r="X111" s="2174">
        <f t="shared" si="22"/>
        <v>0</v>
      </c>
      <c r="Y111" s="2174">
        <f t="shared" si="23"/>
        <v>100</v>
      </c>
      <c r="Z111" s="2174">
        <f t="shared" si="24"/>
        <v>0</v>
      </c>
      <c r="AA111" s="2174">
        <f t="shared" si="25"/>
        <v>0</v>
      </c>
      <c r="AB111" s="2416"/>
      <c r="AC111" s="1504">
        <f t="shared" si="33"/>
        <v>0</v>
      </c>
      <c r="AD111" s="1503">
        <f t="shared" si="34"/>
        <v>0</v>
      </c>
      <c r="AE111" s="1503">
        <f t="shared" si="35"/>
        <v>0</v>
      </c>
      <c r="AF111" s="1502">
        <f t="shared" si="36"/>
        <v>0</v>
      </c>
    </row>
    <row r="112" spans="1:32" s="1474" customFormat="1" ht="23.25" customHeight="1">
      <c r="A112" s="2175">
        <v>47</v>
      </c>
      <c r="B112" s="2175" t="s">
        <v>1937</v>
      </c>
      <c r="C112" s="2416" t="s">
        <v>2248</v>
      </c>
      <c r="D112" s="2416">
        <v>10</v>
      </c>
      <c r="E112" s="2175">
        <v>11000000</v>
      </c>
      <c r="F112" s="2417">
        <f t="shared" si="17"/>
        <v>1980000</v>
      </c>
      <c r="G112" s="2418">
        <v>40946</v>
      </c>
      <c r="H112" s="2419">
        <v>0.18</v>
      </c>
      <c r="I112" s="2164">
        <v>12</v>
      </c>
      <c r="J112" s="2164">
        <v>12</v>
      </c>
      <c r="K112" s="2164">
        <v>916700</v>
      </c>
      <c r="L112" s="2164">
        <f t="shared" si="32"/>
        <v>165000</v>
      </c>
      <c r="M112" s="2172">
        <f t="shared" si="30"/>
        <v>11000000</v>
      </c>
      <c r="N112" s="2407">
        <f>IF(J112&lt;I112,J112*L112,IF(J112&gt;=I112,F112))-165000</f>
        <v>1815000</v>
      </c>
      <c r="O112" s="2171">
        <v>11000000</v>
      </c>
      <c r="P112" s="2171">
        <v>1815000</v>
      </c>
      <c r="Q112" s="2171"/>
      <c r="R112" s="2649"/>
      <c r="S112" s="2649"/>
      <c r="T112" s="2173"/>
      <c r="U112" s="2174">
        <f t="shared" si="19"/>
        <v>11000000</v>
      </c>
      <c r="V112" s="2174">
        <f t="shared" si="20"/>
        <v>1815000</v>
      </c>
      <c r="W112" s="2174">
        <f t="shared" si="21"/>
        <v>0</v>
      </c>
      <c r="X112" s="2174">
        <f t="shared" si="22"/>
        <v>0</v>
      </c>
      <c r="Y112" s="2174">
        <f t="shared" si="23"/>
        <v>100</v>
      </c>
      <c r="Z112" s="2174">
        <f t="shared" si="24"/>
        <v>0</v>
      </c>
      <c r="AA112" s="2174">
        <f t="shared" si="25"/>
        <v>0</v>
      </c>
      <c r="AB112" s="2416"/>
      <c r="AC112" s="1504">
        <f t="shared" si="33"/>
        <v>0</v>
      </c>
      <c r="AD112" s="1503">
        <f t="shared" si="34"/>
        <v>0</v>
      </c>
      <c r="AE112" s="1503">
        <f t="shared" si="35"/>
        <v>0</v>
      </c>
      <c r="AF112" s="1502">
        <f t="shared" si="36"/>
        <v>0</v>
      </c>
    </row>
    <row r="113" spans="1:32" s="1474" customFormat="1" ht="23.25" customHeight="1">
      <c r="A113" s="2175">
        <v>48</v>
      </c>
      <c r="B113" s="2175" t="s">
        <v>1905</v>
      </c>
      <c r="C113" s="2416" t="s">
        <v>2248</v>
      </c>
      <c r="D113" s="2416"/>
      <c r="E113" s="2175">
        <v>18000000</v>
      </c>
      <c r="F113" s="2417">
        <f t="shared" si="17"/>
        <v>3240000</v>
      </c>
      <c r="G113" s="2418">
        <v>40953</v>
      </c>
      <c r="H113" s="2419">
        <v>0.18</v>
      </c>
      <c r="I113" s="2164">
        <v>12</v>
      </c>
      <c r="J113" s="2164">
        <v>12</v>
      </c>
      <c r="K113" s="2164">
        <f>E113/I113</f>
        <v>1500000</v>
      </c>
      <c r="L113" s="2164">
        <f t="shared" si="32"/>
        <v>270000</v>
      </c>
      <c r="M113" s="2172">
        <f t="shared" si="30"/>
        <v>18000000</v>
      </c>
      <c r="N113" s="2172">
        <f t="shared" si="18"/>
        <v>3240000</v>
      </c>
      <c r="O113" s="2171">
        <v>18000000</v>
      </c>
      <c r="P113" s="2171">
        <v>3240000</v>
      </c>
      <c r="Q113" s="2171"/>
      <c r="R113" s="2649"/>
      <c r="S113" s="2649"/>
      <c r="T113" s="2173"/>
      <c r="U113" s="2174">
        <f t="shared" si="19"/>
        <v>18000000</v>
      </c>
      <c r="V113" s="2174">
        <f t="shared" si="20"/>
        <v>3240000</v>
      </c>
      <c r="W113" s="2174">
        <f t="shared" si="21"/>
        <v>0</v>
      </c>
      <c r="X113" s="2174">
        <f t="shared" si="22"/>
        <v>0</v>
      </c>
      <c r="Y113" s="2174">
        <f t="shared" si="23"/>
        <v>100</v>
      </c>
      <c r="Z113" s="2174">
        <f t="shared" si="24"/>
        <v>0</v>
      </c>
      <c r="AA113" s="2174">
        <f t="shared" si="25"/>
        <v>0</v>
      </c>
      <c r="AB113" s="2416"/>
      <c r="AC113" s="1504">
        <f t="shared" si="33"/>
        <v>0</v>
      </c>
      <c r="AD113" s="1503">
        <f t="shared" si="34"/>
        <v>0</v>
      </c>
      <c r="AE113" s="1503">
        <f t="shared" si="35"/>
        <v>0</v>
      </c>
      <c r="AF113" s="1502">
        <f t="shared" si="36"/>
        <v>0</v>
      </c>
    </row>
    <row r="114" spans="1:32" s="1474" customFormat="1" ht="23.25" customHeight="1">
      <c r="A114" s="2175">
        <v>49</v>
      </c>
      <c r="B114" s="2175" t="s">
        <v>1930</v>
      </c>
      <c r="C114" s="2416" t="s">
        <v>2248</v>
      </c>
      <c r="D114" s="2416"/>
      <c r="E114" s="2175">
        <v>12500000</v>
      </c>
      <c r="F114" s="2417">
        <f t="shared" si="17"/>
        <v>2250000</v>
      </c>
      <c r="G114" s="2418">
        <v>41011</v>
      </c>
      <c r="H114" s="2419">
        <v>0.18</v>
      </c>
      <c r="I114" s="2164">
        <v>12</v>
      </c>
      <c r="J114" s="2164">
        <v>12</v>
      </c>
      <c r="K114" s="2164">
        <v>1041700</v>
      </c>
      <c r="L114" s="2164">
        <f t="shared" si="32"/>
        <v>187500</v>
      </c>
      <c r="M114" s="2172">
        <f t="shared" si="30"/>
        <v>12500000</v>
      </c>
      <c r="N114" s="2407">
        <f>IF(J114&lt;I114,J114*L114,IF(J114&gt;=I114,F114))-187500</f>
        <v>2062500</v>
      </c>
      <c r="O114" s="2171">
        <v>12500000</v>
      </c>
      <c r="P114" s="2171">
        <v>2062500</v>
      </c>
      <c r="Q114" s="2171"/>
      <c r="R114" s="2649"/>
      <c r="S114" s="2649"/>
      <c r="T114" s="2173"/>
      <c r="U114" s="2174">
        <f t="shared" si="19"/>
        <v>12500000</v>
      </c>
      <c r="V114" s="2174">
        <f t="shared" si="20"/>
        <v>2062500</v>
      </c>
      <c r="W114" s="2174">
        <f t="shared" si="21"/>
        <v>0</v>
      </c>
      <c r="X114" s="2174">
        <f t="shared" si="22"/>
        <v>0</v>
      </c>
      <c r="Y114" s="2174">
        <f t="shared" si="23"/>
        <v>100</v>
      </c>
      <c r="Z114" s="2174">
        <f t="shared" si="24"/>
        <v>0</v>
      </c>
      <c r="AA114" s="2174">
        <f t="shared" si="25"/>
        <v>0</v>
      </c>
      <c r="AB114" s="2416"/>
      <c r="AC114" s="1504">
        <f t="shared" si="33"/>
        <v>0</v>
      </c>
      <c r="AD114" s="1503">
        <f t="shared" si="34"/>
        <v>0</v>
      </c>
      <c r="AE114" s="1503">
        <f t="shared" si="35"/>
        <v>0</v>
      </c>
      <c r="AF114" s="1502">
        <f t="shared" si="36"/>
        <v>0</v>
      </c>
    </row>
    <row r="115" spans="1:32" s="1474" customFormat="1" ht="23.25" customHeight="1">
      <c r="A115" s="2175">
        <v>50</v>
      </c>
      <c r="B115" s="2175" t="s">
        <v>1927</v>
      </c>
      <c r="C115" s="2416" t="s">
        <v>2248</v>
      </c>
      <c r="D115" s="2416"/>
      <c r="E115" s="2175">
        <v>25000000</v>
      </c>
      <c r="F115" s="2417">
        <f t="shared" si="17"/>
        <v>4500000</v>
      </c>
      <c r="G115" s="2418">
        <v>41011</v>
      </c>
      <c r="H115" s="2419">
        <v>0.18</v>
      </c>
      <c r="I115" s="2164">
        <v>12</v>
      </c>
      <c r="J115" s="2164">
        <v>12</v>
      </c>
      <c r="K115" s="2164">
        <v>2083300</v>
      </c>
      <c r="L115" s="2164">
        <f t="shared" si="32"/>
        <v>375000</v>
      </c>
      <c r="M115" s="2172">
        <f t="shared" si="30"/>
        <v>25000000</v>
      </c>
      <c r="N115" s="2407">
        <f>IF(J115&lt;I115,J115*L115,IF(J115&gt;=I115,F115))-375000</f>
        <v>4125000</v>
      </c>
      <c r="O115" s="2171">
        <v>25000000</v>
      </c>
      <c r="P115" s="2171">
        <v>4125000</v>
      </c>
      <c r="Q115" s="2171"/>
      <c r="R115" s="2649"/>
      <c r="S115" s="2649"/>
      <c r="T115" s="2173"/>
      <c r="U115" s="2174">
        <f t="shared" si="19"/>
        <v>25000000</v>
      </c>
      <c r="V115" s="2174">
        <f t="shared" si="20"/>
        <v>4125000</v>
      </c>
      <c r="W115" s="2174">
        <f t="shared" si="21"/>
        <v>0</v>
      </c>
      <c r="X115" s="2174">
        <f t="shared" si="22"/>
        <v>0</v>
      </c>
      <c r="Y115" s="2174">
        <f t="shared" si="23"/>
        <v>100</v>
      </c>
      <c r="Z115" s="2174">
        <f t="shared" si="24"/>
        <v>0</v>
      </c>
      <c r="AA115" s="2174">
        <f t="shared" si="25"/>
        <v>0</v>
      </c>
      <c r="AB115" s="2416"/>
      <c r="AC115" s="1504">
        <f t="shared" si="33"/>
        <v>0</v>
      </c>
      <c r="AD115" s="1503">
        <f t="shared" si="34"/>
        <v>0</v>
      </c>
      <c r="AE115" s="1503">
        <f t="shared" si="35"/>
        <v>0</v>
      </c>
      <c r="AF115" s="1502">
        <f t="shared" si="36"/>
        <v>0</v>
      </c>
    </row>
    <row r="116" spans="1:32" s="1474" customFormat="1" ht="23.25" customHeight="1">
      <c r="A116" s="2175">
        <v>51</v>
      </c>
      <c r="B116" s="2175" t="s">
        <v>1908</v>
      </c>
      <c r="C116" s="2416" t="s">
        <v>2248</v>
      </c>
      <c r="D116" s="2416"/>
      <c r="E116" s="2175">
        <v>21000000</v>
      </c>
      <c r="F116" s="2417">
        <f t="shared" si="17"/>
        <v>3780000</v>
      </c>
      <c r="G116" s="2418">
        <v>41011</v>
      </c>
      <c r="H116" s="2419">
        <v>0.18</v>
      </c>
      <c r="I116" s="2164">
        <v>12</v>
      </c>
      <c r="J116" s="2164">
        <v>12</v>
      </c>
      <c r="K116" s="2164">
        <f>E116/I116</f>
        <v>1750000</v>
      </c>
      <c r="L116" s="2164">
        <f t="shared" si="32"/>
        <v>315000</v>
      </c>
      <c r="M116" s="2172">
        <f t="shared" si="30"/>
        <v>21000000</v>
      </c>
      <c r="N116" s="2172">
        <f t="shared" si="18"/>
        <v>3780000</v>
      </c>
      <c r="O116" s="2171">
        <v>21000000</v>
      </c>
      <c r="P116" s="2171">
        <v>3780000</v>
      </c>
      <c r="Q116" s="2171"/>
      <c r="R116" s="2649"/>
      <c r="S116" s="2649"/>
      <c r="T116" s="2173"/>
      <c r="U116" s="2174">
        <f t="shared" si="19"/>
        <v>21000000</v>
      </c>
      <c r="V116" s="2174">
        <f t="shared" si="20"/>
        <v>3780000</v>
      </c>
      <c r="W116" s="2174">
        <f t="shared" si="21"/>
        <v>0</v>
      </c>
      <c r="X116" s="2174">
        <f t="shared" si="22"/>
        <v>0</v>
      </c>
      <c r="Y116" s="2174">
        <f t="shared" si="23"/>
        <v>100</v>
      </c>
      <c r="Z116" s="2174">
        <f t="shared" si="24"/>
        <v>0</v>
      </c>
      <c r="AA116" s="2174">
        <f t="shared" si="25"/>
        <v>0</v>
      </c>
      <c r="AB116" s="2416"/>
      <c r="AC116" s="1504">
        <f t="shared" si="33"/>
        <v>0</v>
      </c>
      <c r="AD116" s="1503">
        <f t="shared" si="34"/>
        <v>0</v>
      </c>
      <c r="AE116" s="1503">
        <f t="shared" si="35"/>
        <v>0</v>
      </c>
      <c r="AF116" s="1502">
        <f t="shared" si="36"/>
        <v>0</v>
      </c>
    </row>
    <row r="117" spans="1:32" s="1474" customFormat="1" ht="23.25" customHeight="1">
      <c r="A117" s="2175">
        <v>52</v>
      </c>
      <c r="B117" s="2175" t="s">
        <v>2271</v>
      </c>
      <c r="C117" s="2416" t="s">
        <v>2248</v>
      </c>
      <c r="D117" s="2416"/>
      <c r="E117" s="2175">
        <v>20000000</v>
      </c>
      <c r="F117" s="2417">
        <f t="shared" si="17"/>
        <v>3600000</v>
      </c>
      <c r="G117" s="2418">
        <v>41037</v>
      </c>
      <c r="H117" s="2419">
        <v>0.18</v>
      </c>
      <c r="I117" s="2164">
        <v>12</v>
      </c>
      <c r="J117" s="2164">
        <v>12</v>
      </c>
      <c r="K117" s="2164">
        <v>1666700</v>
      </c>
      <c r="L117" s="2164">
        <f t="shared" si="32"/>
        <v>300000</v>
      </c>
      <c r="M117" s="2172">
        <f t="shared" si="30"/>
        <v>20000000</v>
      </c>
      <c r="N117" s="2172">
        <f t="shared" si="18"/>
        <v>3600000</v>
      </c>
      <c r="O117" s="2171">
        <v>20000000</v>
      </c>
      <c r="P117" s="2649">
        <v>3600000</v>
      </c>
      <c r="Q117" s="2649"/>
      <c r="R117" s="2649"/>
      <c r="S117" s="2649"/>
      <c r="T117" s="2173"/>
      <c r="U117" s="2174">
        <f t="shared" si="19"/>
        <v>20000000</v>
      </c>
      <c r="V117" s="2174">
        <f t="shared" si="20"/>
        <v>3600000</v>
      </c>
      <c r="W117" s="2174"/>
      <c r="X117" s="2174">
        <f t="shared" si="22"/>
        <v>0</v>
      </c>
      <c r="Y117" s="2174">
        <f t="shared" si="23"/>
        <v>100</v>
      </c>
      <c r="Z117" s="2174">
        <f t="shared" si="24"/>
        <v>0</v>
      </c>
      <c r="AA117" s="2174">
        <f t="shared" si="25"/>
        <v>0</v>
      </c>
      <c r="AB117" s="2416"/>
      <c r="AC117" s="1504">
        <f t="shared" si="33"/>
        <v>0</v>
      </c>
      <c r="AD117" s="1503">
        <f t="shared" si="34"/>
        <v>0</v>
      </c>
      <c r="AE117" s="1503">
        <f t="shared" si="35"/>
        <v>0</v>
      </c>
      <c r="AF117" s="1502">
        <f t="shared" si="36"/>
        <v>0</v>
      </c>
    </row>
    <row r="118" spans="1:32" s="1474" customFormat="1" ht="23.25" customHeight="1">
      <c r="A118" s="2175">
        <v>53</v>
      </c>
      <c r="B118" s="2175" t="s">
        <v>2272</v>
      </c>
      <c r="C118" s="2416" t="s">
        <v>2248</v>
      </c>
      <c r="D118" s="2416"/>
      <c r="E118" s="2175">
        <v>10000000</v>
      </c>
      <c r="F118" s="2417">
        <f t="shared" si="17"/>
        <v>1800000</v>
      </c>
      <c r="G118" s="2418">
        <v>41037</v>
      </c>
      <c r="H118" s="2419">
        <v>0.18</v>
      </c>
      <c r="I118" s="2164">
        <v>12</v>
      </c>
      <c r="J118" s="2164">
        <v>12</v>
      </c>
      <c r="K118" s="2164">
        <v>833300</v>
      </c>
      <c r="L118" s="2164">
        <f t="shared" si="32"/>
        <v>150000</v>
      </c>
      <c r="M118" s="2172">
        <f t="shared" si="30"/>
        <v>10000000</v>
      </c>
      <c r="N118" s="2172">
        <f t="shared" si="18"/>
        <v>1800000</v>
      </c>
      <c r="O118" s="2171">
        <v>10000000</v>
      </c>
      <c r="P118" s="2649">
        <v>1800000</v>
      </c>
      <c r="Q118" s="2649"/>
      <c r="R118" s="2649"/>
      <c r="S118" s="2649"/>
      <c r="T118" s="2173"/>
      <c r="U118" s="2174">
        <f t="shared" si="19"/>
        <v>10000000</v>
      </c>
      <c r="V118" s="2174">
        <f t="shared" si="20"/>
        <v>1800000</v>
      </c>
      <c r="W118" s="2174"/>
      <c r="X118" s="2174">
        <f t="shared" si="22"/>
        <v>0</v>
      </c>
      <c r="Y118" s="2174">
        <f t="shared" si="23"/>
        <v>100</v>
      </c>
      <c r="Z118" s="2174">
        <f t="shared" si="24"/>
        <v>0</v>
      </c>
      <c r="AA118" s="2174">
        <f t="shared" si="25"/>
        <v>0</v>
      </c>
      <c r="AB118" s="2416"/>
      <c r="AC118" s="1504">
        <f t="shared" si="33"/>
        <v>0</v>
      </c>
      <c r="AD118" s="1503">
        <f t="shared" si="34"/>
        <v>0</v>
      </c>
      <c r="AE118" s="1503">
        <f t="shared" si="35"/>
        <v>0</v>
      </c>
      <c r="AF118" s="1502">
        <f t="shared" si="36"/>
        <v>0</v>
      </c>
    </row>
    <row r="119" spans="1:32" s="1474" customFormat="1" ht="23.25" customHeight="1">
      <c r="A119" s="2175">
        <v>54</v>
      </c>
      <c r="B119" s="2175" t="s">
        <v>2273</v>
      </c>
      <c r="C119" s="2416" t="s">
        <v>2248</v>
      </c>
      <c r="D119" s="2416"/>
      <c r="E119" s="2175">
        <v>20000000</v>
      </c>
      <c r="F119" s="2417">
        <f t="shared" si="17"/>
        <v>3600000</v>
      </c>
      <c r="G119" s="2418">
        <v>41039</v>
      </c>
      <c r="H119" s="2419">
        <v>0.18</v>
      </c>
      <c r="I119" s="2164">
        <v>12</v>
      </c>
      <c r="J119" s="2164">
        <v>12</v>
      </c>
      <c r="K119" s="2164">
        <v>1666700</v>
      </c>
      <c r="L119" s="2164">
        <f t="shared" si="32"/>
        <v>300000</v>
      </c>
      <c r="M119" s="2172">
        <f t="shared" si="30"/>
        <v>20000000</v>
      </c>
      <c r="N119" s="2407">
        <f>IF(J119&lt;I119,J119*L119,IF(J119&gt;=I119,F119))-600000</f>
        <v>3000000</v>
      </c>
      <c r="O119" s="2171">
        <v>20000000</v>
      </c>
      <c r="P119" s="2649">
        <v>3000000</v>
      </c>
      <c r="Q119" s="2649"/>
      <c r="R119" s="2649"/>
      <c r="S119" s="2649"/>
      <c r="T119" s="2173"/>
      <c r="U119" s="2174">
        <f t="shared" si="19"/>
        <v>20000000</v>
      </c>
      <c r="V119" s="2174">
        <f t="shared" si="20"/>
        <v>3000000</v>
      </c>
      <c r="W119" s="2174"/>
      <c r="X119" s="2174">
        <f t="shared" si="22"/>
        <v>0</v>
      </c>
      <c r="Y119" s="2174">
        <f t="shared" si="23"/>
        <v>100</v>
      </c>
      <c r="Z119" s="2174">
        <f t="shared" si="24"/>
        <v>0</v>
      </c>
      <c r="AA119" s="2174">
        <f t="shared" si="25"/>
        <v>0</v>
      </c>
      <c r="AB119" s="2416"/>
      <c r="AC119" s="1504">
        <f t="shared" si="33"/>
        <v>0</v>
      </c>
      <c r="AD119" s="1503">
        <f t="shared" si="34"/>
        <v>0</v>
      </c>
      <c r="AE119" s="1503">
        <f t="shared" si="35"/>
        <v>0</v>
      </c>
      <c r="AF119" s="1502">
        <f t="shared" si="36"/>
        <v>0</v>
      </c>
    </row>
    <row r="120" spans="1:32" s="1474" customFormat="1" ht="23.25" customHeight="1">
      <c r="A120" s="2175">
        <v>55</v>
      </c>
      <c r="B120" s="2175" t="s">
        <v>2274</v>
      </c>
      <c r="C120" s="2416" t="s">
        <v>2248</v>
      </c>
      <c r="D120" s="2416"/>
      <c r="E120" s="2175">
        <v>18000000</v>
      </c>
      <c r="F120" s="2417">
        <f t="shared" si="17"/>
        <v>3240000</v>
      </c>
      <c r="G120" s="2418">
        <v>41039</v>
      </c>
      <c r="H120" s="2419">
        <v>0.18</v>
      </c>
      <c r="I120" s="2164">
        <v>12</v>
      </c>
      <c r="J120" s="2164">
        <v>12</v>
      </c>
      <c r="K120" s="2164">
        <f>E120/I120</f>
        <v>1500000</v>
      </c>
      <c r="L120" s="2164">
        <f t="shared" si="32"/>
        <v>270000</v>
      </c>
      <c r="M120" s="2172">
        <f t="shared" si="30"/>
        <v>18000000</v>
      </c>
      <c r="N120" s="2407">
        <f>IF(J120&lt;I120,J120*L120,IF(J120&gt;=I120,F120))-270000</f>
        <v>2970000</v>
      </c>
      <c r="O120" s="2171">
        <v>18000000</v>
      </c>
      <c r="P120" s="2649">
        <v>2970000</v>
      </c>
      <c r="Q120" s="2649"/>
      <c r="R120" s="2649"/>
      <c r="S120" s="2649"/>
      <c r="T120" s="2173"/>
      <c r="U120" s="2174">
        <f t="shared" si="19"/>
        <v>18000000</v>
      </c>
      <c r="V120" s="2174">
        <f t="shared" si="20"/>
        <v>2970000</v>
      </c>
      <c r="W120" s="2174"/>
      <c r="X120" s="2174">
        <f t="shared" si="22"/>
        <v>0</v>
      </c>
      <c r="Y120" s="2174">
        <f t="shared" si="23"/>
        <v>100</v>
      </c>
      <c r="Z120" s="2174">
        <f t="shared" si="24"/>
        <v>0</v>
      </c>
      <c r="AA120" s="2174">
        <f t="shared" si="25"/>
        <v>0</v>
      </c>
      <c r="AB120" s="2416"/>
      <c r="AC120" s="1504">
        <f t="shared" si="33"/>
        <v>0</v>
      </c>
      <c r="AD120" s="1503">
        <f t="shared" si="34"/>
        <v>0</v>
      </c>
      <c r="AE120" s="1503">
        <f t="shared" si="35"/>
        <v>0</v>
      </c>
      <c r="AF120" s="1502">
        <f t="shared" si="36"/>
        <v>0</v>
      </c>
    </row>
    <row r="121" spans="1:32" s="1474" customFormat="1" ht="23.25" customHeight="1">
      <c r="A121" s="2175">
        <v>56</v>
      </c>
      <c r="B121" s="2175" t="s">
        <v>1934</v>
      </c>
      <c r="C121" s="2416" t="s">
        <v>2277</v>
      </c>
      <c r="D121" s="2416"/>
      <c r="E121" s="2175">
        <v>25000000</v>
      </c>
      <c r="F121" s="2417">
        <f t="shared" si="17"/>
        <v>4500000</v>
      </c>
      <c r="G121" s="2418">
        <v>41068</v>
      </c>
      <c r="H121" s="2419">
        <v>0.18</v>
      </c>
      <c r="I121" s="2164">
        <v>12</v>
      </c>
      <c r="J121" s="2164">
        <v>12</v>
      </c>
      <c r="K121" s="2164">
        <v>2083300</v>
      </c>
      <c r="L121" s="2164">
        <f t="shared" si="32"/>
        <v>375000</v>
      </c>
      <c r="M121" s="2172">
        <f t="shared" si="30"/>
        <v>25000000</v>
      </c>
      <c r="N121" s="2407">
        <f>IF(J121&lt;I121,J121*L121,IF(J121&gt;=I121,F121))-375000</f>
        <v>4125000</v>
      </c>
      <c r="O121" s="2171">
        <v>25000000</v>
      </c>
      <c r="P121" s="2649">
        <v>4125000</v>
      </c>
      <c r="Q121" s="2649"/>
      <c r="R121" s="2649"/>
      <c r="S121" s="2649"/>
      <c r="T121" s="2173"/>
      <c r="U121" s="2174">
        <f t="shared" si="19"/>
        <v>25000000</v>
      </c>
      <c r="V121" s="2174">
        <f t="shared" si="20"/>
        <v>4125000</v>
      </c>
      <c r="W121" s="2174"/>
      <c r="X121" s="2174">
        <f t="shared" si="22"/>
        <v>0</v>
      </c>
      <c r="Y121" s="2174">
        <f t="shared" si="23"/>
        <v>100</v>
      </c>
      <c r="Z121" s="2174">
        <f t="shared" si="24"/>
        <v>0</v>
      </c>
      <c r="AA121" s="2174">
        <f t="shared" si="25"/>
        <v>0</v>
      </c>
      <c r="AB121" s="2416"/>
      <c r="AC121" s="1504">
        <f t="shared" si="33"/>
        <v>0</v>
      </c>
      <c r="AD121" s="1503">
        <f t="shared" si="34"/>
        <v>0</v>
      </c>
      <c r="AE121" s="1503">
        <f t="shared" si="35"/>
        <v>0</v>
      </c>
      <c r="AF121" s="1502">
        <f t="shared" si="36"/>
        <v>0</v>
      </c>
    </row>
    <row r="122" spans="1:32" s="1474" customFormat="1" ht="23.25" customHeight="1">
      <c r="A122" s="2175">
        <v>57</v>
      </c>
      <c r="B122" s="2175" t="s">
        <v>1952</v>
      </c>
      <c r="C122" s="2416" t="s">
        <v>2277</v>
      </c>
      <c r="D122" s="2416"/>
      <c r="E122" s="2175">
        <v>11000000</v>
      </c>
      <c r="F122" s="2417">
        <f t="shared" si="17"/>
        <v>1980000</v>
      </c>
      <c r="G122" s="2418">
        <v>41068</v>
      </c>
      <c r="H122" s="2419">
        <v>0.18</v>
      </c>
      <c r="I122" s="2164">
        <v>12</v>
      </c>
      <c r="J122" s="2164">
        <v>12</v>
      </c>
      <c r="K122" s="2164">
        <v>916700</v>
      </c>
      <c r="L122" s="2164">
        <f t="shared" si="32"/>
        <v>165000</v>
      </c>
      <c r="M122" s="2172">
        <f t="shared" si="30"/>
        <v>11000000</v>
      </c>
      <c r="N122" s="2407">
        <f>IF(J122&lt;I122,J122*L122,IF(J122&gt;=I122,F122))-165000</f>
        <v>1815000</v>
      </c>
      <c r="O122" s="2171">
        <v>11000000</v>
      </c>
      <c r="P122" s="2649">
        <v>1815000</v>
      </c>
      <c r="Q122" s="2649"/>
      <c r="R122" s="2649"/>
      <c r="S122" s="2649"/>
      <c r="T122" s="2173"/>
      <c r="U122" s="2174">
        <f t="shared" si="19"/>
        <v>11000000</v>
      </c>
      <c r="V122" s="2174">
        <f t="shared" si="20"/>
        <v>1815000</v>
      </c>
      <c r="W122" s="2174"/>
      <c r="X122" s="2174">
        <f t="shared" si="22"/>
        <v>0</v>
      </c>
      <c r="Y122" s="2174">
        <f t="shared" si="23"/>
        <v>100</v>
      </c>
      <c r="Z122" s="2174">
        <f t="shared" si="24"/>
        <v>0</v>
      </c>
      <c r="AA122" s="2174">
        <f t="shared" si="25"/>
        <v>0</v>
      </c>
      <c r="AB122" s="2416"/>
      <c r="AC122" s="1504">
        <f t="shared" si="33"/>
        <v>0</v>
      </c>
      <c r="AD122" s="1503">
        <f t="shared" si="34"/>
        <v>0</v>
      </c>
      <c r="AE122" s="1503">
        <f t="shared" si="35"/>
        <v>0</v>
      </c>
      <c r="AF122" s="1502">
        <f t="shared" si="36"/>
        <v>0</v>
      </c>
    </row>
    <row r="123" spans="1:32" s="1474" customFormat="1" ht="23.25" customHeight="1">
      <c r="A123" s="2175">
        <v>58</v>
      </c>
      <c r="B123" s="2175" t="s">
        <v>1944</v>
      </c>
      <c r="C123" s="2416" t="s">
        <v>2277</v>
      </c>
      <c r="D123" s="2416"/>
      <c r="E123" s="2175">
        <v>11000000</v>
      </c>
      <c r="F123" s="2417">
        <f t="shared" si="17"/>
        <v>1980000</v>
      </c>
      <c r="G123" s="2418">
        <v>41068</v>
      </c>
      <c r="H123" s="2419">
        <v>0.18</v>
      </c>
      <c r="I123" s="2164">
        <v>12</v>
      </c>
      <c r="J123" s="2164">
        <v>12</v>
      </c>
      <c r="K123" s="2164">
        <v>916700</v>
      </c>
      <c r="L123" s="2164">
        <f t="shared" si="32"/>
        <v>165000</v>
      </c>
      <c r="M123" s="2172">
        <f t="shared" si="30"/>
        <v>11000000</v>
      </c>
      <c r="N123" s="2407">
        <f>IF(J123&lt;I123,J123*L123,IF(J123&gt;=I123,F123))-165000</f>
        <v>1815000</v>
      </c>
      <c r="O123" s="2171">
        <v>11000000</v>
      </c>
      <c r="P123" s="2649">
        <v>1815000</v>
      </c>
      <c r="Q123" s="2649"/>
      <c r="R123" s="2649"/>
      <c r="S123" s="2649"/>
      <c r="T123" s="2173"/>
      <c r="U123" s="2174">
        <f t="shared" si="19"/>
        <v>11000000</v>
      </c>
      <c r="V123" s="2174">
        <f t="shared" si="20"/>
        <v>1815000</v>
      </c>
      <c r="W123" s="2174"/>
      <c r="X123" s="2174">
        <f t="shared" si="22"/>
        <v>0</v>
      </c>
      <c r="Y123" s="2174">
        <f t="shared" si="23"/>
        <v>100</v>
      </c>
      <c r="Z123" s="2174">
        <f t="shared" si="24"/>
        <v>0</v>
      </c>
      <c r="AA123" s="2174">
        <f t="shared" si="25"/>
        <v>0</v>
      </c>
      <c r="AB123" s="2416"/>
      <c r="AC123" s="1504">
        <f t="shared" si="33"/>
        <v>0</v>
      </c>
      <c r="AD123" s="1503">
        <f t="shared" si="34"/>
        <v>0</v>
      </c>
      <c r="AE123" s="1503">
        <f t="shared" si="35"/>
        <v>0</v>
      </c>
      <c r="AF123" s="1502">
        <f t="shared" si="36"/>
        <v>0</v>
      </c>
    </row>
    <row r="124" spans="1:32" s="1474" customFormat="1" ht="23.25" customHeight="1">
      <c r="A124" s="2175">
        <v>59</v>
      </c>
      <c r="B124" s="2175" t="s">
        <v>1901</v>
      </c>
      <c r="C124" s="2416" t="s">
        <v>2277</v>
      </c>
      <c r="D124" s="2416"/>
      <c r="E124" s="2175">
        <v>20000000</v>
      </c>
      <c r="F124" s="2417">
        <f t="shared" si="17"/>
        <v>3600000</v>
      </c>
      <c r="G124" s="2418">
        <v>41075</v>
      </c>
      <c r="H124" s="2419">
        <v>0.18</v>
      </c>
      <c r="I124" s="2164">
        <v>12</v>
      </c>
      <c r="J124" s="2164">
        <v>12</v>
      </c>
      <c r="K124" s="2164">
        <v>1666700</v>
      </c>
      <c r="L124" s="2164">
        <f t="shared" si="32"/>
        <v>300000</v>
      </c>
      <c r="M124" s="2172">
        <f t="shared" si="30"/>
        <v>20000000</v>
      </c>
      <c r="N124" s="2407">
        <f>IF(J124&lt;I124,J124*L124,IF(J124&gt;=I124,F124))-300000</f>
        <v>3300000</v>
      </c>
      <c r="O124" s="2171">
        <v>20000000</v>
      </c>
      <c r="P124" s="2649">
        <v>3300000</v>
      </c>
      <c r="Q124" s="2649"/>
      <c r="R124" s="2649"/>
      <c r="S124" s="2649"/>
      <c r="T124" s="2173"/>
      <c r="U124" s="2174">
        <f t="shared" si="19"/>
        <v>20000000</v>
      </c>
      <c r="V124" s="2174">
        <f t="shared" si="20"/>
        <v>3300000</v>
      </c>
      <c r="W124" s="2174"/>
      <c r="X124" s="2174">
        <f t="shared" si="22"/>
        <v>0</v>
      </c>
      <c r="Y124" s="2174">
        <f t="shared" si="23"/>
        <v>100</v>
      </c>
      <c r="Z124" s="2174">
        <f t="shared" si="24"/>
        <v>0</v>
      </c>
      <c r="AA124" s="2174">
        <f t="shared" si="25"/>
        <v>0</v>
      </c>
      <c r="AB124" s="2416"/>
      <c r="AC124" s="1504">
        <f t="shared" si="33"/>
        <v>0</v>
      </c>
      <c r="AD124" s="1503">
        <f t="shared" si="34"/>
        <v>0</v>
      </c>
      <c r="AE124" s="1503">
        <f t="shared" si="35"/>
        <v>0</v>
      </c>
      <c r="AF124" s="1502">
        <f t="shared" si="36"/>
        <v>0</v>
      </c>
    </row>
    <row r="125" spans="1:32" s="1474" customFormat="1" ht="23.25" customHeight="1">
      <c r="A125" s="2175">
        <v>60</v>
      </c>
      <c r="B125" s="2175" t="s">
        <v>2213</v>
      </c>
      <c r="C125" s="2416" t="s">
        <v>2312</v>
      </c>
      <c r="D125" s="2416"/>
      <c r="E125" s="2175">
        <v>10000000</v>
      </c>
      <c r="F125" s="2417">
        <f t="shared" si="17"/>
        <v>1800000</v>
      </c>
      <c r="G125" s="2418">
        <v>41169</v>
      </c>
      <c r="H125" s="2419">
        <v>0.18</v>
      </c>
      <c r="I125" s="2164">
        <v>12</v>
      </c>
      <c r="J125" s="2164">
        <v>12</v>
      </c>
      <c r="K125" s="2164">
        <v>833300</v>
      </c>
      <c r="L125" s="2164">
        <f t="shared" si="32"/>
        <v>150000</v>
      </c>
      <c r="M125" s="2172">
        <f t="shared" si="30"/>
        <v>10000000</v>
      </c>
      <c r="N125" s="2407">
        <f>IF(J125&lt;I125,J125*L125,IF(J125&gt;=I125,F125))-150000</f>
        <v>1650000</v>
      </c>
      <c r="O125" s="2171">
        <v>10000000</v>
      </c>
      <c r="P125" s="2649">
        <v>1650000</v>
      </c>
      <c r="Q125" s="2649"/>
      <c r="R125" s="2649"/>
      <c r="S125" s="2649"/>
      <c r="T125" s="2173"/>
      <c r="U125" s="2174">
        <f t="shared" si="19"/>
        <v>10000000</v>
      </c>
      <c r="V125" s="2174">
        <f t="shared" si="20"/>
        <v>1650000</v>
      </c>
      <c r="W125" s="2174"/>
      <c r="X125" s="2174">
        <f t="shared" si="22"/>
        <v>0</v>
      </c>
      <c r="Y125" s="2174">
        <f t="shared" si="23"/>
        <v>100</v>
      </c>
      <c r="Z125" s="2174">
        <f t="shared" si="24"/>
        <v>0</v>
      </c>
      <c r="AA125" s="2174">
        <f t="shared" si="25"/>
        <v>0</v>
      </c>
      <c r="AB125" s="2416"/>
      <c r="AC125" s="1504">
        <f t="shared" si="33"/>
        <v>0</v>
      </c>
      <c r="AD125" s="1503">
        <f t="shared" si="34"/>
        <v>0</v>
      </c>
      <c r="AE125" s="1503">
        <f t="shared" si="35"/>
        <v>0</v>
      </c>
      <c r="AF125" s="1502">
        <f t="shared" si="36"/>
        <v>0</v>
      </c>
    </row>
    <row r="126" spans="1:32" s="1474" customFormat="1" ht="23.25" customHeight="1">
      <c r="A126" s="2175">
        <v>61</v>
      </c>
      <c r="B126" s="2175" t="s">
        <v>1907</v>
      </c>
      <c r="C126" s="2416" t="s">
        <v>2312</v>
      </c>
      <c r="D126" s="2416"/>
      <c r="E126" s="2175">
        <v>22000000</v>
      </c>
      <c r="F126" s="2417">
        <f t="shared" si="17"/>
        <v>3960000</v>
      </c>
      <c r="G126" s="2418">
        <v>41169</v>
      </c>
      <c r="H126" s="2419">
        <v>0.18</v>
      </c>
      <c r="I126" s="2164">
        <v>12</v>
      </c>
      <c r="J126" s="2164">
        <v>12</v>
      </c>
      <c r="K126" s="2164">
        <v>1833300</v>
      </c>
      <c r="L126" s="2164">
        <f t="shared" si="32"/>
        <v>330000</v>
      </c>
      <c r="M126" s="2172">
        <f t="shared" si="30"/>
        <v>22000000</v>
      </c>
      <c r="N126" s="2172">
        <f t="shared" si="18"/>
        <v>3960000</v>
      </c>
      <c r="O126" s="2171">
        <v>22000000</v>
      </c>
      <c r="P126" s="2649">
        <v>3960000</v>
      </c>
      <c r="Q126" s="2649"/>
      <c r="R126" s="2649"/>
      <c r="S126" s="2649"/>
      <c r="T126" s="2173"/>
      <c r="U126" s="2174">
        <f t="shared" si="19"/>
        <v>22000000</v>
      </c>
      <c r="V126" s="2174">
        <f t="shared" si="20"/>
        <v>3960000</v>
      </c>
      <c r="W126" s="2174"/>
      <c r="X126" s="2174">
        <f t="shared" si="22"/>
        <v>0</v>
      </c>
      <c r="Y126" s="2174">
        <f t="shared" si="23"/>
        <v>100</v>
      </c>
      <c r="Z126" s="2174">
        <f t="shared" si="24"/>
        <v>0</v>
      </c>
      <c r="AA126" s="2174">
        <f t="shared" si="25"/>
        <v>0</v>
      </c>
      <c r="AB126" s="2416"/>
      <c r="AC126" s="1504">
        <f t="shared" si="33"/>
        <v>0</v>
      </c>
      <c r="AD126" s="1503">
        <f t="shared" si="34"/>
        <v>0</v>
      </c>
      <c r="AE126" s="1503">
        <f t="shared" si="35"/>
        <v>0</v>
      </c>
      <c r="AF126" s="1502">
        <f t="shared" si="36"/>
        <v>0</v>
      </c>
    </row>
    <row r="127" spans="1:32" s="1474" customFormat="1" ht="23.25" customHeight="1">
      <c r="A127" s="2175">
        <v>62</v>
      </c>
      <c r="B127" s="2175" t="s">
        <v>1911</v>
      </c>
      <c r="C127" s="2416" t="s">
        <v>2312</v>
      </c>
      <c r="D127" s="2416"/>
      <c r="E127" s="2175">
        <v>13000000</v>
      </c>
      <c r="F127" s="2417">
        <f t="shared" si="17"/>
        <v>2340000</v>
      </c>
      <c r="G127" s="2418">
        <v>41173</v>
      </c>
      <c r="H127" s="2419">
        <v>0.18</v>
      </c>
      <c r="I127" s="2164">
        <v>12</v>
      </c>
      <c r="J127" s="2164">
        <v>12</v>
      </c>
      <c r="K127" s="2164">
        <v>1083300</v>
      </c>
      <c r="L127" s="2164">
        <f t="shared" si="32"/>
        <v>195000</v>
      </c>
      <c r="M127" s="2172">
        <f t="shared" si="30"/>
        <v>13000000</v>
      </c>
      <c r="N127" s="2172">
        <f t="shared" si="18"/>
        <v>2340000</v>
      </c>
      <c r="O127" s="2171">
        <v>13000000</v>
      </c>
      <c r="P127" s="2649">
        <v>2340000</v>
      </c>
      <c r="Q127" s="2649"/>
      <c r="R127" s="2649"/>
      <c r="S127" s="2649"/>
      <c r="T127" s="2173"/>
      <c r="U127" s="2174">
        <f t="shared" si="19"/>
        <v>13000000</v>
      </c>
      <c r="V127" s="2174">
        <f t="shared" si="20"/>
        <v>2340000</v>
      </c>
      <c r="W127" s="2174"/>
      <c r="X127" s="2174">
        <f t="shared" si="22"/>
        <v>0</v>
      </c>
      <c r="Y127" s="2174">
        <f t="shared" si="23"/>
        <v>100</v>
      </c>
      <c r="Z127" s="2174">
        <f t="shared" si="24"/>
        <v>0</v>
      </c>
      <c r="AA127" s="2174">
        <f t="shared" si="25"/>
        <v>0</v>
      </c>
      <c r="AB127" s="2416"/>
      <c r="AC127" s="1504">
        <f t="shared" si="33"/>
        <v>0</v>
      </c>
      <c r="AD127" s="1503">
        <f t="shared" si="34"/>
        <v>0</v>
      </c>
      <c r="AE127" s="1503">
        <f t="shared" si="35"/>
        <v>0</v>
      </c>
      <c r="AF127" s="1502">
        <f t="shared" si="36"/>
        <v>0</v>
      </c>
    </row>
    <row r="128" spans="1:32" s="1474" customFormat="1" ht="23.25" customHeight="1">
      <c r="A128" s="2175">
        <v>63</v>
      </c>
      <c r="B128" s="2175" t="s">
        <v>2214</v>
      </c>
      <c r="C128" s="2416" t="s">
        <v>2312</v>
      </c>
      <c r="D128" s="2416"/>
      <c r="E128" s="2175">
        <v>4000000</v>
      </c>
      <c r="F128" s="2417">
        <f t="shared" si="17"/>
        <v>720000</v>
      </c>
      <c r="G128" s="2418">
        <v>41159</v>
      </c>
      <c r="H128" s="2419">
        <v>0.18</v>
      </c>
      <c r="I128" s="2164">
        <v>12</v>
      </c>
      <c r="J128" s="2164">
        <v>12</v>
      </c>
      <c r="K128" s="2164">
        <v>333300</v>
      </c>
      <c r="L128" s="2164">
        <f t="shared" si="32"/>
        <v>60000</v>
      </c>
      <c r="M128" s="2172">
        <f t="shared" si="30"/>
        <v>4000000</v>
      </c>
      <c r="N128" s="2407">
        <f>IF(J128&lt;I128,J128*L128,IF(J128&gt;=I128,F128))-180000</f>
        <v>540000</v>
      </c>
      <c r="O128" s="2171">
        <v>4000000</v>
      </c>
      <c r="P128" s="2649">
        <v>540000</v>
      </c>
      <c r="Q128" s="2649"/>
      <c r="R128" s="2649"/>
      <c r="S128" s="2649"/>
      <c r="T128" s="2173"/>
      <c r="U128" s="2174">
        <f>SUM(O128+R128)</f>
        <v>4000000</v>
      </c>
      <c r="V128" s="2174">
        <f t="shared" si="20"/>
        <v>540000</v>
      </c>
      <c r="W128" s="2174"/>
      <c r="X128" s="2174">
        <f t="shared" si="22"/>
        <v>0</v>
      </c>
      <c r="Y128" s="2174">
        <f t="shared" si="23"/>
        <v>100</v>
      </c>
      <c r="Z128" s="2174">
        <f t="shared" si="24"/>
        <v>0</v>
      </c>
      <c r="AA128" s="2174">
        <f t="shared" si="25"/>
        <v>0</v>
      </c>
      <c r="AB128" s="2416"/>
      <c r="AC128" s="1504">
        <f t="shared" si="33"/>
        <v>0</v>
      </c>
      <c r="AD128" s="1503">
        <f t="shared" si="34"/>
        <v>0</v>
      </c>
      <c r="AE128" s="1503">
        <f t="shared" si="35"/>
        <v>0</v>
      </c>
      <c r="AF128" s="1502">
        <f t="shared" si="36"/>
        <v>0</v>
      </c>
    </row>
    <row r="129" spans="1:32" s="1474" customFormat="1" ht="23.25" customHeight="1">
      <c r="A129" s="2175">
        <v>64</v>
      </c>
      <c r="B129" s="2175" t="s">
        <v>1936</v>
      </c>
      <c r="C129" s="2416" t="s">
        <v>2312</v>
      </c>
      <c r="D129" s="2416"/>
      <c r="E129" s="2175">
        <v>20000000</v>
      </c>
      <c r="F129" s="2417">
        <f t="shared" si="17"/>
        <v>3600000</v>
      </c>
      <c r="G129" s="2418">
        <v>41187</v>
      </c>
      <c r="H129" s="2419">
        <v>0.18</v>
      </c>
      <c r="I129" s="2164">
        <v>12</v>
      </c>
      <c r="J129" s="2164">
        <v>12</v>
      </c>
      <c r="K129" s="2164">
        <v>1666700</v>
      </c>
      <c r="L129" s="2164">
        <f t="shared" si="32"/>
        <v>300000</v>
      </c>
      <c r="M129" s="2172">
        <f t="shared" si="30"/>
        <v>20000000</v>
      </c>
      <c r="N129" s="2407">
        <f>IF(J129&lt;I129,J129*L129,IF(J129&gt;=I129,F129))-300000</f>
        <v>3300000</v>
      </c>
      <c r="O129" s="2171">
        <v>20000000</v>
      </c>
      <c r="P129" s="2649">
        <v>3300000</v>
      </c>
      <c r="Q129" s="2649"/>
      <c r="R129" s="2649"/>
      <c r="S129" s="2649"/>
      <c r="T129" s="2173"/>
      <c r="U129" s="2174">
        <f t="shared" si="19"/>
        <v>20000000</v>
      </c>
      <c r="V129" s="2174">
        <f t="shared" si="20"/>
        <v>3300000</v>
      </c>
      <c r="W129" s="2174"/>
      <c r="X129" s="2174">
        <f t="shared" si="22"/>
        <v>0</v>
      </c>
      <c r="Y129" s="2174">
        <f t="shared" si="23"/>
        <v>100</v>
      </c>
      <c r="Z129" s="2174">
        <f t="shared" si="24"/>
        <v>0</v>
      </c>
      <c r="AA129" s="2174">
        <f t="shared" si="25"/>
        <v>0</v>
      </c>
      <c r="AB129" s="2416"/>
      <c r="AC129" s="1504">
        <f t="shared" si="33"/>
        <v>0</v>
      </c>
      <c r="AD129" s="1503">
        <f t="shared" si="34"/>
        <v>0</v>
      </c>
      <c r="AE129" s="1503">
        <f t="shared" si="35"/>
        <v>0</v>
      </c>
      <c r="AF129" s="1502">
        <f t="shared" si="36"/>
        <v>0</v>
      </c>
    </row>
    <row r="130" spans="1:32" s="1474" customFormat="1" ht="23.25" customHeight="1">
      <c r="A130" s="2175">
        <v>65</v>
      </c>
      <c r="B130" s="2175" t="s">
        <v>1914</v>
      </c>
      <c r="C130" s="2416" t="s">
        <v>2312</v>
      </c>
      <c r="D130" s="2416"/>
      <c r="E130" s="2175">
        <v>15000000</v>
      </c>
      <c r="F130" s="2417">
        <f t="shared" si="17"/>
        <v>2700000</v>
      </c>
      <c r="G130" s="2418">
        <v>41187</v>
      </c>
      <c r="H130" s="2419">
        <v>0.18</v>
      </c>
      <c r="I130" s="2164">
        <v>12</v>
      </c>
      <c r="J130" s="2164">
        <v>12</v>
      </c>
      <c r="K130" s="2164">
        <f>E130/I130</f>
        <v>1250000</v>
      </c>
      <c r="L130" s="2164">
        <f t="shared" si="32"/>
        <v>225000</v>
      </c>
      <c r="M130" s="2172">
        <f t="shared" si="30"/>
        <v>15000000</v>
      </c>
      <c r="N130" s="2407">
        <f>IF(J130&lt;I130,J130*L130,IF(J130&gt;=I130,F130))-225000</f>
        <v>2475000</v>
      </c>
      <c r="O130" s="2171">
        <v>15000000</v>
      </c>
      <c r="P130" s="2649">
        <v>2475000</v>
      </c>
      <c r="Q130" s="2649"/>
      <c r="R130" s="2649"/>
      <c r="S130" s="2649"/>
      <c r="T130" s="2173"/>
      <c r="U130" s="2174">
        <f t="shared" si="19"/>
        <v>15000000</v>
      </c>
      <c r="V130" s="2174">
        <f t="shared" si="20"/>
        <v>2475000</v>
      </c>
      <c r="W130" s="2174"/>
      <c r="X130" s="2174">
        <f t="shared" si="22"/>
        <v>0</v>
      </c>
      <c r="Y130" s="2174">
        <f t="shared" si="23"/>
        <v>100</v>
      </c>
      <c r="Z130" s="2174">
        <f t="shared" si="24"/>
        <v>0</v>
      </c>
      <c r="AA130" s="2174">
        <f t="shared" si="25"/>
        <v>0</v>
      </c>
      <c r="AB130" s="2416"/>
      <c r="AC130" s="1504">
        <f t="shared" si="33"/>
        <v>0</v>
      </c>
      <c r="AD130" s="1503">
        <f t="shared" si="34"/>
        <v>0</v>
      </c>
      <c r="AE130" s="1503">
        <f t="shared" si="35"/>
        <v>0</v>
      </c>
      <c r="AF130" s="1502">
        <f t="shared" si="36"/>
        <v>0</v>
      </c>
    </row>
    <row r="131" spans="1:32" s="1474" customFormat="1" ht="23.25" customHeight="1">
      <c r="A131" s="2175">
        <v>66</v>
      </c>
      <c r="B131" s="2175" t="s">
        <v>1915</v>
      </c>
      <c r="C131" s="2416" t="s">
        <v>2312</v>
      </c>
      <c r="D131" s="2416"/>
      <c r="E131" s="2175">
        <v>16000000</v>
      </c>
      <c r="F131" s="2417">
        <f t="shared" si="17"/>
        <v>2880000</v>
      </c>
      <c r="G131" s="2418">
        <v>41187</v>
      </c>
      <c r="H131" s="2419">
        <v>0.18</v>
      </c>
      <c r="I131" s="2164">
        <v>12</v>
      </c>
      <c r="J131" s="2164">
        <v>12</v>
      </c>
      <c r="K131" s="2164">
        <v>1333300</v>
      </c>
      <c r="L131" s="2164">
        <f t="shared" si="32"/>
        <v>240000</v>
      </c>
      <c r="M131" s="2172">
        <f t="shared" si="30"/>
        <v>16000000</v>
      </c>
      <c r="N131" s="2407">
        <f>IF(J131&lt;I131,J131*L131,IF(J131&gt;=I131,F131))-240000</f>
        <v>2640000</v>
      </c>
      <c r="O131" s="2171">
        <v>16000000</v>
      </c>
      <c r="P131" s="2649">
        <v>2640000</v>
      </c>
      <c r="Q131" s="2649"/>
      <c r="R131" s="2649"/>
      <c r="S131" s="2649"/>
      <c r="T131" s="2173"/>
      <c r="U131" s="2174">
        <f t="shared" si="19"/>
        <v>16000000</v>
      </c>
      <c r="V131" s="2174">
        <f t="shared" si="20"/>
        <v>2640000</v>
      </c>
      <c r="W131" s="2174"/>
      <c r="X131" s="2174">
        <f t="shared" si="22"/>
        <v>0</v>
      </c>
      <c r="Y131" s="2174">
        <f t="shared" si="23"/>
        <v>100</v>
      </c>
      <c r="Z131" s="2174">
        <f t="shared" si="24"/>
        <v>0</v>
      </c>
      <c r="AA131" s="2174">
        <f t="shared" si="25"/>
        <v>0</v>
      </c>
      <c r="AB131" s="2416"/>
      <c r="AC131" s="1504">
        <f t="shared" si="33"/>
        <v>0</v>
      </c>
      <c r="AD131" s="1503">
        <f t="shared" si="34"/>
        <v>0</v>
      </c>
      <c r="AE131" s="1503">
        <f t="shared" si="35"/>
        <v>0</v>
      </c>
      <c r="AF131" s="1502">
        <f t="shared" si="36"/>
        <v>0</v>
      </c>
    </row>
    <row r="132" spans="1:32" s="1474" customFormat="1" ht="23.25" customHeight="1">
      <c r="A132" s="2175">
        <v>67</v>
      </c>
      <c r="B132" s="2175" t="s">
        <v>1910</v>
      </c>
      <c r="C132" s="2416" t="s">
        <v>2312</v>
      </c>
      <c r="D132" s="2416"/>
      <c r="E132" s="2175">
        <v>15000000</v>
      </c>
      <c r="F132" s="2417">
        <f t="shared" si="17"/>
        <v>2700000</v>
      </c>
      <c r="G132" s="2418">
        <v>41187</v>
      </c>
      <c r="H132" s="2419">
        <v>0.18</v>
      </c>
      <c r="I132" s="2164">
        <v>12</v>
      </c>
      <c r="J132" s="2164">
        <v>12</v>
      </c>
      <c r="K132" s="2164">
        <f>E132/I132</f>
        <v>1250000</v>
      </c>
      <c r="L132" s="2164">
        <f t="shared" si="32"/>
        <v>225000</v>
      </c>
      <c r="M132" s="2172">
        <f t="shared" si="30"/>
        <v>15000000</v>
      </c>
      <c r="N132" s="2172">
        <f t="shared" si="18"/>
        <v>2700000</v>
      </c>
      <c r="O132" s="2171">
        <v>15000000</v>
      </c>
      <c r="P132" s="2649">
        <v>2700000</v>
      </c>
      <c r="Q132" s="2649"/>
      <c r="R132" s="2649"/>
      <c r="S132" s="2649"/>
      <c r="T132" s="2173"/>
      <c r="U132" s="2174">
        <f t="shared" si="19"/>
        <v>15000000</v>
      </c>
      <c r="V132" s="2174">
        <f t="shared" si="20"/>
        <v>2700000</v>
      </c>
      <c r="W132" s="2174"/>
      <c r="X132" s="2174">
        <f t="shared" si="22"/>
        <v>0</v>
      </c>
      <c r="Y132" s="2174">
        <f t="shared" si="23"/>
        <v>100</v>
      </c>
      <c r="Z132" s="2174">
        <f t="shared" si="24"/>
        <v>0</v>
      </c>
      <c r="AA132" s="2174">
        <f t="shared" si="25"/>
        <v>0</v>
      </c>
      <c r="AB132" s="2416"/>
      <c r="AC132" s="1504">
        <f t="shared" si="33"/>
        <v>0</v>
      </c>
      <c r="AD132" s="1503">
        <f t="shared" si="34"/>
        <v>0</v>
      </c>
      <c r="AE132" s="1503">
        <f t="shared" si="35"/>
        <v>0</v>
      </c>
      <c r="AF132" s="1502">
        <f t="shared" si="36"/>
        <v>0</v>
      </c>
    </row>
    <row r="133" spans="1:32" s="1474" customFormat="1" ht="23.25" customHeight="1">
      <c r="A133" s="2175">
        <v>68</v>
      </c>
      <c r="B133" s="2175" t="s">
        <v>2332</v>
      </c>
      <c r="C133" s="2416" t="s">
        <v>2312</v>
      </c>
      <c r="D133" s="2416"/>
      <c r="E133" s="2175">
        <v>30000000</v>
      </c>
      <c r="F133" s="2417">
        <f t="shared" si="17"/>
        <v>5400000</v>
      </c>
      <c r="G133" s="2418">
        <v>41199</v>
      </c>
      <c r="H133" s="2419">
        <v>0.18</v>
      </c>
      <c r="I133" s="2164">
        <v>12</v>
      </c>
      <c r="J133" s="2164">
        <v>12</v>
      </c>
      <c r="K133" s="2164">
        <f>E133/I133</f>
        <v>2500000</v>
      </c>
      <c r="L133" s="2164">
        <f t="shared" si="32"/>
        <v>450000</v>
      </c>
      <c r="M133" s="2172">
        <f t="shared" si="30"/>
        <v>30000000</v>
      </c>
      <c r="N133" s="2407">
        <f>IF(J133&lt;I133,J133*L133,IF(J133&gt;=I133,F133))-450000</f>
        <v>4950000</v>
      </c>
      <c r="O133" s="2171">
        <v>30000000</v>
      </c>
      <c r="P133" s="2649">
        <v>4950000</v>
      </c>
      <c r="Q133" s="2649"/>
      <c r="R133" s="2649"/>
      <c r="S133" s="2649"/>
      <c r="T133" s="2173"/>
      <c r="U133" s="2174">
        <f t="shared" si="19"/>
        <v>30000000</v>
      </c>
      <c r="V133" s="2174">
        <f t="shared" si="20"/>
        <v>4950000</v>
      </c>
      <c r="W133" s="2174"/>
      <c r="X133" s="2174">
        <f t="shared" si="22"/>
        <v>0</v>
      </c>
      <c r="Y133" s="2174">
        <f t="shared" si="23"/>
        <v>100</v>
      </c>
      <c r="Z133" s="2174">
        <f t="shared" si="24"/>
        <v>0</v>
      </c>
      <c r="AA133" s="2174">
        <f t="shared" si="25"/>
        <v>0</v>
      </c>
      <c r="AB133" s="2416"/>
      <c r="AC133" s="1504">
        <f t="shared" si="33"/>
        <v>0</v>
      </c>
      <c r="AD133" s="1503">
        <f t="shared" si="34"/>
        <v>0</v>
      </c>
      <c r="AE133" s="1503">
        <f t="shared" si="35"/>
        <v>0</v>
      </c>
      <c r="AF133" s="1502">
        <f t="shared" si="36"/>
        <v>0</v>
      </c>
    </row>
    <row r="134" spans="1:32" s="1474" customFormat="1" ht="23.25" customHeight="1">
      <c r="A134" s="2175">
        <v>69</v>
      </c>
      <c r="B134" s="2175" t="s">
        <v>1912</v>
      </c>
      <c r="C134" s="2416" t="s">
        <v>2312</v>
      </c>
      <c r="D134" s="2416"/>
      <c r="E134" s="2175">
        <v>13000000</v>
      </c>
      <c r="F134" s="2417">
        <f t="shared" si="17"/>
        <v>2340000</v>
      </c>
      <c r="G134" s="2418">
        <v>41201</v>
      </c>
      <c r="H134" s="2419">
        <v>0.18</v>
      </c>
      <c r="I134" s="2164">
        <v>12</v>
      </c>
      <c r="J134" s="2164">
        <v>12</v>
      </c>
      <c r="K134" s="2164">
        <v>1083300</v>
      </c>
      <c r="L134" s="2164">
        <f t="shared" si="32"/>
        <v>195000</v>
      </c>
      <c r="M134" s="2172">
        <f t="shared" si="30"/>
        <v>13000000</v>
      </c>
      <c r="N134" s="2172">
        <f t="shared" si="18"/>
        <v>2340000</v>
      </c>
      <c r="O134" s="2171">
        <v>13000000</v>
      </c>
      <c r="P134" s="2649">
        <v>2340000</v>
      </c>
      <c r="Q134" s="2649"/>
      <c r="R134" s="2649"/>
      <c r="S134" s="2649"/>
      <c r="T134" s="2173"/>
      <c r="U134" s="2174">
        <f t="shared" si="19"/>
        <v>13000000</v>
      </c>
      <c r="V134" s="2174">
        <f t="shared" si="20"/>
        <v>2340000</v>
      </c>
      <c r="W134" s="2174"/>
      <c r="X134" s="2174">
        <f t="shared" si="22"/>
        <v>0</v>
      </c>
      <c r="Y134" s="2174">
        <f t="shared" si="23"/>
        <v>100</v>
      </c>
      <c r="Z134" s="2174">
        <f t="shared" si="24"/>
        <v>0</v>
      </c>
      <c r="AA134" s="2174">
        <f t="shared" si="25"/>
        <v>0</v>
      </c>
      <c r="AB134" s="2416"/>
      <c r="AC134" s="1504">
        <f t="shared" si="33"/>
        <v>0</v>
      </c>
      <c r="AD134" s="1503">
        <f t="shared" si="34"/>
        <v>0</v>
      </c>
      <c r="AE134" s="1503">
        <f t="shared" si="35"/>
        <v>0</v>
      </c>
      <c r="AF134" s="1502">
        <f t="shared" si="36"/>
        <v>0</v>
      </c>
    </row>
    <row r="135" spans="1:32" s="1474" customFormat="1" ht="23.25" customHeight="1">
      <c r="A135" s="2175">
        <v>70</v>
      </c>
      <c r="B135" s="2175" t="s">
        <v>2221</v>
      </c>
      <c r="C135" s="2416" t="s">
        <v>2340</v>
      </c>
      <c r="D135" s="2416"/>
      <c r="E135" s="2175">
        <v>18000000</v>
      </c>
      <c r="F135" s="2417">
        <f t="shared" si="17"/>
        <v>3240000</v>
      </c>
      <c r="G135" s="2418">
        <v>41257</v>
      </c>
      <c r="H135" s="2419">
        <v>0.18</v>
      </c>
      <c r="I135" s="2164">
        <v>12</v>
      </c>
      <c r="J135" s="2164">
        <v>12</v>
      </c>
      <c r="K135" s="2164">
        <f>E135/I135</f>
        <v>1500000</v>
      </c>
      <c r="L135" s="2164">
        <f t="shared" si="32"/>
        <v>270000</v>
      </c>
      <c r="M135" s="2172">
        <f t="shared" si="30"/>
        <v>18000000</v>
      </c>
      <c r="N135" s="2172">
        <f t="shared" si="18"/>
        <v>3240000</v>
      </c>
      <c r="O135" s="2171">
        <v>18000000</v>
      </c>
      <c r="P135" s="2649">
        <v>3240000</v>
      </c>
      <c r="Q135" s="2649"/>
      <c r="R135" s="2649"/>
      <c r="S135" s="2649"/>
      <c r="T135" s="2173"/>
      <c r="U135" s="2174">
        <f t="shared" si="19"/>
        <v>18000000</v>
      </c>
      <c r="V135" s="2174">
        <f t="shared" si="20"/>
        <v>3240000</v>
      </c>
      <c r="W135" s="2174"/>
      <c r="X135" s="2174">
        <f t="shared" si="22"/>
        <v>0</v>
      </c>
      <c r="Y135" s="2174">
        <f t="shared" si="23"/>
        <v>100</v>
      </c>
      <c r="Z135" s="2174">
        <f t="shared" si="24"/>
        <v>0</v>
      </c>
      <c r="AA135" s="2174">
        <f t="shared" si="25"/>
        <v>0</v>
      </c>
      <c r="AB135" s="2416"/>
      <c r="AC135" s="1504">
        <f t="shared" si="33"/>
        <v>0</v>
      </c>
      <c r="AD135" s="1503">
        <f t="shared" si="34"/>
        <v>0</v>
      </c>
      <c r="AE135" s="1503">
        <f t="shared" si="35"/>
        <v>0</v>
      </c>
      <c r="AF135" s="1502">
        <f t="shared" si="36"/>
        <v>0</v>
      </c>
    </row>
    <row r="136" spans="1:32" s="1474" customFormat="1" ht="23.25" customHeight="1">
      <c r="A136" s="2175">
        <v>71</v>
      </c>
      <c r="B136" s="2175" t="s">
        <v>1906</v>
      </c>
      <c r="C136" s="2416" t="s">
        <v>2340</v>
      </c>
      <c r="D136" s="2416"/>
      <c r="E136" s="2175">
        <v>20000000</v>
      </c>
      <c r="F136" s="2417">
        <f t="shared" si="17"/>
        <v>3600000</v>
      </c>
      <c r="G136" s="2418">
        <v>41288</v>
      </c>
      <c r="H136" s="2419">
        <v>0.18</v>
      </c>
      <c r="I136" s="2164">
        <v>12</v>
      </c>
      <c r="J136" s="2164">
        <v>12</v>
      </c>
      <c r="K136" s="2164">
        <v>1666700</v>
      </c>
      <c r="L136" s="2164">
        <f t="shared" si="32"/>
        <v>300000</v>
      </c>
      <c r="M136" s="2172">
        <f t="shared" si="30"/>
        <v>20000000</v>
      </c>
      <c r="N136" s="2407">
        <f>IF(J136&lt;I136,J136*L136,IF(J136&gt;=I136,F136))-300000</f>
        <v>3300000</v>
      </c>
      <c r="O136" s="2171">
        <v>20000000</v>
      </c>
      <c r="P136" s="2649">
        <v>3300000</v>
      </c>
      <c r="Q136" s="2649"/>
      <c r="R136" s="2649"/>
      <c r="S136" s="2649"/>
      <c r="T136" s="2173"/>
      <c r="U136" s="2174">
        <f t="shared" si="19"/>
        <v>20000000</v>
      </c>
      <c r="V136" s="2174">
        <f t="shared" si="20"/>
        <v>3300000</v>
      </c>
      <c r="W136" s="2174"/>
      <c r="X136" s="2174">
        <f t="shared" si="22"/>
        <v>0</v>
      </c>
      <c r="Y136" s="2174">
        <f t="shared" si="23"/>
        <v>100</v>
      </c>
      <c r="Z136" s="2174">
        <f t="shared" si="24"/>
        <v>0</v>
      </c>
      <c r="AA136" s="2174">
        <f t="shared" si="25"/>
        <v>0</v>
      </c>
      <c r="AB136" s="2416"/>
      <c r="AC136" s="1504">
        <f t="shared" si="33"/>
        <v>0</v>
      </c>
      <c r="AD136" s="1503">
        <f t="shared" si="34"/>
        <v>0</v>
      </c>
      <c r="AE136" s="1503">
        <f t="shared" si="35"/>
        <v>0</v>
      </c>
      <c r="AF136" s="1502">
        <f t="shared" si="36"/>
        <v>0</v>
      </c>
    </row>
    <row r="137" spans="1:32" s="1474" customFormat="1" ht="23.25" customHeight="1">
      <c r="A137" s="2175">
        <v>72</v>
      </c>
      <c r="B137" s="2175" t="s">
        <v>1898</v>
      </c>
      <c r="C137" s="2416" t="s">
        <v>2340</v>
      </c>
      <c r="D137" s="2416"/>
      <c r="E137" s="2175">
        <v>28000000</v>
      </c>
      <c r="F137" s="2417">
        <f t="shared" si="17"/>
        <v>5040000</v>
      </c>
      <c r="G137" s="2418">
        <v>41288</v>
      </c>
      <c r="H137" s="2419">
        <v>0.18</v>
      </c>
      <c r="I137" s="2164">
        <v>12</v>
      </c>
      <c r="J137" s="2164">
        <v>12</v>
      </c>
      <c r="K137" s="2164">
        <v>2333300</v>
      </c>
      <c r="L137" s="2164">
        <f t="shared" si="32"/>
        <v>420000</v>
      </c>
      <c r="M137" s="2172">
        <f t="shared" si="30"/>
        <v>28000000</v>
      </c>
      <c r="N137" s="2407">
        <f>IF(J137&lt;I137,J137*L137,IF(J137&gt;=I137,F137))-1260000</f>
        <v>3780000</v>
      </c>
      <c r="O137" s="2171">
        <v>28000000</v>
      </c>
      <c r="P137" s="2649">
        <v>3780000</v>
      </c>
      <c r="Q137" s="2649"/>
      <c r="R137" s="2649"/>
      <c r="S137" s="2649"/>
      <c r="T137" s="2173"/>
      <c r="U137" s="2174">
        <f t="shared" si="19"/>
        <v>28000000</v>
      </c>
      <c r="V137" s="2174">
        <f t="shared" si="20"/>
        <v>3780000</v>
      </c>
      <c r="W137" s="2174"/>
      <c r="X137" s="2174">
        <f t="shared" si="22"/>
        <v>0</v>
      </c>
      <c r="Y137" s="2174">
        <f t="shared" si="23"/>
        <v>100</v>
      </c>
      <c r="Z137" s="2174">
        <f t="shared" si="24"/>
        <v>0</v>
      </c>
      <c r="AA137" s="2174">
        <f t="shared" si="25"/>
        <v>0</v>
      </c>
      <c r="AB137" s="2416"/>
      <c r="AC137" s="1504">
        <f t="shared" si="33"/>
        <v>0</v>
      </c>
      <c r="AD137" s="1503">
        <f t="shared" si="34"/>
        <v>0</v>
      </c>
      <c r="AE137" s="1503">
        <f t="shared" si="35"/>
        <v>0</v>
      </c>
      <c r="AF137" s="1502">
        <f t="shared" si="36"/>
        <v>0</v>
      </c>
    </row>
    <row r="138" spans="1:32" s="3072" customFormat="1" ht="23.25" customHeight="1">
      <c r="A138" s="2973">
        <v>73</v>
      </c>
      <c r="B138" s="2973" t="s">
        <v>1937</v>
      </c>
      <c r="C138" s="3066" t="s">
        <v>2340</v>
      </c>
      <c r="D138" s="3066"/>
      <c r="E138" s="2973">
        <v>15000000</v>
      </c>
      <c r="F138" s="2973">
        <f t="shared" si="17"/>
        <v>2700000</v>
      </c>
      <c r="G138" s="3067">
        <v>41311</v>
      </c>
      <c r="H138" s="3068">
        <v>0.18</v>
      </c>
      <c r="I138" s="2649">
        <v>12</v>
      </c>
      <c r="J138" s="2649">
        <v>12</v>
      </c>
      <c r="K138" s="2649">
        <v>1250000</v>
      </c>
      <c r="L138" s="2649">
        <f t="shared" si="32"/>
        <v>225000</v>
      </c>
      <c r="M138" s="2649">
        <f t="shared" si="30"/>
        <v>15000000</v>
      </c>
      <c r="N138" s="2649">
        <f t="shared" si="18"/>
        <v>2700000</v>
      </c>
      <c r="O138" s="2649">
        <v>15000000</v>
      </c>
      <c r="P138" s="2649">
        <v>2700000</v>
      </c>
      <c r="Q138" s="2649"/>
      <c r="R138" s="2649"/>
      <c r="S138" s="2649"/>
      <c r="T138" s="2973"/>
      <c r="U138" s="2974">
        <f t="shared" si="19"/>
        <v>15000000</v>
      </c>
      <c r="V138" s="2974">
        <f t="shared" si="20"/>
        <v>2700000</v>
      </c>
      <c r="W138" s="2974"/>
      <c r="X138" s="2974">
        <f t="shared" si="22"/>
        <v>0</v>
      </c>
      <c r="Y138" s="2974">
        <f t="shared" si="23"/>
        <v>100</v>
      </c>
      <c r="Z138" s="2974">
        <f t="shared" si="24"/>
        <v>0</v>
      </c>
      <c r="AA138" s="2974">
        <f t="shared" si="25"/>
        <v>0</v>
      </c>
      <c r="AB138" s="3066"/>
      <c r="AC138" s="3069">
        <f t="shared" si="33"/>
        <v>0</v>
      </c>
      <c r="AD138" s="3070">
        <f t="shared" si="34"/>
        <v>0</v>
      </c>
      <c r="AE138" s="3070">
        <f t="shared" si="35"/>
        <v>0</v>
      </c>
      <c r="AF138" s="3071">
        <f t="shared" si="36"/>
        <v>0</v>
      </c>
    </row>
    <row r="139" spans="1:32" s="1474" customFormat="1" ht="23.25" customHeight="1">
      <c r="A139" s="2175">
        <v>74</v>
      </c>
      <c r="B139" s="2175" t="s">
        <v>1905</v>
      </c>
      <c r="C139" s="2416" t="s">
        <v>2340</v>
      </c>
      <c r="D139" s="2416"/>
      <c r="E139" s="2175">
        <v>22000000</v>
      </c>
      <c r="F139" s="2417">
        <f t="shared" si="17"/>
        <v>3960000</v>
      </c>
      <c r="G139" s="2418">
        <v>41320</v>
      </c>
      <c r="H139" s="2419">
        <v>0.18</v>
      </c>
      <c r="I139" s="2164">
        <v>12</v>
      </c>
      <c r="J139" s="2164">
        <v>12</v>
      </c>
      <c r="K139" s="2164">
        <v>1833300</v>
      </c>
      <c r="L139" s="2164">
        <f t="shared" si="32"/>
        <v>330000</v>
      </c>
      <c r="M139" s="2172">
        <f t="shared" si="30"/>
        <v>22000000</v>
      </c>
      <c r="N139" s="2172">
        <f t="shared" si="18"/>
        <v>3960000</v>
      </c>
      <c r="O139" s="2171">
        <v>22000000</v>
      </c>
      <c r="P139" s="2649">
        <v>3960000</v>
      </c>
      <c r="Q139" s="2649"/>
      <c r="R139" s="2649"/>
      <c r="S139" s="2649"/>
      <c r="T139" s="2173"/>
      <c r="U139" s="2174">
        <f t="shared" si="19"/>
        <v>22000000</v>
      </c>
      <c r="V139" s="2174">
        <f t="shared" si="20"/>
        <v>3960000</v>
      </c>
      <c r="W139" s="2174"/>
      <c r="X139" s="2174">
        <f t="shared" si="22"/>
        <v>0</v>
      </c>
      <c r="Y139" s="2174">
        <f t="shared" si="23"/>
        <v>100</v>
      </c>
      <c r="Z139" s="2174">
        <f t="shared" si="24"/>
        <v>0</v>
      </c>
      <c r="AA139" s="2174">
        <f t="shared" si="25"/>
        <v>0</v>
      </c>
      <c r="AB139" s="2416"/>
      <c r="AC139" s="1504">
        <f t="shared" si="33"/>
        <v>0</v>
      </c>
      <c r="AD139" s="1503">
        <f t="shared" si="34"/>
        <v>0</v>
      </c>
      <c r="AE139" s="1503">
        <f t="shared" si="35"/>
        <v>0</v>
      </c>
      <c r="AF139" s="1502">
        <f t="shared" si="36"/>
        <v>0</v>
      </c>
    </row>
    <row r="140" spans="1:32" s="1474" customFormat="1" ht="23.25" customHeight="1">
      <c r="A140" s="2175">
        <v>75</v>
      </c>
      <c r="B140" s="2175" t="s">
        <v>1938</v>
      </c>
      <c r="C140" s="2416" t="s">
        <v>2340</v>
      </c>
      <c r="D140" s="2416"/>
      <c r="E140" s="2175">
        <v>25000000</v>
      </c>
      <c r="F140" s="2417">
        <f t="shared" si="17"/>
        <v>4500000</v>
      </c>
      <c r="G140" s="2418">
        <v>41320</v>
      </c>
      <c r="H140" s="2419">
        <v>0.18</v>
      </c>
      <c r="I140" s="2164">
        <v>12</v>
      </c>
      <c r="J140" s="2164">
        <v>12</v>
      </c>
      <c r="K140" s="2164">
        <v>2083300</v>
      </c>
      <c r="L140" s="2164">
        <f t="shared" si="32"/>
        <v>375000</v>
      </c>
      <c r="M140" s="2172">
        <f t="shared" si="30"/>
        <v>25000000</v>
      </c>
      <c r="N140" s="2172">
        <f t="shared" si="18"/>
        <v>4500000</v>
      </c>
      <c r="O140" s="2171">
        <v>25000000</v>
      </c>
      <c r="P140" s="2649">
        <v>4500000</v>
      </c>
      <c r="Q140" s="2649"/>
      <c r="R140" s="2649"/>
      <c r="S140" s="2649"/>
      <c r="T140" s="2173"/>
      <c r="U140" s="2174">
        <f t="shared" si="19"/>
        <v>25000000</v>
      </c>
      <c r="V140" s="2174">
        <f t="shared" si="20"/>
        <v>4500000</v>
      </c>
      <c r="W140" s="2174"/>
      <c r="X140" s="2174">
        <f t="shared" si="22"/>
        <v>0</v>
      </c>
      <c r="Y140" s="2174">
        <f t="shared" si="23"/>
        <v>100</v>
      </c>
      <c r="Z140" s="2174">
        <f t="shared" si="24"/>
        <v>0</v>
      </c>
      <c r="AA140" s="2174">
        <f t="shared" si="25"/>
        <v>0</v>
      </c>
      <c r="AB140" s="2416"/>
      <c r="AC140" s="1504">
        <f t="shared" si="33"/>
        <v>0</v>
      </c>
      <c r="AD140" s="1503">
        <f t="shared" si="34"/>
        <v>0</v>
      </c>
      <c r="AE140" s="1503">
        <f t="shared" si="35"/>
        <v>0</v>
      </c>
      <c r="AF140" s="1502">
        <f t="shared" si="36"/>
        <v>0</v>
      </c>
    </row>
    <row r="141" spans="1:32" s="1474" customFormat="1" ht="23.25" customHeight="1">
      <c r="A141" s="2175">
        <v>76</v>
      </c>
      <c r="B141" s="2175" t="s">
        <v>1939</v>
      </c>
      <c r="C141" s="2416" t="s">
        <v>2340</v>
      </c>
      <c r="D141" s="2416"/>
      <c r="E141" s="2175">
        <v>20000000</v>
      </c>
      <c r="F141" s="2417">
        <f t="shared" si="17"/>
        <v>3600000</v>
      </c>
      <c r="G141" s="2418">
        <v>41320</v>
      </c>
      <c r="H141" s="2419">
        <v>0.18</v>
      </c>
      <c r="I141" s="2164">
        <v>12</v>
      </c>
      <c r="J141" s="2164">
        <v>12</v>
      </c>
      <c r="K141" s="2164">
        <v>1666700</v>
      </c>
      <c r="L141" s="2164">
        <f t="shared" si="32"/>
        <v>300000</v>
      </c>
      <c r="M141" s="2172">
        <f t="shared" si="30"/>
        <v>20000000</v>
      </c>
      <c r="N141" s="2172">
        <f t="shared" si="18"/>
        <v>3600000</v>
      </c>
      <c r="O141" s="2171">
        <v>20000000</v>
      </c>
      <c r="P141" s="2649">
        <v>3600000</v>
      </c>
      <c r="Q141" s="2649"/>
      <c r="R141" s="2649"/>
      <c r="S141" s="2649"/>
      <c r="T141" s="2173"/>
      <c r="U141" s="2174">
        <f t="shared" si="19"/>
        <v>20000000</v>
      </c>
      <c r="V141" s="2174">
        <f t="shared" si="20"/>
        <v>3600000</v>
      </c>
      <c r="W141" s="2174"/>
      <c r="X141" s="2174">
        <f t="shared" si="22"/>
        <v>0</v>
      </c>
      <c r="Y141" s="2174">
        <f t="shared" si="23"/>
        <v>100</v>
      </c>
      <c r="Z141" s="2174">
        <f t="shared" si="24"/>
        <v>0</v>
      </c>
      <c r="AA141" s="2174">
        <f t="shared" si="25"/>
        <v>0</v>
      </c>
      <c r="AB141" s="2416"/>
      <c r="AC141" s="1504">
        <f t="shared" si="33"/>
        <v>0</v>
      </c>
      <c r="AD141" s="1503">
        <f t="shared" si="34"/>
        <v>0</v>
      </c>
      <c r="AE141" s="1503">
        <f t="shared" si="35"/>
        <v>0</v>
      </c>
      <c r="AF141" s="1502">
        <f t="shared" si="36"/>
        <v>0</v>
      </c>
    </row>
    <row r="142" spans="1:32" s="1474" customFormat="1" ht="23.25" customHeight="1">
      <c r="A142" s="2175">
        <v>77</v>
      </c>
      <c r="B142" s="2175" t="s">
        <v>1924</v>
      </c>
      <c r="C142" s="2416" t="s">
        <v>2377</v>
      </c>
      <c r="D142" s="2416"/>
      <c r="E142" s="2175">
        <v>25000000</v>
      </c>
      <c r="F142" s="2417">
        <f t="shared" si="17"/>
        <v>4500000</v>
      </c>
      <c r="G142" s="2418">
        <v>41347</v>
      </c>
      <c r="H142" s="2419">
        <v>0.18</v>
      </c>
      <c r="I142" s="2164">
        <v>12</v>
      </c>
      <c r="J142" s="2164">
        <v>12</v>
      </c>
      <c r="K142" s="2164">
        <v>2083300</v>
      </c>
      <c r="L142" s="2164">
        <f t="shared" si="32"/>
        <v>375000</v>
      </c>
      <c r="M142" s="2172">
        <f t="shared" si="30"/>
        <v>25000000</v>
      </c>
      <c r="N142" s="2172">
        <f t="shared" si="18"/>
        <v>4500000</v>
      </c>
      <c r="O142" s="2171">
        <v>25000000</v>
      </c>
      <c r="P142" s="2649">
        <v>4500000</v>
      </c>
      <c r="Q142" s="2649"/>
      <c r="R142" s="2649"/>
      <c r="S142" s="2649"/>
      <c r="T142" s="2173"/>
      <c r="U142" s="2174">
        <f t="shared" si="19"/>
        <v>25000000</v>
      </c>
      <c r="V142" s="2174">
        <f t="shared" si="20"/>
        <v>4500000</v>
      </c>
      <c r="W142" s="2174"/>
      <c r="X142" s="2174">
        <f t="shared" si="22"/>
        <v>0</v>
      </c>
      <c r="Y142" s="2174">
        <f t="shared" si="23"/>
        <v>100</v>
      </c>
      <c r="Z142" s="2174">
        <f t="shared" si="24"/>
        <v>0</v>
      </c>
      <c r="AA142" s="2174">
        <f t="shared" si="25"/>
        <v>0</v>
      </c>
      <c r="AB142" s="2416"/>
      <c r="AC142" s="1504">
        <f t="shared" si="33"/>
        <v>0</v>
      </c>
      <c r="AD142" s="1503">
        <f t="shared" si="34"/>
        <v>0</v>
      </c>
      <c r="AE142" s="1503">
        <f t="shared" si="35"/>
        <v>0</v>
      </c>
      <c r="AF142" s="1502">
        <f t="shared" si="36"/>
        <v>0</v>
      </c>
    </row>
    <row r="143" spans="1:32" s="2849" customFormat="1" ht="23.25" customHeight="1">
      <c r="A143" s="2860">
        <v>78</v>
      </c>
      <c r="B143" s="2860" t="s">
        <v>1930</v>
      </c>
      <c r="C143" s="2943" t="s">
        <v>2377</v>
      </c>
      <c r="D143" s="2416"/>
      <c r="E143" s="2860">
        <v>16000000</v>
      </c>
      <c r="F143" s="2860">
        <f t="shared" si="17"/>
        <v>2880000</v>
      </c>
      <c r="G143" s="2944">
        <v>41367</v>
      </c>
      <c r="H143" s="2945">
        <v>0.18</v>
      </c>
      <c r="I143" s="2710">
        <v>12</v>
      </c>
      <c r="J143" s="2710">
        <v>12</v>
      </c>
      <c r="K143" s="2710">
        <v>1333300</v>
      </c>
      <c r="L143" s="2710">
        <f t="shared" si="32"/>
        <v>240000</v>
      </c>
      <c r="M143" s="2172">
        <f t="shared" si="30"/>
        <v>16000000</v>
      </c>
      <c r="N143" s="2172">
        <f>IF(J143&lt;I143,J143*L143,IF(J143&gt;=I143,F143))-240000</f>
        <v>2640000</v>
      </c>
      <c r="O143" s="2710">
        <v>16000000</v>
      </c>
      <c r="P143" s="2710">
        <v>2640000</v>
      </c>
      <c r="Q143" s="2710"/>
      <c r="R143" s="2649"/>
      <c r="S143" s="2649"/>
      <c r="T143" s="2860"/>
      <c r="U143" s="2827">
        <f t="shared" si="19"/>
        <v>16000000</v>
      </c>
      <c r="V143" s="2827">
        <f t="shared" si="20"/>
        <v>2640000</v>
      </c>
      <c r="W143" s="2827"/>
      <c r="X143" s="2827">
        <f t="shared" si="22"/>
        <v>0</v>
      </c>
      <c r="Y143" s="2827">
        <f t="shared" si="23"/>
        <v>100</v>
      </c>
      <c r="Z143" s="2827">
        <f t="shared" si="24"/>
        <v>0</v>
      </c>
      <c r="AA143" s="2827">
        <f t="shared" si="25"/>
        <v>0</v>
      </c>
      <c r="AB143" s="2943"/>
      <c r="AC143" s="2846">
        <f t="shared" si="33"/>
        <v>0</v>
      </c>
      <c r="AD143" s="2847">
        <f t="shared" si="34"/>
        <v>0</v>
      </c>
      <c r="AE143" s="2847">
        <f t="shared" si="35"/>
        <v>0</v>
      </c>
      <c r="AF143" s="2848">
        <f t="shared" si="36"/>
        <v>0</v>
      </c>
    </row>
    <row r="144" spans="1:32" s="1474" customFormat="1" ht="23.25" customHeight="1">
      <c r="A144" s="2175">
        <v>79</v>
      </c>
      <c r="B144" s="2175" t="s">
        <v>1927</v>
      </c>
      <c r="C144" s="2416" t="s">
        <v>2377</v>
      </c>
      <c r="D144" s="2416"/>
      <c r="E144" s="2175">
        <v>30000000</v>
      </c>
      <c r="F144" s="2417">
        <f t="shared" si="17"/>
        <v>5400000</v>
      </c>
      <c r="G144" s="2418">
        <v>41372</v>
      </c>
      <c r="H144" s="2419">
        <v>0.18</v>
      </c>
      <c r="I144" s="2164">
        <v>12</v>
      </c>
      <c r="J144" s="2164">
        <v>12</v>
      </c>
      <c r="K144" s="2164">
        <f>E144/I144</f>
        <v>2500000</v>
      </c>
      <c r="L144" s="2164">
        <f t="shared" si="32"/>
        <v>450000</v>
      </c>
      <c r="M144" s="2172">
        <f t="shared" si="30"/>
        <v>30000000</v>
      </c>
      <c r="N144" s="2172">
        <f t="shared" si="18"/>
        <v>5400000</v>
      </c>
      <c r="O144" s="2171">
        <v>30000000</v>
      </c>
      <c r="P144" s="2649">
        <v>5400000</v>
      </c>
      <c r="Q144" s="2649"/>
      <c r="R144" s="2649"/>
      <c r="S144" s="2649"/>
      <c r="T144" s="2173"/>
      <c r="U144" s="2174">
        <f t="shared" si="19"/>
        <v>30000000</v>
      </c>
      <c r="V144" s="2174">
        <f t="shared" si="20"/>
        <v>5400000</v>
      </c>
      <c r="W144" s="2174"/>
      <c r="X144" s="2174">
        <f t="shared" si="22"/>
        <v>0</v>
      </c>
      <c r="Y144" s="2174">
        <f t="shared" si="23"/>
        <v>100</v>
      </c>
      <c r="Z144" s="2174">
        <f t="shared" si="24"/>
        <v>0</v>
      </c>
      <c r="AA144" s="2174">
        <f t="shared" si="25"/>
        <v>0</v>
      </c>
      <c r="AB144" s="2416"/>
      <c r="AC144" s="1504">
        <f t="shared" si="33"/>
        <v>0</v>
      </c>
      <c r="AD144" s="1503">
        <f t="shared" si="34"/>
        <v>0</v>
      </c>
      <c r="AE144" s="1503">
        <f t="shared" si="35"/>
        <v>0</v>
      </c>
      <c r="AF144" s="1502">
        <f t="shared" si="36"/>
        <v>0</v>
      </c>
    </row>
    <row r="145" spans="1:32" s="3080" customFormat="1" ht="23.25" customHeight="1">
      <c r="A145" s="3073">
        <v>80</v>
      </c>
      <c r="B145" s="3073" t="s">
        <v>2274</v>
      </c>
      <c r="C145" s="3074" t="s">
        <v>2377</v>
      </c>
      <c r="D145" s="3074">
        <v>12</v>
      </c>
      <c r="E145" s="3073">
        <v>22000000</v>
      </c>
      <c r="F145" s="3073">
        <f t="shared" si="17"/>
        <v>3960000</v>
      </c>
      <c r="G145" s="3075">
        <v>41379</v>
      </c>
      <c r="H145" s="3076">
        <v>0.18</v>
      </c>
      <c r="I145" s="2691">
        <v>12</v>
      </c>
      <c r="J145" s="2691">
        <v>12</v>
      </c>
      <c r="K145" s="2691">
        <v>1833300</v>
      </c>
      <c r="L145" s="2691">
        <f t="shared" si="32"/>
        <v>330000</v>
      </c>
      <c r="M145" s="2691">
        <f t="shared" si="30"/>
        <v>22000000</v>
      </c>
      <c r="N145" s="2691">
        <f t="shared" si="18"/>
        <v>3960000</v>
      </c>
      <c r="O145" s="2691">
        <v>14228200</v>
      </c>
      <c r="P145" s="2691">
        <v>2640000</v>
      </c>
      <c r="Q145" s="2691"/>
      <c r="R145" s="2691"/>
      <c r="S145" s="2691"/>
      <c r="T145" s="3073"/>
      <c r="U145" s="2830">
        <f t="shared" si="19"/>
        <v>14228200</v>
      </c>
      <c r="V145" s="2830">
        <f t="shared" si="20"/>
        <v>2640000</v>
      </c>
      <c r="W145" s="2830"/>
      <c r="X145" s="2830">
        <f t="shared" si="22"/>
        <v>7771800</v>
      </c>
      <c r="Y145" s="2830">
        <f t="shared" si="23"/>
        <v>64.673636363636362</v>
      </c>
      <c r="Z145" s="2830">
        <f t="shared" si="24"/>
        <v>7771800</v>
      </c>
      <c r="AA145" s="2830">
        <f t="shared" si="25"/>
        <v>1320000</v>
      </c>
      <c r="AB145" s="3074">
        <v>7</v>
      </c>
      <c r="AC145" s="3077">
        <f t="shared" si="33"/>
        <v>0</v>
      </c>
      <c r="AD145" s="3078">
        <f t="shared" si="34"/>
        <v>0</v>
      </c>
      <c r="AE145" s="3078">
        <f t="shared" si="35"/>
        <v>0</v>
      </c>
      <c r="AF145" s="3079">
        <f t="shared" si="36"/>
        <v>7771800</v>
      </c>
    </row>
    <row r="146" spans="1:32" s="1474" customFormat="1" ht="23.25" customHeight="1">
      <c r="A146" s="2175">
        <v>81</v>
      </c>
      <c r="B146" s="2175" t="s">
        <v>1908</v>
      </c>
      <c r="C146" s="2416" t="s">
        <v>2377</v>
      </c>
      <c r="D146" s="2416"/>
      <c r="E146" s="2175">
        <v>26000000</v>
      </c>
      <c r="F146" s="2417">
        <f t="shared" si="17"/>
        <v>4680000</v>
      </c>
      <c r="G146" s="2418">
        <v>41379</v>
      </c>
      <c r="H146" s="2419">
        <v>0.18</v>
      </c>
      <c r="I146" s="2164">
        <v>12</v>
      </c>
      <c r="J146" s="2164">
        <v>12</v>
      </c>
      <c r="K146" s="2164">
        <v>2166700</v>
      </c>
      <c r="L146" s="2164">
        <f t="shared" si="32"/>
        <v>390000</v>
      </c>
      <c r="M146" s="2172">
        <f t="shared" si="30"/>
        <v>26000000</v>
      </c>
      <c r="N146" s="2172">
        <f t="shared" si="18"/>
        <v>4680000</v>
      </c>
      <c r="O146" s="2171">
        <v>26000000</v>
      </c>
      <c r="P146" s="2649">
        <v>4680000</v>
      </c>
      <c r="Q146" s="2649"/>
      <c r="R146" s="2649"/>
      <c r="S146" s="2649"/>
      <c r="T146" s="2173"/>
      <c r="U146" s="2174">
        <f t="shared" si="19"/>
        <v>26000000</v>
      </c>
      <c r="V146" s="2174">
        <f t="shared" si="20"/>
        <v>4680000</v>
      </c>
      <c r="W146" s="2174"/>
      <c r="X146" s="2174">
        <f t="shared" si="22"/>
        <v>0</v>
      </c>
      <c r="Y146" s="2174">
        <f t="shared" si="23"/>
        <v>100</v>
      </c>
      <c r="Z146" s="2174">
        <f t="shared" si="24"/>
        <v>0</v>
      </c>
      <c r="AA146" s="2174">
        <f t="shared" si="25"/>
        <v>0</v>
      </c>
      <c r="AB146" s="2416"/>
      <c r="AC146" s="1504">
        <f t="shared" si="33"/>
        <v>0</v>
      </c>
      <c r="AD146" s="1503">
        <f t="shared" si="34"/>
        <v>0</v>
      </c>
      <c r="AE146" s="1503">
        <f t="shared" si="35"/>
        <v>0</v>
      </c>
      <c r="AF146" s="1502">
        <f t="shared" si="36"/>
        <v>0</v>
      </c>
    </row>
    <row r="147" spans="1:32" s="1474" customFormat="1" ht="23.25" customHeight="1">
      <c r="A147" s="2175">
        <v>82</v>
      </c>
      <c r="B147" s="2175" t="s">
        <v>1897</v>
      </c>
      <c r="C147" s="2416" t="s">
        <v>2377</v>
      </c>
      <c r="D147" s="2416"/>
      <c r="E147" s="2175">
        <v>28000000</v>
      </c>
      <c r="F147" s="2417">
        <f t="shared" si="17"/>
        <v>5040000</v>
      </c>
      <c r="G147" s="2418">
        <v>41408</v>
      </c>
      <c r="H147" s="2419">
        <v>0.18</v>
      </c>
      <c r="I147" s="2164">
        <v>12</v>
      </c>
      <c r="J147" s="2164">
        <v>12</v>
      </c>
      <c r="K147" s="2164">
        <v>2333300</v>
      </c>
      <c r="L147" s="2164">
        <f t="shared" si="32"/>
        <v>420000</v>
      </c>
      <c r="M147" s="2172">
        <f t="shared" si="30"/>
        <v>28000000</v>
      </c>
      <c r="N147" s="2407">
        <f>IF(J147&lt;I147,J147*L147,IF(J147&gt;=I147,F147))-420000</f>
        <v>4620000</v>
      </c>
      <c r="O147" s="2171">
        <v>28000000</v>
      </c>
      <c r="P147" s="2649">
        <v>4620000</v>
      </c>
      <c r="Q147" s="2649"/>
      <c r="R147" s="2649"/>
      <c r="S147" s="2649"/>
      <c r="T147" s="2173"/>
      <c r="U147" s="2174">
        <f t="shared" si="19"/>
        <v>28000000</v>
      </c>
      <c r="V147" s="2174">
        <f t="shared" si="20"/>
        <v>4620000</v>
      </c>
      <c r="W147" s="2174"/>
      <c r="X147" s="2174">
        <f t="shared" si="22"/>
        <v>0</v>
      </c>
      <c r="Y147" s="2174">
        <f t="shared" si="23"/>
        <v>100</v>
      </c>
      <c r="Z147" s="2174">
        <f t="shared" si="24"/>
        <v>0</v>
      </c>
      <c r="AA147" s="2174">
        <f t="shared" si="25"/>
        <v>0</v>
      </c>
      <c r="AB147" s="2416"/>
      <c r="AC147" s="1504">
        <f t="shared" si="33"/>
        <v>0</v>
      </c>
      <c r="AD147" s="1503">
        <f t="shared" si="34"/>
        <v>0</v>
      </c>
      <c r="AE147" s="1503">
        <f t="shared" si="35"/>
        <v>0</v>
      </c>
      <c r="AF147" s="1502">
        <f t="shared" si="36"/>
        <v>0</v>
      </c>
    </row>
    <row r="148" spans="1:32" s="1474" customFormat="1" ht="23.25" customHeight="1">
      <c r="A148" s="2175">
        <v>83</v>
      </c>
      <c r="B148" s="2175" t="s">
        <v>2272</v>
      </c>
      <c r="C148" s="2416" t="s">
        <v>2377</v>
      </c>
      <c r="D148" s="2416"/>
      <c r="E148" s="2175">
        <v>18000000</v>
      </c>
      <c r="F148" s="2417">
        <f t="shared" si="17"/>
        <v>3240000</v>
      </c>
      <c r="G148" s="2418">
        <v>41408</v>
      </c>
      <c r="H148" s="2419">
        <v>0.18</v>
      </c>
      <c r="I148" s="2164">
        <v>12</v>
      </c>
      <c r="J148" s="2164">
        <v>12</v>
      </c>
      <c r="K148" s="2164">
        <f>E148/I148</f>
        <v>1500000</v>
      </c>
      <c r="L148" s="2164">
        <f t="shared" si="32"/>
        <v>270000</v>
      </c>
      <c r="M148" s="2172">
        <f t="shared" si="30"/>
        <v>18000000</v>
      </c>
      <c r="N148" s="2407">
        <f t="shared" si="18"/>
        <v>3240000</v>
      </c>
      <c r="O148" s="2171">
        <v>18000000</v>
      </c>
      <c r="P148" s="2649">
        <v>2970000</v>
      </c>
      <c r="Q148" s="2649"/>
      <c r="R148" s="2649"/>
      <c r="S148" s="2649"/>
      <c r="T148" s="2173"/>
      <c r="U148" s="2174">
        <f t="shared" si="19"/>
        <v>18000000</v>
      </c>
      <c r="V148" s="2174">
        <f t="shared" si="20"/>
        <v>2970000</v>
      </c>
      <c r="W148" s="2174"/>
      <c r="X148" s="2174">
        <f t="shared" si="22"/>
        <v>0</v>
      </c>
      <c r="Y148" s="2174">
        <f t="shared" si="23"/>
        <v>100</v>
      </c>
      <c r="Z148" s="2174">
        <f t="shared" si="24"/>
        <v>0</v>
      </c>
      <c r="AA148" s="2174">
        <f>SUM(N148-V148)-270000</f>
        <v>0</v>
      </c>
      <c r="AB148" s="2416"/>
      <c r="AC148" s="1504">
        <f t="shared" si="33"/>
        <v>0</v>
      </c>
      <c r="AD148" s="1503">
        <f t="shared" si="34"/>
        <v>0</v>
      </c>
      <c r="AE148" s="1503">
        <f t="shared" si="35"/>
        <v>0</v>
      </c>
      <c r="AF148" s="1502">
        <f t="shared" si="36"/>
        <v>0</v>
      </c>
    </row>
    <row r="149" spans="1:32" s="1474" customFormat="1" ht="23.25" customHeight="1">
      <c r="A149" s="2175">
        <v>84</v>
      </c>
      <c r="B149" s="2175" t="s">
        <v>1944</v>
      </c>
      <c r="C149" s="2416" t="s">
        <v>2377</v>
      </c>
      <c r="D149" s="2416">
        <v>12</v>
      </c>
      <c r="E149" s="2175">
        <v>13000000</v>
      </c>
      <c r="F149" s="2417">
        <f t="shared" si="17"/>
        <v>2340000</v>
      </c>
      <c r="G149" s="2418">
        <v>41408</v>
      </c>
      <c r="H149" s="2419">
        <v>0.18</v>
      </c>
      <c r="I149" s="2164">
        <v>12</v>
      </c>
      <c r="J149" s="2164">
        <v>12</v>
      </c>
      <c r="K149" s="2164">
        <v>1083300</v>
      </c>
      <c r="L149" s="2164">
        <f t="shared" si="32"/>
        <v>195000</v>
      </c>
      <c r="M149" s="2172">
        <f t="shared" si="30"/>
        <v>13000000</v>
      </c>
      <c r="N149" s="2172">
        <f t="shared" si="18"/>
        <v>2340000</v>
      </c>
      <c r="O149" s="2171">
        <v>13000000</v>
      </c>
      <c r="P149" s="2649">
        <v>2340000</v>
      </c>
      <c r="Q149" s="2649"/>
      <c r="R149" s="2649"/>
      <c r="S149" s="2649"/>
      <c r="T149" s="2173"/>
      <c r="U149" s="2174">
        <f t="shared" si="19"/>
        <v>13000000</v>
      </c>
      <c r="V149" s="2174">
        <f t="shared" si="20"/>
        <v>2340000</v>
      </c>
      <c r="W149" s="2174"/>
      <c r="X149" s="2174">
        <f t="shared" si="22"/>
        <v>0</v>
      </c>
      <c r="Y149" s="2174">
        <f t="shared" si="23"/>
        <v>100</v>
      </c>
      <c r="Z149" s="2174">
        <f t="shared" si="24"/>
        <v>0</v>
      </c>
      <c r="AA149" s="2174">
        <f t="shared" si="25"/>
        <v>0</v>
      </c>
      <c r="AB149" s="2416"/>
      <c r="AC149" s="1504">
        <f t="shared" si="33"/>
        <v>0</v>
      </c>
      <c r="AD149" s="1503">
        <f t="shared" si="34"/>
        <v>0</v>
      </c>
      <c r="AE149" s="1503">
        <f t="shared" si="35"/>
        <v>0</v>
      </c>
      <c r="AF149" s="1502">
        <f t="shared" si="36"/>
        <v>0</v>
      </c>
    </row>
    <row r="150" spans="1:32" s="1474" customFormat="1" ht="23.25" customHeight="1">
      <c r="A150" s="2175">
        <v>85</v>
      </c>
      <c r="B150" s="2175" t="s">
        <v>1934</v>
      </c>
      <c r="C150" s="2416" t="s">
        <v>2387</v>
      </c>
      <c r="D150" s="2416"/>
      <c r="E150" s="2175">
        <v>32000000</v>
      </c>
      <c r="F150" s="2417">
        <f t="shared" si="17"/>
        <v>5760000</v>
      </c>
      <c r="G150" s="2418">
        <v>41408</v>
      </c>
      <c r="H150" s="2419">
        <v>0.18</v>
      </c>
      <c r="I150" s="2164">
        <v>12</v>
      </c>
      <c r="J150" s="2164">
        <v>12</v>
      </c>
      <c r="K150" s="2164">
        <v>2666700</v>
      </c>
      <c r="L150" s="2164">
        <f t="shared" si="32"/>
        <v>480000</v>
      </c>
      <c r="M150" s="2172">
        <f t="shared" si="30"/>
        <v>32000000</v>
      </c>
      <c r="N150" s="2407">
        <f>IF(J150&lt;I150,J150*L150,IF(J150&gt;=I150,F150))-480000</f>
        <v>5280000</v>
      </c>
      <c r="O150" s="2171">
        <v>32000000</v>
      </c>
      <c r="P150" s="2649">
        <v>5280000</v>
      </c>
      <c r="Q150" s="2649"/>
      <c r="R150" s="2649"/>
      <c r="S150" s="2649"/>
      <c r="T150" s="2173"/>
      <c r="U150" s="2174">
        <f t="shared" si="19"/>
        <v>32000000</v>
      </c>
      <c r="V150" s="2174">
        <f t="shared" si="20"/>
        <v>5280000</v>
      </c>
      <c r="W150" s="2174"/>
      <c r="X150" s="2174">
        <f t="shared" si="22"/>
        <v>0</v>
      </c>
      <c r="Y150" s="2174">
        <f t="shared" si="23"/>
        <v>100</v>
      </c>
      <c r="Z150" s="2174">
        <f t="shared" si="24"/>
        <v>0</v>
      </c>
      <c r="AA150" s="2174">
        <f t="shared" si="25"/>
        <v>0</v>
      </c>
      <c r="AB150" s="2416"/>
      <c r="AC150" s="1504">
        <f t="shared" si="33"/>
        <v>0</v>
      </c>
      <c r="AD150" s="1503">
        <f t="shared" si="34"/>
        <v>0</v>
      </c>
      <c r="AE150" s="1503">
        <f t="shared" si="35"/>
        <v>0</v>
      </c>
      <c r="AF150" s="1502">
        <f t="shared" si="36"/>
        <v>0</v>
      </c>
    </row>
    <row r="151" spans="1:32" s="1474" customFormat="1" ht="23.25" customHeight="1">
      <c r="A151" s="2175">
        <v>86</v>
      </c>
      <c r="B151" s="2175" t="s">
        <v>1901</v>
      </c>
      <c r="C151" s="2416" t="s">
        <v>2377</v>
      </c>
      <c r="D151" s="2416"/>
      <c r="E151" s="2175">
        <v>25000000</v>
      </c>
      <c r="F151" s="2417">
        <f t="shared" si="17"/>
        <v>4500000</v>
      </c>
      <c r="G151" s="2418">
        <v>41408</v>
      </c>
      <c r="H151" s="2419">
        <v>0.18</v>
      </c>
      <c r="I151" s="2164">
        <v>12</v>
      </c>
      <c r="J151" s="2164">
        <v>12</v>
      </c>
      <c r="K151" s="2164">
        <v>2083300</v>
      </c>
      <c r="L151" s="2164">
        <f t="shared" si="32"/>
        <v>375000</v>
      </c>
      <c r="M151" s="2172">
        <f t="shared" si="30"/>
        <v>25000000</v>
      </c>
      <c r="N151" s="2407">
        <f>IF(J151&lt;I151,J151*L151,IF(J151&gt;=I151,F151))-375000</f>
        <v>4125000</v>
      </c>
      <c r="O151" s="2171">
        <v>25000000</v>
      </c>
      <c r="P151" s="2649">
        <v>4125000</v>
      </c>
      <c r="Q151" s="2649"/>
      <c r="R151" s="2649"/>
      <c r="S151" s="2649"/>
      <c r="T151" s="2173"/>
      <c r="U151" s="2174">
        <f t="shared" si="19"/>
        <v>25000000</v>
      </c>
      <c r="V151" s="2174">
        <f t="shared" si="20"/>
        <v>4125000</v>
      </c>
      <c r="W151" s="2174"/>
      <c r="X151" s="2174">
        <f t="shared" si="22"/>
        <v>0</v>
      </c>
      <c r="Y151" s="2174">
        <f t="shared" si="23"/>
        <v>100</v>
      </c>
      <c r="Z151" s="2174">
        <f t="shared" si="24"/>
        <v>0</v>
      </c>
      <c r="AA151" s="2174">
        <f t="shared" si="25"/>
        <v>0</v>
      </c>
      <c r="AB151" s="2416"/>
      <c r="AC151" s="1504">
        <f t="shared" si="33"/>
        <v>0</v>
      </c>
      <c r="AD151" s="1503">
        <f t="shared" si="34"/>
        <v>0</v>
      </c>
      <c r="AE151" s="1503">
        <f t="shared" si="35"/>
        <v>0</v>
      </c>
      <c r="AF151" s="1502">
        <f t="shared" si="36"/>
        <v>0</v>
      </c>
    </row>
    <row r="152" spans="1:32" s="3080" customFormat="1" ht="23.25" customHeight="1">
      <c r="A152" s="3073">
        <v>87</v>
      </c>
      <c r="B152" s="3073" t="s">
        <v>1952</v>
      </c>
      <c r="C152" s="3074" t="s">
        <v>2377</v>
      </c>
      <c r="D152" s="3074">
        <v>12</v>
      </c>
      <c r="E152" s="3073">
        <v>13000000</v>
      </c>
      <c r="F152" s="3073">
        <f t="shared" si="17"/>
        <v>2340000</v>
      </c>
      <c r="G152" s="3075">
        <v>41432</v>
      </c>
      <c r="H152" s="3076">
        <v>0.18</v>
      </c>
      <c r="I152" s="2691">
        <v>12</v>
      </c>
      <c r="J152" s="2691">
        <v>12</v>
      </c>
      <c r="K152" s="2691">
        <v>1083300</v>
      </c>
      <c r="L152" s="2691">
        <f t="shared" si="32"/>
        <v>195000</v>
      </c>
      <c r="M152" s="2691">
        <f t="shared" si="30"/>
        <v>13000000</v>
      </c>
      <c r="N152" s="2691">
        <f t="shared" si="18"/>
        <v>2340000</v>
      </c>
      <c r="O152" s="2691">
        <v>9058600</v>
      </c>
      <c r="P152" s="2691">
        <v>1755000</v>
      </c>
      <c r="Q152" s="2691"/>
      <c r="R152" s="2691"/>
      <c r="S152" s="2691"/>
      <c r="T152" s="3073"/>
      <c r="U152" s="2830">
        <f t="shared" si="19"/>
        <v>9058600</v>
      </c>
      <c r="V152" s="2830">
        <f t="shared" si="20"/>
        <v>1755000</v>
      </c>
      <c r="W152" s="2830"/>
      <c r="X152" s="2830">
        <f t="shared" si="22"/>
        <v>3941400</v>
      </c>
      <c r="Y152" s="2830">
        <f t="shared" si="23"/>
        <v>69.681538461538466</v>
      </c>
      <c r="Z152" s="2830">
        <f t="shared" si="24"/>
        <v>3941400</v>
      </c>
      <c r="AA152" s="2830">
        <f t="shared" si="25"/>
        <v>585000</v>
      </c>
      <c r="AB152" s="3074">
        <v>7</v>
      </c>
      <c r="AC152" s="3077">
        <f t="shared" si="33"/>
        <v>0</v>
      </c>
      <c r="AD152" s="3078">
        <f t="shared" si="34"/>
        <v>0</v>
      </c>
      <c r="AE152" s="3078">
        <f t="shared" si="35"/>
        <v>0</v>
      </c>
      <c r="AF152" s="3079">
        <f t="shared" si="36"/>
        <v>3941400</v>
      </c>
    </row>
    <row r="153" spans="1:32" s="1474" customFormat="1" ht="23.25" customHeight="1">
      <c r="A153" s="2175">
        <v>88</v>
      </c>
      <c r="B153" s="2175" t="s">
        <v>2214</v>
      </c>
      <c r="C153" s="2416" t="s">
        <v>2411</v>
      </c>
      <c r="D153" s="2416">
        <v>12</v>
      </c>
      <c r="E153" s="2175">
        <v>12000000</v>
      </c>
      <c r="F153" s="2417">
        <f t="shared" si="17"/>
        <v>2160000</v>
      </c>
      <c r="G153" s="2418">
        <v>41460</v>
      </c>
      <c r="H153" s="2419">
        <v>0.18</v>
      </c>
      <c r="I153" s="2164">
        <v>12</v>
      </c>
      <c r="J153" s="2164">
        <v>12</v>
      </c>
      <c r="K153" s="2164">
        <v>1000000</v>
      </c>
      <c r="L153" s="2164">
        <f t="shared" si="32"/>
        <v>180000</v>
      </c>
      <c r="M153" s="2172">
        <f t="shared" si="30"/>
        <v>12000000</v>
      </c>
      <c r="N153" s="2407">
        <f>IF(J153&lt;I153,J153*L153,IF(J153&gt;=I153,F153))-180000-1*L153</f>
        <v>1800000</v>
      </c>
      <c r="O153" s="2171">
        <v>12000000</v>
      </c>
      <c r="P153" s="2649">
        <v>1800000</v>
      </c>
      <c r="Q153" s="2649"/>
      <c r="R153" s="2649"/>
      <c r="S153" s="2649"/>
      <c r="T153" s="2173"/>
      <c r="U153" s="2174">
        <f t="shared" si="19"/>
        <v>12000000</v>
      </c>
      <c r="V153" s="2174">
        <f t="shared" si="20"/>
        <v>1800000</v>
      </c>
      <c r="W153" s="2174"/>
      <c r="X153" s="2174">
        <f t="shared" si="22"/>
        <v>0</v>
      </c>
      <c r="Y153" s="2174">
        <f t="shared" si="23"/>
        <v>100</v>
      </c>
      <c r="Z153" s="2174">
        <f t="shared" si="24"/>
        <v>0</v>
      </c>
      <c r="AA153" s="2174">
        <f t="shared" si="25"/>
        <v>0</v>
      </c>
      <c r="AB153" s="2416"/>
      <c r="AC153" s="1504">
        <f t="shared" si="33"/>
        <v>0</v>
      </c>
      <c r="AD153" s="1503">
        <f t="shared" si="34"/>
        <v>0</v>
      </c>
      <c r="AE153" s="1503">
        <f t="shared" si="35"/>
        <v>0</v>
      </c>
      <c r="AF153" s="1502">
        <f t="shared" si="36"/>
        <v>0</v>
      </c>
    </row>
    <row r="154" spans="1:32" s="1474" customFormat="1" ht="23.25" customHeight="1">
      <c r="A154" s="2175">
        <v>89</v>
      </c>
      <c r="B154" s="2175" t="s">
        <v>2213</v>
      </c>
      <c r="C154" s="2416" t="s">
        <v>2411</v>
      </c>
      <c r="D154" s="2416">
        <v>12</v>
      </c>
      <c r="E154" s="2175">
        <v>12000000</v>
      </c>
      <c r="F154" s="2417">
        <f t="shared" si="17"/>
        <v>2160000</v>
      </c>
      <c r="G154" s="2418">
        <v>41522</v>
      </c>
      <c r="H154" s="2419">
        <v>0.18</v>
      </c>
      <c r="I154" s="2164">
        <v>12</v>
      </c>
      <c r="J154" s="2164">
        <v>12</v>
      </c>
      <c r="K154" s="2164">
        <v>1000000</v>
      </c>
      <c r="L154" s="2164">
        <f t="shared" si="32"/>
        <v>180000</v>
      </c>
      <c r="M154" s="2172">
        <f t="shared" si="30"/>
        <v>12000000</v>
      </c>
      <c r="N154" s="2172">
        <f t="shared" si="18"/>
        <v>2160000</v>
      </c>
      <c r="O154" s="2171">
        <v>12000000</v>
      </c>
      <c r="P154" s="2649">
        <v>2160000</v>
      </c>
      <c r="Q154" s="2649"/>
      <c r="R154" s="2649"/>
      <c r="S154" s="2649"/>
      <c r="T154" s="2173"/>
      <c r="U154" s="2174">
        <f t="shared" si="19"/>
        <v>12000000</v>
      </c>
      <c r="V154" s="2174">
        <f t="shared" si="20"/>
        <v>2160000</v>
      </c>
      <c r="W154" s="2174"/>
      <c r="X154" s="2174">
        <f t="shared" si="22"/>
        <v>0</v>
      </c>
      <c r="Y154" s="2174">
        <f t="shared" si="23"/>
        <v>100</v>
      </c>
      <c r="Z154" s="2174">
        <f t="shared" si="24"/>
        <v>0</v>
      </c>
      <c r="AA154" s="2174">
        <f t="shared" si="25"/>
        <v>0</v>
      </c>
      <c r="AB154" s="2416"/>
      <c r="AC154" s="1504">
        <f t="shared" si="33"/>
        <v>0</v>
      </c>
      <c r="AD154" s="1503">
        <f t="shared" si="34"/>
        <v>0</v>
      </c>
      <c r="AE154" s="1503">
        <f t="shared" si="35"/>
        <v>0</v>
      </c>
      <c r="AF154" s="1502">
        <f t="shared" si="36"/>
        <v>0</v>
      </c>
    </row>
    <row r="155" spans="1:32" s="1474" customFormat="1" ht="23.25" customHeight="1">
      <c r="A155" s="2175">
        <v>90</v>
      </c>
      <c r="B155" s="2175" t="s">
        <v>1907</v>
      </c>
      <c r="C155" s="2416" t="s">
        <v>2411</v>
      </c>
      <c r="D155" s="2416">
        <v>12</v>
      </c>
      <c r="E155" s="2175">
        <v>25000000</v>
      </c>
      <c r="F155" s="2417">
        <f t="shared" si="17"/>
        <v>4500000</v>
      </c>
      <c r="G155" s="2418">
        <v>41530</v>
      </c>
      <c r="H155" s="2419">
        <v>0.18</v>
      </c>
      <c r="I155" s="2164">
        <v>12</v>
      </c>
      <c r="J155" s="2164">
        <v>12</v>
      </c>
      <c r="K155" s="2164">
        <v>2083300</v>
      </c>
      <c r="L155" s="2164">
        <f t="shared" si="32"/>
        <v>375000</v>
      </c>
      <c r="M155" s="2172">
        <f t="shared" si="30"/>
        <v>25000000</v>
      </c>
      <c r="N155" s="2172">
        <f t="shared" si="18"/>
        <v>4500000</v>
      </c>
      <c r="O155" s="2171">
        <v>25000000</v>
      </c>
      <c r="P155" s="2649">
        <v>4500000</v>
      </c>
      <c r="Q155" s="2649"/>
      <c r="R155" s="2649"/>
      <c r="S155" s="2649"/>
      <c r="T155" s="2173"/>
      <c r="U155" s="2174">
        <f t="shared" si="19"/>
        <v>25000000</v>
      </c>
      <c r="V155" s="2174">
        <f t="shared" si="20"/>
        <v>4500000</v>
      </c>
      <c r="W155" s="2174"/>
      <c r="X155" s="2174">
        <f t="shared" si="22"/>
        <v>0</v>
      </c>
      <c r="Y155" s="2174">
        <f t="shared" si="23"/>
        <v>100</v>
      </c>
      <c r="Z155" s="2174">
        <f t="shared" si="24"/>
        <v>0</v>
      </c>
      <c r="AA155" s="2174">
        <f t="shared" si="25"/>
        <v>0</v>
      </c>
      <c r="AB155" s="2416"/>
      <c r="AC155" s="1504">
        <f t="shared" si="33"/>
        <v>0</v>
      </c>
      <c r="AD155" s="1503">
        <f t="shared" si="34"/>
        <v>0</v>
      </c>
      <c r="AE155" s="1503">
        <f t="shared" si="35"/>
        <v>0</v>
      </c>
      <c r="AF155" s="1502">
        <f t="shared" si="36"/>
        <v>0</v>
      </c>
    </row>
    <row r="156" spans="1:32" s="1474" customFormat="1" ht="23.25" customHeight="1">
      <c r="A156" s="2175">
        <v>91</v>
      </c>
      <c r="B156" s="2175" t="s">
        <v>1911</v>
      </c>
      <c r="C156" s="2416" t="s">
        <v>2411</v>
      </c>
      <c r="D156" s="2416">
        <v>12</v>
      </c>
      <c r="E156" s="2175">
        <v>15000000</v>
      </c>
      <c r="F156" s="2417">
        <f t="shared" si="17"/>
        <v>2700000</v>
      </c>
      <c r="G156" s="2418">
        <v>41535</v>
      </c>
      <c r="H156" s="2419">
        <v>0.18</v>
      </c>
      <c r="I156" s="2164">
        <v>12</v>
      </c>
      <c r="J156" s="2164">
        <v>12</v>
      </c>
      <c r="K156" s="2164">
        <f>E156/12</f>
        <v>1250000</v>
      </c>
      <c r="L156" s="2164">
        <f t="shared" si="32"/>
        <v>225000</v>
      </c>
      <c r="M156" s="2172">
        <f t="shared" si="30"/>
        <v>15000000</v>
      </c>
      <c r="N156" s="2172">
        <f t="shared" si="18"/>
        <v>2700000</v>
      </c>
      <c r="O156" s="2171">
        <v>15000000</v>
      </c>
      <c r="P156" s="2649">
        <v>2700000</v>
      </c>
      <c r="Q156" s="2649"/>
      <c r="R156" s="2649"/>
      <c r="S156" s="2649"/>
      <c r="T156" s="2173"/>
      <c r="U156" s="2174">
        <f t="shared" si="19"/>
        <v>15000000</v>
      </c>
      <c r="V156" s="2174">
        <f t="shared" si="20"/>
        <v>2700000</v>
      </c>
      <c r="W156" s="2174"/>
      <c r="X156" s="2174">
        <f t="shared" si="22"/>
        <v>0</v>
      </c>
      <c r="Y156" s="2174">
        <f t="shared" si="23"/>
        <v>100</v>
      </c>
      <c r="Z156" s="2174">
        <f t="shared" si="24"/>
        <v>0</v>
      </c>
      <c r="AA156" s="2174">
        <f t="shared" si="25"/>
        <v>0</v>
      </c>
      <c r="AB156" s="2416"/>
      <c r="AC156" s="1504">
        <f t="shared" si="33"/>
        <v>0</v>
      </c>
      <c r="AD156" s="1503">
        <f t="shared" si="34"/>
        <v>0</v>
      </c>
      <c r="AE156" s="1503">
        <f t="shared" si="35"/>
        <v>0</v>
      </c>
      <c r="AF156" s="1502">
        <f t="shared" si="36"/>
        <v>0</v>
      </c>
    </row>
    <row r="157" spans="1:32" s="1474" customFormat="1" ht="23.25" customHeight="1">
      <c r="A157" s="2175">
        <v>92</v>
      </c>
      <c r="B157" s="2175" t="s">
        <v>1910</v>
      </c>
      <c r="C157" s="2416" t="s">
        <v>2465</v>
      </c>
      <c r="D157" s="2416">
        <v>12</v>
      </c>
      <c r="E157" s="2175">
        <v>20000000</v>
      </c>
      <c r="F157" s="2417">
        <f t="shared" si="17"/>
        <v>3600000</v>
      </c>
      <c r="G157" s="2418">
        <v>41556</v>
      </c>
      <c r="H157" s="2419">
        <v>0.18</v>
      </c>
      <c r="I157" s="2164">
        <v>12</v>
      </c>
      <c r="J157" s="2164">
        <v>12</v>
      </c>
      <c r="K157" s="2164">
        <v>1666700</v>
      </c>
      <c r="L157" s="2164">
        <f t="shared" si="32"/>
        <v>300000</v>
      </c>
      <c r="M157" s="2172">
        <f t="shared" si="30"/>
        <v>20000000</v>
      </c>
      <c r="N157" s="2172">
        <f t="shared" si="18"/>
        <v>3600000</v>
      </c>
      <c r="O157" s="2171">
        <v>6666800</v>
      </c>
      <c r="P157" s="2649">
        <v>1200000</v>
      </c>
      <c r="Q157" s="2649"/>
      <c r="R157" s="2649"/>
      <c r="S157" s="2649"/>
      <c r="T157" s="2173"/>
      <c r="U157" s="2174">
        <f>SUM(O157+R157)</f>
        <v>6666800</v>
      </c>
      <c r="V157" s="2174">
        <f>SUM(P157+S157)</f>
        <v>1200000</v>
      </c>
      <c r="W157" s="2174"/>
      <c r="X157" s="2174">
        <f t="shared" si="22"/>
        <v>13333200</v>
      </c>
      <c r="Y157" s="2174">
        <f t="shared" si="23"/>
        <v>33.334000000000003</v>
      </c>
      <c r="Z157" s="2174">
        <f>SUM(M157-U157)</f>
        <v>13333200</v>
      </c>
      <c r="AA157" s="2174">
        <f t="shared" si="25"/>
        <v>2400000</v>
      </c>
      <c r="AB157" s="2416">
        <v>7</v>
      </c>
      <c r="AC157" s="1504">
        <f t="shared" si="33"/>
        <v>0</v>
      </c>
      <c r="AD157" s="1503">
        <f t="shared" si="34"/>
        <v>0</v>
      </c>
      <c r="AE157" s="1503">
        <f t="shared" si="35"/>
        <v>0</v>
      </c>
      <c r="AF157" s="1502">
        <f t="shared" si="36"/>
        <v>13333200</v>
      </c>
    </row>
    <row r="158" spans="1:32" s="1474" customFormat="1" ht="23.25" customHeight="1">
      <c r="A158" s="2175">
        <v>93</v>
      </c>
      <c r="B158" s="2175" t="s">
        <v>2470</v>
      </c>
      <c r="C158" s="2416" t="s">
        <v>2465</v>
      </c>
      <c r="D158" s="2416">
        <v>12</v>
      </c>
      <c r="E158" s="2175">
        <v>27000000</v>
      </c>
      <c r="F158" s="2417">
        <f t="shared" si="17"/>
        <v>4860000</v>
      </c>
      <c r="G158" s="2418">
        <v>41556</v>
      </c>
      <c r="H158" s="2419">
        <v>0.18</v>
      </c>
      <c r="I158" s="2164">
        <v>12</v>
      </c>
      <c r="J158" s="2164">
        <v>12</v>
      </c>
      <c r="K158" s="2164">
        <f>E158/12</f>
        <v>2250000</v>
      </c>
      <c r="L158" s="2164">
        <f t="shared" si="32"/>
        <v>405000</v>
      </c>
      <c r="M158" s="2172">
        <f t="shared" si="30"/>
        <v>27000000</v>
      </c>
      <c r="N158" s="2407">
        <f>IF(J158&lt;I158,J158*L158,IF(J158&gt;=I158,F158))-405000</f>
        <v>4455000</v>
      </c>
      <c r="O158" s="2171">
        <v>27000000</v>
      </c>
      <c r="P158" s="2649">
        <v>4455000</v>
      </c>
      <c r="Q158" s="2649"/>
      <c r="R158" s="2649"/>
      <c r="S158" s="2649"/>
      <c r="T158" s="2173"/>
      <c r="U158" s="2174">
        <f t="shared" si="19"/>
        <v>27000000</v>
      </c>
      <c r="V158" s="2174">
        <f t="shared" si="20"/>
        <v>4455000</v>
      </c>
      <c r="W158" s="2174"/>
      <c r="X158" s="2174">
        <f t="shared" si="22"/>
        <v>0</v>
      </c>
      <c r="Y158" s="2174">
        <f t="shared" si="23"/>
        <v>100</v>
      </c>
      <c r="Z158" s="2174">
        <f t="shared" si="24"/>
        <v>0</v>
      </c>
      <c r="AA158" s="2174">
        <f t="shared" si="25"/>
        <v>0</v>
      </c>
      <c r="AB158" s="2416"/>
      <c r="AC158" s="1504">
        <f t="shared" si="33"/>
        <v>0</v>
      </c>
      <c r="AD158" s="1503">
        <f t="shared" si="34"/>
        <v>0</v>
      </c>
      <c r="AE158" s="1503">
        <f t="shared" si="35"/>
        <v>0</v>
      </c>
      <c r="AF158" s="1502">
        <f t="shared" si="36"/>
        <v>0</v>
      </c>
    </row>
    <row r="159" spans="1:32" s="1474" customFormat="1" ht="23.25" customHeight="1">
      <c r="A159" s="2175">
        <v>94</v>
      </c>
      <c r="B159" s="2175" t="s">
        <v>1914</v>
      </c>
      <c r="C159" s="2416" t="s">
        <v>2465</v>
      </c>
      <c r="D159" s="2416">
        <v>12</v>
      </c>
      <c r="E159" s="2175">
        <v>21000000</v>
      </c>
      <c r="F159" s="2417">
        <f t="shared" si="17"/>
        <v>3780000</v>
      </c>
      <c r="G159" s="2418">
        <v>41556</v>
      </c>
      <c r="H159" s="2419">
        <v>0.18</v>
      </c>
      <c r="I159" s="2164">
        <v>12</v>
      </c>
      <c r="J159" s="2164">
        <v>12</v>
      </c>
      <c r="K159" s="2164">
        <f>E159/12</f>
        <v>1750000</v>
      </c>
      <c r="L159" s="2164">
        <f t="shared" si="32"/>
        <v>315000</v>
      </c>
      <c r="M159" s="2172">
        <f t="shared" si="30"/>
        <v>21000000</v>
      </c>
      <c r="N159" s="2407">
        <f>IF(J159&lt;I159,J159*L159,IF(J159&gt;=I159,F159))-315000</f>
        <v>3465000</v>
      </c>
      <c r="O159" s="2171">
        <v>21000000</v>
      </c>
      <c r="P159" s="2649">
        <v>3465000</v>
      </c>
      <c r="Q159" s="2649"/>
      <c r="R159" s="2649"/>
      <c r="S159" s="2649"/>
      <c r="T159" s="2173"/>
      <c r="U159" s="2174">
        <f t="shared" si="19"/>
        <v>21000000</v>
      </c>
      <c r="V159" s="2174">
        <f t="shared" si="20"/>
        <v>3465000</v>
      </c>
      <c r="W159" s="2174"/>
      <c r="X159" s="2174">
        <f t="shared" si="22"/>
        <v>0</v>
      </c>
      <c r="Y159" s="2174">
        <f t="shared" si="23"/>
        <v>100</v>
      </c>
      <c r="Z159" s="2174">
        <f t="shared" si="24"/>
        <v>0</v>
      </c>
      <c r="AA159" s="2174">
        <f t="shared" si="25"/>
        <v>0</v>
      </c>
      <c r="AB159" s="2416"/>
      <c r="AC159" s="1504">
        <f t="shared" si="33"/>
        <v>0</v>
      </c>
      <c r="AD159" s="1503">
        <f t="shared" si="34"/>
        <v>0</v>
      </c>
      <c r="AE159" s="1503">
        <f t="shared" si="35"/>
        <v>0</v>
      </c>
      <c r="AF159" s="1502">
        <f t="shared" si="36"/>
        <v>0</v>
      </c>
    </row>
    <row r="160" spans="1:32" s="1474" customFormat="1" ht="23.25" customHeight="1">
      <c r="A160" s="2175">
        <v>95</v>
      </c>
      <c r="B160" s="2175" t="s">
        <v>2471</v>
      </c>
      <c r="C160" s="2416" t="s">
        <v>2465</v>
      </c>
      <c r="D160" s="2416">
        <v>12</v>
      </c>
      <c r="E160" s="2175">
        <v>40000000</v>
      </c>
      <c r="F160" s="2417">
        <f t="shared" si="17"/>
        <v>7200000</v>
      </c>
      <c r="G160" s="2418">
        <v>41556</v>
      </c>
      <c r="H160" s="2419">
        <v>0.18</v>
      </c>
      <c r="I160" s="2164">
        <v>12</v>
      </c>
      <c r="J160" s="2164">
        <v>12</v>
      </c>
      <c r="K160" s="2164">
        <v>3333300</v>
      </c>
      <c r="L160" s="2164">
        <f t="shared" si="32"/>
        <v>600000</v>
      </c>
      <c r="M160" s="2172">
        <f t="shared" si="30"/>
        <v>40000000</v>
      </c>
      <c r="N160" s="2407">
        <f>IF(J160&lt;I160,J160*L160,IF(J160&gt;=I160,F160))-600000</f>
        <v>6600000</v>
      </c>
      <c r="O160" s="2171">
        <v>40000000</v>
      </c>
      <c r="P160" s="2649">
        <v>6600000</v>
      </c>
      <c r="Q160" s="2649"/>
      <c r="R160" s="2649"/>
      <c r="S160" s="2649"/>
      <c r="T160" s="2173"/>
      <c r="U160" s="2174">
        <f t="shared" si="19"/>
        <v>40000000</v>
      </c>
      <c r="V160" s="2174">
        <f t="shared" si="20"/>
        <v>6600000</v>
      </c>
      <c r="W160" s="2174"/>
      <c r="X160" s="2174">
        <f t="shared" si="22"/>
        <v>0</v>
      </c>
      <c r="Y160" s="2174">
        <f t="shared" si="23"/>
        <v>100</v>
      </c>
      <c r="Z160" s="2174">
        <f t="shared" si="24"/>
        <v>0</v>
      </c>
      <c r="AA160" s="2174">
        <f t="shared" si="25"/>
        <v>0</v>
      </c>
      <c r="AB160" s="2416"/>
      <c r="AC160" s="1504">
        <f t="shared" si="33"/>
        <v>0</v>
      </c>
      <c r="AD160" s="1503">
        <f t="shared" si="34"/>
        <v>0</v>
      </c>
      <c r="AE160" s="1503">
        <f t="shared" si="35"/>
        <v>0</v>
      </c>
      <c r="AF160" s="1502">
        <f t="shared" si="36"/>
        <v>0</v>
      </c>
    </row>
    <row r="161" spans="1:32" s="1474" customFormat="1" ht="23.25" customHeight="1">
      <c r="A161" s="2175">
        <v>96</v>
      </c>
      <c r="B161" s="2175" t="s">
        <v>1915</v>
      </c>
      <c r="C161" s="2416" t="s">
        <v>2465</v>
      </c>
      <c r="D161" s="2416">
        <v>12</v>
      </c>
      <c r="E161" s="2175">
        <v>22000000</v>
      </c>
      <c r="F161" s="2417">
        <f t="shared" si="17"/>
        <v>3960000</v>
      </c>
      <c r="G161" s="2418">
        <v>41556</v>
      </c>
      <c r="H161" s="2419">
        <v>0.18</v>
      </c>
      <c r="I161" s="2164">
        <v>12</v>
      </c>
      <c r="J161" s="2164">
        <v>12</v>
      </c>
      <c r="K161" s="2164">
        <v>1833300</v>
      </c>
      <c r="L161" s="2164">
        <f t="shared" si="32"/>
        <v>330000</v>
      </c>
      <c r="M161" s="2172">
        <f t="shared" si="30"/>
        <v>22000000</v>
      </c>
      <c r="N161" s="2407">
        <f>IF(J161&lt;I161,J161*L161,IF(J161&gt;=I161,F161))-330000</f>
        <v>3630000</v>
      </c>
      <c r="O161" s="2171">
        <v>22000000</v>
      </c>
      <c r="P161" s="2649">
        <v>3630000</v>
      </c>
      <c r="Q161" s="2649"/>
      <c r="R161" s="2649"/>
      <c r="S161" s="2649"/>
      <c r="T161" s="2173"/>
      <c r="U161" s="2174">
        <f t="shared" si="19"/>
        <v>22000000</v>
      </c>
      <c r="V161" s="2174">
        <f t="shared" si="20"/>
        <v>3630000</v>
      </c>
      <c r="W161" s="2174"/>
      <c r="X161" s="2174">
        <f t="shared" si="22"/>
        <v>0</v>
      </c>
      <c r="Y161" s="2174">
        <f t="shared" si="23"/>
        <v>100</v>
      </c>
      <c r="Z161" s="2174">
        <f t="shared" si="24"/>
        <v>0</v>
      </c>
      <c r="AA161" s="2174">
        <f t="shared" si="25"/>
        <v>0</v>
      </c>
      <c r="AB161" s="2416"/>
      <c r="AC161" s="1504">
        <f t="shared" si="33"/>
        <v>0</v>
      </c>
      <c r="AD161" s="1503">
        <f t="shared" si="34"/>
        <v>0</v>
      </c>
      <c r="AE161" s="1503">
        <f t="shared" si="35"/>
        <v>0</v>
      </c>
      <c r="AF161" s="1502">
        <f t="shared" si="36"/>
        <v>0</v>
      </c>
    </row>
    <row r="162" spans="1:32" s="1474" customFormat="1" ht="23.25" customHeight="1">
      <c r="A162" s="2175">
        <v>97</v>
      </c>
      <c r="B162" s="2175" t="s">
        <v>1898</v>
      </c>
      <c r="C162" s="2416" t="s">
        <v>2465</v>
      </c>
      <c r="D162" s="2416">
        <v>12</v>
      </c>
      <c r="E162" s="2175">
        <v>40000000</v>
      </c>
      <c r="F162" s="2417">
        <f t="shared" si="17"/>
        <v>7200000</v>
      </c>
      <c r="G162" s="2418">
        <v>41621</v>
      </c>
      <c r="H162" s="2419">
        <v>0.18</v>
      </c>
      <c r="I162" s="2164">
        <v>12</v>
      </c>
      <c r="J162" s="2164">
        <v>12</v>
      </c>
      <c r="K162" s="2164">
        <v>3333300</v>
      </c>
      <c r="L162" s="2164">
        <f t="shared" si="32"/>
        <v>600000</v>
      </c>
      <c r="M162" s="2172">
        <f>IF(J162&lt;I162,J162*K162,IF(J162&gt;=I162,E162))</f>
        <v>40000000</v>
      </c>
      <c r="N162" s="2407">
        <f>IF(J162&lt;I162,J162*L162,IF(J162&gt;=I162,F162))-1200000</f>
        <v>6000000</v>
      </c>
      <c r="O162" s="2171">
        <v>40000000</v>
      </c>
      <c r="P162" s="2649">
        <v>6000000</v>
      </c>
      <c r="Q162" s="2649"/>
      <c r="R162" s="2649"/>
      <c r="S162" s="2649"/>
      <c r="T162" s="2173"/>
      <c r="U162" s="2174">
        <f t="shared" si="19"/>
        <v>40000000</v>
      </c>
      <c r="V162" s="2174">
        <f t="shared" si="20"/>
        <v>6000000</v>
      </c>
      <c r="W162" s="2174"/>
      <c r="X162" s="2174">
        <f t="shared" si="22"/>
        <v>0</v>
      </c>
      <c r="Y162" s="2174">
        <f t="shared" si="23"/>
        <v>100</v>
      </c>
      <c r="Z162" s="2174">
        <f t="shared" si="24"/>
        <v>0</v>
      </c>
      <c r="AA162" s="2174">
        <f t="shared" si="25"/>
        <v>0</v>
      </c>
      <c r="AB162" s="2416"/>
      <c r="AC162" s="1504">
        <f t="shared" si="33"/>
        <v>0</v>
      </c>
      <c r="AD162" s="1503">
        <f t="shared" si="34"/>
        <v>0</v>
      </c>
      <c r="AE162" s="1503">
        <f t="shared" si="35"/>
        <v>0</v>
      </c>
      <c r="AF162" s="1502">
        <f t="shared" si="36"/>
        <v>0</v>
      </c>
    </row>
    <row r="163" spans="1:32" s="1474" customFormat="1" ht="23.25" customHeight="1">
      <c r="A163" s="2175">
        <v>98</v>
      </c>
      <c r="B163" s="2175" t="s">
        <v>2485</v>
      </c>
      <c r="C163" s="2416" t="s">
        <v>2465</v>
      </c>
      <c r="D163" s="2416">
        <v>12</v>
      </c>
      <c r="E163" s="2175">
        <v>27500000</v>
      </c>
      <c r="F163" s="2417">
        <f t="shared" si="17"/>
        <v>4950000</v>
      </c>
      <c r="G163" s="2418">
        <v>41621</v>
      </c>
      <c r="H163" s="2419">
        <v>0.18</v>
      </c>
      <c r="I163" s="2164">
        <v>12</v>
      </c>
      <c r="J163" s="2164">
        <v>12</v>
      </c>
      <c r="K163" s="2164">
        <v>2291700</v>
      </c>
      <c r="L163" s="2164">
        <f t="shared" si="32"/>
        <v>412500</v>
      </c>
      <c r="M163" s="2172">
        <f>IF(J163&lt;I163,J163*K163,IF(J163&gt;=I163,E163))</f>
        <v>27500000</v>
      </c>
      <c r="N163" s="2172">
        <f t="shared" si="18"/>
        <v>4950000</v>
      </c>
      <c r="O163" s="2171">
        <v>27500000</v>
      </c>
      <c r="P163" s="2649">
        <v>4950000</v>
      </c>
      <c r="Q163" s="2649"/>
      <c r="R163" s="2649"/>
      <c r="S163" s="2649"/>
      <c r="T163" s="2173"/>
      <c r="U163" s="2174">
        <f t="shared" si="19"/>
        <v>27500000</v>
      </c>
      <c r="V163" s="2174">
        <f t="shared" si="20"/>
        <v>4950000</v>
      </c>
      <c r="W163" s="2174"/>
      <c r="X163" s="2174">
        <f t="shared" si="22"/>
        <v>0</v>
      </c>
      <c r="Y163" s="2174">
        <f t="shared" si="23"/>
        <v>100</v>
      </c>
      <c r="Z163" s="2174">
        <f t="shared" si="24"/>
        <v>0</v>
      </c>
      <c r="AA163" s="2174">
        <f t="shared" si="25"/>
        <v>0</v>
      </c>
      <c r="AB163" s="2416"/>
      <c r="AC163" s="1504">
        <f t="shared" si="33"/>
        <v>0</v>
      </c>
      <c r="AD163" s="1503">
        <f t="shared" si="34"/>
        <v>0</v>
      </c>
      <c r="AE163" s="1503">
        <f t="shared" si="35"/>
        <v>0</v>
      </c>
      <c r="AF163" s="1502">
        <f t="shared" si="36"/>
        <v>0</v>
      </c>
    </row>
    <row r="164" spans="1:32" s="1474" customFormat="1" ht="23.25" customHeight="1">
      <c r="A164" s="2175">
        <v>99</v>
      </c>
      <c r="B164" s="2175" t="s">
        <v>1906</v>
      </c>
      <c r="C164" s="2416" t="s">
        <v>2465</v>
      </c>
      <c r="D164" s="2416">
        <v>12</v>
      </c>
      <c r="E164" s="2175">
        <v>30000000</v>
      </c>
      <c r="F164" s="2417">
        <f t="shared" si="17"/>
        <v>5400000</v>
      </c>
      <c r="G164" s="2418">
        <v>41620</v>
      </c>
      <c r="H164" s="2419">
        <v>0.18</v>
      </c>
      <c r="I164" s="2164">
        <v>12</v>
      </c>
      <c r="J164" s="2164">
        <v>12</v>
      </c>
      <c r="K164" s="2164">
        <f>E164/I164</f>
        <v>2500000</v>
      </c>
      <c r="L164" s="2164">
        <f t="shared" si="32"/>
        <v>450000</v>
      </c>
      <c r="M164" s="2172">
        <f t="shared" si="30"/>
        <v>30000000</v>
      </c>
      <c r="N164" s="2407">
        <f>IF(J164&lt;I164,J164*L164,IF(J164&gt;=I164,F164))-450000</f>
        <v>4950000</v>
      </c>
      <c r="O164" s="2171">
        <v>30000000</v>
      </c>
      <c r="P164" s="2649">
        <v>4950000</v>
      </c>
      <c r="Q164" s="2649"/>
      <c r="R164" s="2649"/>
      <c r="S164" s="2649"/>
      <c r="T164" s="2173"/>
      <c r="U164" s="2174">
        <f t="shared" si="19"/>
        <v>30000000</v>
      </c>
      <c r="V164" s="2174">
        <f t="shared" si="20"/>
        <v>4950000</v>
      </c>
      <c r="W164" s="2174"/>
      <c r="X164" s="2174">
        <f t="shared" si="22"/>
        <v>0</v>
      </c>
      <c r="Y164" s="2174">
        <f t="shared" si="23"/>
        <v>100</v>
      </c>
      <c r="Z164" s="2174">
        <f t="shared" si="24"/>
        <v>0</v>
      </c>
      <c r="AA164" s="2174">
        <f t="shared" si="25"/>
        <v>0</v>
      </c>
      <c r="AB164" s="2416"/>
      <c r="AC164" s="1504">
        <f t="shared" si="33"/>
        <v>0</v>
      </c>
      <c r="AD164" s="1503">
        <f t="shared" si="34"/>
        <v>0</v>
      </c>
      <c r="AE164" s="1503">
        <f t="shared" si="35"/>
        <v>0</v>
      </c>
      <c r="AF164" s="1502">
        <f t="shared" si="36"/>
        <v>0</v>
      </c>
    </row>
    <row r="165" spans="1:32" s="1474" customFormat="1" ht="23.25" customHeight="1">
      <c r="A165" s="2175">
        <v>100</v>
      </c>
      <c r="B165" s="2175" t="s">
        <v>1912</v>
      </c>
      <c r="C165" s="2416" t="s">
        <v>2465</v>
      </c>
      <c r="D165" s="2416">
        <v>12</v>
      </c>
      <c r="E165" s="2175">
        <v>10000000</v>
      </c>
      <c r="F165" s="2417">
        <f t="shared" si="17"/>
        <v>1800000</v>
      </c>
      <c r="G165" s="2418">
        <v>41626</v>
      </c>
      <c r="H165" s="2419">
        <v>0.18</v>
      </c>
      <c r="I165" s="2164">
        <v>12</v>
      </c>
      <c r="J165" s="2164">
        <v>12</v>
      </c>
      <c r="K165" s="2164">
        <v>833300</v>
      </c>
      <c r="L165" s="2164">
        <f t="shared" si="32"/>
        <v>150000</v>
      </c>
      <c r="M165" s="2172">
        <f>IF(J165&lt;I165,J165*K165,IF(J165&gt;=I165,E165))</f>
        <v>10000000</v>
      </c>
      <c r="N165" s="2172">
        <f t="shared" si="18"/>
        <v>1800000</v>
      </c>
      <c r="O165" s="2171">
        <v>10000000</v>
      </c>
      <c r="P165" s="2649">
        <v>1800000</v>
      </c>
      <c r="Q165" s="2649"/>
      <c r="R165" s="2649"/>
      <c r="S165" s="2649"/>
      <c r="T165" s="2173"/>
      <c r="U165" s="2174">
        <f t="shared" si="19"/>
        <v>10000000</v>
      </c>
      <c r="V165" s="2174">
        <f t="shared" si="20"/>
        <v>1800000</v>
      </c>
      <c r="W165" s="2174"/>
      <c r="X165" s="2174">
        <f t="shared" si="22"/>
        <v>0</v>
      </c>
      <c r="Y165" s="2174">
        <f t="shared" si="23"/>
        <v>100</v>
      </c>
      <c r="Z165" s="2174">
        <f t="shared" si="24"/>
        <v>0</v>
      </c>
      <c r="AA165" s="2174">
        <f t="shared" si="25"/>
        <v>0</v>
      </c>
      <c r="AB165" s="2416"/>
      <c r="AC165" s="1504">
        <f t="shared" si="33"/>
        <v>0</v>
      </c>
      <c r="AD165" s="1503">
        <f t="shared" si="34"/>
        <v>0</v>
      </c>
      <c r="AE165" s="1503">
        <f t="shared" si="35"/>
        <v>0</v>
      </c>
      <c r="AF165" s="1502">
        <f t="shared" si="36"/>
        <v>0</v>
      </c>
    </row>
    <row r="166" spans="1:32" s="1474" customFormat="1" ht="23.25" customHeight="1">
      <c r="A166" s="2175">
        <v>101</v>
      </c>
      <c r="B166" s="2175" t="s">
        <v>1938</v>
      </c>
      <c r="C166" s="2416" t="s">
        <v>2496</v>
      </c>
      <c r="D166" s="2416">
        <v>12</v>
      </c>
      <c r="E166" s="2175">
        <v>30000000</v>
      </c>
      <c r="F166" s="2417">
        <f t="shared" si="17"/>
        <v>5400000</v>
      </c>
      <c r="G166" s="2418">
        <v>41680</v>
      </c>
      <c r="H166" s="2419">
        <v>0.18</v>
      </c>
      <c r="I166" s="2164">
        <v>12</v>
      </c>
      <c r="J166" s="2164">
        <v>12</v>
      </c>
      <c r="K166" s="2164">
        <f>E166/I166</f>
        <v>2500000</v>
      </c>
      <c r="L166" s="2164">
        <f t="shared" si="32"/>
        <v>450000</v>
      </c>
      <c r="M166" s="2172">
        <f t="shared" si="30"/>
        <v>30000000</v>
      </c>
      <c r="N166" s="2407">
        <f>IF(J166&lt;I166,J166*L166,IF(J166&gt;=I166,F166))-450000</f>
        <v>4950000</v>
      </c>
      <c r="O166" s="2171">
        <v>30000000</v>
      </c>
      <c r="P166" s="2649">
        <v>4950000</v>
      </c>
      <c r="Q166" s="2649"/>
      <c r="R166" s="2649"/>
      <c r="S166" s="2649"/>
      <c r="T166" s="2173"/>
      <c r="U166" s="2174">
        <f t="shared" si="19"/>
        <v>30000000</v>
      </c>
      <c r="V166" s="2174">
        <f t="shared" si="20"/>
        <v>4950000</v>
      </c>
      <c r="W166" s="2174"/>
      <c r="X166" s="2174">
        <f t="shared" si="22"/>
        <v>0</v>
      </c>
      <c r="Y166" s="2174">
        <f t="shared" si="23"/>
        <v>100</v>
      </c>
      <c r="Z166" s="2174">
        <f t="shared" si="24"/>
        <v>0</v>
      </c>
      <c r="AA166" s="2174">
        <f t="shared" si="25"/>
        <v>0</v>
      </c>
      <c r="AB166" s="2416"/>
      <c r="AC166" s="1504">
        <f t="shared" si="33"/>
        <v>0</v>
      </c>
      <c r="AD166" s="1503">
        <f t="shared" si="34"/>
        <v>0</v>
      </c>
      <c r="AE166" s="1503">
        <f t="shared" si="35"/>
        <v>0</v>
      </c>
      <c r="AF166" s="1502">
        <f t="shared" si="36"/>
        <v>0</v>
      </c>
    </row>
    <row r="167" spans="1:32" s="1474" customFormat="1" ht="23.25" customHeight="1">
      <c r="A167" s="2175">
        <v>102</v>
      </c>
      <c r="B167" s="2175" t="s">
        <v>1939</v>
      </c>
      <c r="C167" s="2416" t="s">
        <v>2496</v>
      </c>
      <c r="D167" s="2416">
        <v>12</v>
      </c>
      <c r="E167" s="2175">
        <v>25000000</v>
      </c>
      <c r="F167" s="2417">
        <f t="shared" si="17"/>
        <v>4500000</v>
      </c>
      <c r="G167" s="2418">
        <v>41680</v>
      </c>
      <c r="H167" s="2419">
        <v>0.18</v>
      </c>
      <c r="I167" s="2164">
        <v>12</v>
      </c>
      <c r="J167" s="2164">
        <v>12</v>
      </c>
      <c r="K167" s="2164">
        <v>2083300</v>
      </c>
      <c r="L167" s="2164">
        <f t="shared" si="32"/>
        <v>375000</v>
      </c>
      <c r="M167" s="2172">
        <f t="shared" si="30"/>
        <v>25000000</v>
      </c>
      <c r="N167" s="2407">
        <f>IF(J167&lt;I167,J167*L167,IF(J167&gt;=I167,F167))-375000</f>
        <v>4125000</v>
      </c>
      <c r="O167" s="2171">
        <v>25000000</v>
      </c>
      <c r="P167" s="2649">
        <v>4125000</v>
      </c>
      <c r="Q167" s="2649"/>
      <c r="R167" s="2649"/>
      <c r="S167" s="2649"/>
      <c r="T167" s="2173"/>
      <c r="U167" s="2174">
        <f t="shared" si="19"/>
        <v>25000000</v>
      </c>
      <c r="V167" s="2174">
        <f t="shared" si="20"/>
        <v>4125000</v>
      </c>
      <c r="W167" s="2174"/>
      <c r="X167" s="2174">
        <f t="shared" si="22"/>
        <v>0</v>
      </c>
      <c r="Y167" s="2174">
        <f t="shared" si="23"/>
        <v>100</v>
      </c>
      <c r="Z167" s="2174">
        <f t="shared" si="24"/>
        <v>0</v>
      </c>
      <c r="AA167" s="2174">
        <f t="shared" si="25"/>
        <v>0</v>
      </c>
      <c r="AB167" s="2416"/>
      <c r="AC167" s="1504">
        <f t="shared" si="33"/>
        <v>0</v>
      </c>
      <c r="AD167" s="1503">
        <f t="shared" si="34"/>
        <v>0</v>
      </c>
      <c r="AE167" s="1503">
        <f t="shared" si="35"/>
        <v>0</v>
      </c>
      <c r="AF167" s="1502">
        <f t="shared" si="36"/>
        <v>0</v>
      </c>
    </row>
    <row r="168" spans="1:32" s="1474" customFormat="1" ht="23.25" customHeight="1">
      <c r="A168" s="2175">
        <v>103</v>
      </c>
      <c r="B168" s="2175" t="s">
        <v>1905</v>
      </c>
      <c r="C168" s="2416" t="s">
        <v>2496</v>
      </c>
      <c r="D168" s="2416">
        <v>12</v>
      </c>
      <c r="E168" s="2175">
        <v>30000000</v>
      </c>
      <c r="F168" s="2417">
        <f t="shared" si="17"/>
        <v>5400000</v>
      </c>
      <c r="G168" s="2418">
        <v>41688</v>
      </c>
      <c r="H168" s="2419">
        <v>0.18</v>
      </c>
      <c r="I168" s="2164">
        <v>12</v>
      </c>
      <c r="J168" s="2164">
        <v>12</v>
      </c>
      <c r="K168" s="2164">
        <f>E168/I168</f>
        <v>2500000</v>
      </c>
      <c r="L168" s="2164">
        <f t="shared" si="32"/>
        <v>450000</v>
      </c>
      <c r="M168" s="2172">
        <f t="shared" si="30"/>
        <v>30000000</v>
      </c>
      <c r="N168" s="2407">
        <f>IF(J168&lt;I168,J168*L168,IF(J168&gt;=I168,F168))-450000</f>
        <v>4950000</v>
      </c>
      <c r="O168" s="2171">
        <v>30000000</v>
      </c>
      <c r="P168" s="2649">
        <v>4950000</v>
      </c>
      <c r="Q168" s="2649"/>
      <c r="R168" s="2649"/>
      <c r="S168" s="2649"/>
      <c r="T168" s="2173"/>
      <c r="U168" s="2174">
        <f t="shared" si="19"/>
        <v>30000000</v>
      </c>
      <c r="V168" s="2174">
        <f t="shared" si="20"/>
        <v>4950000</v>
      </c>
      <c r="W168" s="2174"/>
      <c r="X168" s="2174">
        <f t="shared" si="22"/>
        <v>0</v>
      </c>
      <c r="Y168" s="2174">
        <f t="shared" si="23"/>
        <v>100</v>
      </c>
      <c r="Z168" s="2174">
        <f t="shared" si="24"/>
        <v>0</v>
      </c>
      <c r="AA168" s="2174">
        <f t="shared" si="25"/>
        <v>0</v>
      </c>
      <c r="AB168" s="2416"/>
      <c r="AC168" s="1504">
        <f t="shared" si="33"/>
        <v>0</v>
      </c>
      <c r="AD168" s="1503">
        <f t="shared" si="34"/>
        <v>0</v>
      </c>
      <c r="AE168" s="1503">
        <f t="shared" si="35"/>
        <v>0</v>
      </c>
      <c r="AF168" s="1502">
        <f t="shared" si="36"/>
        <v>0</v>
      </c>
    </row>
    <row r="169" spans="1:32" s="1474" customFormat="1" ht="23.25" customHeight="1">
      <c r="A169" s="2175">
        <v>104</v>
      </c>
      <c r="B169" s="2175" t="s">
        <v>1937</v>
      </c>
      <c r="C169" s="2416" t="s">
        <v>2465</v>
      </c>
      <c r="D169" s="2416">
        <v>9</v>
      </c>
      <c r="E169" s="2175">
        <v>14000000</v>
      </c>
      <c r="F169" s="2417">
        <f t="shared" si="17"/>
        <v>2520000</v>
      </c>
      <c r="G169" s="2418">
        <v>41719</v>
      </c>
      <c r="H169" s="2419">
        <v>0.18</v>
      </c>
      <c r="I169" s="2164">
        <v>12</v>
      </c>
      <c r="J169" s="2164">
        <v>12</v>
      </c>
      <c r="K169" s="2164">
        <v>1166700</v>
      </c>
      <c r="L169" s="2164">
        <f t="shared" si="32"/>
        <v>210000</v>
      </c>
      <c r="M169" s="2172">
        <f t="shared" si="30"/>
        <v>14000000</v>
      </c>
      <c r="N169" s="2407">
        <f>IF(J169&lt;I169,J169*L169,IF(J169&gt;=I169,F169))-210000</f>
        <v>2310000</v>
      </c>
      <c r="O169" s="2171">
        <v>14000000</v>
      </c>
      <c r="P169" s="2649">
        <v>2310000</v>
      </c>
      <c r="Q169" s="2649"/>
      <c r="R169" s="2649"/>
      <c r="S169" s="2649"/>
      <c r="T169" s="2173"/>
      <c r="U169" s="2174">
        <f t="shared" si="19"/>
        <v>14000000</v>
      </c>
      <c r="V169" s="2174">
        <f t="shared" si="20"/>
        <v>2310000</v>
      </c>
      <c r="W169" s="2174"/>
      <c r="X169" s="2174">
        <f t="shared" si="22"/>
        <v>0</v>
      </c>
      <c r="Y169" s="2174">
        <f t="shared" si="23"/>
        <v>100</v>
      </c>
      <c r="Z169" s="2174">
        <f t="shared" si="24"/>
        <v>0</v>
      </c>
      <c r="AA169" s="2174">
        <f t="shared" si="25"/>
        <v>0</v>
      </c>
      <c r="AB169" s="2416"/>
      <c r="AC169" s="1504">
        <f t="shared" si="33"/>
        <v>0</v>
      </c>
      <c r="AD169" s="1503">
        <f t="shared" si="34"/>
        <v>0</v>
      </c>
      <c r="AE169" s="1503">
        <f t="shared" si="35"/>
        <v>0</v>
      </c>
      <c r="AF169" s="1502">
        <f t="shared" si="36"/>
        <v>0</v>
      </c>
    </row>
    <row r="170" spans="1:32" s="1474" customFormat="1" ht="23.25" customHeight="1">
      <c r="A170" s="2175">
        <v>105</v>
      </c>
      <c r="B170" s="2175" t="s">
        <v>1930</v>
      </c>
      <c r="C170" s="2416" t="s">
        <v>2537</v>
      </c>
      <c r="D170" s="2416">
        <v>12</v>
      </c>
      <c r="E170" s="2175">
        <v>18000000</v>
      </c>
      <c r="F170" s="2417">
        <f t="shared" si="17"/>
        <v>3240000</v>
      </c>
      <c r="G170" s="2418">
        <v>41731</v>
      </c>
      <c r="H170" s="2419">
        <v>0.18</v>
      </c>
      <c r="I170" s="2164">
        <v>12</v>
      </c>
      <c r="J170" s="2164">
        <v>12</v>
      </c>
      <c r="K170" s="2164">
        <f t="shared" ref="K170:K182" si="37">E170/I170</f>
        <v>1500000</v>
      </c>
      <c r="L170" s="2164">
        <f t="shared" si="32"/>
        <v>270000</v>
      </c>
      <c r="M170" s="2172">
        <f t="shared" si="30"/>
        <v>18000000</v>
      </c>
      <c r="N170" s="2172">
        <f t="shared" si="18"/>
        <v>3240000</v>
      </c>
      <c r="O170" s="2171">
        <v>18000000</v>
      </c>
      <c r="P170" s="2649">
        <v>3240000</v>
      </c>
      <c r="Q170" s="2649"/>
      <c r="R170" s="2649"/>
      <c r="S170" s="2649"/>
      <c r="T170" s="2173"/>
      <c r="U170" s="2174">
        <f t="shared" si="19"/>
        <v>18000000</v>
      </c>
      <c r="V170" s="2174">
        <f t="shared" si="20"/>
        <v>3240000</v>
      </c>
      <c r="W170" s="2174"/>
      <c r="X170" s="2174">
        <f t="shared" si="22"/>
        <v>0</v>
      </c>
      <c r="Y170" s="2174">
        <f t="shared" si="23"/>
        <v>100</v>
      </c>
      <c r="Z170" s="2174">
        <f t="shared" si="24"/>
        <v>0</v>
      </c>
      <c r="AA170" s="2174">
        <f t="shared" si="25"/>
        <v>0</v>
      </c>
      <c r="AB170" s="2416"/>
      <c r="AC170" s="1504">
        <f t="shared" si="33"/>
        <v>0</v>
      </c>
      <c r="AD170" s="1503">
        <f t="shared" si="34"/>
        <v>0</v>
      </c>
      <c r="AE170" s="1503">
        <f t="shared" si="35"/>
        <v>0</v>
      </c>
      <c r="AF170" s="1502">
        <f t="shared" si="36"/>
        <v>0</v>
      </c>
    </row>
    <row r="171" spans="1:32" s="1474" customFormat="1" ht="23.25" customHeight="1">
      <c r="A171" s="2175">
        <v>106</v>
      </c>
      <c r="B171" s="2175" t="s">
        <v>2539</v>
      </c>
      <c r="C171" s="2416" t="s">
        <v>2537</v>
      </c>
      <c r="D171" s="2416">
        <v>12</v>
      </c>
      <c r="E171" s="2175">
        <v>45000000</v>
      </c>
      <c r="F171" s="2417">
        <f t="shared" si="17"/>
        <v>8100000</v>
      </c>
      <c r="G171" s="2418">
        <v>41743</v>
      </c>
      <c r="H171" s="2419">
        <v>0.18</v>
      </c>
      <c r="I171" s="2164">
        <v>12</v>
      </c>
      <c r="J171" s="2164">
        <v>12</v>
      </c>
      <c r="K171" s="2164">
        <f t="shared" si="37"/>
        <v>3750000</v>
      </c>
      <c r="L171" s="2164">
        <f t="shared" si="32"/>
        <v>675000</v>
      </c>
      <c r="M171" s="2172">
        <f t="shared" si="30"/>
        <v>45000000</v>
      </c>
      <c r="N171" s="2172">
        <f t="shared" si="18"/>
        <v>8100000</v>
      </c>
      <c r="O171" s="2171">
        <v>45000000</v>
      </c>
      <c r="P171" s="2649">
        <v>8100000</v>
      </c>
      <c r="Q171" s="2649"/>
      <c r="R171" s="2649"/>
      <c r="S171" s="2649"/>
      <c r="T171" s="2173"/>
      <c r="U171" s="2174">
        <f t="shared" si="19"/>
        <v>45000000</v>
      </c>
      <c r="V171" s="2174">
        <f t="shared" si="20"/>
        <v>8100000</v>
      </c>
      <c r="W171" s="2174"/>
      <c r="X171" s="2174">
        <f t="shared" si="22"/>
        <v>0</v>
      </c>
      <c r="Y171" s="2174">
        <f t="shared" si="23"/>
        <v>100</v>
      </c>
      <c r="Z171" s="2174">
        <f t="shared" si="24"/>
        <v>0</v>
      </c>
      <c r="AA171" s="2174">
        <f t="shared" si="25"/>
        <v>0</v>
      </c>
      <c r="AB171" s="2416"/>
      <c r="AC171" s="1504">
        <f t="shared" si="33"/>
        <v>0</v>
      </c>
      <c r="AD171" s="1503">
        <f t="shared" si="34"/>
        <v>0</v>
      </c>
      <c r="AE171" s="1503">
        <f t="shared" si="35"/>
        <v>0</v>
      </c>
      <c r="AF171" s="1502">
        <f t="shared" si="36"/>
        <v>0</v>
      </c>
    </row>
    <row r="172" spans="1:32" s="1474" customFormat="1" ht="23.25" customHeight="1">
      <c r="A172" s="2175">
        <v>107</v>
      </c>
      <c r="B172" s="2175" t="s">
        <v>2272</v>
      </c>
      <c r="C172" s="2416" t="s">
        <v>2537</v>
      </c>
      <c r="D172" s="2416">
        <v>12</v>
      </c>
      <c r="E172" s="2175">
        <v>30000000</v>
      </c>
      <c r="F172" s="2417">
        <f t="shared" si="17"/>
        <v>5400000</v>
      </c>
      <c r="G172" s="2418">
        <v>41743</v>
      </c>
      <c r="H172" s="2419">
        <v>0.18</v>
      </c>
      <c r="I172" s="2164">
        <v>12</v>
      </c>
      <c r="J172" s="2164">
        <v>12</v>
      </c>
      <c r="K172" s="2164">
        <f t="shared" si="37"/>
        <v>2500000</v>
      </c>
      <c r="L172" s="2164">
        <f t="shared" si="32"/>
        <v>450000</v>
      </c>
      <c r="M172" s="2172">
        <f t="shared" si="30"/>
        <v>30000000</v>
      </c>
      <c r="N172" s="2407">
        <f>IF(J172&lt;I172,J172*L172,IF(J172&gt;=I172,F172))-450000</f>
        <v>4950000</v>
      </c>
      <c r="O172" s="2171">
        <v>30000000</v>
      </c>
      <c r="P172" s="2649">
        <v>4950000</v>
      </c>
      <c r="Q172" s="2649"/>
      <c r="R172" s="2649"/>
      <c r="S172" s="2649"/>
      <c r="T172" s="2173"/>
      <c r="U172" s="2174">
        <f t="shared" si="19"/>
        <v>30000000</v>
      </c>
      <c r="V172" s="2174">
        <f t="shared" si="20"/>
        <v>4950000</v>
      </c>
      <c r="W172" s="2174"/>
      <c r="X172" s="2174">
        <f t="shared" si="22"/>
        <v>0</v>
      </c>
      <c r="Y172" s="2174">
        <f t="shared" si="23"/>
        <v>100</v>
      </c>
      <c r="Z172" s="2174">
        <f t="shared" si="24"/>
        <v>0</v>
      </c>
      <c r="AA172" s="2174">
        <f t="shared" si="25"/>
        <v>0</v>
      </c>
      <c r="AB172" s="2416"/>
      <c r="AC172" s="1504">
        <f t="shared" si="33"/>
        <v>0</v>
      </c>
      <c r="AD172" s="1503">
        <f t="shared" si="34"/>
        <v>0</v>
      </c>
      <c r="AE172" s="1503">
        <f t="shared" si="35"/>
        <v>0</v>
      </c>
      <c r="AF172" s="1502">
        <f t="shared" si="36"/>
        <v>0</v>
      </c>
    </row>
    <row r="173" spans="1:32" s="1474" customFormat="1" ht="23.25" customHeight="1">
      <c r="A173" s="2175">
        <v>108</v>
      </c>
      <c r="B173" s="2175" t="s">
        <v>2540</v>
      </c>
      <c r="C173" s="2416" t="s">
        <v>2537</v>
      </c>
      <c r="D173" s="2416">
        <v>8</v>
      </c>
      <c r="E173" s="2175">
        <v>7200000</v>
      </c>
      <c r="F173" s="2417">
        <f t="shared" si="17"/>
        <v>1296000</v>
      </c>
      <c r="G173" s="2418">
        <v>41743</v>
      </c>
      <c r="H173" s="2419">
        <v>0.18</v>
      </c>
      <c r="I173" s="2164">
        <v>12</v>
      </c>
      <c r="J173" s="2164">
        <v>12</v>
      </c>
      <c r="K173" s="2164">
        <f t="shared" si="37"/>
        <v>600000</v>
      </c>
      <c r="L173" s="2164">
        <f t="shared" si="32"/>
        <v>108000</v>
      </c>
      <c r="M173" s="2172">
        <f t="shared" si="30"/>
        <v>7200000</v>
      </c>
      <c r="N173" s="2172">
        <f t="shared" si="18"/>
        <v>1296000</v>
      </c>
      <c r="O173" s="2171">
        <v>7200000</v>
      </c>
      <c r="P173" s="2649">
        <v>1296000</v>
      </c>
      <c r="Q173" s="2649"/>
      <c r="R173" s="2649"/>
      <c r="S173" s="2649"/>
      <c r="T173" s="2173"/>
      <c r="U173" s="2174">
        <f t="shared" si="19"/>
        <v>7200000</v>
      </c>
      <c r="V173" s="2174">
        <f t="shared" si="20"/>
        <v>1296000</v>
      </c>
      <c r="W173" s="2174"/>
      <c r="X173" s="2174">
        <f t="shared" si="22"/>
        <v>0</v>
      </c>
      <c r="Y173" s="2174">
        <f t="shared" si="23"/>
        <v>100</v>
      </c>
      <c r="Z173" s="2174">
        <f t="shared" si="24"/>
        <v>0</v>
      </c>
      <c r="AA173" s="2174">
        <f t="shared" si="25"/>
        <v>0</v>
      </c>
      <c r="AB173" s="2416"/>
      <c r="AC173" s="1504">
        <f t="shared" si="33"/>
        <v>0</v>
      </c>
      <c r="AD173" s="1503">
        <f t="shared" si="34"/>
        <v>0</v>
      </c>
      <c r="AE173" s="1503">
        <f t="shared" si="35"/>
        <v>0</v>
      </c>
      <c r="AF173" s="1502">
        <f t="shared" si="36"/>
        <v>0</v>
      </c>
    </row>
    <row r="174" spans="1:32" s="1474" customFormat="1" ht="23.25" customHeight="1">
      <c r="A174" s="2175">
        <v>109</v>
      </c>
      <c r="B174" s="2175" t="s">
        <v>2541</v>
      </c>
      <c r="C174" s="2416" t="s">
        <v>2537</v>
      </c>
      <c r="D174" s="2416">
        <v>12</v>
      </c>
      <c r="E174" s="2175">
        <v>30000000</v>
      </c>
      <c r="F174" s="2417">
        <f t="shared" si="17"/>
        <v>5400000</v>
      </c>
      <c r="G174" s="2418">
        <v>41743</v>
      </c>
      <c r="H174" s="2419">
        <v>0.18</v>
      </c>
      <c r="I174" s="2164">
        <v>12</v>
      </c>
      <c r="J174" s="2164">
        <v>12</v>
      </c>
      <c r="K174" s="2164">
        <f t="shared" si="37"/>
        <v>2500000</v>
      </c>
      <c r="L174" s="2164">
        <f t="shared" si="32"/>
        <v>450000</v>
      </c>
      <c r="M174" s="2172">
        <f t="shared" si="30"/>
        <v>30000000</v>
      </c>
      <c r="N174" s="2172">
        <f t="shared" si="18"/>
        <v>5400000</v>
      </c>
      <c r="O174" s="2171">
        <v>30000000</v>
      </c>
      <c r="P174" s="2649">
        <v>5400000</v>
      </c>
      <c r="Q174" s="2649"/>
      <c r="R174" s="2649"/>
      <c r="S174" s="2649"/>
      <c r="T174" s="2173"/>
      <c r="U174" s="2174">
        <f t="shared" si="19"/>
        <v>30000000</v>
      </c>
      <c r="V174" s="2174">
        <f t="shared" si="20"/>
        <v>5400000</v>
      </c>
      <c r="W174" s="2174"/>
      <c r="X174" s="2174">
        <f t="shared" si="22"/>
        <v>0</v>
      </c>
      <c r="Y174" s="2174">
        <f t="shared" si="23"/>
        <v>100</v>
      </c>
      <c r="Z174" s="2174">
        <f t="shared" si="24"/>
        <v>0</v>
      </c>
      <c r="AA174" s="2174">
        <f t="shared" si="25"/>
        <v>0</v>
      </c>
      <c r="AB174" s="2416"/>
      <c r="AC174" s="1504">
        <f t="shared" si="33"/>
        <v>0</v>
      </c>
      <c r="AD174" s="1503">
        <f t="shared" si="34"/>
        <v>0</v>
      </c>
      <c r="AE174" s="1503">
        <f t="shared" si="35"/>
        <v>0</v>
      </c>
      <c r="AF174" s="1502">
        <f t="shared" si="36"/>
        <v>0</v>
      </c>
    </row>
    <row r="175" spans="1:32" s="1474" customFormat="1" ht="23.25" customHeight="1">
      <c r="A175" s="2175">
        <v>110</v>
      </c>
      <c r="B175" s="2175" t="s">
        <v>2542</v>
      </c>
      <c r="C175" s="2416" t="s">
        <v>2496</v>
      </c>
      <c r="D175" s="2416">
        <v>12</v>
      </c>
      <c r="E175" s="2175">
        <v>9000000</v>
      </c>
      <c r="F175" s="2417">
        <f t="shared" si="17"/>
        <v>1620000</v>
      </c>
      <c r="G175" s="2418">
        <v>41743</v>
      </c>
      <c r="H175" s="2419">
        <v>0.18</v>
      </c>
      <c r="I175" s="2164">
        <v>12</v>
      </c>
      <c r="J175" s="2164">
        <v>12</v>
      </c>
      <c r="K175" s="2164">
        <f t="shared" si="37"/>
        <v>750000</v>
      </c>
      <c r="L175" s="2164">
        <f t="shared" si="32"/>
        <v>135000</v>
      </c>
      <c r="M175" s="2172">
        <f t="shared" si="30"/>
        <v>9000000</v>
      </c>
      <c r="N175" s="2172">
        <f t="shared" si="18"/>
        <v>1620000</v>
      </c>
      <c r="O175" s="2171">
        <v>9000000</v>
      </c>
      <c r="P175" s="2649">
        <v>1620000</v>
      </c>
      <c r="Q175" s="2649"/>
      <c r="R175" s="2649"/>
      <c r="S175" s="2649"/>
      <c r="T175" s="2173"/>
      <c r="U175" s="2174">
        <f t="shared" si="19"/>
        <v>9000000</v>
      </c>
      <c r="V175" s="2174">
        <f t="shared" si="20"/>
        <v>1620000</v>
      </c>
      <c r="W175" s="2174"/>
      <c r="X175" s="2174">
        <f t="shared" si="22"/>
        <v>0</v>
      </c>
      <c r="Y175" s="2174">
        <f t="shared" si="23"/>
        <v>100</v>
      </c>
      <c r="Z175" s="2174">
        <f t="shared" si="24"/>
        <v>0</v>
      </c>
      <c r="AA175" s="2174">
        <f t="shared" si="25"/>
        <v>0</v>
      </c>
      <c r="AB175" s="2416"/>
      <c r="AC175" s="1504">
        <f t="shared" si="33"/>
        <v>0</v>
      </c>
      <c r="AD175" s="1503">
        <f t="shared" si="34"/>
        <v>0</v>
      </c>
      <c r="AE175" s="1503">
        <f t="shared" si="35"/>
        <v>0</v>
      </c>
      <c r="AF175" s="1502">
        <f t="shared" si="36"/>
        <v>0</v>
      </c>
    </row>
    <row r="176" spans="1:32" s="1474" customFormat="1" ht="23.25" customHeight="1">
      <c r="A176" s="2175">
        <v>111</v>
      </c>
      <c r="B176" s="2175" t="s">
        <v>1927</v>
      </c>
      <c r="C176" s="2416" t="s">
        <v>2537</v>
      </c>
      <c r="D176" s="2416">
        <v>12</v>
      </c>
      <c r="E176" s="2175">
        <v>30000000</v>
      </c>
      <c r="F176" s="2417">
        <f t="shared" si="17"/>
        <v>5400000</v>
      </c>
      <c r="G176" s="2418">
        <v>41743</v>
      </c>
      <c r="H176" s="2419">
        <v>0.18</v>
      </c>
      <c r="I176" s="2164">
        <v>12</v>
      </c>
      <c r="J176" s="2164">
        <v>12</v>
      </c>
      <c r="K176" s="2164">
        <f t="shared" si="37"/>
        <v>2500000</v>
      </c>
      <c r="L176" s="2164">
        <f t="shared" si="32"/>
        <v>450000</v>
      </c>
      <c r="M176" s="2172">
        <f t="shared" si="30"/>
        <v>30000000</v>
      </c>
      <c r="N176" s="2407">
        <f>IF(J176&lt;I176,J176*L176,IF(J176&gt;=I176,F176))-450000</f>
        <v>4950000</v>
      </c>
      <c r="O176" s="2171">
        <v>30000000</v>
      </c>
      <c r="P176" s="2649">
        <v>4950000</v>
      </c>
      <c r="Q176" s="2649"/>
      <c r="R176" s="2649"/>
      <c r="S176" s="2649"/>
      <c r="T176" s="2173"/>
      <c r="U176" s="2174">
        <f t="shared" si="19"/>
        <v>30000000</v>
      </c>
      <c r="V176" s="2174">
        <f t="shared" si="20"/>
        <v>4950000</v>
      </c>
      <c r="W176" s="2174"/>
      <c r="X176" s="2174">
        <f t="shared" si="22"/>
        <v>0</v>
      </c>
      <c r="Y176" s="2174">
        <f t="shared" si="23"/>
        <v>100</v>
      </c>
      <c r="Z176" s="2174">
        <f t="shared" si="24"/>
        <v>0</v>
      </c>
      <c r="AA176" s="2174">
        <f t="shared" si="25"/>
        <v>0</v>
      </c>
      <c r="AB176" s="2416"/>
      <c r="AC176" s="1504">
        <f t="shared" si="33"/>
        <v>0</v>
      </c>
      <c r="AD176" s="1503">
        <f t="shared" si="34"/>
        <v>0</v>
      </c>
      <c r="AE176" s="1503">
        <f t="shared" si="35"/>
        <v>0</v>
      </c>
      <c r="AF176" s="1502">
        <f t="shared" si="36"/>
        <v>0</v>
      </c>
    </row>
    <row r="177" spans="1:32" s="1474" customFormat="1" ht="23.25" customHeight="1">
      <c r="A177" s="2175">
        <v>112</v>
      </c>
      <c r="B177" s="2175" t="s">
        <v>1934</v>
      </c>
      <c r="C177" s="2416" t="s">
        <v>2537</v>
      </c>
      <c r="D177" s="2416">
        <v>12</v>
      </c>
      <c r="E177" s="2175">
        <v>40000000</v>
      </c>
      <c r="F177" s="2417">
        <f t="shared" si="17"/>
        <v>7200000</v>
      </c>
      <c r="G177" s="2418">
        <v>41771</v>
      </c>
      <c r="H177" s="2419">
        <v>0.18</v>
      </c>
      <c r="I177" s="2164">
        <v>12</v>
      </c>
      <c r="J177" s="2164">
        <v>12</v>
      </c>
      <c r="K177" s="2164">
        <v>3333300</v>
      </c>
      <c r="L177" s="2164">
        <f t="shared" si="32"/>
        <v>600000</v>
      </c>
      <c r="M177" s="2172">
        <f t="shared" si="30"/>
        <v>40000000</v>
      </c>
      <c r="N177" s="2407">
        <f>IF(J177&lt;I177,J177*L177,IF(J177&gt;=I177,F177))-600000</f>
        <v>6600000</v>
      </c>
      <c r="O177" s="2171">
        <v>40000000</v>
      </c>
      <c r="P177" s="2649">
        <v>6600000</v>
      </c>
      <c r="Q177" s="2649"/>
      <c r="R177" s="2649"/>
      <c r="S177" s="2649"/>
      <c r="T177" s="2173"/>
      <c r="U177" s="2174">
        <f t="shared" si="19"/>
        <v>40000000</v>
      </c>
      <c r="V177" s="2174">
        <f t="shared" si="20"/>
        <v>6600000</v>
      </c>
      <c r="W177" s="2174"/>
      <c r="X177" s="2174">
        <f t="shared" si="22"/>
        <v>0</v>
      </c>
      <c r="Y177" s="2174">
        <f t="shared" si="23"/>
        <v>100</v>
      </c>
      <c r="Z177" s="2174">
        <f t="shared" si="24"/>
        <v>0</v>
      </c>
      <c r="AA177" s="2174">
        <f t="shared" si="25"/>
        <v>0</v>
      </c>
      <c r="AB177" s="2416"/>
      <c r="AC177" s="1504">
        <f t="shared" si="33"/>
        <v>0</v>
      </c>
      <c r="AD177" s="1503">
        <f t="shared" si="34"/>
        <v>0</v>
      </c>
      <c r="AE177" s="1503">
        <f t="shared" si="35"/>
        <v>0</v>
      </c>
      <c r="AF177" s="1502">
        <f t="shared" si="36"/>
        <v>0</v>
      </c>
    </row>
    <row r="178" spans="1:32" s="1474" customFormat="1" ht="23.25" customHeight="1">
      <c r="A178" s="2175">
        <v>113</v>
      </c>
      <c r="B178" s="2175" t="s">
        <v>1924</v>
      </c>
      <c r="C178" s="2416" t="s">
        <v>2537</v>
      </c>
      <c r="D178" s="2416">
        <v>12</v>
      </c>
      <c r="E178" s="2175">
        <v>28000000</v>
      </c>
      <c r="F178" s="2417">
        <f t="shared" si="17"/>
        <v>5040000</v>
      </c>
      <c r="G178" s="2418">
        <v>41771</v>
      </c>
      <c r="H178" s="2419">
        <v>0.18</v>
      </c>
      <c r="I178" s="2164">
        <v>12</v>
      </c>
      <c r="J178" s="2164">
        <v>12</v>
      </c>
      <c r="K178" s="2164">
        <v>2333300</v>
      </c>
      <c r="L178" s="2164">
        <f t="shared" si="32"/>
        <v>420000</v>
      </c>
      <c r="M178" s="2172">
        <f t="shared" si="30"/>
        <v>28000000</v>
      </c>
      <c r="N178" s="2407">
        <f>IF(J178&lt;I178,J178*L178,IF(J178&gt;=I178,F178))-420000</f>
        <v>4620000</v>
      </c>
      <c r="O178" s="2171">
        <v>28000000</v>
      </c>
      <c r="P178" s="2649">
        <v>4620000</v>
      </c>
      <c r="Q178" s="2649"/>
      <c r="R178" s="2649"/>
      <c r="S178" s="2649"/>
      <c r="T178" s="2173"/>
      <c r="U178" s="2174">
        <f t="shared" si="19"/>
        <v>28000000</v>
      </c>
      <c r="V178" s="2174">
        <f t="shared" si="20"/>
        <v>4620000</v>
      </c>
      <c r="W178" s="2174"/>
      <c r="X178" s="2174">
        <f t="shared" si="22"/>
        <v>0</v>
      </c>
      <c r="Y178" s="2174">
        <f t="shared" si="23"/>
        <v>100</v>
      </c>
      <c r="Z178" s="2174">
        <f t="shared" si="24"/>
        <v>0</v>
      </c>
      <c r="AA178" s="2174">
        <f t="shared" si="25"/>
        <v>0</v>
      </c>
      <c r="AB178" s="2416"/>
      <c r="AC178" s="1504">
        <f t="shared" si="33"/>
        <v>0</v>
      </c>
      <c r="AD178" s="1503">
        <f t="shared" si="34"/>
        <v>0</v>
      </c>
      <c r="AE178" s="1503">
        <f t="shared" si="35"/>
        <v>0</v>
      </c>
      <c r="AF178" s="1502">
        <f t="shared" si="36"/>
        <v>0</v>
      </c>
    </row>
    <row r="179" spans="1:32" s="1474" customFormat="1" ht="23.25" customHeight="1">
      <c r="A179" s="2175">
        <v>114</v>
      </c>
      <c r="B179" s="2175" t="s">
        <v>1901</v>
      </c>
      <c r="C179" s="2416" t="s">
        <v>2537</v>
      </c>
      <c r="D179" s="2416">
        <v>12</v>
      </c>
      <c r="E179" s="2175">
        <v>32000000</v>
      </c>
      <c r="F179" s="2417">
        <f t="shared" si="17"/>
        <v>5760000</v>
      </c>
      <c r="G179" s="2418">
        <v>41775</v>
      </c>
      <c r="H179" s="2419">
        <v>0.18</v>
      </c>
      <c r="I179" s="2164">
        <v>12</v>
      </c>
      <c r="J179" s="2164">
        <v>12</v>
      </c>
      <c r="K179" s="2164">
        <v>2666700</v>
      </c>
      <c r="L179" s="2164">
        <f t="shared" si="32"/>
        <v>480000</v>
      </c>
      <c r="M179" s="2172">
        <f t="shared" si="30"/>
        <v>32000000</v>
      </c>
      <c r="N179" s="2407">
        <f>IF(J179&lt;I179,J179*L179,IF(J179&gt;=I179,F179))-480000</f>
        <v>5280000</v>
      </c>
      <c r="O179" s="2171">
        <v>32000000</v>
      </c>
      <c r="P179" s="2649">
        <v>5280000</v>
      </c>
      <c r="Q179" s="2649"/>
      <c r="R179" s="2649"/>
      <c r="S179" s="2649"/>
      <c r="T179" s="2173"/>
      <c r="U179" s="2174">
        <f t="shared" si="19"/>
        <v>32000000</v>
      </c>
      <c r="V179" s="2174">
        <f t="shared" si="20"/>
        <v>5280000</v>
      </c>
      <c r="W179" s="2174"/>
      <c r="X179" s="2174">
        <f t="shared" si="22"/>
        <v>0</v>
      </c>
      <c r="Y179" s="2174">
        <f t="shared" si="23"/>
        <v>100</v>
      </c>
      <c r="Z179" s="2174">
        <f t="shared" si="24"/>
        <v>0</v>
      </c>
      <c r="AA179" s="2174">
        <f t="shared" si="25"/>
        <v>0</v>
      </c>
      <c r="AB179" s="2416"/>
      <c r="AC179" s="1504">
        <f t="shared" si="33"/>
        <v>0</v>
      </c>
      <c r="AD179" s="1503">
        <f t="shared" si="34"/>
        <v>0</v>
      </c>
      <c r="AE179" s="1503">
        <f t="shared" si="35"/>
        <v>0</v>
      </c>
      <c r="AF179" s="1502">
        <f t="shared" si="36"/>
        <v>0</v>
      </c>
    </row>
    <row r="180" spans="1:32" s="1474" customFormat="1" ht="23.25" customHeight="1">
      <c r="A180" s="2175">
        <v>115</v>
      </c>
      <c r="B180" s="2175" t="s">
        <v>2214</v>
      </c>
      <c r="C180" s="2416" t="s">
        <v>2537</v>
      </c>
      <c r="D180" s="2416">
        <v>8</v>
      </c>
      <c r="E180" s="2175">
        <v>15000000</v>
      </c>
      <c r="F180" s="2417">
        <f t="shared" si="17"/>
        <v>2700000</v>
      </c>
      <c r="G180" s="2418">
        <v>41803</v>
      </c>
      <c r="H180" s="2419">
        <v>0.18</v>
      </c>
      <c r="I180" s="2164">
        <v>12</v>
      </c>
      <c r="J180" s="2164">
        <v>12</v>
      </c>
      <c r="K180" s="2164">
        <f t="shared" si="37"/>
        <v>1250000</v>
      </c>
      <c r="L180" s="2164">
        <f t="shared" si="32"/>
        <v>225000</v>
      </c>
      <c r="M180" s="2172">
        <f t="shared" si="30"/>
        <v>15000000</v>
      </c>
      <c r="N180" s="2407">
        <f>IF(J180&lt;I180,J180*L180,IF(J180&gt;=I180,F180))-675000</f>
        <v>2025000</v>
      </c>
      <c r="O180" s="2171">
        <v>15000000</v>
      </c>
      <c r="P180" s="2649">
        <v>2025000</v>
      </c>
      <c r="Q180" s="2649"/>
      <c r="R180" s="2171"/>
      <c r="S180" s="2171"/>
      <c r="T180" s="2173"/>
      <c r="U180" s="2174">
        <f t="shared" si="19"/>
        <v>15000000</v>
      </c>
      <c r="V180" s="2174">
        <f t="shared" si="20"/>
        <v>2025000</v>
      </c>
      <c r="W180" s="2174"/>
      <c r="X180" s="2174">
        <f t="shared" si="22"/>
        <v>0</v>
      </c>
      <c r="Y180" s="2174">
        <f t="shared" si="23"/>
        <v>100</v>
      </c>
      <c r="Z180" s="2174">
        <f t="shared" si="24"/>
        <v>0</v>
      </c>
      <c r="AA180" s="2174">
        <f t="shared" si="25"/>
        <v>0</v>
      </c>
      <c r="AB180" s="2416"/>
      <c r="AC180" s="1504">
        <f t="shared" si="33"/>
        <v>0</v>
      </c>
      <c r="AD180" s="1503">
        <f t="shared" si="34"/>
        <v>0</v>
      </c>
      <c r="AE180" s="1503">
        <f t="shared" si="35"/>
        <v>0</v>
      </c>
      <c r="AF180" s="1502">
        <f t="shared" si="36"/>
        <v>0</v>
      </c>
    </row>
    <row r="181" spans="1:32" s="1474" customFormat="1" ht="23.25" customHeight="1">
      <c r="A181" s="2175">
        <v>116</v>
      </c>
      <c r="B181" s="2175" t="s">
        <v>1944</v>
      </c>
      <c r="C181" s="2416" t="s">
        <v>2563</v>
      </c>
      <c r="D181" s="2416">
        <v>8</v>
      </c>
      <c r="E181" s="2175">
        <v>16000000</v>
      </c>
      <c r="F181" s="2417">
        <f t="shared" si="17"/>
        <v>2880000</v>
      </c>
      <c r="G181" s="2418">
        <v>41837</v>
      </c>
      <c r="H181" s="2419">
        <v>0.18</v>
      </c>
      <c r="I181" s="2164">
        <v>12</v>
      </c>
      <c r="J181" s="2164">
        <v>12</v>
      </c>
      <c r="K181" s="2164">
        <v>1333300</v>
      </c>
      <c r="L181" s="2164">
        <f t="shared" si="32"/>
        <v>240000</v>
      </c>
      <c r="M181" s="2172">
        <f t="shared" si="30"/>
        <v>16000000</v>
      </c>
      <c r="N181" s="2172">
        <f t="shared" si="18"/>
        <v>2880000</v>
      </c>
      <c r="O181" s="2171">
        <v>16000000</v>
      </c>
      <c r="P181" s="2649">
        <v>2880000</v>
      </c>
      <c r="Q181" s="2649"/>
      <c r="R181" s="2171"/>
      <c r="S181" s="2171"/>
      <c r="T181" s="2173"/>
      <c r="U181" s="2174">
        <f t="shared" si="19"/>
        <v>16000000</v>
      </c>
      <c r="V181" s="2174">
        <f t="shared" si="20"/>
        <v>2880000</v>
      </c>
      <c r="W181" s="2174"/>
      <c r="X181" s="2174">
        <f t="shared" si="22"/>
        <v>0</v>
      </c>
      <c r="Y181" s="2174">
        <f t="shared" si="23"/>
        <v>100</v>
      </c>
      <c r="Z181" s="2174">
        <f t="shared" si="24"/>
        <v>0</v>
      </c>
      <c r="AA181" s="2174">
        <f t="shared" si="25"/>
        <v>0</v>
      </c>
      <c r="AB181" s="2416"/>
      <c r="AC181" s="1504">
        <f t="shared" si="33"/>
        <v>0</v>
      </c>
      <c r="AD181" s="1503">
        <f t="shared" si="34"/>
        <v>0</v>
      </c>
      <c r="AE181" s="1503">
        <f t="shared" si="35"/>
        <v>0</v>
      </c>
      <c r="AF181" s="1502">
        <f t="shared" si="36"/>
        <v>0</v>
      </c>
    </row>
    <row r="182" spans="1:32" s="1474" customFormat="1" ht="23.25" customHeight="1">
      <c r="A182" s="2175">
        <v>117</v>
      </c>
      <c r="B182" s="2175" t="s">
        <v>1907</v>
      </c>
      <c r="C182" s="2416" t="s">
        <v>2563</v>
      </c>
      <c r="D182" s="2416">
        <v>12</v>
      </c>
      <c r="E182" s="2175">
        <v>30000000</v>
      </c>
      <c r="F182" s="2417">
        <f t="shared" si="17"/>
        <v>5400000</v>
      </c>
      <c r="G182" s="2418">
        <v>41885</v>
      </c>
      <c r="H182" s="2419">
        <v>0.18</v>
      </c>
      <c r="I182" s="2164">
        <v>12</v>
      </c>
      <c r="J182" s="2164">
        <v>12</v>
      </c>
      <c r="K182" s="2164">
        <f t="shared" si="37"/>
        <v>2500000</v>
      </c>
      <c r="L182" s="2164">
        <f t="shared" si="32"/>
        <v>450000</v>
      </c>
      <c r="M182" s="2172">
        <f t="shared" si="30"/>
        <v>30000000</v>
      </c>
      <c r="N182" s="2172">
        <f>IF(J182&lt;I182,J182*L182,IF(J182&gt;=I182,F182))-1*L182</f>
        <v>4950000</v>
      </c>
      <c r="O182" s="2171">
        <v>30000000</v>
      </c>
      <c r="P182" s="2649">
        <v>4950000</v>
      </c>
      <c r="Q182" s="2649"/>
      <c r="R182" s="2171"/>
      <c r="S182" s="2171"/>
      <c r="T182" s="2173"/>
      <c r="U182" s="2174">
        <f t="shared" si="19"/>
        <v>30000000</v>
      </c>
      <c r="V182" s="2174">
        <f t="shared" si="20"/>
        <v>4950000</v>
      </c>
      <c r="W182" s="2174"/>
      <c r="X182" s="2174">
        <f t="shared" si="22"/>
        <v>0</v>
      </c>
      <c r="Y182" s="2174">
        <f t="shared" si="23"/>
        <v>100</v>
      </c>
      <c r="Z182" s="2174">
        <f t="shared" si="24"/>
        <v>0</v>
      </c>
      <c r="AA182" s="2174">
        <f t="shared" si="25"/>
        <v>0</v>
      </c>
      <c r="AB182" s="2416"/>
      <c r="AC182" s="1504">
        <f t="shared" si="33"/>
        <v>0</v>
      </c>
      <c r="AD182" s="1503">
        <f t="shared" si="34"/>
        <v>0</v>
      </c>
      <c r="AE182" s="1503">
        <f t="shared" si="35"/>
        <v>0</v>
      </c>
      <c r="AF182" s="1502">
        <f t="shared" si="36"/>
        <v>0</v>
      </c>
    </row>
    <row r="183" spans="1:32" s="1474" customFormat="1" ht="23.25" customHeight="1">
      <c r="A183" s="2175">
        <v>118</v>
      </c>
      <c r="B183" s="2175" t="s">
        <v>1914</v>
      </c>
      <c r="C183" s="2416" t="s">
        <v>2563</v>
      </c>
      <c r="D183" s="2416">
        <v>10</v>
      </c>
      <c r="E183" s="2175">
        <v>32000000</v>
      </c>
      <c r="F183" s="2417">
        <f t="shared" si="17"/>
        <v>5760000</v>
      </c>
      <c r="G183" s="2418">
        <v>41897</v>
      </c>
      <c r="H183" s="2419">
        <v>0.18</v>
      </c>
      <c r="I183" s="2164">
        <v>12</v>
      </c>
      <c r="J183" s="2164">
        <v>12</v>
      </c>
      <c r="K183" s="2164">
        <v>2666700</v>
      </c>
      <c r="L183" s="2164">
        <f t="shared" si="32"/>
        <v>480000</v>
      </c>
      <c r="M183" s="2172">
        <f t="shared" si="30"/>
        <v>32000000</v>
      </c>
      <c r="N183" s="2172">
        <f t="shared" ref="N183" si="38">IF(J183&lt;I183,J183*L183,IF(J183&gt;=I183,F183))-1*L183</f>
        <v>5280000</v>
      </c>
      <c r="O183" s="2171">
        <v>32000000</v>
      </c>
      <c r="P183" s="2649">
        <v>5280000</v>
      </c>
      <c r="Q183" s="2649"/>
      <c r="R183" s="2171"/>
      <c r="S183" s="2171"/>
      <c r="T183" s="2173"/>
      <c r="U183" s="2174">
        <f t="shared" si="19"/>
        <v>32000000</v>
      </c>
      <c r="V183" s="2174">
        <f t="shared" si="20"/>
        <v>5280000</v>
      </c>
      <c r="W183" s="2174"/>
      <c r="X183" s="2174">
        <f t="shared" si="22"/>
        <v>0</v>
      </c>
      <c r="Y183" s="2174">
        <f t="shared" si="23"/>
        <v>100</v>
      </c>
      <c r="Z183" s="2174">
        <f t="shared" si="24"/>
        <v>0</v>
      </c>
      <c r="AA183" s="2174">
        <f t="shared" si="25"/>
        <v>0</v>
      </c>
      <c r="AB183" s="2416"/>
      <c r="AC183" s="1504">
        <f t="shared" si="33"/>
        <v>0</v>
      </c>
      <c r="AD183" s="1503">
        <f t="shared" si="34"/>
        <v>0</v>
      </c>
      <c r="AE183" s="1503">
        <f t="shared" si="35"/>
        <v>0</v>
      </c>
      <c r="AF183" s="1502">
        <f t="shared" si="36"/>
        <v>0</v>
      </c>
    </row>
    <row r="184" spans="1:32" s="1474" customFormat="1" ht="23.25" customHeight="1">
      <c r="A184" s="2175">
        <v>119</v>
      </c>
      <c r="B184" s="2175" t="s">
        <v>1936</v>
      </c>
      <c r="C184" s="2416" t="s">
        <v>2563</v>
      </c>
      <c r="D184" s="2416">
        <v>12</v>
      </c>
      <c r="E184" s="2175">
        <v>35000000</v>
      </c>
      <c r="F184" s="2417">
        <f t="shared" si="17"/>
        <v>6300000</v>
      </c>
      <c r="G184" s="2418">
        <v>41897</v>
      </c>
      <c r="H184" s="2419">
        <v>0.18</v>
      </c>
      <c r="I184" s="2164">
        <v>12</v>
      </c>
      <c r="J184" s="2164">
        <v>12</v>
      </c>
      <c r="K184" s="2164">
        <v>2916700</v>
      </c>
      <c r="L184" s="2164">
        <f t="shared" si="32"/>
        <v>525000</v>
      </c>
      <c r="M184" s="2172">
        <f t="shared" si="30"/>
        <v>35000000</v>
      </c>
      <c r="N184" s="2172">
        <f>IF(J184&lt;I184,J184*L184,IF(J184&gt;=I184,F184))-1*L184</f>
        <v>5775000</v>
      </c>
      <c r="O184" s="2171">
        <v>35000000</v>
      </c>
      <c r="P184" s="2649">
        <v>5775000</v>
      </c>
      <c r="Q184" s="2649"/>
      <c r="R184" s="2171"/>
      <c r="S184" s="2171"/>
      <c r="T184" s="2173"/>
      <c r="U184" s="2174">
        <f t="shared" si="19"/>
        <v>35000000</v>
      </c>
      <c r="V184" s="2174">
        <f t="shared" si="20"/>
        <v>5775000</v>
      </c>
      <c r="W184" s="2174"/>
      <c r="X184" s="2174">
        <f t="shared" si="22"/>
        <v>0</v>
      </c>
      <c r="Y184" s="2174">
        <f t="shared" si="23"/>
        <v>100</v>
      </c>
      <c r="Z184" s="2174">
        <f t="shared" si="24"/>
        <v>0</v>
      </c>
      <c r="AA184" s="2174">
        <f t="shared" si="25"/>
        <v>0</v>
      </c>
      <c r="AB184" s="2416"/>
      <c r="AC184" s="1504">
        <f t="shared" si="33"/>
        <v>0</v>
      </c>
      <c r="AD184" s="1503">
        <f t="shared" si="34"/>
        <v>0</v>
      </c>
      <c r="AE184" s="1503">
        <f t="shared" si="35"/>
        <v>0</v>
      </c>
      <c r="AF184" s="1502">
        <f t="shared" si="36"/>
        <v>0</v>
      </c>
    </row>
    <row r="185" spans="1:32" s="1474" customFormat="1" ht="23.25" customHeight="1">
      <c r="A185" s="2175">
        <v>120</v>
      </c>
      <c r="B185" s="2175" t="s">
        <v>2581</v>
      </c>
      <c r="C185" s="2416" t="s">
        <v>2563</v>
      </c>
      <c r="D185" s="2416">
        <v>15</v>
      </c>
      <c r="E185" s="2175">
        <v>50000000</v>
      </c>
      <c r="F185" s="2417">
        <f t="shared" si="17"/>
        <v>9000000</v>
      </c>
      <c r="G185" s="2418">
        <v>41898</v>
      </c>
      <c r="H185" s="2419">
        <v>0.18</v>
      </c>
      <c r="I185" s="2164">
        <v>12</v>
      </c>
      <c r="J185" s="2164">
        <v>12</v>
      </c>
      <c r="K185" s="2164">
        <v>4166700</v>
      </c>
      <c r="L185" s="2164">
        <f t="shared" si="32"/>
        <v>750000</v>
      </c>
      <c r="M185" s="2172">
        <f t="shared" si="30"/>
        <v>50000000</v>
      </c>
      <c r="N185" s="2172">
        <f>IF(J185&lt;I185,J185*L185,IF(J185&gt;=I185,F185))-1*L185</f>
        <v>8250000</v>
      </c>
      <c r="O185" s="2171">
        <v>50000000</v>
      </c>
      <c r="P185" s="2649">
        <v>8250000</v>
      </c>
      <c r="Q185" s="2649"/>
      <c r="R185" s="2171"/>
      <c r="S185" s="2171"/>
      <c r="T185" s="2173"/>
      <c r="U185" s="2174">
        <f t="shared" si="19"/>
        <v>50000000</v>
      </c>
      <c r="V185" s="2174">
        <f t="shared" si="20"/>
        <v>8250000</v>
      </c>
      <c r="W185" s="2174"/>
      <c r="X185" s="2174">
        <f t="shared" si="22"/>
        <v>0</v>
      </c>
      <c r="Y185" s="2174">
        <f t="shared" si="23"/>
        <v>100</v>
      </c>
      <c r="Z185" s="2174">
        <f t="shared" si="24"/>
        <v>0</v>
      </c>
      <c r="AA185" s="2174">
        <f t="shared" si="25"/>
        <v>0</v>
      </c>
      <c r="AB185" s="2416"/>
      <c r="AC185" s="1504">
        <f t="shared" si="33"/>
        <v>0</v>
      </c>
      <c r="AD185" s="1503">
        <f t="shared" si="34"/>
        <v>0</v>
      </c>
      <c r="AE185" s="1503">
        <f t="shared" si="35"/>
        <v>0</v>
      </c>
      <c r="AF185" s="1502">
        <f t="shared" si="36"/>
        <v>0</v>
      </c>
    </row>
    <row r="186" spans="1:32" s="1474" customFormat="1" ht="23.25" customHeight="1">
      <c r="A186" s="2175">
        <v>121</v>
      </c>
      <c r="B186" s="2175" t="s">
        <v>2213</v>
      </c>
      <c r="C186" s="2416" t="s">
        <v>2563</v>
      </c>
      <c r="D186" s="2416">
        <v>10</v>
      </c>
      <c r="E186" s="2175">
        <v>15000000</v>
      </c>
      <c r="F186" s="2417">
        <f t="shared" si="17"/>
        <v>2700000</v>
      </c>
      <c r="G186" s="2418">
        <v>41899</v>
      </c>
      <c r="H186" s="2419">
        <v>0.18</v>
      </c>
      <c r="I186" s="2164">
        <v>12</v>
      </c>
      <c r="J186" s="2164">
        <v>12</v>
      </c>
      <c r="K186" s="2164">
        <f t="shared" ref="K186:K207" si="39">E186/I186</f>
        <v>1250000</v>
      </c>
      <c r="L186" s="2164">
        <f t="shared" si="32"/>
        <v>225000</v>
      </c>
      <c r="M186" s="2172">
        <f t="shared" si="30"/>
        <v>15000000</v>
      </c>
      <c r="N186" s="2172">
        <f t="shared" si="18"/>
        <v>2700000</v>
      </c>
      <c r="O186" s="2171">
        <v>13750000</v>
      </c>
      <c r="P186" s="2649">
        <v>2522000</v>
      </c>
      <c r="Q186" s="2649"/>
      <c r="R186" s="3023"/>
      <c r="S186" s="3023">
        <v>100000</v>
      </c>
      <c r="T186" s="2173"/>
      <c r="U186" s="2174">
        <f t="shared" si="19"/>
        <v>13750000</v>
      </c>
      <c r="V186" s="2174">
        <f t="shared" si="20"/>
        <v>2622000</v>
      </c>
      <c r="W186" s="2174"/>
      <c r="X186" s="2174">
        <f>SUM(E186-U186)</f>
        <v>1250000</v>
      </c>
      <c r="Y186" s="2174">
        <f t="shared" si="23"/>
        <v>91.666666666666657</v>
      </c>
      <c r="Z186" s="2174">
        <f>SUM(M186-U186)</f>
        <v>1250000</v>
      </c>
      <c r="AA186" s="2174">
        <f t="shared" si="25"/>
        <v>78000</v>
      </c>
      <c r="AB186" s="2416">
        <v>3</v>
      </c>
      <c r="AC186" s="1504">
        <f t="shared" si="33"/>
        <v>0</v>
      </c>
      <c r="AD186" s="1503">
        <f t="shared" si="34"/>
        <v>1250000</v>
      </c>
      <c r="AE186" s="1503">
        <f t="shared" si="35"/>
        <v>0</v>
      </c>
      <c r="AF186" s="1502">
        <f t="shared" si="36"/>
        <v>0</v>
      </c>
    </row>
    <row r="187" spans="1:32" s="1474" customFormat="1" ht="23.25" customHeight="1">
      <c r="A187" s="2175">
        <v>122</v>
      </c>
      <c r="B187" s="2175" t="s">
        <v>1915</v>
      </c>
      <c r="C187" s="2416" t="s">
        <v>2563</v>
      </c>
      <c r="D187" s="2416">
        <v>12</v>
      </c>
      <c r="E187" s="2175">
        <v>30000000</v>
      </c>
      <c r="F187" s="2417">
        <f t="shared" si="17"/>
        <v>5400000</v>
      </c>
      <c r="G187" s="2418">
        <v>41899</v>
      </c>
      <c r="H187" s="2419">
        <v>0.18</v>
      </c>
      <c r="I187" s="2164">
        <v>12</v>
      </c>
      <c r="J187" s="2164">
        <v>12</v>
      </c>
      <c r="K187" s="2164">
        <f t="shared" si="39"/>
        <v>2500000</v>
      </c>
      <c r="L187" s="2164">
        <f t="shared" si="32"/>
        <v>450000</v>
      </c>
      <c r="M187" s="2172">
        <f t="shared" si="30"/>
        <v>30000000</v>
      </c>
      <c r="N187" s="2172">
        <f>IF(J187&lt;I187,J187*L187,IF(J187&gt;=I187,F187))-1*L187</f>
        <v>4950000</v>
      </c>
      <c r="O187" s="2171">
        <v>30000000</v>
      </c>
      <c r="P187" s="2649">
        <v>4950000</v>
      </c>
      <c r="Q187" s="2649"/>
      <c r="R187" s="2171"/>
      <c r="S187" s="2171"/>
      <c r="T187" s="2173"/>
      <c r="U187" s="2174">
        <f t="shared" si="19"/>
        <v>30000000</v>
      </c>
      <c r="V187" s="2174">
        <f t="shared" si="20"/>
        <v>4950000</v>
      </c>
      <c r="W187" s="2174"/>
      <c r="X187" s="2174">
        <f t="shared" si="22"/>
        <v>0</v>
      </c>
      <c r="Y187" s="2174">
        <f t="shared" si="23"/>
        <v>100</v>
      </c>
      <c r="Z187" s="2174">
        <f t="shared" si="24"/>
        <v>0</v>
      </c>
      <c r="AA187" s="2174">
        <f t="shared" si="25"/>
        <v>0</v>
      </c>
      <c r="AB187" s="2416"/>
      <c r="AC187" s="1504">
        <f t="shared" si="33"/>
        <v>0</v>
      </c>
      <c r="AD187" s="1503">
        <f t="shared" si="34"/>
        <v>0</v>
      </c>
      <c r="AE187" s="1503">
        <f t="shared" si="35"/>
        <v>0</v>
      </c>
      <c r="AF187" s="1502">
        <f t="shared" si="36"/>
        <v>0</v>
      </c>
    </row>
    <row r="188" spans="1:32" s="1474" customFormat="1" ht="23.25" customHeight="1">
      <c r="A188" s="2175">
        <v>123</v>
      </c>
      <c r="B188" s="2175" t="s">
        <v>1906</v>
      </c>
      <c r="C188" s="2416" t="s">
        <v>2615</v>
      </c>
      <c r="D188" s="2416">
        <v>12</v>
      </c>
      <c r="E188" s="2175">
        <v>40000000</v>
      </c>
      <c r="F188" s="2417">
        <f t="shared" si="17"/>
        <v>7200000</v>
      </c>
      <c r="G188" s="2418">
        <v>41988</v>
      </c>
      <c r="H188" s="2419">
        <v>0.18</v>
      </c>
      <c r="I188" s="2164">
        <v>12</v>
      </c>
      <c r="J188" s="2164">
        <v>12</v>
      </c>
      <c r="K188" s="2164">
        <v>3333300</v>
      </c>
      <c r="L188" s="2164">
        <f t="shared" si="32"/>
        <v>600000</v>
      </c>
      <c r="M188" s="2172">
        <f t="shared" si="30"/>
        <v>40000000</v>
      </c>
      <c r="N188" s="2172">
        <f>IF(J188&lt;I188,J188*L188,IF(J188&gt;=I188,F188))-1*L188</f>
        <v>6600000</v>
      </c>
      <c r="O188" s="2171">
        <v>40000000</v>
      </c>
      <c r="P188" s="2649">
        <v>6600000</v>
      </c>
      <c r="Q188" s="2649"/>
      <c r="R188" s="2171"/>
      <c r="S188" s="2171"/>
      <c r="T188" s="2173"/>
      <c r="U188" s="2174">
        <f t="shared" si="19"/>
        <v>40000000</v>
      </c>
      <c r="V188" s="2174">
        <f t="shared" si="20"/>
        <v>6600000</v>
      </c>
      <c r="W188" s="2174"/>
      <c r="X188" s="2174">
        <f t="shared" si="22"/>
        <v>0</v>
      </c>
      <c r="Y188" s="2174">
        <f t="shared" si="23"/>
        <v>100</v>
      </c>
      <c r="Z188" s="2174">
        <f t="shared" si="24"/>
        <v>0</v>
      </c>
      <c r="AA188" s="2174">
        <f t="shared" si="25"/>
        <v>0</v>
      </c>
      <c r="AB188" s="2416"/>
      <c r="AC188" s="1504">
        <f t="shared" si="33"/>
        <v>0</v>
      </c>
      <c r="AD188" s="1503">
        <f t="shared" si="34"/>
        <v>0</v>
      </c>
      <c r="AE188" s="1503">
        <f t="shared" si="35"/>
        <v>0</v>
      </c>
      <c r="AF188" s="1502">
        <f t="shared" si="36"/>
        <v>0</v>
      </c>
    </row>
    <row r="189" spans="1:32" s="1474" customFormat="1" ht="23.25" customHeight="1">
      <c r="A189" s="2175">
        <v>124</v>
      </c>
      <c r="B189" s="2175" t="s">
        <v>1911</v>
      </c>
      <c r="C189" s="2416" t="s">
        <v>2615</v>
      </c>
      <c r="D189" s="2416">
        <v>10</v>
      </c>
      <c r="E189" s="2175">
        <v>18500000</v>
      </c>
      <c r="F189" s="2417">
        <f t="shared" si="17"/>
        <v>3330000</v>
      </c>
      <c r="G189" s="2418">
        <v>41988</v>
      </c>
      <c r="H189" s="2419">
        <v>0.18</v>
      </c>
      <c r="I189" s="2164">
        <v>12</v>
      </c>
      <c r="J189" s="2164">
        <v>12</v>
      </c>
      <c r="K189" s="2164">
        <v>1541700</v>
      </c>
      <c r="L189" s="2164">
        <f t="shared" si="32"/>
        <v>277500</v>
      </c>
      <c r="M189" s="2172">
        <f t="shared" si="30"/>
        <v>18500000</v>
      </c>
      <c r="N189" s="2172">
        <f t="shared" si="18"/>
        <v>3330000</v>
      </c>
      <c r="O189" s="2171">
        <v>18500000</v>
      </c>
      <c r="P189" s="2649">
        <v>3330000</v>
      </c>
      <c r="Q189" s="2649"/>
      <c r="R189" s="2171"/>
      <c r="S189" s="2171"/>
      <c r="T189" s="2173"/>
      <c r="U189" s="2174">
        <f t="shared" si="19"/>
        <v>18500000</v>
      </c>
      <c r="V189" s="2174">
        <f t="shared" si="20"/>
        <v>3330000</v>
      </c>
      <c r="W189" s="2174"/>
      <c r="X189" s="2174">
        <f t="shared" si="22"/>
        <v>0</v>
      </c>
      <c r="Y189" s="2174">
        <f t="shared" si="23"/>
        <v>100</v>
      </c>
      <c r="Z189" s="2174">
        <f t="shared" si="24"/>
        <v>0</v>
      </c>
      <c r="AA189" s="2174">
        <f t="shared" si="25"/>
        <v>0</v>
      </c>
      <c r="AB189" s="2416"/>
      <c r="AC189" s="1504">
        <f t="shared" si="33"/>
        <v>0</v>
      </c>
      <c r="AD189" s="1503">
        <f t="shared" si="34"/>
        <v>0</v>
      </c>
      <c r="AE189" s="1503">
        <f t="shared" si="35"/>
        <v>0</v>
      </c>
      <c r="AF189" s="1502">
        <f t="shared" si="36"/>
        <v>0</v>
      </c>
    </row>
    <row r="190" spans="1:32" s="1474" customFormat="1" ht="23.25" customHeight="1">
      <c r="A190" s="2175">
        <v>125</v>
      </c>
      <c r="B190" s="2175" t="s">
        <v>1912</v>
      </c>
      <c r="C190" s="2416" t="s">
        <v>2615</v>
      </c>
      <c r="D190" s="2416">
        <v>12</v>
      </c>
      <c r="E190" s="2175">
        <v>15000000</v>
      </c>
      <c r="F190" s="2417">
        <f t="shared" si="17"/>
        <v>2700000</v>
      </c>
      <c r="G190" s="2418">
        <v>41988</v>
      </c>
      <c r="H190" s="2419">
        <v>0.18</v>
      </c>
      <c r="I190" s="2164">
        <v>12</v>
      </c>
      <c r="J190" s="2164">
        <v>12</v>
      </c>
      <c r="K190" s="2164">
        <f t="shared" si="39"/>
        <v>1250000</v>
      </c>
      <c r="L190" s="2164">
        <f t="shared" si="32"/>
        <v>225000</v>
      </c>
      <c r="M190" s="2172">
        <f t="shared" si="30"/>
        <v>15000000</v>
      </c>
      <c r="N190" s="2172">
        <f>IF(J190&lt;I190,J190*L190,IF(J190&gt;=I190,F190))-1*L190</f>
        <v>2475000</v>
      </c>
      <c r="O190" s="2171">
        <v>15000000</v>
      </c>
      <c r="P190" s="2649">
        <v>2475000</v>
      </c>
      <c r="Q190" s="2649"/>
      <c r="R190" s="2171"/>
      <c r="S190" s="2171"/>
      <c r="T190" s="2173"/>
      <c r="U190" s="2174">
        <f t="shared" si="19"/>
        <v>15000000</v>
      </c>
      <c r="V190" s="2174">
        <f t="shared" si="20"/>
        <v>2475000</v>
      </c>
      <c r="W190" s="2174"/>
      <c r="X190" s="2174">
        <f t="shared" si="22"/>
        <v>0</v>
      </c>
      <c r="Y190" s="2174">
        <f t="shared" si="23"/>
        <v>100</v>
      </c>
      <c r="Z190" s="2174">
        <f t="shared" si="24"/>
        <v>0</v>
      </c>
      <c r="AA190" s="2174">
        <f t="shared" si="25"/>
        <v>0</v>
      </c>
      <c r="AB190" s="2416"/>
      <c r="AC190" s="1504">
        <f t="shared" si="33"/>
        <v>0</v>
      </c>
      <c r="AD190" s="1503">
        <f t="shared" si="34"/>
        <v>0</v>
      </c>
      <c r="AE190" s="1503">
        <f t="shared" si="35"/>
        <v>0</v>
      </c>
      <c r="AF190" s="1502">
        <f t="shared" si="36"/>
        <v>0</v>
      </c>
    </row>
    <row r="191" spans="1:32" s="1474" customFormat="1" ht="23.25" customHeight="1">
      <c r="A191" s="2175">
        <v>126</v>
      </c>
      <c r="B191" s="2175" t="s">
        <v>1898</v>
      </c>
      <c r="C191" s="2416" t="s">
        <v>2615</v>
      </c>
      <c r="D191" s="2416">
        <v>10</v>
      </c>
      <c r="E191" s="2175">
        <v>30000000</v>
      </c>
      <c r="F191" s="2417">
        <f t="shared" si="17"/>
        <v>5400000</v>
      </c>
      <c r="G191" s="2418">
        <v>41988</v>
      </c>
      <c r="H191" s="2419">
        <v>0.18</v>
      </c>
      <c r="I191" s="2164">
        <v>12</v>
      </c>
      <c r="J191" s="2164">
        <v>12</v>
      </c>
      <c r="K191" s="2164">
        <f t="shared" si="39"/>
        <v>2500000</v>
      </c>
      <c r="L191" s="2164">
        <f t="shared" si="32"/>
        <v>450000</v>
      </c>
      <c r="M191" s="2172">
        <f t="shared" si="30"/>
        <v>30000000</v>
      </c>
      <c r="N191" s="2172">
        <f>IF(J191&lt;I191,J191*L191,IF(J191&gt;=I191,F191))-L191*2</f>
        <v>4500000</v>
      </c>
      <c r="O191" s="2171">
        <v>30000000</v>
      </c>
      <c r="P191" s="2649">
        <v>4500000</v>
      </c>
      <c r="Q191" s="2649"/>
      <c r="R191" s="2171"/>
      <c r="S191" s="2171"/>
      <c r="T191" s="2173"/>
      <c r="U191" s="2174">
        <f t="shared" si="19"/>
        <v>30000000</v>
      </c>
      <c r="V191" s="2174">
        <f t="shared" si="20"/>
        <v>4500000</v>
      </c>
      <c r="W191" s="2174"/>
      <c r="X191" s="2174">
        <f t="shared" si="22"/>
        <v>0</v>
      </c>
      <c r="Y191" s="2174">
        <f t="shared" si="23"/>
        <v>100</v>
      </c>
      <c r="Z191" s="2174">
        <f t="shared" si="24"/>
        <v>0</v>
      </c>
      <c r="AA191" s="2174">
        <f t="shared" si="25"/>
        <v>0</v>
      </c>
      <c r="AB191" s="2416"/>
      <c r="AC191" s="1504">
        <f t="shared" si="33"/>
        <v>0</v>
      </c>
      <c r="AD191" s="1503">
        <f t="shared" si="34"/>
        <v>0</v>
      </c>
      <c r="AE191" s="1503">
        <f t="shared" si="35"/>
        <v>0</v>
      </c>
      <c r="AF191" s="1502">
        <f t="shared" si="36"/>
        <v>0</v>
      </c>
    </row>
    <row r="192" spans="1:32" s="1474" customFormat="1" ht="23.25" customHeight="1">
      <c r="A192" s="2175">
        <v>127</v>
      </c>
      <c r="B192" s="2175" t="s">
        <v>2618</v>
      </c>
      <c r="C192" s="2416" t="s">
        <v>2615</v>
      </c>
      <c r="D192" s="2416">
        <v>10</v>
      </c>
      <c r="E192" s="2175">
        <v>30000000</v>
      </c>
      <c r="F192" s="2417">
        <f t="shared" si="17"/>
        <v>5400000</v>
      </c>
      <c r="G192" s="2418">
        <v>41988</v>
      </c>
      <c r="H192" s="2419">
        <v>0.18</v>
      </c>
      <c r="I192" s="2164">
        <v>12</v>
      </c>
      <c r="J192" s="2164">
        <v>12</v>
      </c>
      <c r="K192" s="2164">
        <f t="shared" si="39"/>
        <v>2500000</v>
      </c>
      <c r="L192" s="2164">
        <f t="shared" si="32"/>
        <v>450000</v>
      </c>
      <c r="M192" s="2172">
        <f t="shared" si="30"/>
        <v>30000000</v>
      </c>
      <c r="N192" s="2172">
        <f t="shared" ref="N192" si="40">IF(J192&lt;I192,J192*L192,IF(J192&gt;=I192,F192))-L192*2</f>
        <v>4500000</v>
      </c>
      <c r="O192" s="2171">
        <v>30000000</v>
      </c>
      <c r="P192" s="2649">
        <v>4500000</v>
      </c>
      <c r="Q192" s="2649"/>
      <c r="R192" s="2171"/>
      <c r="S192" s="2171"/>
      <c r="T192" s="2173"/>
      <c r="U192" s="2174">
        <f t="shared" si="19"/>
        <v>30000000</v>
      </c>
      <c r="V192" s="2174">
        <f t="shared" si="20"/>
        <v>4500000</v>
      </c>
      <c r="W192" s="2174"/>
      <c r="X192" s="2174">
        <f t="shared" si="22"/>
        <v>0</v>
      </c>
      <c r="Y192" s="2174">
        <f t="shared" si="23"/>
        <v>100</v>
      </c>
      <c r="Z192" s="2174">
        <f t="shared" si="24"/>
        <v>0</v>
      </c>
      <c r="AA192" s="2174">
        <f t="shared" si="25"/>
        <v>0</v>
      </c>
      <c r="AB192" s="2416"/>
      <c r="AC192" s="1504">
        <f t="shared" si="33"/>
        <v>0</v>
      </c>
      <c r="AD192" s="1503">
        <f t="shared" si="34"/>
        <v>0</v>
      </c>
      <c r="AE192" s="1503">
        <f t="shared" si="35"/>
        <v>0</v>
      </c>
      <c r="AF192" s="1502">
        <f t="shared" si="36"/>
        <v>0</v>
      </c>
    </row>
    <row r="193" spans="1:32" s="1474" customFormat="1" ht="23.25" customHeight="1">
      <c r="A193" s="2175">
        <v>128</v>
      </c>
      <c r="B193" s="2175" t="s">
        <v>1905</v>
      </c>
      <c r="C193" s="2416" t="s">
        <v>2615</v>
      </c>
      <c r="D193" s="2416">
        <v>12</v>
      </c>
      <c r="E193" s="2175">
        <v>40000000</v>
      </c>
      <c r="F193" s="2417">
        <f t="shared" si="17"/>
        <v>7200000</v>
      </c>
      <c r="G193" s="2418">
        <v>42047</v>
      </c>
      <c r="H193" s="2419">
        <v>0.18</v>
      </c>
      <c r="I193" s="2164">
        <v>12</v>
      </c>
      <c r="J193" s="2164">
        <v>12</v>
      </c>
      <c r="K193" s="2164">
        <v>3333300</v>
      </c>
      <c r="L193" s="2164">
        <f t="shared" si="32"/>
        <v>600000</v>
      </c>
      <c r="M193" s="2172">
        <f t="shared" si="30"/>
        <v>40000000</v>
      </c>
      <c r="N193" s="2172">
        <f t="shared" si="18"/>
        <v>7200000</v>
      </c>
      <c r="O193" s="2171">
        <v>36666300</v>
      </c>
      <c r="P193" s="2649">
        <v>6600000</v>
      </c>
      <c r="Q193" s="2649"/>
      <c r="R193" s="3023">
        <v>3333700</v>
      </c>
      <c r="S193" s="3023">
        <v>600000</v>
      </c>
      <c r="T193" s="2173"/>
      <c r="U193" s="2174">
        <f t="shared" si="19"/>
        <v>40000000</v>
      </c>
      <c r="V193" s="2174">
        <f t="shared" si="20"/>
        <v>7200000</v>
      </c>
      <c r="W193" s="2174"/>
      <c r="X193" s="2174">
        <f t="shared" si="22"/>
        <v>0</v>
      </c>
      <c r="Y193" s="2174">
        <f t="shared" si="23"/>
        <v>100</v>
      </c>
      <c r="Z193" s="2174">
        <f t="shared" si="24"/>
        <v>0</v>
      </c>
      <c r="AA193" s="2174">
        <f t="shared" si="25"/>
        <v>0</v>
      </c>
      <c r="AB193" s="2416"/>
      <c r="AC193" s="1504">
        <f t="shared" si="33"/>
        <v>0</v>
      </c>
      <c r="AD193" s="1503">
        <f t="shared" si="34"/>
        <v>0</v>
      </c>
      <c r="AE193" s="1503">
        <f t="shared" si="35"/>
        <v>0</v>
      </c>
      <c r="AF193" s="1502">
        <f t="shared" si="36"/>
        <v>0</v>
      </c>
    </row>
    <row r="194" spans="1:32" s="1474" customFormat="1" ht="23.25" customHeight="1">
      <c r="A194" s="2175">
        <v>129</v>
      </c>
      <c r="B194" s="2175" t="s">
        <v>2633</v>
      </c>
      <c r="C194" s="2416" t="s">
        <v>2615</v>
      </c>
      <c r="D194" s="2416">
        <v>10</v>
      </c>
      <c r="E194" s="2175">
        <v>40000000</v>
      </c>
      <c r="F194" s="2417">
        <f t="shared" si="17"/>
        <v>7200000</v>
      </c>
      <c r="G194" s="2418">
        <v>42047</v>
      </c>
      <c r="H194" s="2419">
        <v>0.18</v>
      </c>
      <c r="I194" s="2164">
        <v>12</v>
      </c>
      <c r="J194" s="2164">
        <v>12</v>
      </c>
      <c r="K194" s="2164">
        <v>3333300</v>
      </c>
      <c r="L194" s="2164">
        <f t="shared" si="32"/>
        <v>600000</v>
      </c>
      <c r="M194" s="2172">
        <f t="shared" si="30"/>
        <v>40000000</v>
      </c>
      <c r="N194" s="2172">
        <f>IF(J194&lt;I194,J194*L194,IF(J194&gt;=I194,F194))*1-L194</f>
        <v>6600000</v>
      </c>
      <c r="O194" s="2171">
        <v>40000000</v>
      </c>
      <c r="P194" s="2649">
        <v>6600000</v>
      </c>
      <c r="Q194" s="2649"/>
      <c r="R194" s="2171"/>
      <c r="S194" s="2171"/>
      <c r="T194" s="2173"/>
      <c r="U194" s="2174">
        <f t="shared" si="19"/>
        <v>40000000</v>
      </c>
      <c r="V194" s="2174">
        <f t="shared" si="20"/>
        <v>6600000</v>
      </c>
      <c r="W194" s="2174"/>
      <c r="X194" s="2174">
        <f t="shared" si="22"/>
        <v>0</v>
      </c>
      <c r="Y194" s="2174">
        <f t="shared" si="23"/>
        <v>100</v>
      </c>
      <c r="Z194" s="2174">
        <f t="shared" si="24"/>
        <v>0</v>
      </c>
      <c r="AA194" s="2174">
        <f t="shared" si="25"/>
        <v>0</v>
      </c>
      <c r="AB194" s="2416"/>
      <c r="AC194" s="1504">
        <f t="shared" si="33"/>
        <v>0</v>
      </c>
      <c r="AD194" s="1503">
        <f t="shared" si="34"/>
        <v>0</v>
      </c>
      <c r="AE194" s="1503">
        <f t="shared" si="35"/>
        <v>0</v>
      </c>
      <c r="AF194" s="1502">
        <f t="shared" si="36"/>
        <v>0</v>
      </c>
    </row>
    <row r="195" spans="1:32" s="1474" customFormat="1" ht="23.25" customHeight="1">
      <c r="A195" s="2175">
        <v>130</v>
      </c>
      <c r="B195" s="2175" t="s">
        <v>1939</v>
      </c>
      <c r="C195" s="2416" t="s">
        <v>2615</v>
      </c>
      <c r="D195" s="2416">
        <v>10</v>
      </c>
      <c r="E195" s="2175">
        <v>35000000</v>
      </c>
      <c r="F195" s="2417">
        <f t="shared" si="17"/>
        <v>6300000</v>
      </c>
      <c r="G195" s="2418">
        <v>42047</v>
      </c>
      <c r="H195" s="2419">
        <v>0.18</v>
      </c>
      <c r="I195" s="2164">
        <v>12</v>
      </c>
      <c r="J195" s="2164">
        <v>12</v>
      </c>
      <c r="K195" s="2164">
        <v>2916700</v>
      </c>
      <c r="L195" s="2164">
        <f t="shared" si="32"/>
        <v>525000</v>
      </c>
      <c r="M195" s="2172">
        <f t="shared" si="30"/>
        <v>35000000</v>
      </c>
      <c r="N195" s="2172">
        <f>IF(J195&lt;I195,J195*L195,IF(J195&gt;=I195,F195))*1-L195</f>
        <v>5775000</v>
      </c>
      <c r="O195" s="2171">
        <v>35000000</v>
      </c>
      <c r="P195" s="2649">
        <v>5775000</v>
      </c>
      <c r="Q195" s="2649"/>
      <c r="R195" s="2171"/>
      <c r="S195" s="2171"/>
      <c r="T195" s="2173"/>
      <c r="U195" s="2174">
        <f t="shared" si="19"/>
        <v>35000000</v>
      </c>
      <c r="V195" s="2174">
        <f t="shared" si="20"/>
        <v>5775000</v>
      </c>
      <c r="W195" s="2174"/>
      <c r="X195" s="2174">
        <f t="shared" si="22"/>
        <v>0</v>
      </c>
      <c r="Y195" s="2174">
        <f t="shared" si="23"/>
        <v>100</v>
      </c>
      <c r="Z195" s="2174">
        <f t="shared" si="24"/>
        <v>0</v>
      </c>
      <c r="AA195" s="2174">
        <f t="shared" si="25"/>
        <v>0</v>
      </c>
      <c r="AB195" s="2416"/>
      <c r="AC195" s="1504">
        <f t="shared" si="33"/>
        <v>0</v>
      </c>
      <c r="AD195" s="1503">
        <f t="shared" si="34"/>
        <v>0</v>
      </c>
      <c r="AE195" s="1503">
        <f t="shared" si="35"/>
        <v>0</v>
      </c>
      <c r="AF195" s="1502">
        <f t="shared" si="36"/>
        <v>0</v>
      </c>
    </row>
    <row r="196" spans="1:32" s="1474" customFormat="1" ht="23.25" customHeight="1">
      <c r="A196" s="2175">
        <v>131</v>
      </c>
      <c r="B196" s="2175" t="s">
        <v>2634</v>
      </c>
      <c r="C196" s="2416" t="s">
        <v>2615</v>
      </c>
      <c r="D196" s="2416">
        <v>10</v>
      </c>
      <c r="E196" s="2175">
        <v>35000000</v>
      </c>
      <c r="F196" s="2417">
        <f t="shared" si="17"/>
        <v>6300000</v>
      </c>
      <c r="G196" s="2418">
        <v>42047</v>
      </c>
      <c r="H196" s="2419">
        <v>0.18</v>
      </c>
      <c r="I196" s="2164">
        <v>12</v>
      </c>
      <c r="J196" s="2164">
        <v>12</v>
      </c>
      <c r="K196" s="2164">
        <v>2916700</v>
      </c>
      <c r="L196" s="2164">
        <f t="shared" si="32"/>
        <v>525000</v>
      </c>
      <c r="M196" s="2172">
        <f t="shared" si="30"/>
        <v>35000000</v>
      </c>
      <c r="N196" s="2172">
        <f>IF(J196&lt;I196,J196*L196,IF(J196&gt;=I196,F196))*1-L196</f>
        <v>5775000</v>
      </c>
      <c r="O196" s="2171">
        <v>35000000</v>
      </c>
      <c r="P196" s="2649">
        <v>5775000</v>
      </c>
      <c r="Q196" s="2649"/>
      <c r="R196" s="2171"/>
      <c r="S196" s="2171"/>
      <c r="T196" s="2173"/>
      <c r="U196" s="2174">
        <f t="shared" si="19"/>
        <v>35000000</v>
      </c>
      <c r="V196" s="2174">
        <f t="shared" si="20"/>
        <v>5775000</v>
      </c>
      <c r="W196" s="2174"/>
      <c r="X196" s="2174">
        <f t="shared" si="22"/>
        <v>0</v>
      </c>
      <c r="Y196" s="2174">
        <f t="shared" si="23"/>
        <v>100</v>
      </c>
      <c r="Z196" s="2174">
        <f t="shared" si="24"/>
        <v>0</v>
      </c>
      <c r="AA196" s="2174">
        <f t="shared" si="25"/>
        <v>0</v>
      </c>
      <c r="AB196" s="2416"/>
      <c r="AC196" s="1504">
        <f t="shared" si="33"/>
        <v>0</v>
      </c>
      <c r="AD196" s="1503">
        <f t="shared" si="34"/>
        <v>0</v>
      </c>
      <c r="AE196" s="1503">
        <f t="shared" si="35"/>
        <v>0</v>
      </c>
      <c r="AF196" s="1502">
        <f t="shared" si="36"/>
        <v>0</v>
      </c>
    </row>
    <row r="197" spans="1:32" s="1474" customFormat="1" ht="23.25" customHeight="1">
      <c r="A197" s="2175">
        <v>132</v>
      </c>
      <c r="B197" s="2175" t="s">
        <v>2214</v>
      </c>
      <c r="C197" s="2416" t="s">
        <v>2658</v>
      </c>
      <c r="D197" s="2416">
        <v>12</v>
      </c>
      <c r="E197" s="2175">
        <v>30000000</v>
      </c>
      <c r="F197" s="2417">
        <f t="shared" si="17"/>
        <v>5400000</v>
      </c>
      <c r="G197" s="2418">
        <v>42080</v>
      </c>
      <c r="H197" s="2419">
        <v>0.18</v>
      </c>
      <c r="I197" s="2164">
        <v>12</v>
      </c>
      <c r="J197" s="2164">
        <v>11</v>
      </c>
      <c r="K197" s="2164">
        <f t="shared" si="39"/>
        <v>2500000</v>
      </c>
      <c r="L197" s="2164">
        <f t="shared" si="32"/>
        <v>450000</v>
      </c>
      <c r="M197" s="2172">
        <f t="shared" si="30"/>
        <v>27500000</v>
      </c>
      <c r="N197" s="2172">
        <f t="shared" si="18"/>
        <v>4950000</v>
      </c>
      <c r="O197" s="2171">
        <v>25000000</v>
      </c>
      <c r="P197" s="2649">
        <v>4500000</v>
      </c>
      <c r="Q197" s="2649"/>
      <c r="R197" s="3023">
        <v>2500000</v>
      </c>
      <c r="S197" s="3023">
        <v>450000</v>
      </c>
      <c r="T197" s="2173"/>
      <c r="U197" s="2174">
        <f t="shared" si="19"/>
        <v>27500000</v>
      </c>
      <c r="V197" s="2174">
        <f t="shared" si="20"/>
        <v>4950000</v>
      </c>
      <c r="W197" s="2174"/>
      <c r="X197" s="2174">
        <f t="shared" si="22"/>
        <v>2500000</v>
      </c>
      <c r="Y197" s="2174">
        <f t="shared" si="23"/>
        <v>100</v>
      </c>
      <c r="Z197" s="2174">
        <f t="shared" si="24"/>
        <v>0</v>
      </c>
      <c r="AA197" s="2174">
        <f t="shared" si="25"/>
        <v>0</v>
      </c>
      <c r="AB197" s="2416"/>
      <c r="AC197" s="1504">
        <f t="shared" si="33"/>
        <v>0</v>
      </c>
      <c r="AD197" s="1503">
        <f t="shared" si="34"/>
        <v>0</v>
      </c>
      <c r="AE197" s="1503">
        <f t="shared" si="35"/>
        <v>0</v>
      </c>
      <c r="AF197" s="1502">
        <f t="shared" si="36"/>
        <v>0</v>
      </c>
    </row>
    <row r="198" spans="1:32" s="1474" customFormat="1" ht="23.25" customHeight="1">
      <c r="A198" s="2175">
        <v>133</v>
      </c>
      <c r="B198" s="2175" t="s">
        <v>1937</v>
      </c>
      <c r="C198" s="2416" t="s">
        <v>2615</v>
      </c>
      <c r="D198" s="2416">
        <v>12</v>
      </c>
      <c r="E198" s="2175">
        <v>21000000</v>
      </c>
      <c r="F198" s="2417">
        <f t="shared" si="17"/>
        <v>3780000</v>
      </c>
      <c r="G198" s="2418">
        <v>42108</v>
      </c>
      <c r="H198" s="2419">
        <v>0.18</v>
      </c>
      <c r="I198" s="2164">
        <v>12</v>
      </c>
      <c r="J198" s="2164">
        <v>10</v>
      </c>
      <c r="K198" s="2164">
        <f t="shared" si="39"/>
        <v>1750000</v>
      </c>
      <c r="L198" s="2164">
        <f t="shared" si="32"/>
        <v>315000</v>
      </c>
      <c r="M198" s="2172">
        <f t="shared" si="30"/>
        <v>17500000</v>
      </c>
      <c r="N198" s="2172">
        <f t="shared" si="18"/>
        <v>3150000</v>
      </c>
      <c r="O198" s="2171">
        <v>15750000</v>
      </c>
      <c r="P198" s="2649">
        <v>2835000</v>
      </c>
      <c r="Q198" s="2649"/>
      <c r="R198" s="3023">
        <v>1750000</v>
      </c>
      <c r="S198" s="3023">
        <v>315000</v>
      </c>
      <c r="T198" s="2173"/>
      <c r="U198" s="2174">
        <f t="shared" si="19"/>
        <v>17500000</v>
      </c>
      <c r="V198" s="2174">
        <f t="shared" si="20"/>
        <v>3150000</v>
      </c>
      <c r="W198" s="2174"/>
      <c r="X198" s="2174">
        <f t="shared" si="22"/>
        <v>3500000</v>
      </c>
      <c r="Y198" s="2174">
        <f t="shared" si="23"/>
        <v>100</v>
      </c>
      <c r="Z198" s="2174">
        <f t="shared" si="24"/>
        <v>0</v>
      </c>
      <c r="AA198" s="2174">
        <f t="shared" si="25"/>
        <v>0</v>
      </c>
      <c r="AB198" s="2416"/>
      <c r="AC198" s="1504"/>
      <c r="AD198" s="1503"/>
      <c r="AE198" s="1503"/>
      <c r="AF198" s="1502"/>
    </row>
    <row r="199" spans="1:32" s="1474" customFormat="1" ht="23.25" customHeight="1">
      <c r="A199" s="2175">
        <v>134</v>
      </c>
      <c r="B199" s="2175" t="s">
        <v>1930</v>
      </c>
      <c r="C199" s="2416" t="s">
        <v>2615</v>
      </c>
      <c r="D199" s="2416">
        <v>12</v>
      </c>
      <c r="E199" s="2175">
        <v>25000000</v>
      </c>
      <c r="F199" s="2417">
        <f t="shared" si="17"/>
        <v>4500000</v>
      </c>
      <c r="G199" s="2418">
        <v>42108</v>
      </c>
      <c r="H199" s="2419">
        <v>0.18</v>
      </c>
      <c r="I199" s="2164">
        <v>12</v>
      </c>
      <c r="J199" s="2164">
        <v>10</v>
      </c>
      <c r="K199" s="2164">
        <v>2083300</v>
      </c>
      <c r="L199" s="2164">
        <f t="shared" si="32"/>
        <v>375000</v>
      </c>
      <c r="M199" s="2172">
        <f t="shared" si="30"/>
        <v>20833000</v>
      </c>
      <c r="N199" s="2172">
        <f t="shared" si="18"/>
        <v>3750000</v>
      </c>
      <c r="O199" s="2171">
        <v>18749700</v>
      </c>
      <c r="P199" s="2649">
        <v>3375000</v>
      </c>
      <c r="Q199" s="2649"/>
      <c r="R199" s="3023">
        <v>2083300</v>
      </c>
      <c r="S199" s="3023">
        <v>375000</v>
      </c>
      <c r="T199" s="2173"/>
      <c r="U199" s="2174">
        <f t="shared" si="19"/>
        <v>20833000</v>
      </c>
      <c r="V199" s="2174">
        <f t="shared" si="20"/>
        <v>3750000</v>
      </c>
      <c r="W199" s="2174"/>
      <c r="X199" s="2174">
        <f t="shared" si="22"/>
        <v>4167000</v>
      </c>
      <c r="Y199" s="2174">
        <f t="shared" si="23"/>
        <v>100</v>
      </c>
      <c r="Z199" s="2174">
        <f t="shared" si="24"/>
        <v>0</v>
      </c>
      <c r="AA199" s="2174">
        <f t="shared" si="25"/>
        <v>0</v>
      </c>
      <c r="AB199" s="2416"/>
      <c r="AC199" s="1504"/>
      <c r="AD199" s="1503"/>
      <c r="AE199" s="1503"/>
      <c r="AF199" s="1502"/>
    </row>
    <row r="200" spans="1:32" s="1474" customFormat="1" ht="23.25" customHeight="1">
      <c r="A200" s="2175">
        <v>135</v>
      </c>
      <c r="B200" s="2175" t="s">
        <v>1927</v>
      </c>
      <c r="C200" s="2416" t="s">
        <v>2615</v>
      </c>
      <c r="D200" s="2416">
        <v>15</v>
      </c>
      <c r="E200" s="2175">
        <v>38000000</v>
      </c>
      <c r="F200" s="2417">
        <f t="shared" si="17"/>
        <v>6840000</v>
      </c>
      <c r="G200" s="2418">
        <v>42108</v>
      </c>
      <c r="H200" s="2419">
        <v>0.18</v>
      </c>
      <c r="I200" s="2164">
        <v>12</v>
      </c>
      <c r="J200" s="2164">
        <v>10</v>
      </c>
      <c r="K200" s="2164">
        <v>3166700</v>
      </c>
      <c r="L200" s="2164">
        <f t="shared" si="32"/>
        <v>570000</v>
      </c>
      <c r="M200" s="2172">
        <f t="shared" si="30"/>
        <v>31667000</v>
      </c>
      <c r="N200" s="2172">
        <f t="shared" si="18"/>
        <v>5700000</v>
      </c>
      <c r="O200" s="2171">
        <v>28500300</v>
      </c>
      <c r="P200" s="2649">
        <v>5130000</v>
      </c>
      <c r="Q200" s="2649"/>
      <c r="R200" s="3023">
        <v>3166700</v>
      </c>
      <c r="S200" s="3023">
        <v>570000</v>
      </c>
      <c r="T200" s="2173"/>
      <c r="U200" s="2174">
        <f t="shared" si="19"/>
        <v>31667000</v>
      </c>
      <c r="V200" s="2174">
        <f t="shared" si="20"/>
        <v>5700000</v>
      </c>
      <c r="W200" s="2174"/>
      <c r="X200" s="2174">
        <f t="shared" si="22"/>
        <v>6333000</v>
      </c>
      <c r="Y200" s="2174">
        <f t="shared" si="23"/>
        <v>100</v>
      </c>
      <c r="Z200" s="2174">
        <f t="shared" si="24"/>
        <v>0</v>
      </c>
      <c r="AA200" s="2174">
        <f t="shared" si="25"/>
        <v>0</v>
      </c>
      <c r="AB200" s="2416"/>
      <c r="AC200" s="1504"/>
      <c r="AD200" s="1503"/>
      <c r="AE200" s="1503"/>
      <c r="AF200" s="1502"/>
    </row>
    <row r="201" spans="1:32" s="1474" customFormat="1" ht="23.25" customHeight="1">
      <c r="A201" s="2175">
        <v>136</v>
      </c>
      <c r="B201" s="2175" t="s">
        <v>2272</v>
      </c>
      <c r="C201" s="2416" t="s">
        <v>2615</v>
      </c>
      <c r="D201" s="2416">
        <v>10</v>
      </c>
      <c r="E201" s="2175">
        <v>43000000</v>
      </c>
      <c r="F201" s="2417">
        <f t="shared" si="17"/>
        <v>7740000</v>
      </c>
      <c r="G201" s="2418">
        <v>42109</v>
      </c>
      <c r="H201" s="2419">
        <v>0.18</v>
      </c>
      <c r="I201" s="2164">
        <v>12</v>
      </c>
      <c r="J201" s="2164">
        <v>10</v>
      </c>
      <c r="K201" s="2164">
        <v>3583300</v>
      </c>
      <c r="L201" s="2164">
        <f t="shared" si="32"/>
        <v>645000</v>
      </c>
      <c r="M201" s="2172">
        <f t="shared" si="30"/>
        <v>35833000</v>
      </c>
      <c r="N201" s="2172">
        <f t="shared" si="18"/>
        <v>6450000</v>
      </c>
      <c r="O201" s="2171">
        <v>32249700</v>
      </c>
      <c r="P201" s="2649">
        <v>5805000</v>
      </c>
      <c r="Q201" s="2649"/>
      <c r="R201" s="3023">
        <v>3583300</v>
      </c>
      <c r="S201" s="3023">
        <v>645000</v>
      </c>
      <c r="T201" s="2173"/>
      <c r="U201" s="2174">
        <f t="shared" si="19"/>
        <v>35833000</v>
      </c>
      <c r="V201" s="2174">
        <f t="shared" si="20"/>
        <v>6450000</v>
      </c>
      <c r="W201" s="2174"/>
      <c r="X201" s="2174">
        <f t="shared" si="22"/>
        <v>7167000</v>
      </c>
      <c r="Y201" s="2174">
        <f t="shared" si="23"/>
        <v>100</v>
      </c>
      <c r="Z201" s="2174">
        <f t="shared" si="24"/>
        <v>0</v>
      </c>
      <c r="AA201" s="2174">
        <f t="shared" si="25"/>
        <v>0</v>
      </c>
      <c r="AB201" s="2416"/>
      <c r="AC201" s="1504"/>
      <c r="AD201" s="1503"/>
      <c r="AE201" s="1503"/>
      <c r="AF201" s="1502"/>
    </row>
    <row r="202" spans="1:32" s="1474" customFormat="1" ht="23.25" customHeight="1">
      <c r="A202" s="2175">
        <v>137</v>
      </c>
      <c r="B202" s="2175" t="s">
        <v>2540</v>
      </c>
      <c r="C202" s="2416" t="s">
        <v>2615</v>
      </c>
      <c r="D202" s="2416">
        <v>10</v>
      </c>
      <c r="E202" s="2175">
        <v>12000000</v>
      </c>
      <c r="F202" s="2417">
        <f t="shared" si="17"/>
        <v>2160000</v>
      </c>
      <c r="G202" s="2418">
        <v>42109</v>
      </c>
      <c r="H202" s="2419">
        <v>0.18</v>
      </c>
      <c r="I202" s="2164">
        <v>12</v>
      </c>
      <c r="J202" s="2164">
        <v>10</v>
      </c>
      <c r="K202" s="2164">
        <f t="shared" si="39"/>
        <v>1000000</v>
      </c>
      <c r="L202" s="2164">
        <f t="shared" si="32"/>
        <v>180000</v>
      </c>
      <c r="M202" s="2172">
        <f t="shared" si="30"/>
        <v>10000000</v>
      </c>
      <c r="N202" s="2172">
        <f t="shared" si="18"/>
        <v>1800000</v>
      </c>
      <c r="O202" s="2171">
        <v>9000000</v>
      </c>
      <c r="P202" s="2649">
        <v>1620000</v>
      </c>
      <c r="Q202" s="2649"/>
      <c r="R202" s="3023">
        <v>1000000</v>
      </c>
      <c r="S202" s="3023">
        <v>180000</v>
      </c>
      <c r="T202" s="2173"/>
      <c r="U202" s="2174">
        <f t="shared" si="19"/>
        <v>10000000</v>
      </c>
      <c r="V202" s="2174">
        <f t="shared" si="20"/>
        <v>1800000</v>
      </c>
      <c r="W202" s="2174"/>
      <c r="X202" s="2174">
        <f t="shared" si="22"/>
        <v>2000000</v>
      </c>
      <c r="Y202" s="2174">
        <f t="shared" si="23"/>
        <v>100</v>
      </c>
      <c r="Z202" s="2174">
        <f t="shared" si="24"/>
        <v>0</v>
      </c>
      <c r="AA202" s="2174">
        <f t="shared" si="25"/>
        <v>0</v>
      </c>
      <c r="AB202" s="2416"/>
      <c r="AC202" s="1504"/>
      <c r="AD202" s="1503"/>
      <c r="AE202" s="1503"/>
      <c r="AF202" s="1502"/>
    </row>
    <row r="203" spans="1:32" s="1474" customFormat="1" ht="23.25" customHeight="1">
      <c r="A203" s="2175">
        <v>138</v>
      </c>
      <c r="B203" s="2175" t="s">
        <v>2539</v>
      </c>
      <c r="C203" s="2416" t="s">
        <v>2615</v>
      </c>
      <c r="D203" s="2416">
        <v>10</v>
      </c>
      <c r="E203" s="2175">
        <v>50000000</v>
      </c>
      <c r="F203" s="2417">
        <f t="shared" si="17"/>
        <v>9000000</v>
      </c>
      <c r="G203" s="2418">
        <v>42115</v>
      </c>
      <c r="H203" s="2419">
        <v>0.18</v>
      </c>
      <c r="I203" s="2164">
        <v>12</v>
      </c>
      <c r="J203" s="2164">
        <v>10</v>
      </c>
      <c r="K203" s="2164">
        <v>4166700</v>
      </c>
      <c r="L203" s="2164">
        <f t="shared" si="32"/>
        <v>750000</v>
      </c>
      <c r="M203" s="2172">
        <f t="shared" si="30"/>
        <v>41667000</v>
      </c>
      <c r="N203" s="2172">
        <f t="shared" si="18"/>
        <v>7500000</v>
      </c>
      <c r="O203" s="2171">
        <v>37500300</v>
      </c>
      <c r="P203" s="2649">
        <v>6750000</v>
      </c>
      <c r="Q203" s="2649"/>
      <c r="R203" s="3023"/>
      <c r="S203" s="3023"/>
      <c r="T203" s="2173"/>
      <c r="U203" s="2174">
        <f t="shared" si="19"/>
        <v>37500300</v>
      </c>
      <c r="V203" s="2174">
        <f t="shared" si="20"/>
        <v>6750000</v>
      </c>
      <c r="W203" s="2174"/>
      <c r="X203" s="2174">
        <f t="shared" si="22"/>
        <v>12499700</v>
      </c>
      <c r="Y203" s="2174">
        <f t="shared" si="23"/>
        <v>90</v>
      </c>
      <c r="Z203" s="2174">
        <f t="shared" si="24"/>
        <v>4166700</v>
      </c>
      <c r="AA203" s="2174">
        <f t="shared" si="25"/>
        <v>750000</v>
      </c>
      <c r="AB203" s="2416"/>
      <c r="AC203" s="1504"/>
      <c r="AD203" s="1503"/>
      <c r="AE203" s="1503"/>
      <c r="AF203" s="1502"/>
    </row>
    <row r="204" spans="1:32" s="1474" customFormat="1" ht="23.25" customHeight="1">
      <c r="A204" s="2175">
        <v>139</v>
      </c>
      <c r="B204" s="2175" t="s">
        <v>1924</v>
      </c>
      <c r="C204" s="2416" t="s">
        <v>2615</v>
      </c>
      <c r="D204" s="2416">
        <v>12</v>
      </c>
      <c r="E204" s="2175">
        <v>32000000</v>
      </c>
      <c r="F204" s="2417">
        <f t="shared" si="17"/>
        <v>5760000</v>
      </c>
      <c r="G204" s="2418">
        <v>42115</v>
      </c>
      <c r="H204" s="2419">
        <v>0.18</v>
      </c>
      <c r="I204" s="2164">
        <v>12</v>
      </c>
      <c r="J204" s="2164">
        <v>10</v>
      </c>
      <c r="K204" s="2164">
        <v>2666700</v>
      </c>
      <c r="L204" s="2164">
        <f t="shared" si="32"/>
        <v>480000</v>
      </c>
      <c r="M204" s="2172">
        <f t="shared" si="30"/>
        <v>26667000</v>
      </c>
      <c r="N204" s="2172">
        <f t="shared" si="18"/>
        <v>4800000</v>
      </c>
      <c r="O204" s="2171">
        <v>24000300</v>
      </c>
      <c r="P204" s="2649">
        <v>4320000</v>
      </c>
      <c r="Q204" s="2649"/>
      <c r="R204" s="3023">
        <v>2666700</v>
      </c>
      <c r="S204" s="3023">
        <v>480000</v>
      </c>
      <c r="T204" s="2173"/>
      <c r="U204" s="2174">
        <f t="shared" si="19"/>
        <v>26667000</v>
      </c>
      <c r="V204" s="2174">
        <f t="shared" si="20"/>
        <v>4800000</v>
      </c>
      <c r="W204" s="2174"/>
      <c r="X204" s="2174">
        <f t="shared" si="22"/>
        <v>5333000</v>
      </c>
      <c r="Y204" s="2174">
        <f t="shared" si="23"/>
        <v>100</v>
      </c>
      <c r="Z204" s="2174">
        <f t="shared" si="24"/>
        <v>0</v>
      </c>
      <c r="AA204" s="2174">
        <f t="shared" si="25"/>
        <v>0</v>
      </c>
      <c r="AB204" s="2416"/>
      <c r="AC204" s="1504"/>
      <c r="AD204" s="1503"/>
      <c r="AE204" s="1503"/>
      <c r="AF204" s="1502"/>
    </row>
    <row r="205" spans="1:32" s="1474" customFormat="1" ht="23.25" customHeight="1">
      <c r="A205" s="2175">
        <v>140</v>
      </c>
      <c r="B205" s="2175" t="s">
        <v>1934</v>
      </c>
      <c r="C205" s="2416" t="s">
        <v>2658</v>
      </c>
      <c r="D205" s="2416">
        <v>15</v>
      </c>
      <c r="E205" s="2175">
        <v>45000000</v>
      </c>
      <c r="F205" s="2417">
        <f t="shared" si="17"/>
        <v>8100000</v>
      </c>
      <c r="G205" s="2418">
        <v>42142</v>
      </c>
      <c r="H205" s="2419">
        <v>0.18</v>
      </c>
      <c r="I205" s="2164">
        <v>12</v>
      </c>
      <c r="J205" s="2164">
        <v>9</v>
      </c>
      <c r="K205" s="2164">
        <f t="shared" si="39"/>
        <v>3750000</v>
      </c>
      <c r="L205" s="2164">
        <f t="shared" si="32"/>
        <v>675000</v>
      </c>
      <c r="M205" s="2172">
        <f t="shared" si="30"/>
        <v>33750000</v>
      </c>
      <c r="N205" s="2172">
        <f t="shared" si="18"/>
        <v>6075000</v>
      </c>
      <c r="O205" s="2171">
        <v>30000000</v>
      </c>
      <c r="P205" s="2649">
        <v>5400000</v>
      </c>
      <c r="Q205" s="2649"/>
      <c r="R205" s="3023">
        <v>3750000</v>
      </c>
      <c r="S205" s="3023">
        <v>675000</v>
      </c>
      <c r="T205" s="2173"/>
      <c r="U205" s="2174">
        <f t="shared" si="19"/>
        <v>33750000</v>
      </c>
      <c r="V205" s="2174">
        <f t="shared" si="20"/>
        <v>6075000</v>
      </c>
      <c r="W205" s="2174"/>
      <c r="X205" s="2174">
        <f t="shared" si="22"/>
        <v>11250000</v>
      </c>
      <c r="Y205" s="2174">
        <f t="shared" si="23"/>
        <v>100</v>
      </c>
      <c r="Z205" s="2174">
        <f t="shared" si="24"/>
        <v>0</v>
      </c>
      <c r="AA205" s="2174">
        <f t="shared" si="25"/>
        <v>0</v>
      </c>
      <c r="AB205" s="2416"/>
      <c r="AC205" s="1504">
        <f t="shared" si="33"/>
        <v>0</v>
      </c>
      <c r="AD205" s="1503">
        <f t="shared" si="34"/>
        <v>0</v>
      </c>
      <c r="AE205" s="1503">
        <f t="shared" si="35"/>
        <v>0</v>
      </c>
      <c r="AF205" s="1502">
        <f t="shared" si="36"/>
        <v>0</v>
      </c>
    </row>
    <row r="206" spans="1:32" s="1474" customFormat="1" ht="23.25" customHeight="1">
      <c r="A206" s="2175">
        <v>141</v>
      </c>
      <c r="B206" s="2175" t="s">
        <v>1908</v>
      </c>
      <c r="C206" s="2416" t="s">
        <v>2658</v>
      </c>
      <c r="D206" s="2416">
        <v>12</v>
      </c>
      <c r="E206" s="2175">
        <v>35000000</v>
      </c>
      <c r="F206" s="2417">
        <f t="shared" si="17"/>
        <v>6300000</v>
      </c>
      <c r="G206" s="2418">
        <v>42142</v>
      </c>
      <c r="H206" s="2419">
        <v>0.18</v>
      </c>
      <c r="I206" s="2164">
        <v>12</v>
      </c>
      <c r="J206" s="2164">
        <v>9</v>
      </c>
      <c r="K206" s="2164">
        <v>2916700</v>
      </c>
      <c r="L206" s="2164">
        <f t="shared" si="32"/>
        <v>525000</v>
      </c>
      <c r="M206" s="2172">
        <f t="shared" si="30"/>
        <v>26250300</v>
      </c>
      <c r="N206" s="2172">
        <f t="shared" si="18"/>
        <v>4725000</v>
      </c>
      <c r="O206" s="2171">
        <v>23333600</v>
      </c>
      <c r="P206" s="2649">
        <v>4200000</v>
      </c>
      <c r="Q206" s="2649"/>
      <c r="R206" s="3023">
        <v>2916700</v>
      </c>
      <c r="S206" s="3023">
        <v>525000</v>
      </c>
      <c r="T206" s="2173"/>
      <c r="U206" s="2174">
        <f t="shared" si="19"/>
        <v>26250300</v>
      </c>
      <c r="V206" s="2174">
        <f t="shared" si="20"/>
        <v>4725000</v>
      </c>
      <c r="W206" s="2174"/>
      <c r="X206" s="2174">
        <f t="shared" si="22"/>
        <v>8749700</v>
      </c>
      <c r="Y206" s="2174">
        <f t="shared" si="23"/>
        <v>100</v>
      </c>
      <c r="Z206" s="2174">
        <f t="shared" si="24"/>
        <v>0</v>
      </c>
      <c r="AA206" s="2174">
        <f t="shared" si="25"/>
        <v>0</v>
      </c>
      <c r="AB206" s="2416"/>
      <c r="AC206" s="1504">
        <f t="shared" si="33"/>
        <v>0</v>
      </c>
      <c r="AD206" s="1503">
        <f t="shared" si="34"/>
        <v>0</v>
      </c>
      <c r="AE206" s="1503">
        <f t="shared" si="35"/>
        <v>0</v>
      </c>
      <c r="AF206" s="1502">
        <f t="shared" si="36"/>
        <v>0</v>
      </c>
    </row>
    <row r="207" spans="1:32" s="1474" customFormat="1" ht="23.25" customHeight="1">
      <c r="A207" s="2175">
        <v>142</v>
      </c>
      <c r="B207" s="2175" t="s">
        <v>2669</v>
      </c>
      <c r="C207" s="2416" t="s">
        <v>2658</v>
      </c>
      <c r="D207" s="2416">
        <v>12</v>
      </c>
      <c r="E207" s="2175">
        <v>15000000</v>
      </c>
      <c r="F207" s="2417">
        <f t="shared" si="17"/>
        <v>2700000</v>
      </c>
      <c r="G207" s="2418">
        <v>42142</v>
      </c>
      <c r="H207" s="2419">
        <v>0.18</v>
      </c>
      <c r="I207" s="2164">
        <v>12</v>
      </c>
      <c r="J207" s="2164">
        <v>9</v>
      </c>
      <c r="K207" s="2164">
        <f t="shared" si="39"/>
        <v>1250000</v>
      </c>
      <c r="L207" s="2164">
        <f t="shared" si="32"/>
        <v>225000</v>
      </c>
      <c r="M207" s="2172">
        <f t="shared" si="30"/>
        <v>11250000</v>
      </c>
      <c r="N207" s="2172">
        <f t="shared" si="18"/>
        <v>2025000</v>
      </c>
      <c r="O207" s="2171">
        <v>10000000</v>
      </c>
      <c r="P207" s="2649">
        <v>1800000</v>
      </c>
      <c r="Q207" s="2649"/>
      <c r="R207" s="3023">
        <v>1250000</v>
      </c>
      <c r="S207" s="3023">
        <v>225000</v>
      </c>
      <c r="T207" s="2175"/>
      <c r="U207" s="2174">
        <f t="shared" si="19"/>
        <v>11250000</v>
      </c>
      <c r="V207" s="2174">
        <f t="shared" si="20"/>
        <v>2025000</v>
      </c>
      <c r="W207" s="2174"/>
      <c r="X207" s="2174">
        <f t="shared" si="22"/>
        <v>3750000</v>
      </c>
      <c r="Y207" s="2174">
        <f t="shared" si="23"/>
        <v>100</v>
      </c>
      <c r="Z207" s="2174">
        <f t="shared" si="24"/>
        <v>0</v>
      </c>
      <c r="AA207" s="2174">
        <f t="shared" si="25"/>
        <v>0</v>
      </c>
      <c r="AB207" s="2416"/>
      <c r="AC207" s="1504">
        <f t="shared" si="33"/>
        <v>0</v>
      </c>
      <c r="AD207" s="1503">
        <f t="shared" si="34"/>
        <v>0</v>
      </c>
      <c r="AE207" s="1503">
        <f t="shared" si="35"/>
        <v>0</v>
      </c>
      <c r="AF207" s="1502">
        <f t="shared" si="36"/>
        <v>0</v>
      </c>
    </row>
    <row r="208" spans="1:32" s="1474" customFormat="1" ht="23.25" customHeight="1">
      <c r="A208" s="2175">
        <v>143</v>
      </c>
      <c r="B208" s="2175" t="s">
        <v>1901</v>
      </c>
      <c r="C208" s="2416" t="s">
        <v>2658</v>
      </c>
      <c r="D208" s="2416">
        <v>12</v>
      </c>
      <c r="E208" s="2175">
        <v>38000000</v>
      </c>
      <c r="F208" s="2417">
        <f>E208*H208</f>
        <v>6840000</v>
      </c>
      <c r="G208" s="3174">
        <v>42171</v>
      </c>
      <c r="H208" s="2419">
        <v>0.18</v>
      </c>
      <c r="I208" s="2164">
        <v>12</v>
      </c>
      <c r="J208" s="2164">
        <v>8</v>
      </c>
      <c r="K208" s="2164">
        <f>ROUND(E208/I208,-2)</f>
        <v>3166700</v>
      </c>
      <c r="L208" s="2164">
        <f t="shared" ref="L208:L217" si="41">F208/I208</f>
        <v>570000</v>
      </c>
      <c r="M208" s="2172">
        <f t="shared" si="30"/>
        <v>25333600</v>
      </c>
      <c r="N208" s="2172">
        <f t="shared" si="18"/>
        <v>4560000</v>
      </c>
      <c r="O208" s="2171">
        <v>22166900</v>
      </c>
      <c r="P208" s="2649">
        <v>3990000</v>
      </c>
      <c r="Q208" s="2649"/>
      <c r="R208" s="3023">
        <v>3166700</v>
      </c>
      <c r="S208" s="3023">
        <v>570000</v>
      </c>
      <c r="T208" s="2173"/>
      <c r="U208" s="2174">
        <f>SUM(O208+R208)</f>
        <v>25333600</v>
      </c>
      <c r="V208" s="2174">
        <f t="shared" si="20"/>
        <v>4560000</v>
      </c>
      <c r="W208" s="2174"/>
      <c r="X208" s="2174">
        <f t="shared" si="22"/>
        <v>12666400</v>
      </c>
      <c r="Y208" s="2174">
        <f t="shared" si="23"/>
        <v>100</v>
      </c>
      <c r="Z208" s="2174">
        <f t="shared" si="24"/>
        <v>0</v>
      </c>
      <c r="AA208" s="2174">
        <f t="shared" si="25"/>
        <v>0</v>
      </c>
      <c r="AB208" s="2416"/>
      <c r="AC208" s="1504">
        <f t="shared" si="33"/>
        <v>0</v>
      </c>
      <c r="AD208" s="1503">
        <f t="shared" si="34"/>
        <v>0</v>
      </c>
      <c r="AE208" s="1503">
        <f t="shared" si="35"/>
        <v>0</v>
      </c>
      <c r="AF208" s="1502">
        <f t="shared" si="36"/>
        <v>0</v>
      </c>
    </row>
    <row r="209" spans="1:32" s="1474" customFormat="1" ht="23.25" customHeight="1">
      <c r="A209" s="2175">
        <v>144</v>
      </c>
      <c r="B209" s="2175" t="s">
        <v>1907</v>
      </c>
      <c r="C209" s="2416" t="s">
        <v>2670</v>
      </c>
      <c r="D209" s="2416">
        <v>12</v>
      </c>
      <c r="E209" s="2175">
        <v>35000000</v>
      </c>
      <c r="F209" s="2417">
        <f>E209*H209</f>
        <v>6300000</v>
      </c>
      <c r="G209" s="2418">
        <v>42229</v>
      </c>
      <c r="H209" s="2419">
        <v>0.18</v>
      </c>
      <c r="I209" s="2164">
        <v>12</v>
      </c>
      <c r="J209" s="2164">
        <v>6</v>
      </c>
      <c r="K209" s="2164">
        <f>ROUND(E209/I209,-2)</f>
        <v>2916700</v>
      </c>
      <c r="L209" s="2164">
        <f t="shared" si="41"/>
        <v>525000</v>
      </c>
      <c r="M209" s="2172">
        <f t="shared" ref="M209:M215" si="42">IF(J209&lt;I209,J209*K209,IF(J209&gt;=I209,E209))</f>
        <v>17500200</v>
      </c>
      <c r="N209" s="2172">
        <f t="shared" ref="N209:N215" si="43">IF(J209&lt;I209,J209*L209,IF(J209&gt;=I209,F209))</f>
        <v>3150000</v>
      </c>
      <c r="O209" s="2171">
        <v>14583500</v>
      </c>
      <c r="P209" s="2649">
        <v>2625000</v>
      </c>
      <c r="Q209" s="2649"/>
      <c r="R209" s="3023">
        <v>2916700</v>
      </c>
      <c r="S209" s="3023">
        <v>525000</v>
      </c>
      <c r="T209" s="2173"/>
      <c r="U209" s="2174">
        <f>SUM(O209+R209)</f>
        <v>17500200</v>
      </c>
      <c r="V209" s="2174">
        <f t="shared" si="20"/>
        <v>3150000</v>
      </c>
      <c r="W209" s="2174"/>
      <c r="X209" s="2174">
        <f t="shared" ref="X209:X215" si="44">SUM(E209-U209)</f>
        <v>17499800</v>
      </c>
      <c r="Y209" s="2174">
        <f t="shared" ref="Y209:Y215" si="45">SUM(U209/M209)*100</f>
        <v>100</v>
      </c>
      <c r="Z209" s="2174">
        <f t="shared" ref="Z209:Z215" si="46">SUM(M209-U209)</f>
        <v>0</v>
      </c>
      <c r="AA209" s="2174">
        <f t="shared" ref="AA209:AA215" si="47">SUM(N209-V209)</f>
        <v>0</v>
      </c>
      <c r="AB209" s="2416"/>
      <c r="AC209" s="1504"/>
      <c r="AD209" s="1503"/>
      <c r="AE209" s="1503"/>
      <c r="AF209" s="1502"/>
    </row>
    <row r="210" spans="1:32" s="1474" customFormat="1" ht="23.25" customHeight="1">
      <c r="A210" s="2175">
        <v>145</v>
      </c>
      <c r="B210" s="2175" t="s">
        <v>2702</v>
      </c>
      <c r="C210" s="2416" t="s">
        <v>2670</v>
      </c>
      <c r="D210" s="2416">
        <v>8</v>
      </c>
      <c r="E210" s="2175">
        <v>32000000</v>
      </c>
      <c r="F210" s="2417">
        <f t="shared" ref="F210:F215" si="48">E210*H210</f>
        <v>5760000</v>
      </c>
      <c r="G210" s="2418">
        <v>42250</v>
      </c>
      <c r="H210" s="2419">
        <v>0.18</v>
      </c>
      <c r="I210" s="2164">
        <v>12</v>
      </c>
      <c r="J210" s="2164">
        <v>5</v>
      </c>
      <c r="K210" s="2164">
        <f>ROUND(E210/I210,-2)</f>
        <v>2666700</v>
      </c>
      <c r="L210" s="2164">
        <f t="shared" si="41"/>
        <v>480000</v>
      </c>
      <c r="M210" s="2172">
        <f t="shared" si="42"/>
        <v>13333500</v>
      </c>
      <c r="N210" s="2172">
        <f t="shared" si="43"/>
        <v>2400000</v>
      </c>
      <c r="O210" s="2171">
        <v>10666800</v>
      </c>
      <c r="P210" s="2649">
        <v>1920000</v>
      </c>
      <c r="Q210" s="2649"/>
      <c r="R210" s="3023">
        <v>2666700</v>
      </c>
      <c r="S210" s="3023">
        <v>480000</v>
      </c>
      <c r="T210" s="2173"/>
      <c r="U210" s="2174">
        <f t="shared" ref="U210:U216" si="49">SUM(O210+R210)</f>
        <v>13333500</v>
      </c>
      <c r="V210" s="2174">
        <f t="shared" ref="V210:V216" si="50">SUM(P210+S210)</f>
        <v>2400000</v>
      </c>
      <c r="W210" s="2174"/>
      <c r="X210" s="2174">
        <f t="shared" si="44"/>
        <v>18666500</v>
      </c>
      <c r="Y210" s="2174">
        <f t="shared" si="45"/>
        <v>100</v>
      </c>
      <c r="Z210" s="2174">
        <f t="shared" si="46"/>
        <v>0</v>
      </c>
      <c r="AA210" s="2174">
        <f t="shared" si="47"/>
        <v>0</v>
      </c>
      <c r="AB210" s="2416"/>
      <c r="AC210" s="1504"/>
      <c r="AD210" s="1503"/>
      <c r="AE210" s="1503"/>
      <c r="AF210" s="1502"/>
    </row>
    <row r="211" spans="1:32" s="1474" customFormat="1" ht="23.25" customHeight="1">
      <c r="A211" s="2175">
        <v>146</v>
      </c>
      <c r="B211" s="2175" t="s">
        <v>1936</v>
      </c>
      <c r="C211" s="2416" t="s">
        <v>2670</v>
      </c>
      <c r="D211" s="2416">
        <v>15</v>
      </c>
      <c r="E211" s="2175">
        <v>42500000</v>
      </c>
      <c r="F211" s="2417">
        <f t="shared" si="48"/>
        <v>7650000</v>
      </c>
      <c r="G211" s="2418">
        <v>42250</v>
      </c>
      <c r="H211" s="2419">
        <v>0.18</v>
      </c>
      <c r="I211" s="2164">
        <v>12</v>
      </c>
      <c r="J211" s="2164">
        <v>5</v>
      </c>
      <c r="K211" s="2164">
        <f>ROUND(E211/I211,-2)</f>
        <v>3541700</v>
      </c>
      <c r="L211" s="2164">
        <f t="shared" si="41"/>
        <v>637500</v>
      </c>
      <c r="M211" s="2172">
        <f t="shared" si="42"/>
        <v>17708500</v>
      </c>
      <c r="N211" s="2172">
        <f t="shared" si="43"/>
        <v>3187500</v>
      </c>
      <c r="O211" s="2171">
        <v>14166800</v>
      </c>
      <c r="P211" s="2649">
        <v>2550000</v>
      </c>
      <c r="Q211" s="2649"/>
      <c r="R211" s="3023">
        <v>3541700</v>
      </c>
      <c r="S211" s="3023">
        <v>637500</v>
      </c>
      <c r="T211" s="2173"/>
      <c r="U211" s="2174">
        <f t="shared" si="49"/>
        <v>17708500</v>
      </c>
      <c r="V211" s="2174">
        <f t="shared" si="50"/>
        <v>3187500</v>
      </c>
      <c r="W211" s="2174"/>
      <c r="X211" s="2174">
        <f t="shared" si="44"/>
        <v>24791500</v>
      </c>
      <c r="Y211" s="2174">
        <f t="shared" si="45"/>
        <v>100</v>
      </c>
      <c r="Z211" s="2174">
        <f t="shared" si="46"/>
        <v>0</v>
      </c>
      <c r="AA211" s="2174">
        <f t="shared" si="47"/>
        <v>0</v>
      </c>
      <c r="AB211" s="2416"/>
      <c r="AC211" s="1504"/>
      <c r="AD211" s="1503"/>
      <c r="AE211" s="1503"/>
      <c r="AF211" s="1502"/>
    </row>
    <row r="212" spans="1:32" s="1474" customFormat="1" ht="23.25" customHeight="1">
      <c r="A212" s="2175">
        <v>147</v>
      </c>
      <c r="B212" s="2175" t="s">
        <v>1944</v>
      </c>
      <c r="C212" s="2416" t="s">
        <v>2689</v>
      </c>
      <c r="D212" s="2416">
        <v>8</v>
      </c>
      <c r="E212" s="2175">
        <v>16000000</v>
      </c>
      <c r="F212" s="2417">
        <f t="shared" si="48"/>
        <v>2880000</v>
      </c>
      <c r="G212" s="2418">
        <v>42250</v>
      </c>
      <c r="H212" s="2419">
        <v>0.18</v>
      </c>
      <c r="I212" s="2164">
        <v>12</v>
      </c>
      <c r="J212" s="2164">
        <v>5</v>
      </c>
      <c r="K212" s="2164">
        <f t="shared" ref="K212:K217" si="51">ROUND(E212/I212,-2)</f>
        <v>1333300</v>
      </c>
      <c r="L212" s="2164">
        <f t="shared" si="41"/>
        <v>240000</v>
      </c>
      <c r="M212" s="2172">
        <f t="shared" si="42"/>
        <v>6666500</v>
      </c>
      <c r="N212" s="2172">
        <f t="shared" si="43"/>
        <v>1200000</v>
      </c>
      <c r="O212" s="2171">
        <v>5333200</v>
      </c>
      <c r="P212" s="2649">
        <v>960000</v>
      </c>
      <c r="Q212" s="2649"/>
      <c r="R212" s="3023">
        <v>1333300</v>
      </c>
      <c r="S212" s="3023">
        <v>240000</v>
      </c>
      <c r="T212" s="2173"/>
      <c r="U212" s="2174">
        <f t="shared" si="49"/>
        <v>6666500</v>
      </c>
      <c r="V212" s="2174">
        <f t="shared" si="50"/>
        <v>1200000</v>
      </c>
      <c r="W212" s="2174"/>
      <c r="X212" s="2174">
        <f t="shared" si="44"/>
        <v>9333500</v>
      </c>
      <c r="Y212" s="2174">
        <f t="shared" si="45"/>
        <v>100</v>
      </c>
      <c r="Z212" s="2174">
        <f t="shared" si="46"/>
        <v>0</v>
      </c>
      <c r="AA212" s="2174">
        <f t="shared" si="47"/>
        <v>0</v>
      </c>
      <c r="AB212" s="2416"/>
      <c r="AC212" s="1504"/>
      <c r="AD212" s="1503"/>
      <c r="AE212" s="1503"/>
      <c r="AF212" s="1502"/>
    </row>
    <row r="213" spans="1:32" s="1474" customFormat="1" ht="23.25" customHeight="1">
      <c r="A213" s="2175">
        <v>148</v>
      </c>
      <c r="B213" s="2175" t="s">
        <v>2703</v>
      </c>
      <c r="C213" s="2416" t="s">
        <v>2670</v>
      </c>
      <c r="D213" s="2416">
        <v>7</v>
      </c>
      <c r="E213" s="2175">
        <v>28000000</v>
      </c>
      <c r="F213" s="2417">
        <f t="shared" si="48"/>
        <v>5040000</v>
      </c>
      <c r="G213" s="2418">
        <v>42250</v>
      </c>
      <c r="H213" s="2419">
        <v>0.18</v>
      </c>
      <c r="I213" s="2164">
        <v>12</v>
      </c>
      <c r="J213" s="2164">
        <v>5</v>
      </c>
      <c r="K213" s="2164">
        <f t="shared" si="51"/>
        <v>2333300</v>
      </c>
      <c r="L213" s="2164">
        <f t="shared" si="41"/>
        <v>420000</v>
      </c>
      <c r="M213" s="2172">
        <f t="shared" si="42"/>
        <v>11666500</v>
      </c>
      <c r="N213" s="2172">
        <f t="shared" si="43"/>
        <v>2100000</v>
      </c>
      <c r="O213" s="2171">
        <v>9333200</v>
      </c>
      <c r="P213" s="2649">
        <v>1680000</v>
      </c>
      <c r="Q213" s="2649"/>
      <c r="R213" s="3023">
        <v>2333300</v>
      </c>
      <c r="S213" s="3023">
        <v>420000</v>
      </c>
      <c r="T213" s="2173"/>
      <c r="U213" s="2174">
        <f t="shared" si="49"/>
        <v>11666500</v>
      </c>
      <c r="V213" s="2174">
        <f t="shared" si="50"/>
        <v>2100000</v>
      </c>
      <c r="W213" s="2174"/>
      <c r="X213" s="2174">
        <f t="shared" si="44"/>
        <v>16333500</v>
      </c>
      <c r="Y213" s="2174">
        <f t="shared" si="45"/>
        <v>100</v>
      </c>
      <c r="Z213" s="2174">
        <f t="shared" si="46"/>
        <v>0</v>
      </c>
      <c r="AA213" s="2174">
        <f t="shared" si="47"/>
        <v>0</v>
      </c>
      <c r="AB213" s="2416"/>
      <c r="AC213" s="1504"/>
      <c r="AD213" s="1503"/>
      <c r="AE213" s="1503"/>
      <c r="AF213" s="1502"/>
    </row>
    <row r="214" spans="1:32" s="1474" customFormat="1" ht="23.25" customHeight="1">
      <c r="A214" s="2175">
        <v>149</v>
      </c>
      <c r="B214" s="2175" t="s">
        <v>1914</v>
      </c>
      <c r="C214" s="2416" t="s">
        <v>2670</v>
      </c>
      <c r="D214" s="2416">
        <v>13</v>
      </c>
      <c r="E214" s="2175">
        <v>38500000</v>
      </c>
      <c r="F214" s="2417">
        <f t="shared" si="48"/>
        <v>6930000</v>
      </c>
      <c r="G214" s="2418">
        <v>42257</v>
      </c>
      <c r="H214" s="2419">
        <v>0.18</v>
      </c>
      <c r="I214" s="2164">
        <v>12</v>
      </c>
      <c r="J214" s="2164">
        <v>5</v>
      </c>
      <c r="K214" s="2164">
        <f t="shared" si="51"/>
        <v>3208300</v>
      </c>
      <c r="L214" s="2164">
        <f t="shared" si="41"/>
        <v>577500</v>
      </c>
      <c r="M214" s="2172">
        <f t="shared" si="42"/>
        <v>16041500</v>
      </c>
      <c r="N214" s="2172">
        <f t="shared" si="43"/>
        <v>2887500</v>
      </c>
      <c r="O214" s="2171">
        <v>12833200</v>
      </c>
      <c r="P214" s="2649">
        <v>2310000</v>
      </c>
      <c r="Q214" s="2649"/>
      <c r="R214" s="3023">
        <v>3208300</v>
      </c>
      <c r="S214" s="3023">
        <v>577500</v>
      </c>
      <c r="T214" s="2173"/>
      <c r="U214" s="2174">
        <f t="shared" si="49"/>
        <v>16041500</v>
      </c>
      <c r="V214" s="2174">
        <f t="shared" si="50"/>
        <v>2887500</v>
      </c>
      <c r="W214" s="2174"/>
      <c r="X214" s="2174">
        <f t="shared" si="44"/>
        <v>22458500</v>
      </c>
      <c r="Y214" s="2174">
        <f t="shared" si="45"/>
        <v>100</v>
      </c>
      <c r="Z214" s="2174">
        <f t="shared" si="46"/>
        <v>0</v>
      </c>
      <c r="AA214" s="2174">
        <f t="shared" si="47"/>
        <v>0</v>
      </c>
      <c r="AB214" s="2416"/>
      <c r="AC214" s="1504"/>
      <c r="AD214" s="1503"/>
      <c r="AE214" s="1503"/>
      <c r="AF214" s="1502"/>
    </row>
    <row r="215" spans="1:32" s="1474" customFormat="1" ht="23.25" customHeight="1">
      <c r="A215" s="2175">
        <v>150</v>
      </c>
      <c r="B215" s="2175" t="s">
        <v>1915</v>
      </c>
      <c r="C215" s="2416" t="s">
        <v>2670</v>
      </c>
      <c r="D215" s="2416">
        <v>12</v>
      </c>
      <c r="E215" s="2175">
        <v>36000000</v>
      </c>
      <c r="F215" s="2417">
        <f t="shared" si="48"/>
        <v>6480000</v>
      </c>
      <c r="G215" s="2418">
        <v>42257</v>
      </c>
      <c r="H215" s="2419">
        <v>0.18</v>
      </c>
      <c r="I215" s="2164">
        <v>12</v>
      </c>
      <c r="J215" s="2164">
        <v>5</v>
      </c>
      <c r="K215" s="2164">
        <f t="shared" si="51"/>
        <v>3000000</v>
      </c>
      <c r="L215" s="2164">
        <f t="shared" si="41"/>
        <v>540000</v>
      </c>
      <c r="M215" s="2172">
        <f t="shared" si="42"/>
        <v>15000000</v>
      </c>
      <c r="N215" s="2172">
        <f t="shared" si="43"/>
        <v>2700000</v>
      </c>
      <c r="O215" s="2171">
        <v>12000000</v>
      </c>
      <c r="P215" s="2649">
        <v>2160000</v>
      </c>
      <c r="Q215" s="2649"/>
      <c r="R215" s="3023">
        <v>3000000</v>
      </c>
      <c r="S215" s="3023">
        <v>540000</v>
      </c>
      <c r="T215" s="2173"/>
      <c r="U215" s="2174">
        <f t="shared" si="49"/>
        <v>15000000</v>
      </c>
      <c r="V215" s="2174">
        <f t="shared" si="50"/>
        <v>2700000</v>
      </c>
      <c r="W215" s="2174"/>
      <c r="X215" s="2174">
        <f t="shared" si="44"/>
        <v>21000000</v>
      </c>
      <c r="Y215" s="2174">
        <f t="shared" si="45"/>
        <v>100</v>
      </c>
      <c r="Z215" s="2174">
        <f t="shared" si="46"/>
        <v>0</v>
      </c>
      <c r="AA215" s="2174">
        <f t="shared" si="47"/>
        <v>0</v>
      </c>
      <c r="AB215" s="2416"/>
      <c r="AC215" s="1504"/>
      <c r="AD215" s="1503"/>
      <c r="AE215" s="1503"/>
      <c r="AF215" s="1502"/>
    </row>
    <row r="216" spans="1:32" s="1474" customFormat="1" ht="23.25" customHeight="1">
      <c r="A216" s="2175">
        <v>151</v>
      </c>
      <c r="B216" s="2175" t="s">
        <v>2706</v>
      </c>
      <c r="C216" s="2416" t="s">
        <v>2689</v>
      </c>
      <c r="D216" s="2416">
        <v>7</v>
      </c>
      <c r="E216" s="2175">
        <v>5000000</v>
      </c>
      <c r="F216" s="2417">
        <f t="shared" si="17"/>
        <v>900000</v>
      </c>
      <c r="G216" s="2418">
        <v>42279</v>
      </c>
      <c r="H216" s="2419">
        <v>0.18</v>
      </c>
      <c r="I216" s="2164">
        <v>12</v>
      </c>
      <c r="J216" s="2164">
        <v>4</v>
      </c>
      <c r="K216" s="2164">
        <f t="shared" si="51"/>
        <v>416700</v>
      </c>
      <c r="L216" s="2164">
        <f t="shared" si="41"/>
        <v>75000</v>
      </c>
      <c r="M216" s="2172">
        <f t="shared" si="30"/>
        <v>1666800</v>
      </c>
      <c r="N216" s="2172">
        <f t="shared" si="18"/>
        <v>300000</v>
      </c>
      <c r="O216" s="2171">
        <v>1250100</v>
      </c>
      <c r="P216" s="2649">
        <v>225000</v>
      </c>
      <c r="Q216" s="2649"/>
      <c r="R216" s="3023">
        <v>416700</v>
      </c>
      <c r="S216" s="3023">
        <v>75000</v>
      </c>
      <c r="T216" s="2173"/>
      <c r="U216" s="2174">
        <f t="shared" si="49"/>
        <v>1666800</v>
      </c>
      <c r="V216" s="2174">
        <f t="shared" si="50"/>
        <v>300000</v>
      </c>
      <c r="W216" s="2174"/>
      <c r="X216" s="2174">
        <f t="shared" si="22"/>
        <v>3333200</v>
      </c>
      <c r="Y216" s="2174">
        <f t="shared" si="23"/>
        <v>100</v>
      </c>
      <c r="Z216" s="2174">
        <f t="shared" si="24"/>
        <v>0</v>
      </c>
      <c r="AA216" s="2174">
        <f t="shared" si="25"/>
        <v>0</v>
      </c>
      <c r="AB216" s="2416"/>
      <c r="AC216" s="1504">
        <f t="shared" si="33"/>
        <v>0</v>
      </c>
      <c r="AD216" s="1503">
        <f t="shared" si="34"/>
        <v>0</v>
      </c>
      <c r="AE216" s="1503">
        <f t="shared" si="35"/>
        <v>0</v>
      </c>
      <c r="AF216" s="1502">
        <f t="shared" si="36"/>
        <v>0</v>
      </c>
    </row>
    <row r="217" spans="1:32" s="1474" customFormat="1" ht="23.25" customHeight="1">
      <c r="A217" s="2175">
        <v>152</v>
      </c>
      <c r="B217" s="2175" t="s">
        <v>2707</v>
      </c>
      <c r="C217" s="2416" t="s">
        <v>2689</v>
      </c>
      <c r="D217" s="2416">
        <v>10</v>
      </c>
      <c r="E217" s="2175">
        <v>10000000</v>
      </c>
      <c r="F217" s="2417">
        <f t="shared" si="17"/>
        <v>1800000</v>
      </c>
      <c r="G217" s="2418">
        <v>42293</v>
      </c>
      <c r="H217" s="2419">
        <v>0.18</v>
      </c>
      <c r="I217" s="2164">
        <v>12</v>
      </c>
      <c r="J217" s="2164">
        <v>4</v>
      </c>
      <c r="K217" s="2164">
        <f t="shared" si="51"/>
        <v>833300</v>
      </c>
      <c r="L217" s="2164">
        <f t="shared" si="41"/>
        <v>150000</v>
      </c>
      <c r="M217" s="2172">
        <f t="shared" si="30"/>
        <v>3333200</v>
      </c>
      <c r="N217" s="2172">
        <f t="shared" si="18"/>
        <v>600000</v>
      </c>
      <c r="O217" s="2171">
        <v>2499900</v>
      </c>
      <c r="P217" s="2649">
        <v>450000</v>
      </c>
      <c r="Q217" s="2649"/>
      <c r="R217" s="3023">
        <v>833300</v>
      </c>
      <c r="S217" s="3023">
        <v>150000</v>
      </c>
      <c r="T217" s="2173"/>
      <c r="U217" s="2174">
        <f t="shared" si="19"/>
        <v>3333200</v>
      </c>
      <c r="V217" s="2174">
        <f t="shared" si="20"/>
        <v>600000</v>
      </c>
      <c r="W217" s="2174"/>
      <c r="X217" s="2174">
        <f t="shared" si="22"/>
        <v>6666800</v>
      </c>
      <c r="Y217" s="2174">
        <f t="shared" si="23"/>
        <v>100</v>
      </c>
      <c r="Z217" s="2174">
        <f t="shared" si="24"/>
        <v>0</v>
      </c>
      <c r="AA217" s="2174">
        <f t="shared" si="25"/>
        <v>0</v>
      </c>
      <c r="AB217" s="2416"/>
      <c r="AC217" s="1504">
        <f t="shared" si="33"/>
        <v>0</v>
      </c>
      <c r="AD217" s="1503">
        <f t="shared" si="34"/>
        <v>0</v>
      </c>
      <c r="AE217" s="1503">
        <f t="shared" si="35"/>
        <v>0</v>
      </c>
      <c r="AF217" s="1502">
        <f t="shared" si="36"/>
        <v>0</v>
      </c>
    </row>
    <row r="218" spans="1:32" s="1474" customFormat="1" ht="23.25" customHeight="1">
      <c r="A218" s="2175">
        <v>153</v>
      </c>
      <c r="B218" s="2175" t="s">
        <v>1912</v>
      </c>
      <c r="C218" s="2416" t="s">
        <v>2714</v>
      </c>
      <c r="D218" s="2416">
        <v>10</v>
      </c>
      <c r="E218" s="2175">
        <v>20500000</v>
      </c>
      <c r="F218" s="2417">
        <f t="shared" si="17"/>
        <v>3690000</v>
      </c>
      <c r="G218" s="2418">
        <v>42349</v>
      </c>
      <c r="H218" s="2419">
        <v>0.18</v>
      </c>
      <c r="I218" s="2164">
        <v>12</v>
      </c>
      <c r="J218" s="2164">
        <v>2</v>
      </c>
      <c r="K218" s="2164">
        <f t="shared" ref="K218:K234" si="52">ROUND(E218/I218,-2)</f>
        <v>1708300</v>
      </c>
      <c r="L218" s="2164">
        <f t="shared" ref="L218:L234" si="53">F218/I218</f>
        <v>307500</v>
      </c>
      <c r="M218" s="2172">
        <f t="shared" ref="M218:M233" si="54">IF(J218&lt;I218,J218*K218,IF(J218&gt;=I218,E218))</f>
        <v>3416600</v>
      </c>
      <c r="N218" s="2172">
        <f t="shared" ref="N218:N233" si="55">IF(J218&lt;I218,J218*L218,IF(J218&gt;=I218,F218))</f>
        <v>615000</v>
      </c>
      <c r="O218" s="2171">
        <v>1708300</v>
      </c>
      <c r="P218" s="2649">
        <v>307500</v>
      </c>
      <c r="Q218" s="2649"/>
      <c r="R218" s="3023">
        <v>1708300</v>
      </c>
      <c r="S218" s="3023">
        <v>307500</v>
      </c>
      <c r="T218" s="2173"/>
      <c r="U218" s="2174">
        <f t="shared" ref="U218:U233" si="56">SUM(O218+R218)</f>
        <v>3416600</v>
      </c>
      <c r="V218" s="2174">
        <f t="shared" ref="V218:V233" si="57">SUM(P218+S218)</f>
        <v>615000</v>
      </c>
      <c r="W218" s="2174"/>
      <c r="X218" s="2174">
        <f t="shared" ref="X218:X233" si="58">SUM(E218-U218)</f>
        <v>17083400</v>
      </c>
      <c r="Y218" s="2174">
        <f t="shared" ref="Y218:Y233" si="59">SUM(U218/M218)*100</f>
        <v>100</v>
      </c>
      <c r="Z218" s="2174">
        <f t="shared" ref="Z218:Z233" si="60">SUM(M218-U218)</f>
        <v>0</v>
      </c>
      <c r="AA218" s="2174">
        <f t="shared" ref="AA218:AA233" si="61">SUM(N218-V218)</f>
        <v>0</v>
      </c>
      <c r="AB218" s="2416"/>
      <c r="AC218" s="1504">
        <f t="shared" ref="AC218:AC233" si="62">IF(AND(AB218&gt;0,AB218&lt;=2),X218,0)</f>
        <v>0</v>
      </c>
      <c r="AD218" s="1503">
        <f t="shared" ref="AD218:AD233" si="63">IF(AND(AB218&gt;=3,AB218&lt;=4),X218,0)</f>
        <v>0</v>
      </c>
      <c r="AE218" s="1503">
        <f t="shared" ref="AE218:AE233" si="64">IF(AND(AB218&gt;=5,AB218&lt;=6),X218,0)</f>
        <v>0</v>
      </c>
      <c r="AF218" s="1502">
        <f t="shared" ref="AF218:AF233" si="65">IF(AB218&gt;6,X218,0)</f>
        <v>0</v>
      </c>
    </row>
    <row r="219" spans="1:32" s="1474" customFormat="1" ht="23.25" customHeight="1">
      <c r="A219" s="2175">
        <v>154</v>
      </c>
      <c r="B219" s="2175" t="s">
        <v>1911</v>
      </c>
      <c r="C219" s="2416" t="s">
        <v>2714</v>
      </c>
      <c r="D219" s="2416">
        <v>10</v>
      </c>
      <c r="E219" s="2175">
        <v>22500000</v>
      </c>
      <c r="F219" s="2417">
        <f t="shared" si="17"/>
        <v>4050000</v>
      </c>
      <c r="G219" s="2418">
        <v>42349</v>
      </c>
      <c r="H219" s="2419">
        <v>0.18</v>
      </c>
      <c r="I219" s="2164">
        <v>12</v>
      </c>
      <c r="J219" s="2164">
        <v>2</v>
      </c>
      <c r="K219" s="2164">
        <f t="shared" si="52"/>
        <v>1875000</v>
      </c>
      <c r="L219" s="2164">
        <f t="shared" si="53"/>
        <v>337500</v>
      </c>
      <c r="M219" s="2172">
        <f t="shared" si="54"/>
        <v>3750000</v>
      </c>
      <c r="N219" s="2172">
        <f t="shared" si="55"/>
        <v>675000</v>
      </c>
      <c r="O219" s="2171">
        <v>1875000</v>
      </c>
      <c r="P219" s="2649">
        <v>337500</v>
      </c>
      <c r="Q219" s="2649"/>
      <c r="R219" s="3023">
        <v>1875000</v>
      </c>
      <c r="S219" s="3023">
        <v>337500</v>
      </c>
      <c r="T219" s="2173"/>
      <c r="U219" s="2174">
        <f t="shared" si="56"/>
        <v>3750000</v>
      </c>
      <c r="V219" s="2174">
        <f t="shared" si="57"/>
        <v>675000</v>
      </c>
      <c r="W219" s="2174"/>
      <c r="X219" s="2174">
        <f t="shared" si="58"/>
        <v>18750000</v>
      </c>
      <c r="Y219" s="2174">
        <f t="shared" si="59"/>
        <v>100</v>
      </c>
      <c r="Z219" s="2174">
        <f t="shared" si="60"/>
        <v>0</v>
      </c>
      <c r="AA219" s="2174">
        <f t="shared" si="61"/>
        <v>0</v>
      </c>
      <c r="AB219" s="2416"/>
      <c r="AC219" s="1504">
        <f t="shared" si="62"/>
        <v>0</v>
      </c>
      <c r="AD219" s="1503">
        <f t="shared" si="63"/>
        <v>0</v>
      </c>
      <c r="AE219" s="1503">
        <f t="shared" si="64"/>
        <v>0</v>
      </c>
      <c r="AF219" s="1502">
        <f t="shared" si="65"/>
        <v>0</v>
      </c>
    </row>
    <row r="220" spans="1:32" s="1474" customFormat="1" ht="23.25" customHeight="1">
      <c r="A220" s="2175">
        <v>155</v>
      </c>
      <c r="B220" s="2175" t="s">
        <v>1906</v>
      </c>
      <c r="C220" s="2416" t="s">
        <v>2714</v>
      </c>
      <c r="D220" s="2416">
        <v>16</v>
      </c>
      <c r="E220" s="2175">
        <v>48000000</v>
      </c>
      <c r="F220" s="2417">
        <f t="shared" si="17"/>
        <v>8640000</v>
      </c>
      <c r="G220" s="2418">
        <v>42354</v>
      </c>
      <c r="H220" s="2419">
        <v>0.18</v>
      </c>
      <c r="I220" s="2164">
        <v>12</v>
      </c>
      <c r="J220" s="2164">
        <v>2</v>
      </c>
      <c r="K220" s="2164">
        <f t="shared" si="52"/>
        <v>4000000</v>
      </c>
      <c r="L220" s="2164">
        <f t="shared" si="53"/>
        <v>720000</v>
      </c>
      <c r="M220" s="2172">
        <f t="shared" si="54"/>
        <v>8000000</v>
      </c>
      <c r="N220" s="2172">
        <f t="shared" si="55"/>
        <v>1440000</v>
      </c>
      <c r="O220" s="2171">
        <v>4000000</v>
      </c>
      <c r="P220" s="2649">
        <v>720000</v>
      </c>
      <c r="Q220" s="2649"/>
      <c r="R220" s="3023">
        <v>4000000</v>
      </c>
      <c r="S220" s="3023">
        <v>720000</v>
      </c>
      <c r="T220" s="2173"/>
      <c r="U220" s="2174">
        <f t="shared" si="56"/>
        <v>8000000</v>
      </c>
      <c r="V220" s="2174">
        <f t="shared" si="57"/>
        <v>1440000</v>
      </c>
      <c r="W220" s="2174"/>
      <c r="X220" s="2174">
        <f t="shared" si="58"/>
        <v>40000000</v>
      </c>
      <c r="Y220" s="2174">
        <f t="shared" si="59"/>
        <v>100</v>
      </c>
      <c r="Z220" s="2174">
        <f t="shared" si="60"/>
        <v>0</v>
      </c>
      <c r="AA220" s="2174">
        <f t="shared" si="61"/>
        <v>0</v>
      </c>
      <c r="AB220" s="2416"/>
      <c r="AC220" s="1504">
        <f t="shared" si="62"/>
        <v>0</v>
      </c>
      <c r="AD220" s="1503">
        <f t="shared" si="63"/>
        <v>0</v>
      </c>
      <c r="AE220" s="1503">
        <f t="shared" si="64"/>
        <v>0</v>
      </c>
      <c r="AF220" s="1502">
        <f t="shared" si="65"/>
        <v>0</v>
      </c>
    </row>
    <row r="221" spans="1:32" s="1474" customFormat="1" ht="23.25" customHeight="1">
      <c r="A221" s="2175">
        <v>156</v>
      </c>
      <c r="B221" s="2175" t="s">
        <v>2618</v>
      </c>
      <c r="C221" s="2416" t="s">
        <v>2714</v>
      </c>
      <c r="D221" s="2416">
        <v>15</v>
      </c>
      <c r="E221" s="2175">
        <v>36000000</v>
      </c>
      <c r="F221" s="2417">
        <f t="shared" si="17"/>
        <v>6480000</v>
      </c>
      <c r="G221" s="2418">
        <v>42356</v>
      </c>
      <c r="H221" s="2419">
        <v>0.18</v>
      </c>
      <c r="I221" s="2164">
        <v>12</v>
      </c>
      <c r="J221" s="2164">
        <v>2</v>
      </c>
      <c r="K221" s="2164">
        <f t="shared" si="52"/>
        <v>3000000</v>
      </c>
      <c r="L221" s="2164">
        <f t="shared" si="53"/>
        <v>540000</v>
      </c>
      <c r="M221" s="2172">
        <f t="shared" si="54"/>
        <v>6000000</v>
      </c>
      <c r="N221" s="2172">
        <f t="shared" si="55"/>
        <v>1080000</v>
      </c>
      <c r="O221" s="2171">
        <v>3000000</v>
      </c>
      <c r="P221" s="2649">
        <v>540000</v>
      </c>
      <c r="Q221" s="2649"/>
      <c r="R221" s="3023">
        <v>3000000</v>
      </c>
      <c r="S221" s="3023">
        <v>540000</v>
      </c>
      <c r="T221" s="2173"/>
      <c r="U221" s="2174">
        <f t="shared" si="56"/>
        <v>6000000</v>
      </c>
      <c r="V221" s="2174">
        <f t="shared" si="57"/>
        <v>1080000</v>
      </c>
      <c r="W221" s="2174"/>
      <c r="X221" s="2174">
        <f t="shared" si="58"/>
        <v>30000000</v>
      </c>
      <c r="Y221" s="2174">
        <f t="shared" si="59"/>
        <v>100</v>
      </c>
      <c r="Z221" s="2174">
        <f t="shared" si="60"/>
        <v>0</v>
      </c>
      <c r="AA221" s="2174">
        <f t="shared" si="61"/>
        <v>0</v>
      </c>
      <c r="AB221" s="2416"/>
      <c r="AC221" s="1504">
        <f t="shared" si="62"/>
        <v>0</v>
      </c>
      <c r="AD221" s="1503">
        <f t="shared" si="63"/>
        <v>0</v>
      </c>
      <c r="AE221" s="1503">
        <f t="shared" si="64"/>
        <v>0</v>
      </c>
      <c r="AF221" s="1502">
        <f t="shared" si="65"/>
        <v>0</v>
      </c>
    </row>
    <row r="222" spans="1:32" s="1474" customFormat="1" ht="23.25" customHeight="1">
      <c r="A222" s="2175">
        <v>157</v>
      </c>
      <c r="B222" s="2175" t="s">
        <v>1898</v>
      </c>
      <c r="C222" s="2416" t="s">
        <v>2714</v>
      </c>
      <c r="D222" s="2416">
        <v>15</v>
      </c>
      <c r="E222" s="2175">
        <v>36000000</v>
      </c>
      <c r="F222" s="2417">
        <f t="shared" si="17"/>
        <v>6480000</v>
      </c>
      <c r="G222" s="2418">
        <v>42356</v>
      </c>
      <c r="H222" s="2419">
        <v>0.18</v>
      </c>
      <c r="I222" s="2164">
        <v>12</v>
      </c>
      <c r="J222" s="2164">
        <v>2</v>
      </c>
      <c r="K222" s="2164">
        <f t="shared" si="52"/>
        <v>3000000</v>
      </c>
      <c r="L222" s="2164">
        <f t="shared" si="53"/>
        <v>540000</v>
      </c>
      <c r="M222" s="2172">
        <f t="shared" si="54"/>
        <v>6000000</v>
      </c>
      <c r="N222" s="2172">
        <f t="shared" si="55"/>
        <v>1080000</v>
      </c>
      <c r="O222" s="2171">
        <v>3000000</v>
      </c>
      <c r="P222" s="2649">
        <v>540000</v>
      </c>
      <c r="Q222" s="2649"/>
      <c r="R222" s="3023">
        <v>3000000</v>
      </c>
      <c r="S222" s="3023">
        <v>540000</v>
      </c>
      <c r="T222" s="2173"/>
      <c r="U222" s="2174">
        <f t="shared" si="56"/>
        <v>6000000</v>
      </c>
      <c r="V222" s="2174">
        <f t="shared" si="57"/>
        <v>1080000</v>
      </c>
      <c r="W222" s="2174"/>
      <c r="X222" s="2174">
        <f t="shared" si="58"/>
        <v>30000000</v>
      </c>
      <c r="Y222" s="2174">
        <f t="shared" si="59"/>
        <v>100</v>
      </c>
      <c r="Z222" s="2174">
        <f t="shared" si="60"/>
        <v>0</v>
      </c>
      <c r="AA222" s="2174">
        <f t="shared" si="61"/>
        <v>0</v>
      </c>
      <c r="AB222" s="2416"/>
      <c r="AC222" s="1504">
        <f t="shared" si="62"/>
        <v>0</v>
      </c>
      <c r="AD222" s="1503">
        <f t="shared" si="63"/>
        <v>0</v>
      </c>
      <c r="AE222" s="1503">
        <f t="shared" si="64"/>
        <v>0</v>
      </c>
      <c r="AF222" s="1502">
        <f t="shared" si="65"/>
        <v>0</v>
      </c>
    </row>
    <row r="223" spans="1:32" s="1474" customFormat="1" ht="23.25" customHeight="1">
      <c r="A223" s="2175">
        <v>158</v>
      </c>
      <c r="B223" s="2175" t="s">
        <v>2221</v>
      </c>
      <c r="C223" s="2416" t="s">
        <v>2714</v>
      </c>
      <c r="D223" s="2416">
        <v>12</v>
      </c>
      <c r="E223" s="2175">
        <v>40000000</v>
      </c>
      <c r="F223" s="2417">
        <f t="shared" si="17"/>
        <v>7200000</v>
      </c>
      <c r="G223" s="2418">
        <v>42387</v>
      </c>
      <c r="H223" s="2419">
        <v>0.18</v>
      </c>
      <c r="I223" s="2164">
        <v>12</v>
      </c>
      <c r="J223" s="2164">
        <v>1</v>
      </c>
      <c r="K223" s="2164">
        <f t="shared" si="52"/>
        <v>3333300</v>
      </c>
      <c r="L223" s="2164">
        <f t="shared" si="53"/>
        <v>600000</v>
      </c>
      <c r="M223" s="2172">
        <f t="shared" si="54"/>
        <v>3333300</v>
      </c>
      <c r="N223" s="2172">
        <f t="shared" si="55"/>
        <v>600000</v>
      </c>
      <c r="O223" s="2171"/>
      <c r="P223" s="2649"/>
      <c r="Q223" s="2649"/>
      <c r="R223" s="3023">
        <v>3333300</v>
      </c>
      <c r="S223" s="3023">
        <v>600000</v>
      </c>
      <c r="T223" s="2173"/>
      <c r="U223" s="2174">
        <f t="shared" si="56"/>
        <v>3333300</v>
      </c>
      <c r="V223" s="2174">
        <f t="shared" si="57"/>
        <v>600000</v>
      </c>
      <c r="W223" s="2174"/>
      <c r="X223" s="2174">
        <f t="shared" si="58"/>
        <v>36666700</v>
      </c>
      <c r="Y223" s="2174">
        <f t="shared" si="59"/>
        <v>100</v>
      </c>
      <c r="Z223" s="2174">
        <f t="shared" si="60"/>
        <v>0</v>
      </c>
      <c r="AA223" s="2174">
        <f t="shared" si="61"/>
        <v>0</v>
      </c>
      <c r="AB223" s="2416"/>
      <c r="AC223" s="1504">
        <f t="shared" si="62"/>
        <v>0</v>
      </c>
      <c r="AD223" s="1503">
        <f t="shared" si="63"/>
        <v>0</v>
      </c>
      <c r="AE223" s="1503">
        <f t="shared" si="64"/>
        <v>0</v>
      </c>
      <c r="AF223" s="1502">
        <f t="shared" si="65"/>
        <v>0</v>
      </c>
    </row>
    <row r="224" spans="1:32" s="1474" customFormat="1" ht="23.25" customHeight="1">
      <c r="A224" s="2175">
        <v>159</v>
      </c>
      <c r="B224" s="2175" t="s">
        <v>1939</v>
      </c>
      <c r="C224" s="2416" t="s">
        <v>2714</v>
      </c>
      <c r="D224" s="2416">
        <v>14</v>
      </c>
      <c r="E224" s="2175">
        <v>40000000</v>
      </c>
      <c r="F224" s="2417">
        <f t="shared" si="17"/>
        <v>7200000</v>
      </c>
      <c r="G224" s="2418">
        <v>42415</v>
      </c>
      <c r="H224" s="2419">
        <v>0.18</v>
      </c>
      <c r="I224" s="2164">
        <v>12</v>
      </c>
      <c r="J224" s="2164"/>
      <c r="K224" s="2164">
        <f t="shared" si="52"/>
        <v>3333300</v>
      </c>
      <c r="L224" s="2164">
        <f t="shared" si="53"/>
        <v>600000</v>
      </c>
      <c r="M224" s="2172">
        <f t="shared" si="54"/>
        <v>0</v>
      </c>
      <c r="N224" s="2172">
        <f t="shared" si="55"/>
        <v>0</v>
      </c>
      <c r="O224" s="2171"/>
      <c r="P224" s="2649"/>
      <c r="Q224" s="2649"/>
      <c r="R224" s="2171"/>
      <c r="S224" s="2171"/>
      <c r="T224" s="2173"/>
      <c r="U224" s="2174">
        <f t="shared" si="56"/>
        <v>0</v>
      </c>
      <c r="V224" s="2174">
        <f t="shared" si="57"/>
        <v>0</v>
      </c>
      <c r="W224" s="2174"/>
      <c r="X224" s="2174">
        <f t="shared" si="58"/>
        <v>40000000</v>
      </c>
      <c r="Y224" s="2174" t="e">
        <f t="shared" si="59"/>
        <v>#DIV/0!</v>
      </c>
      <c r="Z224" s="2174">
        <f t="shared" si="60"/>
        <v>0</v>
      </c>
      <c r="AA224" s="2174">
        <f t="shared" si="61"/>
        <v>0</v>
      </c>
      <c r="AB224" s="2416"/>
      <c r="AC224" s="1504">
        <f t="shared" si="62"/>
        <v>0</v>
      </c>
      <c r="AD224" s="1503">
        <f t="shared" si="63"/>
        <v>0</v>
      </c>
      <c r="AE224" s="1503">
        <f t="shared" si="64"/>
        <v>0</v>
      </c>
      <c r="AF224" s="1502">
        <f t="shared" si="65"/>
        <v>0</v>
      </c>
    </row>
    <row r="225" spans="1:32" s="1474" customFormat="1" ht="23.25" customHeight="1">
      <c r="A225" s="2175">
        <v>160</v>
      </c>
      <c r="B225" s="2175" t="s">
        <v>1938</v>
      </c>
      <c r="C225" s="2416" t="s">
        <v>2714</v>
      </c>
      <c r="D225" s="2416">
        <v>16</v>
      </c>
      <c r="E225" s="2175">
        <v>48000000</v>
      </c>
      <c r="F225" s="2417">
        <f t="shared" si="17"/>
        <v>8640000</v>
      </c>
      <c r="G225" s="2418">
        <v>42415</v>
      </c>
      <c r="H225" s="2419">
        <v>0.18</v>
      </c>
      <c r="I225" s="2164">
        <v>12</v>
      </c>
      <c r="J225" s="2164"/>
      <c r="K225" s="2164">
        <f t="shared" si="52"/>
        <v>4000000</v>
      </c>
      <c r="L225" s="2164">
        <f t="shared" si="53"/>
        <v>720000</v>
      </c>
      <c r="M225" s="2172">
        <f t="shared" si="54"/>
        <v>0</v>
      </c>
      <c r="N225" s="2172">
        <f t="shared" si="55"/>
        <v>0</v>
      </c>
      <c r="O225" s="2171"/>
      <c r="P225" s="2649"/>
      <c r="Q225" s="2649"/>
      <c r="R225" s="2171"/>
      <c r="S225" s="2171"/>
      <c r="T225" s="2173"/>
      <c r="U225" s="2174">
        <f t="shared" si="56"/>
        <v>0</v>
      </c>
      <c r="V225" s="2174">
        <f t="shared" si="57"/>
        <v>0</v>
      </c>
      <c r="W225" s="2174"/>
      <c r="X225" s="2174">
        <f t="shared" si="58"/>
        <v>48000000</v>
      </c>
      <c r="Y225" s="2174" t="e">
        <f t="shared" si="59"/>
        <v>#DIV/0!</v>
      </c>
      <c r="Z225" s="2174">
        <f t="shared" si="60"/>
        <v>0</v>
      </c>
      <c r="AA225" s="2174">
        <f t="shared" si="61"/>
        <v>0</v>
      </c>
      <c r="AB225" s="2416"/>
      <c r="AC225" s="1504">
        <f t="shared" si="62"/>
        <v>0</v>
      </c>
      <c r="AD225" s="1503">
        <f t="shared" si="63"/>
        <v>0</v>
      </c>
      <c r="AE225" s="1503">
        <f t="shared" si="64"/>
        <v>0</v>
      </c>
      <c r="AF225" s="1502">
        <f t="shared" si="65"/>
        <v>0</v>
      </c>
    </row>
    <row r="226" spans="1:32" s="1474" customFormat="1" ht="23.25" customHeight="1">
      <c r="A226" s="2175">
        <v>161</v>
      </c>
      <c r="B226" s="2175" t="s">
        <v>1905</v>
      </c>
      <c r="C226" s="2416" t="s">
        <v>2714</v>
      </c>
      <c r="D226" s="2416">
        <v>12</v>
      </c>
      <c r="E226" s="2175">
        <v>40000000</v>
      </c>
      <c r="F226" s="2417">
        <f t="shared" si="17"/>
        <v>7200000</v>
      </c>
      <c r="G226" s="2418">
        <v>42419</v>
      </c>
      <c r="H226" s="2419">
        <v>0.18</v>
      </c>
      <c r="I226" s="2164">
        <v>12</v>
      </c>
      <c r="J226" s="2164"/>
      <c r="K226" s="2164">
        <f t="shared" si="52"/>
        <v>3333300</v>
      </c>
      <c r="L226" s="2164">
        <f t="shared" si="53"/>
        <v>600000</v>
      </c>
      <c r="M226" s="2172">
        <f t="shared" si="54"/>
        <v>0</v>
      </c>
      <c r="N226" s="2172">
        <f t="shared" si="55"/>
        <v>0</v>
      </c>
      <c r="O226" s="2171"/>
      <c r="P226" s="2649"/>
      <c r="Q226" s="2649"/>
      <c r="R226" s="2171"/>
      <c r="S226" s="2171"/>
      <c r="T226" s="2173"/>
      <c r="U226" s="2174">
        <f t="shared" si="56"/>
        <v>0</v>
      </c>
      <c r="V226" s="2174">
        <f t="shared" si="57"/>
        <v>0</v>
      </c>
      <c r="W226" s="2174"/>
      <c r="X226" s="2174">
        <f t="shared" si="58"/>
        <v>40000000</v>
      </c>
      <c r="Y226" s="2174" t="e">
        <f t="shared" si="59"/>
        <v>#DIV/0!</v>
      </c>
      <c r="Z226" s="2174">
        <f t="shared" si="60"/>
        <v>0</v>
      </c>
      <c r="AA226" s="2174">
        <f t="shared" si="61"/>
        <v>0</v>
      </c>
      <c r="AB226" s="2416"/>
      <c r="AC226" s="1504">
        <f t="shared" si="62"/>
        <v>0</v>
      </c>
      <c r="AD226" s="1503">
        <f t="shared" si="63"/>
        <v>0</v>
      </c>
      <c r="AE226" s="1503">
        <f t="shared" si="64"/>
        <v>0</v>
      </c>
      <c r="AF226" s="1502">
        <f t="shared" si="65"/>
        <v>0</v>
      </c>
    </row>
    <row r="227" spans="1:32" s="1474" customFormat="1" ht="23.25" customHeight="1">
      <c r="A227" s="2175"/>
      <c r="B227" s="2175"/>
      <c r="C227" s="2416"/>
      <c r="D227" s="2416"/>
      <c r="E227" s="2175"/>
      <c r="F227" s="2417">
        <f t="shared" si="17"/>
        <v>0</v>
      </c>
      <c r="G227" s="2418"/>
      <c r="H227" s="2419">
        <v>0.18</v>
      </c>
      <c r="I227" s="2164"/>
      <c r="J227" s="2164"/>
      <c r="K227" s="2164" t="e">
        <f t="shared" si="52"/>
        <v>#DIV/0!</v>
      </c>
      <c r="L227" s="2164" t="e">
        <f t="shared" si="53"/>
        <v>#DIV/0!</v>
      </c>
      <c r="M227" s="2172">
        <f t="shared" si="54"/>
        <v>0</v>
      </c>
      <c r="N227" s="2172">
        <f t="shared" si="55"/>
        <v>0</v>
      </c>
      <c r="O227" s="2171"/>
      <c r="P227" s="2649"/>
      <c r="Q227" s="2649"/>
      <c r="R227" s="2171"/>
      <c r="S227" s="2171"/>
      <c r="T227" s="2173"/>
      <c r="U227" s="2174">
        <f t="shared" si="56"/>
        <v>0</v>
      </c>
      <c r="V227" s="2174">
        <f t="shared" si="57"/>
        <v>0</v>
      </c>
      <c r="W227" s="2174"/>
      <c r="X227" s="2174">
        <f t="shared" si="58"/>
        <v>0</v>
      </c>
      <c r="Y227" s="2174" t="e">
        <f t="shared" si="59"/>
        <v>#DIV/0!</v>
      </c>
      <c r="Z227" s="2174">
        <f t="shared" si="60"/>
        <v>0</v>
      </c>
      <c r="AA227" s="2174">
        <f t="shared" si="61"/>
        <v>0</v>
      </c>
      <c r="AB227" s="2416"/>
      <c r="AC227" s="1504">
        <f t="shared" si="62"/>
        <v>0</v>
      </c>
      <c r="AD227" s="1503">
        <f t="shared" si="63"/>
        <v>0</v>
      </c>
      <c r="AE227" s="1503">
        <f t="shared" si="64"/>
        <v>0</v>
      </c>
      <c r="AF227" s="1502">
        <f t="shared" si="65"/>
        <v>0</v>
      </c>
    </row>
    <row r="228" spans="1:32" s="1474" customFormat="1" ht="23.25" customHeight="1">
      <c r="A228" s="2175"/>
      <c r="B228" s="2175"/>
      <c r="C228" s="2416"/>
      <c r="D228" s="2416"/>
      <c r="E228" s="2175"/>
      <c r="F228" s="2417">
        <f t="shared" si="17"/>
        <v>0</v>
      </c>
      <c r="G228" s="2418"/>
      <c r="H228" s="2419">
        <v>0.18</v>
      </c>
      <c r="I228" s="2164"/>
      <c r="J228" s="2164"/>
      <c r="K228" s="2164" t="e">
        <f t="shared" si="52"/>
        <v>#DIV/0!</v>
      </c>
      <c r="L228" s="2164" t="e">
        <f t="shared" si="53"/>
        <v>#DIV/0!</v>
      </c>
      <c r="M228" s="2172">
        <f t="shared" si="54"/>
        <v>0</v>
      </c>
      <c r="N228" s="2172">
        <f t="shared" si="55"/>
        <v>0</v>
      </c>
      <c r="O228" s="2171"/>
      <c r="P228" s="2649"/>
      <c r="Q228" s="2649"/>
      <c r="R228" s="2171"/>
      <c r="S228" s="2171"/>
      <c r="T228" s="2173"/>
      <c r="U228" s="2174">
        <f t="shared" si="56"/>
        <v>0</v>
      </c>
      <c r="V228" s="2174">
        <f t="shared" si="57"/>
        <v>0</v>
      </c>
      <c r="W228" s="2174"/>
      <c r="X228" s="2174">
        <f t="shared" si="58"/>
        <v>0</v>
      </c>
      <c r="Y228" s="2174" t="e">
        <f t="shared" si="59"/>
        <v>#DIV/0!</v>
      </c>
      <c r="Z228" s="2174">
        <f t="shared" si="60"/>
        <v>0</v>
      </c>
      <c r="AA228" s="2174">
        <f t="shared" si="61"/>
        <v>0</v>
      </c>
      <c r="AB228" s="2416"/>
      <c r="AC228" s="1504">
        <f t="shared" si="62"/>
        <v>0</v>
      </c>
      <c r="AD228" s="1503">
        <f t="shared" si="63"/>
        <v>0</v>
      </c>
      <c r="AE228" s="1503">
        <f t="shared" si="64"/>
        <v>0</v>
      </c>
      <c r="AF228" s="1502">
        <f t="shared" si="65"/>
        <v>0</v>
      </c>
    </row>
    <row r="229" spans="1:32" s="1474" customFormat="1" ht="23.25" customHeight="1">
      <c r="A229" s="2175"/>
      <c r="B229" s="2175"/>
      <c r="C229" s="2416"/>
      <c r="D229" s="2416"/>
      <c r="E229" s="2175"/>
      <c r="F229" s="2417">
        <f t="shared" si="17"/>
        <v>0</v>
      </c>
      <c r="G229" s="2418"/>
      <c r="H229" s="2419">
        <v>0.18</v>
      </c>
      <c r="I229" s="2164"/>
      <c r="J229" s="2164"/>
      <c r="K229" s="2164" t="e">
        <f t="shared" si="52"/>
        <v>#DIV/0!</v>
      </c>
      <c r="L229" s="2164" t="e">
        <f t="shared" si="53"/>
        <v>#DIV/0!</v>
      </c>
      <c r="M229" s="2172">
        <f t="shared" si="54"/>
        <v>0</v>
      </c>
      <c r="N229" s="2172">
        <f t="shared" si="55"/>
        <v>0</v>
      </c>
      <c r="O229" s="2171"/>
      <c r="P229" s="2649"/>
      <c r="Q229" s="2649"/>
      <c r="R229" s="2171"/>
      <c r="S229" s="2171"/>
      <c r="T229" s="2173"/>
      <c r="U229" s="2174">
        <f t="shared" si="56"/>
        <v>0</v>
      </c>
      <c r="V229" s="2174">
        <f t="shared" si="57"/>
        <v>0</v>
      </c>
      <c r="W229" s="2174"/>
      <c r="X229" s="2174">
        <f t="shared" si="58"/>
        <v>0</v>
      </c>
      <c r="Y229" s="2174" t="e">
        <f t="shared" si="59"/>
        <v>#DIV/0!</v>
      </c>
      <c r="Z229" s="2174">
        <f t="shared" si="60"/>
        <v>0</v>
      </c>
      <c r="AA229" s="2174">
        <f t="shared" si="61"/>
        <v>0</v>
      </c>
      <c r="AB229" s="2416"/>
      <c r="AC229" s="1504">
        <f t="shared" si="62"/>
        <v>0</v>
      </c>
      <c r="AD229" s="1503">
        <f t="shared" si="63"/>
        <v>0</v>
      </c>
      <c r="AE229" s="1503">
        <f t="shared" si="64"/>
        <v>0</v>
      </c>
      <c r="AF229" s="1502">
        <f t="shared" si="65"/>
        <v>0</v>
      </c>
    </row>
    <row r="230" spans="1:32" s="1474" customFormat="1" ht="23.25" customHeight="1">
      <c r="A230" s="2175"/>
      <c r="B230" s="2175"/>
      <c r="C230" s="2416"/>
      <c r="D230" s="2416"/>
      <c r="E230" s="2175"/>
      <c r="F230" s="2417">
        <f t="shared" si="17"/>
        <v>0</v>
      </c>
      <c r="G230" s="2418"/>
      <c r="H230" s="2419">
        <v>0.18</v>
      </c>
      <c r="I230" s="2164"/>
      <c r="J230" s="2164"/>
      <c r="K230" s="2164" t="e">
        <f t="shared" si="52"/>
        <v>#DIV/0!</v>
      </c>
      <c r="L230" s="2164" t="e">
        <f t="shared" si="53"/>
        <v>#DIV/0!</v>
      </c>
      <c r="M230" s="2172">
        <f t="shared" si="54"/>
        <v>0</v>
      </c>
      <c r="N230" s="2172">
        <f t="shared" si="55"/>
        <v>0</v>
      </c>
      <c r="O230" s="2171"/>
      <c r="P230" s="2649"/>
      <c r="Q230" s="2649"/>
      <c r="R230" s="2171"/>
      <c r="S230" s="2171"/>
      <c r="T230" s="2173"/>
      <c r="U230" s="2174">
        <f t="shared" si="56"/>
        <v>0</v>
      </c>
      <c r="V230" s="2174">
        <f t="shared" si="57"/>
        <v>0</v>
      </c>
      <c r="W230" s="2174"/>
      <c r="X230" s="2174">
        <f t="shared" si="58"/>
        <v>0</v>
      </c>
      <c r="Y230" s="2174" t="e">
        <f t="shared" si="59"/>
        <v>#DIV/0!</v>
      </c>
      <c r="Z230" s="2174">
        <f t="shared" si="60"/>
        <v>0</v>
      </c>
      <c r="AA230" s="2174">
        <f t="shared" si="61"/>
        <v>0</v>
      </c>
      <c r="AB230" s="2416"/>
      <c r="AC230" s="1504">
        <f t="shared" si="62"/>
        <v>0</v>
      </c>
      <c r="AD230" s="1503">
        <f t="shared" si="63"/>
        <v>0</v>
      </c>
      <c r="AE230" s="1503">
        <f t="shared" si="64"/>
        <v>0</v>
      </c>
      <c r="AF230" s="1502">
        <f t="shared" si="65"/>
        <v>0</v>
      </c>
    </row>
    <row r="231" spans="1:32" s="1474" customFormat="1" ht="23.25" customHeight="1">
      <c r="A231" s="2175"/>
      <c r="B231" s="2175"/>
      <c r="C231" s="2416"/>
      <c r="D231" s="2416"/>
      <c r="E231" s="2175"/>
      <c r="F231" s="2417">
        <f t="shared" si="17"/>
        <v>0</v>
      </c>
      <c r="G231" s="2418"/>
      <c r="H231" s="2419">
        <v>0.18</v>
      </c>
      <c r="I231" s="2164"/>
      <c r="J231" s="2164"/>
      <c r="K231" s="2164" t="e">
        <f t="shared" si="52"/>
        <v>#DIV/0!</v>
      </c>
      <c r="L231" s="2164" t="e">
        <f t="shared" si="53"/>
        <v>#DIV/0!</v>
      </c>
      <c r="M231" s="2172">
        <f t="shared" si="54"/>
        <v>0</v>
      </c>
      <c r="N231" s="2172">
        <f t="shared" si="55"/>
        <v>0</v>
      </c>
      <c r="O231" s="2171"/>
      <c r="P231" s="2649"/>
      <c r="Q231" s="2649"/>
      <c r="R231" s="2171"/>
      <c r="S231" s="2171"/>
      <c r="T231" s="2173"/>
      <c r="U231" s="2174">
        <f t="shared" si="56"/>
        <v>0</v>
      </c>
      <c r="V231" s="2174">
        <f t="shared" si="57"/>
        <v>0</v>
      </c>
      <c r="W231" s="2174"/>
      <c r="X231" s="2174">
        <f t="shared" si="58"/>
        <v>0</v>
      </c>
      <c r="Y231" s="2174" t="e">
        <f t="shared" si="59"/>
        <v>#DIV/0!</v>
      </c>
      <c r="Z231" s="2174">
        <f t="shared" si="60"/>
        <v>0</v>
      </c>
      <c r="AA231" s="2174">
        <f t="shared" si="61"/>
        <v>0</v>
      </c>
      <c r="AB231" s="2416"/>
      <c r="AC231" s="1504">
        <f t="shared" si="62"/>
        <v>0</v>
      </c>
      <c r="AD231" s="1503">
        <f t="shared" si="63"/>
        <v>0</v>
      </c>
      <c r="AE231" s="1503">
        <f t="shared" si="64"/>
        <v>0</v>
      </c>
      <c r="AF231" s="1502">
        <f t="shared" si="65"/>
        <v>0</v>
      </c>
    </row>
    <row r="232" spans="1:32" s="1474" customFormat="1" ht="23.25" customHeight="1">
      <c r="A232" s="2175"/>
      <c r="B232" s="2175"/>
      <c r="C232" s="2416"/>
      <c r="D232" s="2416"/>
      <c r="E232" s="2175"/>
      <c r="F232" s="2417">
        <f t="shared" si="17"/>
        <v>0</v>
      </c>
      <c r="G232" s="2418"/>
      <c r="H232" s="2419">
        <v>0.18</v>
      </c>
      <c r="I232" s="2164"/>
      <c r="J232" s="2164"/>
      <c r="K232" s="2164" t="e">
        <f t="shared" si="52"/>
        <v>#DIV/0!</v>
      </c>
      <c r="L232" s="2164" t="e">
        <f t="shared" si="53"/>
        <v>#DIV/0!</v>
      </c>
      <c r="M232" s="2172">
        <f t="shared" si="54"/>
        <v>0</v>
      </c>
      <c r="N232" s="2172">
        <f t="shared" si="55"/>
        <v>0</v>
      </c>
      <c r="O232" s="2171"/>
      <c r="P232" s="2649"/>
      <c r="Q232" s="2649"/>
      <c r="R232" s="2171"/>
      <c r="S232" s="2171"/>
      <c r="T232" s="2173"/>
      <c r="U232" s="2174">
        <f t="shared" si="56"/>
        <v>0</v>
      </c>
      <c r="V232" s="2174">
        <f t="shared" si="57"/>
        <v>0</v>
      </c>
      <c r="W232" s="2174"/>
      <c r="X232" s="2174">
        <f t="shared" si="58"/>
        <v>0</v>
      </c>
      <c r="Y232" s="2174" t="e">
        <f t="shared" si="59"/>
        <v>#DIV/0!</v>
      </c>
      <c r="Z232" s="2174">
        <f t="shared" si="60"/>
        <v>0</v>
      </c>
      <c r="AA232" s="2174">
        <f t="shared" si="61"/>
        <v>0</v>
      </c>
      <c r="AB232" s="2416"/>
      <c r="AC232" s="1504">
        <f t="shared" si="62"/>
        <v>0</v>
      </c>
      <c r="AD232" s="1503">
        <f t="shared" si="63"/>
        <v>0</v>
      </c>
      <c r="AE232" s="1503">
        <f t="shared" si="64"/>
        <v>0</v>
      </c>
      <c r="AF232" s="1502">
        <f t="shared" si="65"/>
        <v>0</v>
      </c>
    </row>
    <row r="233" spans="1:32" s="1474" customFormat="1" ht="23.25" customHeight="1">
      <c r="A233" s="2175"/>
      <c r="B233" s="2175"/>
      <c r="C233" s="2416"/>
      <c r="D233" s="2416"/>
      <c r="E233" s="2175"/>
      <c r="F233" s="2417">
        <f t="shared" si="17"/>
        <v>0</v>
      </c>
      <c r="G233" s="2418"/>
      <c r="H233" s="2419">
        <v>0.18</v>
      </c>
      <c r="I233" s="2164"/>
      <c r="J233" s="2164"/>
      <c r="K233" s="2164" t="e">
        <f t="shared" si="52"/>
        <v>#DIV/0!</v>
      </c>
      <c r="L233" s="2164" t="e">
        <f t="shared" si="53"/>
        <v>#DIV/0!</v>
      </c>
      <c r="M233" s="2172">
        <f t="shared" si="54"/>
        <v>0</v>
      </c>
      <c r="N233" s="2172">
        <f t="shared" si="55"/>
        <v>0</v>
      </c>
      <c r="O233" s="2171"/>
      <c r="P233" s="2649"/>
      <c r="Q233" s="2649"/>
      <c r="R233" s="2171"/>
      <c r="S233" s="2171"/>
      <c r="T233" s="2173"/>
      <c r="U233" s="2174">
        <f t="shared" si="56"/>
        <v>0</v>
      </c>
      <c r="V233" s="2174">
        <f t="shared" si="57"/>
        <v>0</v>
      </c>
      <c r="W233" s="2174"/>
      <c r="X233" s="2174">
        <f t="shared" si="58"/>
        <v>0</v>
      </c>
      <c r="Y233" s="2174" t="e">
        <f t="shared" si="59"/>
        <v>#DIV/0!</v>
      </c>
      <c r="Z233" s="2174">
        <f t="shared" si="60"/>
        <v>0</v>
      </c>
      <c r="AA233" s="2174">
        <f t="shared" si="61"/>
        <v>0</v>
      </c>
      <c r="AB233" s="2416"/>
      <c r="AC233" s="1504">
        <f t="shared" si="62"/>
        <v>0</v>
      </c>
      <c r="AD233" s="1503">
        <f t="shared" si="63"/>
        <v>0</v>
      </c>
      <c r="AE233" s="1503">
        <f t="shared" si="64"/>
        <v>0</v>
      </c>
      <c r="AF233" s="1502">
        <f t="shared" si="65"/>
        <v>0</v>
      </c>
    </row>
    <row r="234" spans="1:32" s="1474" customFormat="1" ht="23.25" customHeight="1">
      <c r="A234" s="2173"/>
      <c r="B234" s="2173"/>
      <c r="C234" s="2423"/>
      <c r="D234" s="2423"/>
      <c r="E234" s="2175"/>
      <c r="F234" s="2417">
        <f t="shared" si="17"/>
        <v>0</v>
      </c>
      <c r="G234" s="2423"/>
      <c r="H234" s="2419">
        <v>0.18</v>
      </c>
      <c r="I234" s="2164"/>
      <c r="J234" s="2164"/>
      <c r="K234" s="2164" t="e">
        <f t="shared" si="52"/>
        <v>#DIV/0!</v>
      </c>
      <c r="L234" s="2164" t="e">
        <f t="shared" si="53"/>
        <v>#DIV/0!</v>
      </c>
      <c r="M234" s="2172">
        <f t="shared" si="30"/>
        <v>0</v>
      </c>
      <c r="N234" s="2172">
        <f t="shared" si="18"/>
        <v>0</v>
      </c>
      <c r="O234" s="2171"/>
      <c r="P234" s="2649"/>
      <c r="Q234" s="2973"/>
      <c r="R234" s="2649"/>
      <c r="S234" s="2649"/>
      <c r="T234" s="2173"/>
      <c r="U234" s="2174">
        <f t="shared" si="19"/>
        <v>0</v>
      </c>
      <c r="V234" s="2174">
        <f t="shared" si="20"/>
        <v>0</v>
      </c>
      <c r="W234" s="2174"/>
      <c r="X234" s="2174">
        <f t="shared" si="22"/>
        <v>0</v>
      </c>
      <c r="Y234" s="2174" t="e">
        <f t="shared" si="23"/>
        <v>#DIV/0!</v>
      </c>
      <c r="Z234" s="2174">
        <f t="shared" si="24"/>
        <v>0</v>
      </c>
      <c r="AA234" s="2174">
        <f t="shared" si="25"/>
        <v>0</v>
      </c>
      <c r="AB234" s="2416"/>
      <c r="AC234" s="1504">
        <f t="shared" si="33"/>
        <v>0</v>
      </c>
      <c r="AD234" s="1503">
        <f t="shared" si="34"/>
        <v>0</v>
      </c>
      <c r="AE234" s="1503">
        <f t="shared" si="35"/>
        <v>0</v>
      </c>
      <c r="AF234" s="1502">
        <f t="shared" si="36"/>
        <v>0</v>
      </c>
    </row>
    <row r="235" spans="1:32" s="1474" customFormat="1" ht="11.25" customHeight="1">
      <c r="A235" s="2422"/>
      <c r="B235" s="2422"/>
      <c r="C235" s="2425"/>
      <c r="D235" s="2425"/>
      <c r="E235" s="2422"/>
      <c r="F235" s="2422"/>
      <c r="G235" s="2422"/>
      <c r="H235" s="2422"/>
      <c r="I235" s="2422"/>
      <c r="J235" s="2422"/>
      <c r="K235" s="2422"/>
      <c r="L235" s="2422"/>
      <c r="M235" s="2422"/>
      <c r="N235" s="2422"/>
      <c r="O235" s="2422"/>
      <c r="P235" s="2974"/>
      <c r="Q235" s="2974"/>
      <c r="R235" s="2974"/>
      <c r="S235" s="2974"/>
      <c r="T235" s="2422"/>
      <c r="U235" s="2422"/>
      <c r="V235" s="2422"/>
      <c r="W235" s="2422"/>
      <c r="X235" s="2422"/>
      <c r="Y235" s="2422"/>
      <c r="Z235" s="2422"/>
      <c r="AA235" s="2174">
        <f>SUM(N235-V235)</f>
        <v>0</v>
      </c>
      <c r="AB235" s="2426"/>
      <c r="AC235" s="1504">
        <f>IF(AND(AB235&gt;0,AB235&lt;=2),X235,0)</f>
        <v>0</v>
      </c>
      <c r="AD235" s="1503">
        <f>IF(AND(AB235&gt;=3,AB235&lt;=4),X235,0)</f>
        <v>0</v>
      </c>
      <c r="AE235" s="2424"/>
      <c r="AF235" s="2424"/>
    </row>
    <row r="236" spans="1:32" s="1474" customFormat="1" ht="33" customHeight="1" thickBot="1">
      <c r="A236" s="3410" t="s">
        <v>934</v>
      </c>
      <c r="B236" s="3410"/>
      <c r="C236" s="3410"/>
      <c r="D236" s="1480">
        <f>SUM(D66:D234)</f>
        <v>912</v>
      </c>
      <c r="E236" s="1480">
        <f>SUM(E66:E234)</f>
        <v>3545000000</v>
      </c>
      <c r="F236" s="1480">
        <f>SUM(F66:F234)</f>
        <v>638100000</v>
      </c>
      <c r="G236" s="1481"/>
      <c r="H236" s="1481"/>
      <c r="I236" s="1481"/>
      <c r="J236" s="1481"/>
      <c r="K236" s="1481"/>
      <c r="L236" s="1481"/>
      <c r="M236" s="1480">
        <f t="shared" ref="M236:W236" si="66">SUM(M66:M234)</f>
        <v>3028667500</v>
      </c>
      <c r="N236" s="1480">
        <f t="shared" si="66"/>
        <v>518073000</v>
      </c>
      <c r="O236" s="1480">
        <f t="shared" si="66"/>
        <v>2925707900</v>
      </c>
      <c r="P236" s="2975">
        <f t="shared" si="66"/>
        <v>499670000</v>
      </c>
      <c r="Q236" s="2975">
        <f t="shared" si="66"/>
        <v>0</v>
      </c>
      <c r="R236" s="2975">
        <f t="shared" si="66"/>
        <v>68333700</v>
      </c>
      <c r="S236" s="2975">
        <f t="shared" si="66"/>
        <v>12400000</v>
      </c>
      <c r="T236" s="1480">
        <f t="shared" si="66"/>
        <v>0</v>
      </c>
      <c r="U236" s="1480">
        <f t="shared" si="66"/>
        <v>2994041600</v>
      </c>
      <c r="V236" s="1480">
        <f t="shared" si="66"/>
        <v>512070000</v>
      </c>
      <c r="W236" s="1480">
        <f t="shared" si="66"/>
        <v>0</v>
      </c>
      <c r="X236" s="1480">
        <f>SUM(X66:X234)</f>
        <v>550958400</v>
      </c>
      <c r="Y236" s="1480">
        <f>SUM(U236/M236)*100</f>
        <v>98.856728247653464</v>
      </c>
      <c r="Z236" s="1480">
        <f>SUM(Z66:Z234)</f>
        <v>34625900</v>
      </c>
      <c r="AA236" s="1479">
        <f>SUM(AA66:AA234)</f>
        <v>5733000</v>
      </c>
      <c r="AB236" s="1478"/>
      <c r="AC236" s="1504">
        <f>IF(AND(AB236&gt;0,AB236&lt;=2),X236,0)</f>
        <v>0</v>
      </c>
      <c r="AD236" s="1476">
        <f>SUM(AD66:AD234)</f>
        <v>1250000</v>
      </c>
      <c r="AE236" s="1476">
        <f>SUM(AE66:AE234)</f>
        <v>0</v>
      </c>
      <c r="AF236" s="1475">
        <f>SUM(AF66:AF234)</f>
        <v>29209200</v>
      </c>
    </row>
    <row r="237" spans="1:32" s="1461" customFormat="1" ht="17.25" thickTop="1" thickBot="1">
      <c r="A237" s="3410" t="s">
        <v>1464</v>
      </c>
      <c r="B237" s="3410"/>
      <c r="C237" s="3410"/>
      <c r="D237" s="1473">
        <f>COUNT(D66:D234)</f>
        <v>79</v>
      </c>
      <c r="G237" s="1462"/>
      <c r="H237" s="1462"/>
      <c r="I237" s="1462"/>
      <c r="J237" s="1462"/>
      <c r="K237" s="1472"/>
      <c r="L237" s="1472"/>
      <c r="P237" s="2976"/>
      <c r="Q237" s="2976"/>
      <c r="R237" s="2976"/>
      <c r="S237" s="2976"/>
      <c r="AB237" s="1462"/>
    </row>
    <row r="238" spans="1:32" s="1461" customFormat="1" ht="18.75" thickTop="1">
      <c r="A238" s="1465"/>
      <c r="B238" s="1465"/>
      <c r="C238" s="1466"/>
      <c r="D238" s="1466"/>
      <c r="E238" s="3410" t="s">
        <v>1463</v>
      </c>
      <c r="F238" s="3410"/>
      <c r="G238" s="3410"/>
      <c r="H238" s="3410"/>
      <c r="I238" s="3410"/>
      <c r="J238" s="3410"/>
      <c r="K238" s="3410"/>
      <c r="L238" s="3410"/>
      <c r="M238" s="3410"/>
      <c r="N238" s="3410"/>
      <c r="O238" s="1467"/>
      <c r="P238" s="2977"/>
      <c r="Q238" s="2977"/>
      <c r="R238" s="2977"/>
      <c r="S238" s="2977"/>
      <c r="T238" s="1467"/>
      <c r="U238" s="1471"/>
      <c r="V238" s="3410" t="s">
        <v>1462</v>
      </c>
      <c r="W238" s="3410"/>
      <c r="X238" s="3410"/>
      <c r="Y238" s="3410"/>
      <c r="Z238" s="1465"/>
      <c r="AA238" s="1465"/>
      <c r="AB238" s="1462"/>
    </row>
    <row r="239" spans="1:32" s="1461" customFormat="1" ht="57" customHeight="1">
      <c r="A239" s="1468"/>
      <c r="B239" s="1468"/>
      <c r="C239" s="1470"/>
      <c r="D239" s="1470"/>
      <c r="E239" s="1468"/>
      <c r="F239" s="1468"/>
      <c r="G239" s="1470"/>
      <c r="H239" s="1470"/>
      <c r="I239" s="1470"/>
      <c r="J239" s="1470"/>
      <c r="K239" s="1469"/>
      <c r="L239" s="1469"/>
      <c r="M239" s="1468"/>
      <c r="N239" s="1468"/>
      <c r="O239" s="1468"/>
      <c r="P239" s="2978"/>
      <c r="Q239" s="2978"/>
      <c r="R239" s="2978"/>
      <c r="S239" s="2978"/>
      <c r="T239" s="1468"/>
      <c r="U239" s="1468"/>
      <c r="V239" s="1468"/>
      <c r="W239" s="1468"/>
      <c r="X239" s="1468"/>
      <c r="Y239" s="1468"/>
      <c r="Z239" s="1468"/>
      <c r="AA239" s="1468"/>
      <c r="AB239" s="1462"/>
    </row>
    <row r="240" spans="1:32" s="1461" customFormat="1" ht="18">
      <c r="A240" s="1465"/>
      <c r="B240" s="1465"/>
      <c r="C240" s="1466"/>
      <c r="D240" s="1466"/>
      <c r="E240" s="3410" t="str">
        <f>E52</f>
        <v>Endang Taryana</v>
      </c>
      <c r="F240" s="3410"/>
      <c r="G240" s="3410"/>
      <c r="H240" s="3410"/>
      <c r="I240" s="3410"/>
      <c r="J240" s="3410"/>
      <c r="K240" s="3410"/>
      <c r="L240" s="3410"/>
      <c r="M240" s="3410"/>
      <c r="N240" s="3410"/>
      <c r="O240" s="1467" t="s">
        <v>1461</v>
      </c>
      <c r="P240" s="3740"/>
      <c r="Q240" s="3740"/>
      <c r="R240" s="3740"/>
      <c r="S240" s="2979"/>
      <c r="T240" s="1465"/>
      <c r="U240" s="1465"/>
      <c r="V240" s="3410" t="str">
        <f>V52</f>
        <v>Arin Yustini, SE</v>
      </c>
      <c r="W240" s="3410"/>
      <c r="X240" s="3410"/>
      <c r="Y240" s="3410"/>
      <c r="Z240" s="1465"/>
      <c r="AA240" s="1465"/>
      <c r="AB240" s="1462"/>
    </row>
    <row r="241" spans="1:32" ht="18">
      <c r="A241" s="1465"/>
      <c r="B241" s="1465"/>
      <c r="C241" s="1466"/>
      <c r="D241" s="1466"/>
      <c r="E241" s="3410" t="s">
        <v>23</v>
      </c>
      <c r="F241" s="3410"/>
      <c r="G241" s="3410"/>
      <c r="H241" s="3410"/>
      <c r="I241" s="3410"/>
      <c r="J241" s="3410"/>
      <c r="K241" s="3410"/>
      <c r="L241" s="3410"/>
      <c r="M241" s="3410"/>
      <c r="N241" s="3410"/>
      <c r="O241" s="1465"/>
      <c r="P241" s="3740"/>
      <c r="Q241" s="3740"/>
      <c r="R241" s="3740"/>
      <c r="S241" s="2979"/>
      <c r="T241" s="1465"/>
      <c r="U241" s="1465"/>
      <c r="V241" s="3410" t="s">
        <v>24</v>
      </c>
      <c r="W241" s="3410"/>
      <c r="X241" s="3410"/>
      <c r="Y241" s="3410"/>
      <c r="Z241" s="1465"/>
      <c r="AA241" s="1465"/>
      <c r="AE241" s="1461"/>
      <c r="AF241" s="1461"/>
    </row>
  </sheetData>
  <mergeCells count="74">
    <mergeCell ref="AB10:AB11"/>
    <mergeCell ref="AB63:AB64"/>
    <mergeCell ref="E241:N241"/>
    <mergeCell ref="P241:R241"/>
    <mergeCell ref="V241:Y241"/>
    <mergeCell ref="A56:AA56"/>
    <mergeCell ref="A236:C236"/>
    <mergeCell ref="E238:N238"/>
    <mergeCell ref="V238:Y238"/>
    <mergeCell ref="I10:I12"/>
    <mergeCell ref="J10:J12"/>
    <mergeCell ref="H10:H12"/>
    <mergeCell ref="H63:H65"/>
    <mergeCell ref="I63:I65"/>
    <mergeCell ref="J63:J65"/>
    <mergeCell ref="A54:AA54"/>
    <mergeCell ref="E240:N240"/>
    <mergeCell ref="P240:R240"/>
    <mergeCell ref="V240:Y240"/>
    <mergeCell ref="O63:Q63"/>
    <mergeCell ref="R63:T63"/>
    <mergeCell ref="U63:W63"/>
    <mergeCell ref="X63:X64"/>
    <mergeCell ref="Y63:Y64"/>
    <mergeCell ref="Z63:AA63"/>
    <mergeCell ref="A61:C61"/>
    <mergeCell ref="A63:A64"/>
    <mergeCell ref="E63:F63"/>
    <mergeCell ref="G63:G64"/>
    <mergeCell ref="M63:N63"/>
    <mergeCell ref="B63:C63"/>
    <mergeCell ref="D63:D65"/>
    <mergeCell ref="A1:AA1"/>
    <mergeCell ref="A2:AA2"/>
    <mergeCell ref="A4:AA4"/>
    <mergeCell ref="E53:N53"/>
    <mergeCell ref="P53:R53"/>
    <mergeCell ref="V53:Y53"/>
    <mergeCell ref="A10:A11"/>
    <mergeCell ref="Z10:AA10"/>
    <mergeCell ref="A3:AA3"/>
    <mergeCell ref="B10:C10"/>
    <mergeCell ref="A5:C5"/>
    <mergeCell ref="D10:D12"/>
    <mergeCell ref="A7:C7"/>
    <mergeCell ref="A8:C8"/>
    <mergeCell ref="A6:C6"/>
    <mergeCell ref="O10:Q10"/>
    <mergeCell ref="V50:Y50"/>
    <mergeCell ref="R10:T10"/>
    <mergeCell ref="E10:F10"/>
    <mergeCell ref="E52:N52"/>
    <mergeCell ref="P52:R52"/>
    <mergeCell ref="V52:Y52"/>
    <mergeCell ref="U10:W10"/>
    <mergeCell ref="X10:X11"/>
    <mergeCell ref="Y10:Y11"/>
    <mergeCell ref="G10:G11"/>
    <mergeCell ref="A237:C237"/>
    <mergeCell ref="K10:L10"/>
    <mergeCell ref="K11:K12"/>
    <mergeCell ref="L11:L12"/>
    <mergeCell ref="K63:L63"/>
    <mergeCell ref="K64:K65"/>
    <mergeCell ref="L64:L65"/>
    <mergeCell ref="A48:C48"/>
    <mergeCell ref="E50:N50"/>
    <mergeCell ref="A49:C49"/>
    <mergeCell ref="M10:N10"/>
    <mergeCell ref="A55:AA55"/>
    <mergeCell ref="A57:AA57"/>
    <mergeCell ref="A59:C59"/>
    <mergeCell ref="A58:C58"/>
    <mergeCell ref="A60:C60"/>
  </mergeCells>
  <pageMargins left="0.15748031496062992" right="0.15748031496062992" top="0.23622047244094491" bottom="0.23622047244094491" header="0.51181102362204722" footer="0.51181102362204722"/>
  <pageSetup paperSize="5" scale="38" orientation="landscape" horizontalDpi="4294967293" verticalDpi="4294967293" r:id="rId1"/>
  <headerFooter alignWithMargins="0"/>
  <rowBreaks count="1" manualBreakCount="1">
    <brk id="53" max="24" man="1"/>
  </rowBreaks>
  <drawing r:id="rId2"/>
  <legacyDrawing r:id="rId3"/>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327"/>
  <sheetViews>
    <sheetView topLeftCell="A10" zoomScale="60" zoomScaleNormal="60" workbookViewId="0">
      <pane xSplit="3" ySplit="3" topLeftCell="D304" activePane="bottomRight" state="frozen"/>
      <selection activeCell="A10" sqref="A10"/>
      <selection pane="topRight" activeCell="D10" sqref="D10"/>
      <selection pane="bottomLeft" activeCell="A13" sqref="A13"/>
      <selection pane="bottomRight" activeCell="S307" sqref="S307"/>
    </sheetView>
  </sheetViews>
  <sheetFormatPr defaultColWidth="9.140625" defaultRowHeight="15.75"/>
  <cols>
    <col min="1" max="1" width="6.85546875" style="1460" customWidth="1"/>
    <col min="2" max="2" width="20.85546875" style="1460" customWidth="1"/>
    <col min="3" max="3" width="12.5703125" style="1464" bestFit="1" customWidth="1"/>
    <col min="4" max="4" width="8.85546875" style="1464" customWidth="1"/>
    <col min="5" max="5" width="19.28515625" style="1461" customWidth="1"/>
    <col min="6" max="6" width="17.5703125" style="1461" customWidth="1"/>
    <col min="7" max="7" width="18.85546875" style="1464" customWidth="1"/>
    <col min="8" max="9" width="7.140625" style="1464" customWidth="1"/>
    <col min="10" max="10" width="6.42578125" style="1464" bestFit="1" customWidth="1"/>
    <col min="11" max="12" width="14.7109375" style="1463" bestFit="1" customWidth="1"/>
    <col min="13" max="14" width="20.28515625" style="1461" customWidth="1"/>
    <col min="15" max="16" width="20.7109375" style="1461" customWidth="1"/>
    <col min="17" max="17" width="9.42578125" style="1461" customWidth="1"/>
    <col min="18" max="19" width="17.85546875" style="1461" customWidth="1"/>
    <col min="20" max="20" width="9.42578125" style="1461" customWidth="1"/>
    <col min="21" max="21" width="19.140625" style="1461" customWidth="1"/>
    <col min="22" max="22" width="17.5703125" style="1461" customWidth="1"/>
    <col min="23" max="23" width="9.42578125" style="1461" customWidth="1"/>
    <col min="24" max="24" width="19.140625" style="1461" customWidth="1"/>
    <col min="25" max="25" width="10.42578125" style="1461" customWidth="1"/>
    <col min="26" max="26" width="18.285156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525" t="s">
        <v>0</v>
      </c>
      <c r="B1" s="3525"/>
      <c r="C1" s="3525"/>
      <c r="D1" s="3525"/>
      <c r="E1" s="3525"/>
      <c r="F1" s="3525"/>
      <c r="G1" s="3525"/>
      <c r="H1" s="3525"/>
      <c r="I1" s="3525"/>
      <c r="J1" s="3525"/>
      <c r="K1" s="3525"/>
      <c r="L1" s="3525"/>
      <c r="M1" s="3525"/>
      <c r="N1" s="3525"/>
      <c r="O1" s="3525"/>
      <c r="P1" s="3525"/>
      <c r="Q1" s="3525"/>
      <c r="R1" s="3525"/>
      <c r="S1" s="3525"/>
      <c r="T1" s="3525"/>
      <c r="U1" s="3525"/>
      <c r="V1" s="3525"/>
      <c r="W1" s="3525"/>
      <c r="X1" s="3525"/>
      <c r="Y1" s="3525"/>
      <c r="Z1" s="3525"/>
      <c r="AA1" s="3525"/>
      <c r="AB1" s="1562"/>
      <c r="AC1" s="1560"/>
      <c r="AD1" s="1560"/>
      <c r="AE1" s="1560"/>
      <c r="AF1" s="1560"/>
    </row>
    <row r="2" spans="1:32" s="1559" customFormat="1" ht="24.75" customHeight="1">
      <c r="A2" s="3525" t="str">
        <f>'LPP-SPP'!A2:W2</f>
        <v>LAPORAN PERKEMBANGAN PINJAMAN  SPP</v>
      </c>
      <c r="B2" s="3525"/>
      <c r="C2" s="3525"/>
      <c r="D2" s="3525"/>
      <c r="E2" s="3525"/>
      <c r="F2" s="3525"/>
      <c r="G2" s="3525"/>
      <c r="H2" s="3525"/>
      <c r="I2" s="3525"/>
      <c r="J2" s="3525"/>
      <c r="K2" s="3525"/>
      <c r="L2" s="3525"/>
      <c r="M2" s="3525"/>
      <c r="N2" s="3525"/>
      <c r="O2" s="3525"/>
      <c r="P2" s="3525"/>
      <c r="Q2" s="3525"/>
      <c r="R2" s="3525"/>
      <c r="S2" s="3525"/>
      <c r="T2" s="3525"/>
      <c r="U2" s="3525"/>
      <c r="V2" s="3525"/>
      <c r="W2" s="3525"/>
      <c r="X2" s="3525"/>
      <c r="Y2" s="3525"/>
      <c r="Z2" s="3525"/>
      <c r="AA2" s="3525"/>
      <c r="AB2" s="1562"/>
      <c r="AC2" s="1560"/>
      <c r="AD2" s="1560"/>
      <c r="AE2" s="1560"/>
      <c r="AF2" s="1560"/>
    </row>
    <row r="3" spans="1:32" s="1559" customFormat="1" ht="34.5">
      <c r="A3" s="3525" t="s">
        <v>1506</v>
      </c>
      <c r="B3" s="3525"/>
      <c r="C3" s="3525"/>
      <c r="D3" s="3525"/>
      <c r="E3" s="3525"/>
      <c r="F3" s="3525"/>
      <c r="G3" s="3525"/>
      <c r="H3" s="3525"/>
      <c r="I3" s="3525"/>
      <c r="J3" s="3525"/>
      <c r="K3" s="3525"/>
      <c r="L3" s="3525"/>
      <c r="M3" s="3525"/>
      <c r="N3" s="3525"/>
      <c r="O3" s="3525"/>
      <c r="P3" s="3525"/>
      <c r="Q3" s="3525"/>
      <c r="R3" s="3525"/>
      <c r="S3" s="3525"/>
      <c r="T3" s="3525"/>
      <c r="U3" s="3525"/>
      <c r="V3" s="3525"/>
      <c r="W3" s="3525"/>
      <c r="X3" s="3525"/>
      <c r="Y3" s="3525"/>
      <c r="Z3" s="3525"/>
      <c r="AA3" s="3525"/>
      <c r="AB3" s="1561"/>
      <c r="AC3" s="1560"/>
      <c r="AD3" s="1560"/>
      <c r="AE3" s="1560"/>
      <c r="AF3" s="1560"/>
    </row>
    <row r="4" spans="1:32" s="1542" customFormat="1" ht="24.75" customHeight="1">
      <c r="A4" s="3525" t="str">
        <f>'LPP-SPP'!A4</f>
        <v>Per - Februari 2016 2016</v>
      </c>
      <c r="B4" s="3525"/>
      <c r="C4" s="3525"/>
      <c r="D4" s="3525"/>
      <c r="E4" s="3525"/>
      <c r="F4" s="3525"/>
      <c r="G4" s="3525"/>
      <c r="H4" s="3525"/>
      <c r="I4" s="3525"/>
      <c r="J4" s="3525"/>
      <c r="K4" s="3525"/>
      <c r="L4" s="3525"/>
      <c r="M4" s="3525"/>
      <c r="N4" s="3525"/>
      <c r="O4" s="3525"/>
      <c r="P4" s="3525"/>
      <c r="Q4" s="3525"/>
      <c r="R4" s="3525"/>
      <c r="S4" s="3525"/>
      <c r="T4" s="3525"/>
      <c r="U4" s="3525"/>
      <c r="V4" s="3525"/>
      <c r="W4" s="3525"/>
      <c r="X4" s="3525"/>
      <c r="Y4" s="3525"/>
      <c r="Z4" s="3525"/>
      <c r="AA4" s="3525"/>
      <c r="AB4" s="1556"/>
      <c r="AC4" s="1555"/>
      <c r="AD4" s="1555"/>
      <c r="AE4" s="1555"/>
      <c r="AF4" s="1555"/>
    </row>
    <row r="5" spans="1:32" s="1542" customFormat="1" ht="24.75" customHeight="1">
      <c r="A5" s="3410" t="s">
        <v>1503</v>
      </c>
      <c r="B5" s="3410"/>
      <c r="C5" s="3410"/>
      <c r="D5" s="1553"/>
      <c r="E5" s="1558" t="str">
        <f>":  "&amp;DT!I4</f>
        <v>:  NAGRAK UTARA</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3" t="s">
        <v>36</v>
      </c>
      <c r="B10" s="3413" t="s">
        <v>1499</v>
      </c>
      <c r="C10" s="3413"/>
      <c r="D10" s="3413" t="s">
        <v>1498</v>
      </c>
      <c r="E10" s="3413" t="s">
        <v>1497</v>
      </c>
      <c r="F10" s="3413"/>
      <c r="G10" s="3413" t="s">
        <v>1496</v>
      </c>
      <c r="H10" s="3413" t="s">
        <v>1495</v>
      </c>
      <c r="I10" s="3413" t="s">
        <v>1494</v>
      </c>
      <c r="J10" s="3413" t="s">
        <v>1493</v>
      </c>
      <c r="K10" s="3413" t="s">
        <v>1492</v>
      </c>
      <c r="L10" s="3413"/>
      <c r="M10" s="3413" t="s">
        <v>1491</v>
      </c>
      <c r="N10" s="3413"/>
      <c r="O10" s="3413" t="s">
        <v>1490</v>
      </c>
      <c r="P10" s="3413"/>
      <c r="Q10" s="3413"/>
      <c r="R10" s="3413" t="s">
        <v>1489</v>
      </c>
      <c r="S10" s="3413"/>
      <c r="T10" s="3413"/>
      <c r="U10" s="3413" t="s">
        <v>1488</v>
      </c>
      <c r="V10" s="3413"/>
      <c r="W10" s="3413"/>
      <c r="X10" s="3413" t="s">
        <v>1487</v>
      </c>
      <c r="Y10" s="3413" t="s">
        <v>1486</v>
      </c>
      <c r="Z10" s="3413" t="s">
        <v>1485</v>
      </c>
      <c r="AA10" s="3413"/>
      <c r="AB10" s="3741" t="s">
        <v>1484</v>
      </c>
      <c r="AC10" s="1541" t="s">
        <v>1483</v>
      </c>
      <c r="AD10" s="1540" t="s">
        <v>1482</v>
      </c>
      <c r="AE10" s="1540" t="s">
        <v>1481</v>
      </c>
      <c r="AF10" s="1539" t="s">
        <v>1480</v>
      </c>
    </row>
    <row r="11" spans="1:32" ht="31.5" customHeight="1">
      <c r="A11" s="3413"/>
      <c r="B11" s="1536" t="s">
        <v>1479</v>
      </c>
      <c r="C11" s="1536" t="s">
        <v>1478</v>
      </c>
      <c r="D11" s="3413"/>
      <c r="E11" s="1537" t="s">
        <v>16</v>
      </c>
      <c r="F11" s="1537" t="s">
        <v>1476</v>
      </c>
      <c r="G11" s="3413"/>
      <c r="H11" s="3413"/>
      <c r="I11" s="3413"/>
      <c r="J11" s="3413"/>
      <c r="K11" s="3413" t="s">
        <v>16</v>
      </c>
      <c r="L11" s="3413" t="s">
        <v>1476</v>
      </c>
      <c r="M11" s="1537" t="s">
        <v>16</v>
      </c>
      <c r="N11" s="1537" t="s">
        <v>1476</v>
      </c>
      <c r="O11" s="1537" t="s">
        <v>16</v>
      </c>
      <c r="P11" s="1537" t="s">
        <v>1476</v>
      </c>
      <c r="Q11" s="1537" t="s">
        <v>1477</v>
      </c>
      <c r="R11" s="1537" t="s">
        <v>16</v>
      </c>
      <c r="S11" s="1537" t="s">
        <v>1476</v>
      </c>
      <c r="T11" s="1537" t="s">
        <v>1477</v>
      </c>
      <c r="U11" s="1537" t="s">
        <v>16</v>
      </c>
      <c r="V11" s="1537" t="s">
        <v>1476</v>
      </c>
      <c r="W11" s="1537" t="s">
        <v>1477</v>
      </c>
      <c r="X11" s="3413"/>
      <c r="Y11" s="3413"/>
      <c r="Z11" s="1537" t="s">
        <v>16</v>
      </c>
      <c r="AA11" s="2162" t="s">
        <v>1476</v>
      </c>
      <c r="AB11" s="3741"/>
      <c r="AC11" s="1531" t="s">
        <v>1475</v>
      </c>
      <c r="AD11" s="1530" t="s">
        <v>1474</v>
      </c>
      <c r="AE11" s="1530" t="s">
        <v>1473</v>
      </c>
      <c r="AF11" s="1529" t="s">
        <v>1472</v>
      </c>
    </row>
    <row r="12" spans="1:32" s="1528" customFormat="1" ht="14.25" customHeight="1" thickBot="1">
      <c r="A12" s="2162">
        <v>1</v>
      </c>
      <c r="B12" s="2162">
        <v>2</v>
      </c>
      <c r="C12" s="2162">
        <v>3</v>
      </c>
      <c r="D12" s="3413"/>
      <c r="E12" s="2162">
        <v>4</v>
      </c>
      <c r="F12" s="2162">
        <v>5</v>
      </c>
      <c r="G12" s="2162">
        <v>6</v>
      </c>
      <c r="H12" s="3413"/>
      <c r="I12" s="3413"/>
      <c r="J12" s="3413"/>
      <c r="K12" s="3413"/>
      <c r="L12" s="3413"/>
      <c r="M12" s="2162">
        <v>7</v>
      </c>
      <c r="N12" s="2162">
        <v>8</v>
      </c>
      <c r="O12" s="2162">
        <v>9</v>
      </c>
      <c r="P12" s="2162">
        <v>10</v>
      </c>
      <c r="Q12" s="2162">
        <v>11</v>
      </c>
      <c r="R12" s="2162">
        <v>12</v>
      </c>
      <c r="S12" s="2162">
        <v>13</v>
      </c>
      <c r="T12" s="2162">
        <v>14</v>
      </c>
      <c r="U12" s="2162" t="s">
        <v>1471</v>
      </c>
      <c r="V12" s="2162" t="s">
        <v>1470</v>
      </c>
      <c r="W12" s="2162" t="s">
        <v>1469</v>
      </c>
      <c r="X12" s="2162" t="s">
        <v>1468</v>
      </c>
      <c r="Y12" s="2162" t="s">
        <v>1467</v>
      </c>
      <c r="Z12" s="2162" t="s">
        <v>1466</v>
      </c>
      <c r="AA12" s="2162" t="s">
        <v>1465</v>
      </c>
      <c r="AB12" s="2919">
        <v>22</v>
      </c>
      <c r="AC12" s="1518">
        <v>23</v>
      </c>
      <c r="AD12" s="1517">
        <v>24</v>
      </c>
      <c r="AE12" s="1517">
        <v>25</v>
      </c>
      <c r="AF12" s="1516">
        <v>26</v>
      </c>
    </row>
    <row r="13" spans="1:32" s="1474" customFormat="1" ht="23.25" customHeight="1" thickTop="1">
      <c r="A13" s="1515">
        <v>1</v>
      </c>
      <c r="B13" s="1513" t="s">
        <v>1941</v>
      </c>
      <c r="C13" s="1514" t="s">
        <v>1916</v>
      </c>
      <c r="D13" s="1514"/>
      <c r="E13" s="1513">
        <v>8000000</v>
      </c>
      <c r="F13" s="1512">
        <f t="shared" ref="F13:F68" si="0">E13*H13</f>
        <v>1440000</v>
      </c>
      <c r="G13" s="1508" t="s">
        <v>1921</v>
      </c>
      <c r="H13" s="1511">
        <v>0.18</v>
      </c>
      <c r="I13" s="1508">
        <v>12</v>
      </c>
      <c r="J13" s="1569">
        <v>12</v>
      </c>
      <c r="K13" s="1508">
        <v>666700</v>
      </c>
      <c r="L13" s="1508">
        <v>120000</v>
      </c>
      <c r="M13" s="1567">
        <f t="shared" ref="M13:M68" si="1">IF(J13&lt;I13,J13*K13,IF(J13&gt;=I13,E13))</f>
        <v>8000000</v>
      </c>
      <c r="N13" s="1510">
        <f t="shared" ref="N13:N68" si="2">IF(J13&lt;I13,J13*L13,IF(J13&gt;=I13,F13))</f>
        <v>1440000</v>
      </c>
      <c r="O13" s="1509">
        <v>8000000</v>
      </c>
      <c r="P13" s="1509">
        <v>1440000</v>
      </c>
      <c r="Q13" s="1509"/>
      <c r="R13" s="1508">
        <v>0</v>
      </c>
      <c r="S13" s="1508">
        <v>0</v>
      </c>
      <c r="T13" s="1507"/>
      <c r="U13" s="1495">
        <f t="shared" ref="U13:U52" si="3">SUM(O13+R13)</f>
        <v>8000000</v>
      </c>
      <c r="V13" s="1495">
        <f t="shared" ref="V13:V52" si="4">SUM(P13+S13)</f>
        <v>1440000</v>
      </c>
      <c r="W13" s="1495">
        <f t="shared" ref="W13:W68" si="5">SUM(Q13+T13)</f>
        <v>0</v>
      </c>
      <c r="X13" s="1495">
        <f t="shared" ref="X13:X68" si="6">SUM(E13-U13)</f>
        <v>0</v>
      </c>
      <c r="Y13" s="1495">
        <f t="shared" ref="Y13:Y68" si="7">SUM(U13/M13)*100</f>
        <v>100</v>
      </c>
      <c r="Z13" s="1495">
        <f t="shared" ref="Z13:Z68" si="8">SUM(M13-U13)</f>
        <v>0</v>
      </c>
      <c r="AA13" s="1506">
        <f t="shared" ref="AA13:AA68" si="9">SUM(N13-V13)</f>
        <v>0</v>
      </c>
      <c r="AB13" s="1505"/>
      <c r="AC13" s="1504">
        <f t="shared" ref="AC13:AC68" si="10">IF(AND(AB13&gt;0,AB13&lt;=2),X13,0)</f>
        <v>0</v>
      </c>
      <c r="AD13" s="1503">
        <f t="shared" ref="AD13:AD68" si="11">IF(AND(AB13&gt;=3,AB13&lt;=4),X13,0)</f>
        <v>0</v>
      </c>
      <c r="AE13" s="1503">
        <f t="shared" ref="AE13:AE68" si="12">IF(AND(AB13&gt;=5,AB13&lt;=6),X13,0)</f>
        <v>0</v>
      </c>
      <c r="AF13" s="1502">
        <f t="shared" ref="AF13:AF68" si="13">IF(AB13&gt;6,X13,0)</f>
        <v>0</v>
      </c>
    </row>
    <row r="14" spans="1:32" s="1474" customFormat="1" ht="23.25" customHeight="1">
      <c r="A14" s="1515">
        <f>A13+1</f>
        <v>2</v>
      </c>
      <c r="B14" s="1513" t="s">
        <v>1898</v>
      </c>
      <c r="C14" s="1514" t="s">
        <v>1916</v>
      </c>
      <c r="D14" s="1514"/>
      <c r="E14" s="1513">
        <v>7000000</v>
      </c>
      <c r="F14" s="1512">
        <f t="shared" si="0"/>
        <v>1260000</v>
      </c>
      <c r="G14" s="1508" t="s">
        <v>1921</v>
      </c>
      <c r="H14" s="1511">
        <v>0.18</v>
      </c>
      <c r="I14" s="1508">
        <v>12</v>
      </c>
      <c r="J14" s="1508">
        <v>12</v>
      </c>
      <c r="K14" s="1508">
        <v>583300</v>
      </c>
      <c r="L14" s="1508">
        <v>105000</v>
      </c>
      <c r="M14" s="1510">
        <f t="shared" si="1"/>
        <v>7000000</v>
      </c>
      <c r="N14" s="1510">
        <f t="shared" si="2"/>
        <v>1260000</v>
      </c>
      <c r="O14" s="1509">
        <v>7000000</v>
      </c>
      <c r="P14" s="1509">
        <v>1260000</v>
      </c>
      <c r="Q14" s="1509"/>
      <c r="R14" s="1508">
        <v>0</v>
      </c>
      <c r="S14" s="1508">
        <v>0</v>
      </c>
      <c r="T14" s="1507"/>
      <c r="U14" s="1495">
        <f t="shared" si="3"/>
        <v>7000000</v>
      </c>
      <c r="V14" s="1495">
        <f t="shared" si="4"/>
        <v>1260000</v>
      </c>
      <c r="W14" s="1495">
        <f t="shared" si="5"/>
        <v>0</v>
      </c>
      <c r="X14" s="1495">
        <f t="shared" si="6"/>
        <v>0</v>
      </c>
      <c r="Y14" s="1495">
        <f t="shared" si="7"/>
        <v>100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f t="shared" ref="A15:A31" si="14">A14+1</f>
        <v>3</v>
      </c>
      <c r="B15" s="1513" t="s">
        <v>1942</v>
      </c>
      <c r="C15" s="1514" t="s">
        <v>1916</v>
      </c>
      <c r="D15" s="1514"/>
      <c r="E15" s="1513">
        <v>7000000</v>
      </c>
      <c r="F15" s="1512">
        <f t="shared" si="0"/>
        <v>1260000</v>
      </c>
      <c r="G15" s="1508" t="s">
        <v>1921</v>
      </c>
      <c r="H15" s="1511">
        <v>0.18</v>
      </c>
      <c r="I15" s="1508">
        <v>12</v>
      </c>
      <c r="J15" s="1508">
        <v>12</v>
      </c>
      <c r="K15" s="1508">
        <v>583300</v>
      </c>
      <c r="L15" s="1508">
        <v>105000</v>
      </c>
      <c r="M15" s="1510">
        <f t="shared" si="1"/>
        <v>7000000</v>
      </c>
      <c r="N15" s="1510">
        <f t="shared" si="2"/>
        <v>1260000</v>
      </c>
      <c r="O15" s="1509">
        <v>7000000</v>
      </c>
      <c r="P15" s="1509">
        <v>1260000</v>
      </c>
      <c r="Q15" s="1509"/>
      <c r="R15" s="1508">
        <v>0</v>
      </c>
      <c r="S15" s="1508">
        <v>0</v>
      </c>
      <c r="T15" s="1507"/>
      <c r="U15" s="1495">
        <f t="shared" si="3"/>
        <v>7000000</v>
      </c>
      <c r="V15" s="1495">
        <f t="shared" si="4"/>
        <v>1260000</v>
      </c>
      <c r="W15" s="1495">
        <f t="shared" si="5"/>
        <v>0</v>
      </c>
      <c r="X15" s="1495">
        <f t="shared" si="6"/>
        <v>0</v>
      </c>
      <c r="Y15" s="1495">
        <f t="shared" si="7"/>
        <v>100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f t="shared" si="14"/>
        <v>4</v>
      </c>
      <c r="B16" s="1513" t="s">
        <v>1897</v>
      </c>
      <c r="C16" s="1514" t="s">
        <v>1916</v>
      </c>
      <c r="D16" s="1514"/>
      <c r="E16" s="1513">
        <v>7000000</v>
      </c>
      <c r="F16" s="1512">
        <f t="shared" si="0"/>
        <v>1260000</v>
      </c>
      <c r="G16" s="1508" t="s">
        <v>1921</v>
      </c>
      <c r="H16" s="1511">
        <v>0.18</v>
      </c>
      <c r="I16" s="1508">
        <v>12</v>
      </c>
      <c r="J16" s="1508">
        <v>12</v>
      </c>
      <c r="K16" s="1508">
        <v>583300</v>
      </c>
      <c r="L16" s="1508">
        <v>105000</v>
      </c>
      <c r="M16" s="1510">
        <f t="shared" si="1"/>
        <v>7000000</v>
      </c>
      <c r="N16" s="1510">
        <f t="shared" si="2"/>
        <v>1260000</v>
      </c>
      <c r="O16" s="1509">
        <v>7000000</v>
      </c>
      <c r="P16" s="1509">
        <v>1260000</v>
      </c>
      <c r="Q16" s="1509"/>
      <c r="R16" s="1508">
        <v>0</v>
      </c>
      <c r="S16" s="1508">
        <v>0</v>
      </c>
      <c r="T16" s="1507"/>
      <c r="U16" s="1495">
        <f t="shared" si="3"/>
        <v>7000000</v>
      </c>
      <c r="V16" s="1495">
        <f t="shared" si="4"/>
        <v>1260000</v>
      </c>
      <c r="W16" s="1495">
        <f t="shared" si="5"/>
        <v>0</v>
      </c>
      <c r="X16" s="1495">
        <f t="shared" si="6"/>
        <v>0</v>
      </c>
      <c r="Y16" s="1495">
        <f t="shared" si="7"/>
        <v>100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f t="shared" si="14"/>
        <v>5</v>
      </c>
      <c r="B17" s="1513" t="s">
        <v>1912</v>
      </c>
      <c r="C17" s="1514" t="s">
        <v>1916</v>
      </c>
      <c r="D17" s="1514"/>
      <c r="E17" s="1513">
        <v>7000000</v>
      </c>
      <c r="F17" s="1512">
        <f t="shared" si="0"/>
        <v>1260000</v>
      </c>
      <c r="G17" s="1508" t="s">
        <v>1921</v>
      </c>
      <c r="H17" s="1511">
        <v>0.18</v>
      </c>
      <c r="I17" s="1508">
        <v>12</v>
      </c>
      <c r="J17" s="1508">
        <v>12</v>
      </c>
      <c r="K17" s="1508">
        <v>583300</v>
      </c>
      <c r="L17" s="1508">
        <v>105000</v>
      </c>
      <c r="M17" s="1510">
        <f t="shared" si="1"/>
        <v>7000000</v>
      </c>
      <c r="N17" s="1510">
        <f t="shared" si="2"/>
        <v>1260000</v>
      </c>
      <c r="O17" s="1509">
        <v>7000000</v>
      </c>
      <c r="P17" s="1509">
        <v>1260000</v>
      </c>
      <c r="Q17" s="1509"/>
      <c r="R17" s="1508">
        <v>0</v>
      </c>
      <c r="S17" s="1508">
        <v>0</v>
      </c>
      <c r="T17" s="1507"/>
      <c r="U17" s="1495">
        <f t="shared" si="3"/>
        <v>7000000</v>
      </c>
      <c r="V17" s="1495">
        <f t="shared" si="4"/>
        <v>1260000</v>
      </c>
      <c r="W17" s="1495">
        <f t="shared" si="5"/>
        <v>0</v>
      </c>
      <c r="X17" s="1495">
        <f t="shared" si="6"/>
        <v>0</v>
      </c>
      <c r="Y17" s="1495">
        <f t="shared" si="7"/>
        <v>100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f t="shared" si="14"/>
        <v>6</v>
      </c>
      <c r="B18" s="1513" t="s">
        <v>1934</v>
      </c>
      <c r="C18" s="1514" t="s">
        <v>1916</v>
      </c>
      <c r="D18" s="1514"/>
      <c r="E18" s="1513">
        <v>6000000</v>
      </c>
      <c r="F18" s="1512">
        <f t="shared" si="0"/>
        <v>1080000</v>
      </c>
      <c r="G18" s="1508" t="s">
        <v>1921</v>
      </c>
      <c r="H18" s="1511">
        <v>0.18</v>
      </c>
      <c r="I18" s="1508">
        <v>12</v>
      </c>
      <c r="J18" s="1508">
        <v>12</v>
      </c>
      <c r="K18" s="1508">
        <v>500000</v>
      </c>
      <c r="L18" s="1508">
        <v>90000</v>
      </c>
      <c r="M18" s="1510">
        <f t="shared" si="1"/>
        <v>6000000</v>
      </c>
      <c r="N18" s="1510">
        <f t="shared" si="2"/>
        <v>1080000</v>
      </c>
      <c r="O18" s="1509">
        <v>6000000</v>
      </c>
      <c r="P18" s="1509">
        <v>1080000</v>
      </c>
      <c r="Q18" s="1509"/>
      <c r="R18" s="1508">
        <v>0</v>
      </c>
      <c r="S18" s="1508">
        <v>0</v>
      </c>
      <c r="T18" s="1507"/>
      <c r="U18" s="1495">
        <f t="shared" si="3"/>
        <v>6000000</v>
      </c>
      <c r="V18" s="1495">
        <f t="shared" si="4"/>
        <v>1080000</v>
      </c>
      <c r="W18" s="1495">
        <f t="shared" si="5"/>
        <v>0</v>
      </c>
      <c r="X18" s="1495">
        <f t="shared" si="6"/>
        <v>0</v>
      </c>
      <c r="Y18" s="1495">
        <f t="shared" si="7"/>
        <v>100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f t="shared" si="14"/>
        <v>7</v>
      </c>
      <c r="B19" s="1513" t="s">
        <v>1943</v>
      </c>
      <c r="C19" s="1514" t="s">
        <v>1916</v>
      </c>
      <c r="D19" s="1514"/>
      <c r="E19" s="1513">
        <v>6000000</v>
      </c>
      <c r="F19" s="1512">
        <f t="shared" si="0"/>
        <v>1080000</v>
      </c>
      <c r="G19" s="1508" t="s">
        <v>1922</v>
      </c>
      <c r="H19" s="1511">
        <v>0.18</v>
      </c>
      <c r="I19" s="1508">
        <v>12</v>
      </c>
      <c r="J19" s="1508">
        <v>12</v>
      </c>
      <c r="K19" s="1508">
        <v>500000</v>
      </c>
      <c r="L19" s="1508">
        <v>90000</v>
      </c>
      <c r="M19" s="1510">
        <f t="shared" si="1"/>
        <v>6000000</v>
      </c>
      <c r="N19" s="1510">
        <f t="shared" si="2"/>
        <v>1080000</v>
      </c>
      <c r="O19" s="1509">
        <v>6000000</v>
      </c>
      <c r="P19" s="1509">
        <v>1080000</v>
      </c>
      <c r="Q19" s="1509"/>
      <c r="R19" s="1508">
        <v>0</v>
      </c>
      <c r="S19" s="1508">
        <v>0</v>
      </c>
      <c r="T19" s="1507"/>
      <c r="U19" s="1495">
        <f t="shared" si="3"/>
        <v>6000000</v>
      </c>
      <c r="V19" s="1495">
        <f t="shared" si="4"/>
        <v>1080000</v>
      </c>
      <c r="W19" s="1495">
        <f t="shared" si="5"/>
        <v>0</v>
      </c>
      <c r="X19" s="1495">
        <f t="shared" si="6"/>
        <v>0</v>
      </c>
      <c r="Y19" s="1495">
        <f t="shared" si="7"/>
        <v>100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f t="shared" si="14"/>
        <v>8</v>
      </c>
      <c r="B20" s="1513" t="s">
        <v>1944</v>
      </c>
      <c r="C20" s="1514" t="s">
        <v>1919</v>
      </c>
      <c r="D20" s="1514"/>
      <c r="E20" s="1513">
        <v>7500000</v>
      </c>
      <c r="F20" s="1512">
        <f t="shared" si="0"/>
        <v>1350000</v>
      </c>
      <c r="G20" s="2141">
        <v>40068</v>
      </c>
      <c r="H20" s="1511">
        <v>0.18</v>
      </c>
      <c r="I20" s="1508">
        <v>12</v>
      </c>
      <c r="J20" s="1508">
        <v>12</v>
      </c>
      <c r="K20" s="1508">
        <v>625000</v>
      </c>
      <c r="L20" s="1508">
        <v>112500</v>
      </c>
      <c r="M20" s="1510">
        <f t="shared" si="1"/>
        <v>7500000</v>
      </c>
      <c r="N20" s="1510">
        <f t="shared" si="2"/>
        <v>1350000</v>
      </c>
      <c r="O20" s="1509">
        <v>7500000</v>
      </c>
      <c r="P20" s="1509">
        <v>1350000</v>
      </c>
      <c r="Q20" s="1509"/>
      <c r="R20" s="1508">
        <v>0</v>
      </c>
      <c r="S20" s="1508">
        <v>0</v>
      </c>
      <c r="T20" s="1507"/>
      <c r="U20" s="1495">
        <f t="shared" si="3"/>
        <v>7500000</v>
      </c>
      <c r="V20" s="1495">
        <f t="shared" si="4"/>
        <v>1350000</v>
      </c>
      <c r="W20" s="1495">
        <f t="shared" si="5"/>
        <v>0</v>
      </c>
      <c r="X20" s="1495">
        <f t="shared" si="6"/>
        <v>0</v>
      </c>
      <c r="Y20" s="1495">
        <f t="shared" si="7"/>
        <v>100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f t="shared" si="14"/>
        <v>9</v>
      </c>
      <c r="B21" s="1513" t="s">
        <v>1945</v>
      </c>
      <c r="C21" s="1514" t="s">
        <v>1919</v>
      </c>
      <c r="D21" s="1514"/>
      <c r="E21" s="1513">
        <v>5000000</v>
      </c>
      <c r="F21" s="1512">
        <f t="shared" si="0"/>
        <v>900000</v>
      </c>
      <c r="G21" s="2141">
        <v>40068</v>
      </c>
      <c r="H21" s="1511">
        <v>0.18</v>
      </c>
      <c r="I21" s="1508">
        <v>12</v>
      </c>
      <c r="J21" s="1508">
        <v>12</v>
      </c>
      <c r="K21" s="1508">
        <v>416700</v>
      </c>
      <c r="L21" s="1508">
        <v>75000</v>
      </c>
      <c r="M21" s="1510">
        <f t="shared" si="1"/>
        <v>5000000</v>
      </c>
      <c r="N21" s="1510">
        <f t="shared" si="2"/>
        <v>900000</v>
      </c>
      <c r="O21" s="1509">
        <v>5000000</v>
      </c>
      <c r="P21" s="1509">
        <v>900000</v>
      </c>
      <c r="Q21" s="1509"/>
      <c r="R21" s="1508">
        <v>0</v>
      </c>
      <c r="S21" s="1508">
        <v>0</v>
      </c>
      <c r="T21" s="1507"/>
      <c r="U21" s="1495">
        <f t="shared" si="3"/>
        <v>5000000</v>
      </c>
      <c r="V21" s="1495">
        <f t="shared" si="4"/>
        <v>900000</v>
      </c>
      <c r="W21" s="1495">
        <f t="shared" si="5"/>
        <v>0</v>
      </c>
      <c r="X21" s="1495">
        <f t="shared" si="6"/>
        <v>0</v>
      </c>
      <c r="Y21" s="1495">
        <f t="shared" si="7"/>
        <v>100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f t="shared" si="14"/>
        <v>10</v>
      </c>
      <c r="B22" s="1513" t="s">
        <v>1946</v>
      </c>
      <c r="C22" s="1514" t="s">
        <v>1919</v>
      </c>
      <c r="D22" s="1514"/>
      <c r="E22" s="1513">
        <v>7000000</v>
      </c>
      <c r="F22" s="1512">
        <f t="shared" si="0"/>
        <v>1260000</v>
      </c>
      <c r="G22" s="2141">
        <v>40068</v>
      </c>
      <c r="H22" s="1511">
        <v>0.18</v>
      </c>
      <c r="I22" s="1508">
        <v>12</v>
      </c>
      <c r="J22" s="1508">
        <v>12</v>
      </c>
      <c r="K22" s="1508">
        <v>583300</v>
      </c>
      <c r="L22" s="1508">
        <v>105000</v>
      </c>
      <c r="M22" s="1510">
        <f t="shared" si="1"/>
        <v>7000000</v>
      </c>
      <c r="N22" s="1510">
        <f t="shared" si="2"/>
        <v>1260000</v>
      </c>
      <c r="O22" s="1509">
        <v>7000000</v>
      </c>
      <c r="P22" s="1509">
        <v>1260000</v>
      </c>
      <c r="Q22" s="1509"/>
      <c r="R22" s="1508">
        <v>0</v>
      </c>
      <c r="S22" s="1508">
        <v>0</v>
      </c>
      <c r="T22" s="1507"/>
      <c r="U22" s="1495">
        <f t="shared" si="3"/>
        <v>7000000</v>
      </c>
      <c r="V22" s="1495">
        <f t="shared" si="4"/>
        <v>1260000</v>
      </c>
      <c r="W22" s="1495">
        <f t="shared" si="5"/>
        <v>0</v>
      </c>
      <c r="X22" s="1495">
        <f t="shared" si="6"/>
        <v>0</v>
      </c>
      <c r="Y22" s="1495">
        <f t="shared" si="7"/>
        <v>100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f t="shared" si="14"/>
        <v>11</v>
      </c>
      <c r="B23" s="1513" t="s">
        <v>1947</v>
      </c>
      <c r="C23" s="1514" t="s">
        <v>1919</v>
      </c>
      <c r="D23" s="1514"/>
      <c r="E23" s="1513">
        <v>7000000</v>
      </c>
      <c r="F23" s="1512">
        <f t="shared" si="0"/>
        <v>1260000</v>
      </c>
      <c r="G23" s="2141">
        <v>40068</v>
      </c>
      <c r="H23" s="1511">
        <v>0.18</v>
      </c>
      <c r="I23" s="1508">
        <v>12</v>
      </c>
      <c r="J23" s="1508">
        <v>12</v>
      </c>
      <c r="K23" s="1508">
        <v>583300</v>
      </c>
      <c r="L23" s="1508">
        <v>105000</v>
      </c>
      <c r="M23" s="1510">
        <f t="shared" si="1"/>
        <v>7000000</v>
      </c>
      <c r="N23" s="1510">
        <f t="shared" si="2"/>
        <v>1260000</v>
      </c>
      <c r="O23" s="1509">
        <v>7000000</v>
      </c>
      <c r="P23" s="1509">
        <v>1260000</v>
      </c>
      <c r="Q23" s="1509"/>
      <c r="R23" s="1508">
        <v>0</v>
      </c>
      <c r="S23" s="1508">
        <v>0</v>
      </c>
      <c r="T23" s="1507"/>
      <c r="U23" s="1495">
        <f t="shared" si="3"/>
        <v>7000000</v>
      </c>
      <c r="V23" s="1495">
        <f t="shared" si="4"/>
        <v>1260000</v>
      </c>
      <c r="W23" s="1495">
        <f t="shared" si="5"/>
        <v>0</v>
      </c>
      <c r="X23" s="1495">
        <f t="shared" si="6"/>
        <v>0</v>
      </c>
      <c r="Y23" s="1495">
        <f t="shared" si="7"/>
        <v>100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f t="shared" si="14"/>
        <v>12</v>
      </c>
      <c r="B24" s="1513" t="s">
        <v>1948</v>
      </c>
      <c r="C24" s="1514" t="s">
        <v>1919</v>
      </c>
      <c r="D24" s="1514"/>
      <c r="E24" s="1513">
        <v>5000000</v>
      </c>
      <c r="F24" s="1512">
        <f t="shared" si="0"/>
        <v>900000</v>
      </c>
      <c r="G24" s="2141">
        <v>40068</v>
      </c>
      <c r="H24" s="1511">
        <v>0.18</v>
      </c>
      <c r="I24" s="1508">
        <v>12</v>
      </c>
      <c r="J24" s="1508">
        <v>12</v>
      </c>
      <c r="K24" s="1508">
        <v>416700</v>
      </c>
      <c r="L24" s="1508">
        <v>75000</v>
      </c>
      <c r="M24" s="1510">
        <f t="shared" si="1"/>
        <v>5000000</v>
      </c>
      <c r="N24" s="1510">
        <f t="shared" si="2"/>
        <v>900000</v>
      </c>
      <c r="O24" s="1509">
        <v>5000000</v>
      </c>
      <c r="P24" s="1509">
        <v>900000</v>
      </c>
      <c r="Q24" s="1509"/>
      <c r="R24" s="1508">
        <v>0</v>
      </c>
      <c r="S24" s="1508">
        <v>0</v>
      </c>
      <c r="T24" s="1507"/>
      <c r="U24" s="1495">
        <f t="shared" si="3"/>
        <v>5000000</v>
      </c>
      <c r="V24" s="1495">
        <f t="shared" si="4"/>
        <v>900000</v>
      </c>
      <c r="W24" s="1495">
        <f t="shared" si="5"/>
        <v>0</v>
      </c>
      <c r="X24" s="1495">
        <f t="shared" si="6"/>
        <v>0</v>
      </c>
      <c r="Y24" s="1495">
        <f t="shared" si="7"/>
        <v>100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f t="shared" si="14"/>
        <v>13</v>
      </c>
      <c r="B25" s="1513" t="s">
        <v>1949</v>
      </c>
      <c r="C25" s="1514" t="s">
        <v>1919</v>
      </c>
      <c r="D25" s="1514"/>
      <c r="E25" s="1513">
        <v>8000000</v>
      </c>
      <c r="F25" s="1512">
        <f t="shared" si="0"/>
        <v>1440000</v>
      </c>
      <c r="G25" s="2141">
        <v>40068</v>
      </c>
      <c r="H25" s="1511">
        <v>0.18</v>
      </c>
      <c r="I25" s="1508">
        <v>12</v>
      </c>
      <c r="J25" s="1508">
        <v>12</v>
      </c>
      <c r="K25" s="1508">
        <v>666700</v>
      </c>
      <c r="L25" s="1508">
        <v>120000</v>
      </c>
      <c r="M25" s="1510">
        <f t="shared" si="1"/>
        <v>8000000</v>
      </c>
      <c r="N25" s="1510">
        <f t="shared" si="2"/>
        <v>1440000</v>
      </c>
      <c r="O25" s="1509">
        <v>8000000</v>
      </c>
      <c r="P25" s="1509">
        <v>1440000</v>
      </c>
      <c r="Q25" s="1509"/>
      <c r="R25" s="1508">
        <v>0</v>
      </c>
      <c r="S25" s="1508">
        <v>0</v>
      </c>
      <c r="T25" s="1507"/>
      <c r="U25" s="1495">
        <f t="shared" si="3"/>
        <v>8000000</v>
      </c>
      <c r="V25" s="1495">
        <f t="shared" si="4"/>
        <v>1440000</v>
      </c>
      <c r="W25" s="1495">
        <f t="shared" si="5"/>
        <v>0</v>
      </c>
      <c r="X25" s="1495">
        <f t="shared" si="6"/>
        <v>0</v>
      </c>
      <c r="Y25" s="1495">
        <f t="shared" si="7"/>
        <v>100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f t="shared" si="14"/>
        <v>14</v>
      </c>
      <c r="B26" s="1513" t="s">
        <v>1950</v>
      </c>
      <c r="C26" s="1514" t="s">
        <v>1919</v>
      </c>
      <c r="D26" s="1514"/>
      <c r="E26" s="1513">
        <v>5000000</v>
      </c>
      <c r="F26" s="1512">
        <f t="shared" si="0"/>
        <v>900000</v>
      </c>
      <c r="G26" s="2141">
        <v>40068</v>
      </c>
      <c r="H26" s="1511">
        <v>0.18</v>
      </c>
      <c r="I26" s="1508">
        <v>12</v>
      </c>
      <c r="J26" s="1508">
        <v>12</v>
      </c>
      <c r="K26" s="1508">
        <v>416700</v>
      </c>
      <c r="L26" s="1508">
        <v>75000</v>
      </c>
      <c r="M26" s="1510">
        <f t="shared" si="1"/>
        <v>5000000</v>
      </c>
      <c r="N26" s="1510">
        <f t="shared" si="2"/>
        <v>900000</v>
      </c>
      <c r="O26" s="1509">
        <v>5000000</v>
      </c>
      <c r="P26" s="1509">
        <v>900000</v>
      </c>
      <c r="Q26" s="1509"/>
      <c r="R26" s="1508">
        <v>0</v>
      </c>
      <c r="S26" s="1508">
        <v>0</v>
      </c>
      <c r="T26" s="1507"/>
      <c r="U26" s="1495">
        <f t="shared" si="3"/>
        <v>5000000</v>
      </c>
      <c r="V26" s="1495">
        <f t="shared" si="4"/>
        <v>900000</v>
      </c>
      <c r="W26" s="1495">
        <f t="shared" si="5"/>
        <v>0</v>
      </c>
      <c r="X26" s="1495">
        <f t="shared" si="6"/>
        <v>0</v>
      </c>
      <c r="Y26" s="1495">
        <f t="shared" si="7"/>
        <v>100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f t="shared" si="14"/>
        <v>15</v>
      </c>
      <c r="B27" s="1513" t="s">
        <v>1951</v>
      </c>
      <c r="C27" s="1514" t="s">
        <v>1919</v>
      </c>
      <c r="D27" s="1514"/>
      <c r="E27" s="1513">
        <v>6000000</v>
      </c>
      <c r="F27" s="1512">
        <f t="shared" si="0"/>
        <v>1080000</v>
      </c>
      <c r="G27" s="2141">
        <v>40068</v>
      </c>
      <c r="H27" s="1511">
        <v>0.18</v>
      </c>
      <c r="I27" s="1508">
        <v>12</v>
      </c>
      <c r="J27" s="1508">
        <v>12</v>
      </c>
      <c r="K27" s="1508">
        <v>500000</v>
      </c>
      <c r="L27" s="1508">
        <v>90000</v>
      </c>
      <c r="M27" s="1510">
        <f t="shared" si="1"/>
        <v>6000000</v>
      </c>
      <c r="N27" s="1510">
        <f t="shared" si="2"/>
        <v>1080000</v>
      </c>
      <c r="O27" s="1509">
        <v>6000000</v>
      </c>
      <c r="P27" s="1509">
        <v>1080000</v>
      </c>
      <c r="Q27" s="1509"/>
      <c r="R27" s="1508">
        <v>0</v>
      </c>
      <c r="S27" s="1508">
        <v>0</v>
      </c>
      <c r="T27" s="1507"/>
      <c r="U27" s="1495">
        <f t="shared" si="3"/>
        <v>6000000</v>
      </c>
      <c r="V27" s="1495">
        <f t="shared" si="4"/>
        <v>1080000</v>
      </c>
      <c r="W27" s="1495">
        <f t="shared" si="5"/>
        <v>0</v>
      </c>
      <c r="X27" s="1495">
        <f t="shared" si="6"/>
        <v>0</v>
      </c>
      <c r="Y27" s="1495">
        <f t="shared" si="7"/>
        <v>100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f t="shared" si="14"/>
        <v>16</v>
      </c>
      <c r="B28" s="1513" t="s">
        <v>1952</v>
      </c>
      <c r="C28" s="1514" t="s">
        <v>1919</v>
      </c>
      <c r="D28" s="1514"/>
      <c r="E28" s="1513">
        <v>10000000</v>
      </c>
      <c r="F28" s="1512">
        <f t="shared" si="0"/>
        <v>1800000</v>
      </c>
      <c r="G28" s="2141">
        <v>40068</v>
      </c>
      <c r="H28" s="1511">
        <v>0.18</v>
      </c>
      <c r="I28" s="1508">
        <v>12</v>
      </c>
      <c r="J28" s="1508">
        <v>12</v>
      </c>
      <c r="K28" s="1508">
        <v>833300</v>
      </c>
      <c r="L28" s="1508">
        <v>150000</v>
      </c>
      <c r="M28" s="1510">
        <f t="shared" si="1"/>
        <v>10000000</v>
      </c>
      <c r="N28" s="1510">
        <f t="shared" si="2"/>
        <v>1800000</v>
      </c>
      <c r="O28" s="1509">
        <v>10000000</v>
      </c>
      <c r="P28" s="1509">
        <v>1800000</v>
      </c>
      <c r="Q28" s="1509"/>
      <c r="R28" s="1508">
        <v>0</v>
      </c>
      <c r="S28" s="1508">
        <v>0</v>
      </c>
      <c r="T28" s="1507"/>
      <c r="U28" s="1495">
        <f t="shared" si="3"/>
        <v>10000000</v>
      </c>
      <c r="V28" s="1495">
        <f t="shared" si="4"/>
        <v>1800000</v>
      </c>
      <c r="W28" s="1495">
        <f t="shared" si="5"/>
        <v>0</v>
      </c>
      <c r="X28" s="1495">
        <f t="shared" si="6"/>
        <v>0</v>
      </c>
      <c r="Y28" s="1495">
        <f t="shared" si="7"/>
        <v>100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f t="shared" si="14"/>
        <v>17</v>
      </c>
      <c r="B29" s="1513" t="s">
        <v>1953</v>
      </c>
      <c r="C29" s="1514" t="s">
        <v>1919</v>
      </c>
      <c r="D29" s="1514"/>
      <c r="E29" s="1513">
        <v>6500000</v>
      </c>
      <c r="F29" s="1512">
        <f t="shared" si="0"/>
        <v>1170000</v>
      </c>
      <c r="G29" s="2141">
        <v>40068</v>
      </c>
      <c r="H29" s="1511">
        <v>0.18</v>
      </c>
      <c r="I29" s="1508">
        <v>12</v>
      </c>
      <c r="J29" s="1508">
        <v>12</v>
      </c>
      <c r="K29" s="1508">
        <v>541700</v>
      </c>
      <c r="L29" s="1508">
        <v>97500</v>
      </c>
      <c r="M29" s="1510">
        <f t="shared" si="1"/>
        <v>6500000</v>
      </c>
      <c r="N29" s="1510">
        <f t="shared" si="2"/>
        <v>1170000</v>
      </c>
      <c r="O29" s="1509">
        <v>6500000</v>
      </c>
      <c r="P29" s="1509">
        <v>1170000</v>
      </c>
      <c r="Q29" s="1509"/>
      <c r="R29" s="1508">
        <v>0</v>
      </c>
      <c r="S29" s="1508">
        <v>0</v>
      </c>
      <c r="T29" s="1507"/>
      <c r="U29" s="1495">
        <f t="shared" si="3"/>
        <v>6500000</v>
      </c>
      <c r="V29" s="1495">
        <f t="shared" si="4"/>
        <v>1170000</v>
      </c>
      <c r="W29" s="1495">
        <f t="shared" si="5"/>
        <v>0</v>
      </c>
      <c r="X29" s="1495">
        <f t="shared" si="6"/>
        <v>0</v>
      </c>
      <c r="Y29" s="1495">
        <f t="shared" si="7"/>
        <v>100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f t="shared" si="14"/>
        <v>18</v>
      </c>
      <c r="B30" s="1513" t="s">
        <v>1954</v>
      </c>
      <c r="C30" s="1514" t="s">
        <v>1919</v>
      </c>
      <c r="D30" s="1514"/>
      <c r="E30" s="1513">
        <v>5000000</v>
      </c>
      <c r="F30" s="1512">
        <f t="shared" si="0"/>
        <v>900000</v>
      </c>
      <c r="G30" s="2141">
        <v>40068</v>
      </c>
      <c r="H30" s="1511">
        <v>0.18</v>
      </c>
      <c r="I30" s="1508">
        <v>12</v>
      </c>
      <c r="J30" s="1508">
        <v>12</v>
      </c>
      <c r="K30" s="1508">
        <v>416700</v>
      </c>
      <c r="L30" s="1508">
        <v>75000</v>
      </c>
      <c r="M30" s="1510">
        <f t="shared" si="1"/>
        <v>5000000</v>
      </c>
      <c r="N30" s="1510">
        <f t="shared" si="2"/>
        <v>900000</v>
      </c>
      <c r="O30" s="1509">
        <v>5000000</v>
      </c>
      <c r="P30" s="1509">
        <v>900000</v>
      </c>
      <c r="Q30" s="1509"/>
      <c r="R30" s="1508">
        <v>0</v>
      </c>
      <c r="S30" s="1508">
        <v>0</v>
      </c>
      <c r="T30" s="1507"/>
      <c r="U30" s="1495">
        <f t="shared" si="3"/>
        <v>5000000</v>
      </c>
      <c r="V30" s="1495">
        <f t="shared" si="4"/>
        <v>900000</v>
      </c>
      <c r="W30" s="1495">
        <f t="shared" si="5"/>
        <v>0</v>
      </c>
      <c r="X30" s="1495">
        <f t="shared" si="6"/>
        <v>0</v>
      </c>
      <c r="Y30" s="1495">
        <f t="shared" si="7"/>
        <v>100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f t="shared" si="14"/>
        <v>19</v>
      </c>
      <c r="B31" s="1513" t="s">
        <v>1955</v>
      </c>
      <c r="C31" s="1514" t="s">
        <v>1919</v>
      </c>
      <c r="D31" s="1514"/>
      <c r="E31" s="1513">
        <v>6500000</v>
      </c>
      <c r="F31" s="1512">
        <f t="shared" si="0"/>
        <v>1170000</v>
      </c>
      <c r="G31" s="2141">
        <v>40068</v>
      </c>
      <c r="H31" s="1511">
        <v>0.18</v>
      </c>
      <c r="I31" s="1508">
        <v>12</v>
      </c>
      <c r="J31" s="1508">
        <v>12</v>
      </c>
      <c r="K31" s="1508">
        <v>541700</v>
      </c>
      <c r="L31" s="1508">
        <v>97500</v>
      </c>
      <c r="M31" s="1510">
        <f t="shared" si="1"/>
        <v>6500000</v>
      </c>
      <c r="N31" s="1510">
        <f t="shared" si="2"/>
        <v>1170000</v>
      </c>
      <c r="O31" s="1509">
        <v>6500000</v>
      </c>
      <c r="P31" s="1509">
        <v>1170000</v>
      </c>
      <c r="Q31" s="1509"/>
      <c r="R31" s="1508">
        <v>0</v>
      </c>
      <c r="S31" s="1508">
        <v>0</v>
      </c>
      <c r="T31" s="1507"/>
      <c r="U31" s="1495">
        <f t="shared" si="3"/>
        <v>6500000</v>
      </c>
      <c r="V31" s="1495">
        <f t="shared" si="4"/>
        <v>1170000</v>
      </c>
      <c r="W31" s="1495">
        <f t="shared" si="5"/>
        <v>0</v>
      </c>
      <c r="X31" s="1495">
        <f t="shared" si="6"/>
        <v>0</v>
      </c>
      <c r="Y31" s="1495">
        <f t="shared" si="7"/>
        <v>100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f t="shared" ref="A32:A52" si="15">A31+1</f>
        <v>20</v>
      </c>
      <c r="B32" s="1513" t="s">
        <v>1898</v>
      </c>
      <c r="C32" s="1514" t="s">
        <v>1919</v>
      </c>
      <c r="D32" s="1514"/>
      <c r="E32" s="1513">
        <v>7500000</v>
      </c>
      <c r="F32" s="1512">
        <f t="shared" ref="F32:F55" si="16">E32*H32</f>
        <v>1350000</v>
      </c>
      <c r="G32" s="2141">
        <v>40068</v>
      </c>
      <c r="H32" s="1511">
        <v>0.18</v>
      </c>
      <c r="I32" s="1508">
        <v>12</v>
      </c>
      <c r="J32" s="1508">
        <v>12</v>
      </c>
      <c r="K32" s="1508">
        <v>625000</v>
      </c>
      <c r="L32" s="1508">
        <v>112500</v>
      </c>
      <c r="M32" s="1510">
        <f t="shared" ref="M32:M55" si="17">IF(J32&lt;I32,J32*K32,IF(J32&gt;=I32,E32))</f>
        <v>7500000</v>
      </c>
      <c r="N32" s="1510">
        <f t="shared" ref="N32:N52" si="18">IF(J32&lt;I32,J32*L32,IF(J32&gt;=I32,F32))</f>
        <v>1350000</v>
      </c>
      <c r="O32" s="1509">
        <v>7500000</v>
      </c>
      <c r="P32" s="1509">
        <v>1350000</v>
      </c>
      <c r="Q32" s="1509"/>
      <c r="R32" s="1508">
        <v>0</v>
      </c>
      <c r="S32" s="1508">
        <v>0</v>
      </c>
      <c r="T32" s="1507"/>
      <c r="U32" s="1495">
        <f t="shared" si="3"/>
        <v>7500000</v>
      </c>
      <c r="V32" s="1495">
        <f t="shared" si="4"/>
        <v>1350000</v>
      </c>
      <c r="W32" s="1495">
        <f t="shared" ref="W32:W55" si="19">SUM(Q32+T32)</f>
        <v>0</v>
      </c>
      <c r="X32" s="1495">
        <f t="shared" ref="X32:X55" si="20">SUM(E32-U32)</f>
        <v>0</v>
      </c>
      <c r="Y32" s="1495">
        <f t="shared" ref="Y32:Y56" si="21">SUM(U32/M32)*100</f>
        <v>100</v>
      </c>
      <c r="Z32" s="1495">
        <f t="shared" ref="Z32:Z55" si="22">SUM(M32-U32)</f>
        <v>0</v>
      </c>
      <c r="AA32" s="1506">
        <f t="shared" ref="AA32:AA55" si="23">SUM(N32-V32)</f>
        <v>0</v>
      </c>
      <c r="AB32" s="1505"/>
      <c r="AC32" s="1504">
        <f t="shared" ref="AC32:AC55" si="24">IF(AND(AB32&gt;0,AB32&lt;=2),X32,0)</f>
        <v>0</v>
      </c>
      <c r="AD32" s="1503">
        <f t="shared" ref="AD32:AD55" si="25">IF(AND(AB32&gt;=3,AB32&lt;=4),X32,0)</f>
        <v>0</v>
      </c>
      <c r="AE32" s="1503">
        <f t="shared" ref="AE32:AE55" si="26">IF(AND(AB32&gt;=5,AB32&lt;=6),X32,0)</f>
        <v>0</v>
      </c>
      <c r="AF32" s="1502">
        <f t="shared" ref="AF32:AF55" si="27">IF(AB32&gt;6,X32,0)</f>
        <v>0</v>
      </c>
    </row>
    <row r="33" spans="1:32" s="1474" customFormat="1" ht="23.25" customHeight="1">
      <c r="A33" s="1515">
        <f t="shared" si="15"/>
        <v>21</v>
      </c>
      <c r="B33" s="1513" t="s">
        <v>1956</v>
      </c>
      <c r="C33" s="1514" t="s">
        <v>1919</v>
      </c>
      <c r="D33" s="1514"/>
      <c r="E33" s="1513">
        <v>5000000</v>
      </c>
      <c r="F33" s="1512">
        <f t="shared" si="16"/>
        <v>900000</v>
      </c>
      <c r="G33" s="2141">
        <v>40068</v>
      </c>
      <c r="H33" s="1511">
        <v>0.18</v>
      </c>
      <c r="I33" s="1508">
        <v>12</v>
      </c>
      <c r="J33" s="1508">
        <v>12</v>
      </c>
      <c r="K33" s="1508">
        <v>416700</v>
      </c>
      <c r="L33" s="1508">
        <v>75000</v>
      </c>
      <c r="M33" s="1510">
        <f t="shared" si="17"/>
        <v>5000000</v>
      </c>
      <c r="N33" s="1510">
        <f t="shared" si="18"/>
        <v>900000</v>
      </c>
      <c r="O33" s="1509">
        <v>5000000</v>
      </c>
      <c r="P33" s="1509">
        <v>900000</v>
      </c>
      <c r="Q33" s="1509"/>
      <c r="R33" s="1508">
        <v>0</v>
      </c>
      <c r="S33" s="1508">
        <v>0</v>
      </c>
      <c r="T33" s="1507"/>
      <c r="U33" s="1495">
        <f t="shared" si="3"/>
        <v>5000000</v>
      </c>
      <c r="V33" s="1495">
        <f t="shared" si="4"/>
        <v>900000</v>
      </c>
      <c r="W33" s="1495">
        <f t="shared" si="19"/>
        <v>0</v>
      </c>
      <c r="X33" s="1495">
        <f t="shared" si="20"/>
        <v>0</v>
      </c>
      <c r="Y33" s="1495">
        <f t="shared" si="21"/>
        <v>100</v>
      </c>
      <c r="Z33" s="1495">
        <f t="shared" si="22"/>
        <v>0</v>
      </c>
      <c r="AA33" s="1506">
        <f t="shared" si="23"/>
        <v>0</v>
      </c>
      <c r="AB33" s="1505"/>
      <c r="AC33" s="1504">
        <f t="shared" si="24"/>
        <v>0</v>
      </c>
      <c r="AD33" s="1503">
        <f t="shared" si="25"/>
        <v>0</v>
      </c>
      <c r="AE33" s="1503">
        <f t="shared" si="26"/>
        <v>0</v>
      </c>
      <c r="AF33" s="1502">
        <f t="shared" si="27"/>
        <v>0</v>
      </c>
    </row>
    <row r="34" spans="1:32" s="1474" customFormat="1" ht="23.25" customHeight="1">
      <c r="A34" s="1515">
        <f t="shared" si="15"/>
        <v>22</v>
      </c>
      <c r="B34" s="1513" t="s">
        <v>1957</v>
      </c>
      <c r="C34" s="1514" t="s">
        <v>1919</v>
      </c>
      <c r="D34" s="1514"/>
      <c r="E34" s="1513">
        <v>7500000</v>
      </c>
      <c r="F34" s="1512">
        <f t="shared" si="16"/>
        <v>1350000</v>
      </c>
      <c r="G34" s="2141">
        <v>40068</v>
      </c>
      <c r="H34" s="1511">
        <v>0.18</v>
      </c>
      <c r="I34" s="1508">
        <v>12</v>
      </c>
      <c r="J34" s="1508">
        <v>12</v>
      </c>
      <c r="K34" s="1508">
        <v>625000</v>
      </c>
      <c r="L34" s="1508">
        <v>112500</v>
      </c>
      <c r="M34" s="1510">
        <f t="shared" si="17"/>
        <v>7500000</v>
      </c>
      <c r="N34" s="1510">
        <f t="shared" si="18"/>
        <v>1350000</v>
      </c>
      <c r="O34" s="1509">
        <v>7500000</v>
      </c>
      <c r="P34" s="1509">
        <v>1350000</v>
      </c>
      <c r="Q34" s="1509"/>
      <c r="R34" s="1508">
        <v>0</v>
      </c>
      <c r="S34" s="1508">
        <v>0</v>
      </c>
      <c r="T34" s="1507"/>
      <c r="U34" s="1495">
        <f t="shared" si="3"/>
        <v>7500000</v>
      </c>
      <c r="V34" s="1495">
        <f t="shared" si="4"/>
        <v>1350000</v>
      </c>
      <c r="W34" s="1495">
        <f t="shared" si="19"/>
        <v>0</v>
      </c>
      <c r="X34" s="1495">
        <f t="shared" si="20"/>
        <v>0</v>
      </c>
      <c r="Y34" s="1495">
        <f t="shared" si="21"/>
        <v>100</v>
      </c>
      <c r="Z34" s="1495">
        <f t="shared" si="22"/>
        <v>0</v>
      </c>
      <c r="AA34" s="1506">
        <f t="shared" si="23"/>
        <v>0</v>
      </c>
      <c r="AB34" s="1505"/>
      <c r="AC34" s="1504">
        <f t="shared" si="24"/>
        <v>0</v>
      </c>
      <c r="AD34" s="1503">
        <f t="shared" si="25"/>
        <v>0</v>
      </c>
      <c r="AE34" s="1503">
        <f t="shared" si="26"/>
        <v>0</v>
      </c>
      <c r="AF34" s="1502">
        <f t="shared" si="27"/>
        <v>0</v>
      </c>
    </row>
    <row r="35" spans="1:32" s="1474" customFormat="1" ht="23.25" customHeight="1">
      <c r="A35" s="1515">
        <f t="shared" si="15"/>
        <v>23</v>
      </c>
      <c r="B35" s="1513" t="s">
        <v>1958</v>
      </c>
      <c r="C35" s="1514" t="s">
        <v>1920</v>
      </c>
      <c r="D35" s="1514"/>
      <c r="E35" s="1513">
        <v>11000000</v>
      </c>
      <c r="F35" s="1512">
        <f t="shared" si="16"/>
        <v>1980000</v>
      </c>
      <c r="G35" s="2141">
        <v>40484</v>
      </c>
      <c r="H35" s="1511">
        <v>0.18</v>
      </c>
      <c r="I35" s="1508">
        <v>12</v>
      </c>
      <c r="J35" s="1508">
        <v>12</v>
      </c>
      <c r="K35" s="1508">
        <v>916700</v>
      </c>
      <c r="L35" s="1508">
        <v>165000</v>
      </c>
      <c r="M35" s="1510">
        <f t="shared" si="17"/>
        <v>11000000</v>
      </c>
      <c r="N35" s="1510">
        <f t="shared" si="18"/>
        <v>1980000</v>
      </c>
      <c r="O35" s="1509">
        <v>11000000</v>
      </c>
      <c r="P35" s="1509">
        <v>1980000</v>
      </c>
      <c r="Q35" s="1509"/>
      <c r="R35" s="2404"/>
      <c r="S35" s="1508"/>
      <c r="T35" s="1507"/>
      <c r="U35" s="1495">
        <f t="shared" si="3"/>
        <v>11000000</v>
      </c>
      <c r="V35" s="1495">
        <f t="shared" si="4"/>
        <v>1980000</v>
      </c>
      <c r="W35" s="1495">
        <f t="shared" si="19"/>
        <v>0</v>
      </c>
      <c r="X35" s="1495">
        <f t="shared" si="20"/>
        <v>0</v>
      </c>
      <c r="Y35" s="1495">
        <f t="shared" si="21"/>
        <v>100</v>
      </c>
      <c r="Z35" s="1495">
        <f t="shared" si="22"/>
        <v>0</v>
      </c>
      <c r="AA35" s="1506">
        <f t="shared" si="23"/>
        <v>0</v>
      </c>
      <c r="AB35" s="1505"/>
      <c r="AC35" s="1504">
        <f t="shared" si="24"/>
        <v>0</v>
      </c>
      <c r="AD35" s="1503">
        <f t="shared" si="25"/>
        <v>0</v>
      </c>
      <c r="AE35" s="1503">
        <f t="shared" si="26"/>
        <v>0</v>
      </c>
      <c r="AF35" s="1502">
        <f t="shared" si="27"/>
        <v>0</v>
      </c>
    </row>
    <row r="36" spans="1:32" s="1474" customFormat="1" ht="23.25" customHeight="1">
      <c r="A36" s="1515">
        <f t="shared" si="15"/>
        <v>24</v>
      </c>
      <c r="B36" s="1513" t="s">
        <v>2204</v>
      </c>
      <c r="C36" s="1514" t="s">
        <v>1920</v>
      </c>
      <c r="D36" s="1514"/>
      <c r="E36" s="1513">
        <v>10000000</v>
      </c>
      <c r="F36" s="1512">
        <f t="shared" si="16"/>
        <v>1800000</v>
      </c>
      <c r="G36" s="2141">
        <v>40484</v>
      </c>
      <c r="H36" s="1511">
        <v>0.18</v>
      </c>
      <c r="I36" s="1508">
        <v>12</v>
      </c>
      <c r="J36" s="1508">
        <v>12</v>
      </c>
      <c r="K36" s="1508">
        <v>833300</v>
      </c>
      <c r="L36" s="1508">
        <v>150000</v>
      </c>
      <c r="M36" s="1510">
        <f t="shared" si="17"/>
        <v>10000000</v>
      </c>
      <c r="N36" s="1510">
        <f t="shared" si="18"/>
        <v>1800000</v>
      </c>
      <c r="O36" s="1509">
        <v>10000000</v>
      </c>
      <c r="P36" s="1509">
        <v>1800000</v>
      </c>
      <c r="Q36" s="1509"/>
      <c r="R36" s="1508"/>
      <c r="S36" s="1508"/>
      <c r="T36" s="1507"/>
      <c r="U36" s="1495">
        <f t="shared" si="3"/>
        <v>10000000</v>
      </c>
      <c r="V36" s="1495">
        <f t="shared" si="4"/>
        <v>1800000</v>
      </c>
      <c r="W36" s="1495">
        <f t="shared" si="19"/>
        <v>0</v>
      </c>
      <c r="X36" s="1495">
        <f t="shared" si="20"/>
        <v>0</v>
      </c>
      <c r="Y36" s="1495">
        <f t="shared" si="21"/>
        <v>100</v>
      </c>
      <c r="Z36" s="1495">
        <f t="shared" si="22"/>
        <v>0</v>
      </c>
      <c r="AA36" s="1506">
        <f t="shared" si="23"/>
        <v>0</v>
      </c>
      <c r="AB36" s="1505"/>
      <c r="AC36" s="1504">
        <f t="shared" si="24"/>
        <v>0</v>
      </c>
      <c r="AD36" s="1503">
        <f t="shared" si="25"/>
        <v>0</v>
      </c>
      <c r="AE36" s="1503">
        <f t="shared" si="26"/>
        <v>0</v>
      </c>
      <c r="AF36" s="1502">
        <f t="shared" si="27"/>
        <v>0</v>
      </c>
    </row>
    <row r="37" spans="1:32" s="1474" customFormat="1" ht="23.25" customHeight="1">
      <c r="A37" s="1515">
        <f t="shared" si="15"/>
        <v>25</v>
      </c>
      <c r="B37" s="1513" t="s">
        <v>1959</v>
      </c>
      <c r="C37" s="1514" t="s">
        <v>1920</v>
      </c>
      <c r="D37" s="1514"/>
      <c r="E37" s="1513">
        <v>8000000</v>
      </c>
      <c r="F37" s="1512">
        <f t="shared" si="16"/>
        <v>1440000</v>
      </c>
      <c r="G37" s="2141">
        <v>40484</v>
      </c>
      <c r="H37" s="1511">
        <v>0.18</v>
      </c>
      <c r="I37" s="1508">
        <v>12</v>
      </c>
      <c r="J37" s="1508">
        <v>12</v>
      </c>
      <c r="K37" s="1508">
        <v>666700</v>
      </c>
      <c r="L37" s="1508">
        <v>120000</v>
      </c>
      <c r="M37" s="1510">
        <f t="shared" si="17"/>
        <v>8000000</v>
      </c>
      <c r="N37" s="1510">
        <f t="shared" si="18"/>
        <v>1440000</v>
      </c>
      <c r="O37" s="1509">
        <v>8000000</v>
      </c>
      <c r="P37" s="1509">
        <v>1440000</v>
      </c>
      <c r="Q37" s="1509"/>
      <c r="R37" s="1508"/>
      <c r="S37" s="1508"/>
      <c r="T37" s="1507"/>
      <c r="U37" s="1495">
        <f t="shared" si="3"/>
        <v>8000000</v>
      </c>
      <c r="V37" s="1495">
        <f t="shared" si="4"/>
        <v>1440000</v>
      </c>
      <c r="W37" s="1495">
        <f t="shared" si="19"/>
        <v>0</v>
      </c>
      <c r="X37" s="1495">
        <f t="shared" si="20"/>
        <v>0</v>
      </c>
      <c r="Y37" s="1495">
        <f t="shared" si="21"/>
        <v>100</v>
      </c>
      <c r="Z37" s="1495">
        <f t="shared" si="22"/>
        <v>0</v>
      </c>
      <c r="AA37" s="1506">
        <f t="shared" si="23"/>
        <v>0</v>
      </c>
      <c r="AB37" s="1505"/>
      <c r="AC37" s="1504">
        <f t="shared" si="24"/>
        <v>0</v>
      </c>
      <c r="AD37" s="1503">
        <f t="shared" si="25"/>
        <v>0</v>
      </c>
      <c r="AE37" s="1503">
        <f t="shared" si="26"/>
        <v>0</v>
      </c>
      <c r="AF37" s="1502">
        <f t="shared" si="27"/>
        <v>0</v>
      </c>
    </row>
    <row r="38" spans="1:32" s="1474" customFormat="1" ht="23.25" customHeight="1">
      <c r="A38" s="1515">
        <f t="shared" si="15"/>
        <v>26</v>
      </c>
      <c r="B38" s="1513" t="s">
        <v>1960</v>
      </c>
      <c r="C38" s="1514" t="s">
        <v>1920</v>
      </c>
      <c r="D38" s="1514"/>
      <c r="E38" s="1513">
        <v>6000000</v>
      </c>
      <c r="F38" s="1512">
        <f t="shared" si="16"/>
        <v>1080000</v>
      </c>
      <c r="G38" s="2141">
        <v>40484</v>
      </c>
      <c r="H38" s="1511">
        <v>0.18</v>
      </c>
      <c r="I38" s="1508">
        <v>12</v>
      </c>
      <c r="J38" s="1508">
        <v>12</v>
      </c>
      <c r="K38" s="1508">
        <v>500000</v>
      </c>
      <c r="L38" s="1508">
        <v>90000</v>
      </c>
      <c r="M38" s="1510">
        <f t="shared" si="17"/>
        <v>6000000</v>
      </c>
      <c r="N38" s="1510">
        <f t="shared" si="18"/>
        <v>1080000</v>
      </c>
      <c r="O38" s="1509">
        <v>6000000</v>
      </c>
      <c r="P38" s="1509">
        <v>1080000</v>
      </c>
      <c r="Q38" s="1509"/>
      <c r="R38" s="1508"/>
      <c r="S38" s="1508"/>
      <c r="T38" s="1507"/>
      <c r="U38" s="1495">
        <f t="shared" si="3"/>
        <v>6000000</v>
      </c>
      <c r="V38" s="1495">
        <f t="shared" si="4"/>
        <v>1080000</v>
      </c>
      <c r="W38" s="1495">
        <f t="shared" si="19"/>
        <v>0</v>
      </c>
      <c r="X38" s="1495">
        <f t="shared" si="20"/>
        <v>0</v>
      </c>
      <c r="Y38" s="1495">
        <f t="shared" si="21"/>
        <v>100</v>
      </c>
      <c r="Z38" s="1495">
        <f t="shared" si="22"/>
        <v>0</v>
      </c>
      <c r="AA38" s="1506">
        <f t="shared" si="23"/>
        <v>0</v>
      </c>
      <c r="AB38" s="1505"/>
      <c r="AC38" s="1504">
        <f t="shared" si="24"/>
        <v>0</v>
      </c>
      <c r="AD38" s="1503">
        <f t="shared" si="25"/>
        <v>0</v>
      </c>
      <c r="AE38" s="1503">
        <f t="shared" si="26"/>
        <v>0</v>
      </c>
      <c r="AF38" s="1502">
        <f t="shared" si="27"/>
        <v>0</v>
      </c>
    </row>
    <row r="39" spans="1:32" s="1474" customFormat="1" ht="23.25" customHeight="1">
      <c r="A39" s="1515">
        <f t="shared" si="15"/>
        <v>27</v>
      </c>
      <c r="B39" s="1513" t="s">
        <v>1961</v>
      </c>
      <c r="C39" s="1514" t="s">
        <v>1920</v>
      </c>
      <c r="D39" s="1514"/>
      <c r="E39" s="1513">
        <v>12000000</v>
      </c>
      <c r="F39" s="1512">
        <f t="shared" si="16"/>
        <v>2160000</v>
      </c>
      <c r="G39" s="2141">
        <v>40484</v>
      </c>
      <c r="H39" s="1511">
        <v>0.18</v>
      </c>
      <c r="I39" s="1508">
        <v>12</v>
      </c>
      <c r="J39" s="1508">
        <v>12</v>
      </c>
      <c r="K39" s="1508">
        <v>1000000</v>
      </c>
      <c r="L39" s="1508">
        <v>180000</v>
      </c>
      <c r="M39" s="1510">
        <f t="shared" si="17"/>
        <v>12000000</v>
      </c>
      <c r="N39" s="1510">
        <f t="shared" si="18"/>
        <v>2160000</v>
      </c>
      <c r="O39" s="1509">
        <v>12000000</v>
      </c>
      <c r="P39" s="1509">
        <v>2160000</v>
      </c>
      <c r="Q39" s="1509"/>
      <c r="R39" s="1508"/>
      <c r="S39" s="1508"/>
      <c r="T39" s="1507"/>
      <c r="U39" s="1495">
        <f t="shared" si="3"/>
        <v>12000000</v>
      </c>
      <c r="V39" s="1495">
        <f t="shared" si="4"/>
        <v>2160000</v>
      </c>
      <c r="W39" s="1495">
        <f t="shared" si="19"/>
        <v>0</v>
      </c>
      <c r="X39" s="1495">
        <f t="shared" si="20"/>
        <v>0</v>
      </c>
      <c r="Y39" s="1495">
        <f t="shared" si="21"/>
        <v>100</v>
      </c>
      <c r="Z39" s="1495">
        <f t="shared" si="22"/>
        <v>0</v>
      </c>
      <c r="AA39" s="1506">
        <f t="shared" si="23"/>
        <v>0</v>
      </c>
      <c r="AB39" s="1505"/>
      <c r="AC39" s="1504">
        <f t="shared" si="24"/>
        <v>0</v>
      </c>
      <c r="AD39" s="1503">
        <f t="shared" si="25"/>
        <v>0</v>
      </c>
      <c r="AE39" s="1503">
        <f t="shared" si="26"/>
        <v>0</v>
      </c>
      <c r="AF39" s="1502">
        <f t="shared" si="27"/>
        <v>0</v>
      </c>
    </row>
    <row r="40" spans="1:32" s="1474" customFormat="1" ht="23.25" customHeight="1">
      <c r="A40" s="1515">
        <f t="shared" si="15"/>
        <v>28</v>
      </c>
      <c r="B40" s="1513" t="s">
        <v>1962</v>
      </c>
      <c r="C40" s="1514" t="s">
        <v>1920</v>
      </c>
      <c r="D40" s="1514"/>
      <c r="E40" s="1513">
        <v>7000000</v>
      </c>
      <c r="F40" s="1512">
        <f t="shared" si="16"/>
        <v>1260000</v>
      </c>
      <c r="G40" s="2141">
        <v>40484</v>
      </c>
      <c r="H40" s="1511">
        <v>0.18</v>
      </c>
      <c r="I40" s="1508">
        <v>12</v>
      </c>
      <c r="J40" s="1508">
        <v>12</v>
      </c>
      <c r="K40" s="1508">
        <v>583300</v>
      </c>
      <c r="L40" s="1508">
        <v>105000</v>
      </c>
      <c r="M40" s="1510">
        <f t="shared" si="17"/>
        <v>7000000</v>
      </c>
      <c r="N40" s="1510">
        <f t="shared" si="18"/>
        <v>1260000</v>
      </c>
      <c r="O40" s="1509">
        <v>7000000</v>
      </c>
      <c r="P40" s="1509">
        <v>1260000</v>
      </c>
      <c r="Q40" s="1509"/>
      <c r="R40" s="1508"/>
      <c r="S40" s="1508"/>
      <c r="T40" s="1507"/>
      <c r="U40" s="1495">
        <f t="shared" si="3"/>
        <v>7000000</v>
      </c>
      <c r="V40" s="1495">
        <f t="shared" si="4"/>
        <v>1260000</v>
      </c>
      <c r="W40" s="1495">
        <f t="shared" si="19"/>
        <v>0</v>
      </c>
      <c r="X40" s="1495">
        <f t="shared" si="20"/>
        <v>0</v>
      </c>
      <c r="Y40" s="1495">
        <f t="shared" si="21"/>
        <v>100</v>
      </c>
      <c r="Z40" s="1495">
        <f t="shared" si="22"/>
        <v>0</v>
      </c>
      <c r="AA40" s="1506">
        <f t="shared" si="23"/>
        <v>0</v>
      </c>
      <c r="AB40" s="1505"/>
      <c r="AC40" s="1504">
        <f t="shared" si="24"/>
        <v>0</v>
      </c>
      <c r="AD40" s="1503">
        <f t="shared" si="25"/>
        <v>0</v>
      </c>
      <c r="AE40" s="1503">
        <f t="shared" si="26"/>
        <v>0</v>
      </c>
      <c r="AF40" s="1502">
        <f t="shared" si="27"/>
        <v>0</v>
      </c>
    </row>
    <row r="41" spans="1:32" s="1474" customFormat="1" ht="23.25" customHeight="1">
      <c r="A41" s="1515">
        <f t="shared" si="15"/>
        <v>29</v>
      </c>
      <c r="B41" s="1513" t="s">
        <v>1963</v>
      </c>
      <c r="C41" s="1514" t="s">
        <v>1920</v>
      </c>
      <c r="D41" s="1514"/>
      <c r="E41" s="1513">
        <v>10000000</v>
      </c>
      <c r="F41" s="1512">
        <f t="shared" si="16"/>
        <v>1800000</v>
      </c>
      <c r="G41" s="2141">
        <v>40484</v>
      </c>
      <c r="H41" s="1511">
        <v>0.18</v>
      </c>
      <c r="I41" s="1508">
        <v>12</v>
      </c>
      <c r="J41" s="1508">
        <v>12</v>
      </c>
      <c r="K41" s="1508">
        <v>833300</v>
      </c>
      <c r="L41" s="1508">
        <v>150000</v>
      </c>
      <c r="M41" s="1510">
        <f t="shared" si="17"/>
        <v>10000000</v>
      </c>
      <c r="N41" s="1510">
        <f t="shared" si="18"/>
        <v>1800000</v>
      </c>
      <c r="O41" s="1509">
        <v>10000000</v>
      </c>
      <c r="P41" s="1509">
        <v>1800000</v>
      </c>
      <c r="Q41" s="1509"/>
      <c r="R41" s="1508"/>
      <c r="S41" s="1508"/>
      <c r="T41" s="1507"/>
      <c r="U41" s="1495">
        <f t="shared" si="3"/>
        <v>10000000</v>
      </c>
      <c r="V41" s="1495">
        <f t="shared" si="4"/>
        <v>1800000</v>
      </c>
      <c r="W41" s="1495">
        <f t="shared" si="19"/>
        <v>0</v>
      </c>
      <c r="X41" s="1495">
        <f t="shared" si="20"/>
        <v>0</v>
      </c>
      <c r="Y41" s="1495">
        <f t="shared" si="21"/>
        <v>100</v>
      </c>
      <c r="Z41" s="1495">
        <f t="shared" si="22"/>
        <v>0</v>
      </c>
      <c r="AA41" s="1506">
        <f t="shared" si="23"/>
        <v>0</v>
      </c>
      <c r="AB41" s="1505"/>
      <c r="AC41" s="1504">
        <f t="shared" si="24"/>
        <v>0</v>
      </c>
      <c r="AD41" s="1503">
        <f t="shared" si="25"/>
        <v>0</v>
      </c>
      <c r="AE41" s="1503">
        <f t="shared" si="26"/>
        <v>0</v>
      </c>
      <c r="AF41" s="1502">
        <f t="shared" si="27"/>
        <v>0</v>
      </c>
    </row>
    <row r="42" spans="1:32" s="1474" customFormat="1" ht="23.25" customHeight="1">
      <c r="A42" s="1515">
        <f t="shared" si="15"/>
        <v>30</v>
      </c>
      <c r="B42" s="1513" t="s">
        <v>1964</v>
      </c>
      <c r="C42" s="1514" t="s">
        <v>1920</v>
      </c>
      <c r="D42" s="1514"/>
      <c r="E42" s="1513">
        <v>10000000</v>
      </c>
      <c r="F42" s="1512">
        <f t="shared" si="16"/>
        <v>1800000</v>
      </c>
      <c r="G42" s="2141">
        <v>40484</v>
      </c>
      <c r="H42" s="1511">
        <v>0.18</v>
      </c>
      <c r="I42" s="1508">
        <v>12</v>
      </c>
      <c r="J42" s="1508">
        <v>12</v>
      </c>
      <c r="K42" s="1508">
        <v>833300</v>
      </c>
      <c r="L42" s="1508">
        <v>150000</v>
      </c>
      <c r="M42" s="1510">
        <f t="shared" si="17"/>
        <v>10000000</v>
      </c>
      <c r="N42" s="1510">
        <f t="shared" si="18"/>
        <v>1800000</v>
      </c>
      <c r="O42" s="1509">
        <v>10000000</v>
      </c>
      <c r="P42" s="1509">
        <v>1800000</v>
      </c>
      <c r="Q42" s="1509"/>
      <c r="R42" s="1508"/>
      <c r="S42" s="1508"/>
      <c r="T42" s="1507"/>
      <c r="U42" s="1495">
        <f t="shared" si="3"/>
        <v>10000000</v>
      </c>
      <c r="V42" s="1495">
        <f t="shared" si="4"/>
        <v>1800000</v>
      </c>
      <c r="W42" s="1495">
        <f t="shared" si="19"/>
        <v>0</v>
      </c>
      <c r="X42" s="1495">
        <f t="shared" si="20"/>
        <v>0</v>
      </c>
      <c r="Y42" s="1495">
        <f t="shared" si="21"/>
        <v>100</v>
      </c>
      <c r="Z42" s="1495">
        <f t="shared" si="22"/>
        <v>0</v>
      </c>
      <c r="AA42" s="1506">
        <f t="shared" si="23"/>
        <v>0</v>
      </c>
      <c r="AB42" s="1505"/>
      <c r="AC42" s="1504">
        <f t="shared" si="24"/>
        <v>0</v>
      </c>
      <c r="AD42" s="1503">
        <f t="shared" si="25"/>
        <v>0</v>
      </c>
      <c r="AE42" s="1503">
        <f t="shared" si="26"/>
        <v>0</v>
      </c>
      <c r="AF42" s="1502">
        <f t="shared" si="27"/>
        <v>0</v>
      </c>
    </row>
    <row r="43" spans="1:32" s="1474" customFormat="1" ht="23.25" customHeight="1">
      <c r="A43" s="1515">
        <f t="shared" si="15"/>
        <v>31</v>
      </c>
      <c r="B43" s="2159" t="s">
        <v>1965</v>
      </c>
      <c r="C43" s="2982" t="s">
        <v>1920</v>
      </c>
      <c r="D43" s="2981"/>
      <c r="E43" s="1513">
        <v>11000000</v>
      </c>
      <c r="F43" s="1512">
        <f t="shared" si="16"/>
        <v>1980000</v>
      </c>
      <c r="G43" s="2141">
        <v>40484</v>
      </c>
      <c r="H43" s="1511">
        <v>0.18</v>
      </c>
      <c r="I43" s="1508">
        <v>12</v>
      </c>
      <c r="J43" s="1508">
        <v>12</v>
      </c>
      <c r="K43" s="1508">
        <v>916700</v>
      </c>
      <c r="L43" s="1508">
        <v>165000</v>
      </c>
      <c r="M43" s="1510">
        <f t="shared" si="17"/>
        <v>11000000</v>
      </c>
      <c r="N43" s="1510">
        <f t="shared" si="18"/>
        <v>1980000</v>
      </c>
      <c r="O43" s="1509">
        <v>11000000</v>
      </c>
      <c r="P43" s="1509">
        <v>1980000</v>
      </c>
      <c r="Q43" s="2159"/>
      <c r="R43" s="1508"/>
      <c r="S43" s="1508"/>
      <c r="T43" s="1507"/>
      <c r="U43" s="1495">
        <f t="shared" si="3"/>
        <v>11000000</v>
      </c>
      <c r="V43" s="1495">
        <f t="shared" si="4"/>
        <v>1980000</v>
      </c>
      <c r="W43" s="1495">
        <f t="shared" si="19"/>
        <v>0</v>
      </c>
      <c r="X43" s="1495">
        <f t="shared" si="20"/>
        <v>0</v>
      </c>
      <c r="Y43" s="1495">
        <f t="shared" si="21"/>
        <v>100</v>
      </c>
      <c r="Z43" s="1495">
        <f t="shared" si="22"/>
        <v>0</v>
      </c>
      <c r="AA43" s="1506">
        <f t="shared" si="23"/>
        <v>0</v>
      </c>
      <c r="AB43" s="1505"/>
      <c r="AC43" s="1504">
        <f t="shared" si="24"/>
        <v>0</v>
      </c>
      <c r="AD43" s="1503">
        <f t="shared" si="25"/>
        <v>0</v>
      </c>
      <c r="AE43" s="1503">
        <f t="shared" si="26"/>
        <v>0</v>
      </c>
      <c r="AF43" s="1502">
        <f t="shared" si="27"/>
        <v>0</v>
      </c>
    </row>
    <row r="44" spans="1:32" s="1474" customFormat="1" ht="23.25" customHeight="1">
      <c r="A44" s="1515">
        <f t="shared" si="15"/>
        <v>32</v>
      </c>
      <c r="B44" s="1513" t="s">
        <v>1966</v>
      </c>
      <c r="C44" s="1514" t="s">
        <v>1920</v>
      </c>
      <c r="D44" s="1514"/>
      <c r="E44" s="1513">
        <v>8000000</v>
      </c>
      <c r="F44" s="1512">
        <f t="shared" si="16"/>
        <v>1440000</v>
      </c>
      <c r="G44" s="2141">
        <v>40484</v>
      </c>
      <c r="H44" s="1511">
        <v>0.18</v>
      </c>
      <c r="I44" s="1508">
        <v>12</v>
      </c>
      <c r="J44" s="1508">
        <v>12</v>
      </c>
      <c r="K44" s="1508">
        <v>666700</v>
      </c>
      <c r="L44" s="1508">
        <v>120000</v>
      </c>
      <c r="M44" s="1510">
        <f t="shared" si="17"/>
        <v>8000000</v>
      </c>
      <c r="N44" s="1510">
        <f t="shared" si="18"/>
        <v>1440000</v>
      </c>
      <c r="O44" s="1509">
        <v>8000000</v>
      </c>
      <c r="P44" s="1509">
        <v>1440000</v>
      </c>
      <c r="Q44" s="1509"/>
      <c r="R44" s="1508"/>
      <c r="S44" s="1508"/>
      <c r="T44" s="1507"/>
      <c r="U44" s="1495">
        <f t="shared" si="3"/>
        <v>8000000</v>
      </c>
      <c r="V44" s="1495">
        <f t="shared" si="4"/>
        <v>1440000</v>
      </c>
      <c r="W44" s="1495">
        <f t="shared" si="19"/>
        <v>0</v>
      </c>
      <c r="X44" s="1495">
        <f t="shared" si="20"/>
        <v>0</v>
      </c>
      <c r="Y44" s="1495">
        <f t="shared" si="21"/>
        <v>100</v>
      </c>
      <c r="Z44" s="1495">
        <f t="shared" si="22"/>
        <v>0</v>
      </c>
      <c r="AA44" s="1506">
        <f t="shared" si="23"/>
        <v>0</v>
      </c>
      <c r="AB44" s="1505"/>
      <c r="AC44" s="1504">
        <f t="shared" si="24"/>
        <v>0</v>
      </c>
      <c r="AD44" s="1503">
        <f t="shared" si="25"/>
        <v>0</v>
      </c>
      <c r="AE44" s="1503">
        <f t="shared" si="26"/>
        <v>0</v>
      </c>
      <c r="AF44" s="1502">
        <f t="shared" si="27"/>
        <v>0</v>
      </c>
    </row>
    <row r="45" spans="1:32" s="1474" customFormat="1" ht="23.25" customHeight="1">
      <c r="A45" s="1515">
        <f t="shared" si="15"/>
        <v>33</v>
      </c>
      <c r="B45" s="1513" t="s">
        <v>1934</v>
      </c>
      <c r="C45" s="1514" t="s">
        <v>1920</v>
      </c>
      <c r="D45" s="1514"/>
      <c r="E45" s="1513">
        <v>9000000</v>
      </c>
      <c r="F45" s="1512">
        <f t="shared" si="16"/>
        <v>1620000</v>
      </c>
      <c r="G45" s="2141">
        <v>40484</v>
      </c>
      <c r="H45" s="1511">
        <v>0.18</v>
      </c>
      <c r="I45" s="1508">
        <v>12</v>
      </c>
      <c r="J45" s="1508">
        <v>12</v>
      </c>
      <c r="K45" s="1508">
        <v>750000</v>
      </c>
      <c r="L45" s="1508">
        <v>135000</v>
      </c>
      <c r="M45" s="1510">
        <f t="shared" si="17"/>
        <v>9000000</v>
      </c>
      <c r="N45" s="1510">
        <f t="shared" si="18"/>
        <v>1620000</v>
      </c>
      <c r="O45" s="1509">
        <v>9000000</v>
      </c>
      <c r="P45" s="1509">
        <v>1620000</v>
      </c>
      <c r="Q45" s="1509"/>
      <c r="R45" s="1508"/>
      <c r="S45" s="1508"/>
      <c r="T45" s="1507"/>
      <c r="U45" s="1495">
        <f t="shared" si="3"/>
        <v>9000000</v>
      </c>
      <c r="V45" s="1495">
        <f t="shared" si="4"/>
        <v>1620000</v>
      </c>
      <c r="W45" s="1495">
        <f t="shared" si="19"/>
        <v>0</v>
      </c>
      <c r="X45" s="1495">
        <f t="shared" si="20"/>
        <v>0</v>
      </c>
      <c r="Y45" s="1495">
        <f t="shared" si="21"/>
        <v>100</v>
      </c>
      <c r="Z45" s="1495">
        <f t="shared" si="22"/>
        <v>0</v>
      </c>
      <c r="AA45" s="1506">
        <f t="shared" si="23"/>
        <v>0</v>
      </c>
      <c r="AB45" s="1505"/>
      <c r="AC45" s="1504">
        <f t="shared" si="24"/>
        <v>0</v>
      </c>
      <c r="AD45" s="1503">
        <f t="shared" si="25"/>
        <v>0</v>
      </c>
      <c r="AE45" s="1503">
        <f t="shared" si="26"/>
        <v>0</v>
      </c>
      <c r="AF45" s="1502">
        <f t="shared" si="27"/>
        <v>0</v>
      </c>
    </row>
    <row r="46" spans="1:32" s="1474" customFormat="1" ht="23.25" customHeight="1">
      <c r="A46" s="1515">
        <f t="shared" si="15"/>
        <v>34</v>
      </c>
      <c r="B46" s="1513" t="s">
        <v>1967</v>
      </c>
      <c r="C46" s="1514" t="s">
        <v>1920</v>
      </c>
      <c r="D46" s="1514"/>
      <c r="E46" s="1513">
        <v>10000000</v>
      </c>
      <c r="F46" s="1512">
        <f t="shared" si="16"/>
        <v>1800000</v>
      </c>
      <c r="G46" s="2141">
        <v>40484</v>
      </c>
      <c r="H46" s="1511">
        <v>0.18</v>
      </c>
      <c r="I46" s="1508">
        <v>12</v>
      </c>
      <c r="J46" s="1508">
        <v>12</v>
      </c>
      <c r="K46" s="1508">
        <v>833300</v>
      </c>
      <c r="L46" s="1508">
        <v>150000</v>
      </c>
      <c r="M46" s="1510">
        <f t="shared" si="17"/>
        <v>10000000</v>
      </c>
      <c r="N46" s="1510">
        <f t="shared" si="18"/>
        <v>1800000</v>
      </c>
      <c r="O46" s="1509">
        <v>10000000</v>
      </c>
      <c r="P46" s="1509">
        <v>1800000</v>
      </c>
      <c r="Q46" s="1509"/>
      <c r="R46" s="1508"/>
      <c r="S46" s="1508"/>
      <c r="T46" s="1507"/>
      <c r="U46" s="1495">
        <f t="shared" si="3"/>
        <v>10000000</v>
      </c>
      <c r="V46" s="1495">
        <f t="shared" si="4"/>
        <v>1800000</v>
      </c>
      <c r="W46" s="1495">
        <f t="shared" si="19"/>
        <v>0</v>
      </c>
      <c r="X46" s="1495">
        <f t="shared" si="20"/>
        <v>0</v>
      </c>
      <c r="Y46" s="1495">
        <f t="shared" si="21"/>
        <v>100</v>
      </c>
      <c r="Z46" s="1495">
        <f t="shared" si="22"/>
        <v>0</v>
      </c>
      <c r="AA46" s="1506">
        <f t="shared" si="23"/>
        <v>0</v>
      </c>
      <c r="AB46" s="1505"/>
      <c r="AC46" s="1504">
        <f t="shared" si="24"/>
        <v>0</v>
      </c>
      <c r="AD46" s="1503">
        <f t="shared" si="25"/>
        <v>0</v>
      </c>
      <c r="AE46" s="1503">
        <f t="shared" si="26"/>
        <v>0</v>
      </c>
      <c r="AF46" s="1502">
        <f t="shared" si="27"/>
        <v>0</v>
      </c>
    </row>
    <row r="47" spans="1:32" s="1474" customFormat="1" ht="23.25" customHeight="1">
      <c r="A47" s="1515">
        <f t="shared" si="15"/>
        <v>35</v>
      </c>
      <c r="B47" s="1513" t="s">
        <v>1911</v>
      </c>
      <c r="C47" s="1514" t="s">
        <v>1920</v>
      </c>
      <c r="D47" s="1514"/>
      <c r="E47" s="1513">
        <v>6000000</v>
      </c>
      <c r="F47" s="1512">
        <f t="shared" si="16"/>
        <v>1080000</v>
      </c>
      <c r="G47" s="2141">
        <v>40484</v>
      </c>
      <c r="H47" s="1511">
        <v>0.18</v>
      </c>
      <c r="I47" s="1508">
        <v>12</v>
      </c>
      <c r="J47" s="1508">
        <v>12</v>
      </c>
      <c r="K47" s="1508">
        <v>500000</v>
      </c>
      <c r="L47" s="1508">
        <v>90000</v>
      </c>
      <c r="M47" s="1510">
        <f t="shared" si="17"/>
        <v>6000000</v>
      </c>
      <c r="N47" s="1510">
        <f t="shared" si="18"/>
        <v>1080000</v>
      </c>
      <c r="O47" s="1509">
        <v>6000000</v>
      </c>
      <c r="P47" s="1509">
        <v>1080000</v>
      </c>
      <c r="Q47" s="1509"/>
      <c r="R47" s="1508"/>
      <c r="S47" s="1508"/>
      <c r="T47" s="1507"/>
      <c r="U47" s="1495">
        <f t="shared" si="3"/>
        <v>6000000</v>
      </c>
      <c r="V47" s="1495">
        <f t="shared" si="4"/>
        <v>1080000</v>
      </c>
      <c r="W47" s="1495">
        <f t="shared" si="19"/>
        <v>0</v>
      </c>
      <c r="X47" s="1495">
        <f t="shared" si="20"/>
        <v>0</v>
      </c>
      <c r="Y47" s="1495">
        <f t="shared" si="21"/>
        <v>100</v>
      </c>
      <c r="Z47" s="1495">
        <f t="shared" si="22"/>
        <v>0</v>
      </c>
      <c r="AA47" s="1506">
        <f t="shared" si="23"/>
        <v>0</v>
      </c>
      <c r="AB47" s="1505"/>
      <c r="AC47" s="1504">
        <f t="shared" si="24"/>
        <v>0</v>
      </c>
      <c r="AD47" s="1503">
        <f t="shared" si="25"/>
        <v>0</v>
      </c>
      <c r="AE47" s="1503">
        <f t="shared" si="26"/>
        <v>0</v>
      </c>
      <c r="AF47" s="1502">
        <f t="shared" si="27"/>
        <v>0</v>
      </c>
    </row>
    <row r="48" spans="1:32" s="1474" customFormat="1" ht="23.25" customHeight="1">
      <c r="A48" s="1515">
        <f t="shared" si="15"/>
        <v>36</v>
      </c>
      <c r="B48" s="1513" t="s">
        <v>1968</v>
      </c>
      <c r="C48" s="1514" t="s">
        <v>1920</v>
      </c>
      <c r="D48" s="1514"/>
      <c r="E48" s="1513">
        <v>6000000</v>
      </c>
      <c r="F48" s="1512">
        <f t="shared" si="16"/>
        <v>1080000</v>
      </c>
      <c r="G48" s="2141">
        <v>40484</v>
      </c>
      <c r="H48" s="1511">
        <v>0.18</v>
      </c>
      <c r="I48" s="1508">
        <v>12</v>
      </c>
      <c r="J48" s="1508">
        <v>12</v>
      </c>
      <c r="K48" s="1508">
        <v>500000</v>
      </c>
      <c r="L48" s="1508">
        <v>90000</v>
      </c>
      <c r="M48" s="1510">
        <f t="shared" si="17"/>
        <v>6000000</v>
      </c>
      <c r="N48" s="1510">
        <f t="shared" si="18"/>
        <v>1080000</v>
      </c>
      <c r="O48" s="1509">
        <v>6000000</v>
      </c>
      <c r="P48" s="1509">
        <v>1080000</v>
      </c>
      <c r="Q48" s="1509"/>
      <c r="R48" s="1508"/>
      <c r="S48" s="1508"/>
      <c r="T48" s="1507"/>
      <c r="U48" s="1495">
        <f t="shared" si="3"/>
        <v>6000000</v>
      </c>
      <c r="V48" s="1495">
        <f t="shared" si="4"/>
        <v>1080000</v>
      </c>
      <c r="W48" s="1495">
        <f t="shared" si="19"/>
        <v>0</v>
      </c>
      <c r="X48" s="1495">
        <f t="shared" si="20"/>
        <v>0</v>
      </c>
      <c r="Y48" s="1495">
        <f t="shared" si="21"/>
        <v>100</v>
      </c>
      <c r="Z48" s="1495">
        <f t="shared" si="22"/>
        <v>0</v>
      </c>
      <c r="AA48" s="1506">
        <f t="shared" si="23"/>
        <v>0</v>
      </c>
      <c r="AB48" s="1505"/>
      <c r="AC48" s="1504">
        <f t="shared" si="24"/>
        <v>0</v>
      </c>
      <c r="AD48" s="1503">
        <f t="shared" si="25"/>
        <v>0</v>
      </c>
      <c r="AE48" s="1503">
        <f t="shared" si="26"/>
        <v>0</v>
      </c>
      <c r="AF48" s="1502">
        <f t="shared" si="27"/>
        <v>0</v>
      </c>
    </row>
    <row r="49" spans="1:32" s="1474" customFormat="1" ht="23.25" customHeight="1">
      <c r="A49" s="1515">
        <f t="shared" si="15"/>
        <v>37</v>
      </c>
      <c r="B49" s="1513" t="s">
        <v>1969</v>
      </c>
      <c r="C49" s="1514" t="s">
        <v>1920</v>
      </c>
      <c r="D49" s="1514"/>
      <c r="E49" s="1513">
        <v>5000000</v>
      </c>
      <c r="F49" s="1512">
        <f t="shared" si="16"/>
        <v>900000</v>
      </c>
      <c r="G49" s="2141">
        <v>40484</v>
      </c>
      <c r="H49" s="1511">
        <v>0.18</v>
      </c>
      <c r="I49" s="1508">
        <v>12</v>
      </c>
      <c r="J49" s="1508">
        <v>12</v>
      </c>
      <c r="K49" s="1508">
        <v>416700</v>
      </c>
      <c r="L49" s="1508">
        <v>75000</v>
      </c>
      <c r="M49" s="1510">
        <f t="shared" si="17"/>
        <v>5000000</v>
      </c>
      <c r="N49" s="1510">
        <f t="shared" si="18"/>
        <v>900000</v>
      </c>
      <c r="O49" s="1509">
        <v>5000000</v>
      </c>
      <c r="P49" s="1509">
        <v>900000</v>
      </c>
      <c r="Q49" s="1509"/>
      <c r="R49" s="1508"/>
      <c r="S49" s="1508"/>
      <c r="T49" s="1507"/>
      <c r="U49" s="1495">
        <f t="shared" si="3"/>
        <v>5000000</v>
      </c>
      <c r="V49" s="1495">
        <f t="shared" si="4"/>
        <v>900000</v>
      </c>
      <c r="W49" s="1495">
        <f t="shared" si="19"/>
        <v>0</v>
      </c>
      <c r="X49" s="1495">
        <f t="shared" si="20"/>
        <v>0</v>
      </c>
      <c r="Y49" s="1495">
        <f t="shared" si="21"/>
        <v>100</v>
      </c>
      <c r="Z49" s="1495">
        <f t="shared" si="22"/>
        <v>0</v>
      </c>
      <c r="AA49" s="1506">
        <f t="shared" si="23"/>
        <v>0</v>
      </c>
      <c r="AB49" s="1505"/>
      <c r="AC49" s="1504">
        <f t="shared" si="24"/>
        <v>0</v>
      </c>
      <c r="AD49" s="1503">
        <f t="shared" si="25"/>
        <v>0</v>
      </c>
      <c r="AE49" s="1503">
        <f t="shared" si="26"/>
        <v>0</v>
      </c>
      <c r="AF49" s="1502">
        <f t="shared" si="27"/>
        <v>0</v>
      </c>
    </row>
    <row r="50" spans="1:32" s="1474" customFormat="1" ht="23.25" customHeight="1">
      <c r="A50" s="1515">
        <f t="shared" si="15"/>
        <v>38</v>
      </c>
      <c r="B50" s="1513" t="s">
        <v>1970</v>
      </c>
      <c r="C50" s="1514" t="s">
        <v>1920</v>
      </c>
      <c r="D50" s="1514"/>
      <c r="E50" s="1513">
        <v>20000000</v>
      </c>
      <c r="F50" s="1512">
        <f t="shared" si="16"/>
        <v>3600000</v>
      </c>
      <c r="G50" s="2141">
        <v>40484</v>
      </c>
      <c r="H50" s="1511">
        <v>0.18</v>
      </c>
      <c r="I50" s="1508">
        <v>12</v>
      </c>
      <c r="J50" s="1508">
        <v>12</v>
      </c>
      <c r="K50" s="1508">
        <v>1666700</v>
      </c>
      <c r="L50" s="1508">
        <v>300000</v>
      </c>
      <c r="M50" s="1510">
        <f t="shared" si="17"/>
        <v>20000000</v>
      </c>
      <c r="N50" s="1510">
        <f t="shared" si="18"/>
        <v>3600000</v>
      </c>
      <c r="O50" s="1509">
        <v>20000000</v>
      </c>
      <c r="P50" s="1509">
        <v>3600000</v>
      </c>
      <c r="Q50" s="1509"/>
      <c r="R50" s="1508"/>
      <c r="S50" s="1508"/>
      <c r="T50" s="1507"/>
      <c r="U50" s="1495">
        <f t="shared" si="3"/>
        <v>20000000</v>
      </c>
      <c r="V50" s="1495">
        <f t="shared" si="4"/>
        <v>3600000</v>
      </c>
      <c r="W50" s="1495">
        <f t="shared" si="19"/>
        <v>0</v>
      </c>
      <c r="X50" s="1495">
        <f t="shared" si="20"/>
        <v>0</v>
      </c>
      <c r="Y50" s="1495">
        <f t="shared" si="21"/>
        <v>100</v>
      </c>
      <c r="Z50" s="1495">
        <f t="shared" si="22"/>
        <v>0</v>
      </c>
      <c r="AA50" s="1506">
        <f t="shared" si="23"/>
        <v>0</v>
      </c>
      <c r="AB50" s="1505"/>
      <c r="AC50" s="1504">
        <f t="shared" si="24"/>
        <v>0</v>
      </c>
      <c r="AD50" s="1503">
        <f t="shared" si="25"/>
        <v>0</v>
      </c>
      <c r="AE50" s="1503">
        <f t="shared" si="26"/>
        <v>0</v>
      </c>
      <c r="AF50" s="1502">
        <f t="shared" si="27"/>
        <v>0</v>
      </c>
    </row>
    <row r="51" spans="1:32" s="1474" customFormat="1" ht="23.25" customHeight="1">
      <c r="A51" s="1515">
        <f t="shared" si="15"/>
        <v>39</v>
      </c>
      <c r="B51" s="1513" t="s">
        <v>1971</v>
      </c>
      <c r="C51" s="1514" t="s">
        <v>1920</v>
      </c>
      <c r="D51" s="1514"/>
      <c r="E51" s="1513">
        <v>15000000</v>
      </c>
      <c r="F51" s="1512">
        <f t="shared" si="16"/>
        <v>2700000</v>
      </c>
      <c r="G51" s="2141">
        <v>40484</v>
      </c>
      <c r="H51" s="1511">
        <v>0.18</v>
      </c>
      <c r="I51" s="1508">
        <v>12</v>
      </c>
      <c r="J51" s="1508">
        <v>12</v>
      </c>
      <c r="K51" s="1508">
        <v>1250000</v>
      </c>
      <c r="L51" s="1508">
        <v>225000</v>
      </c>
      <c r="M51" s="1510">
        <f t="shared" si="17"/>
        <v>15000000</v>
      </c>
      <c r="N51" s="1510">
        <f t="shared" si="18"/>
        <v>2700000</v>
      </c>
      <c r="O51" s="1509">
        <v>15000000</v>
      </c>
      <c r="P51" s="1509">
        <v>2700000</v>
      </c>
      <c r="Q51" s="1509"/>
      <c r="R51" s="1508"/>
      <c r="S51" s="1508"/>
      <c r="T51" s="1507"/>
      <c r="U51" s="1495">
        <f t="shared" si="3"/>
        <v>15000000</v>
      </c>
      <c r="V51" s="1495">
        <f t="shared" si="4"/>
        <v>2700000</v>
      </c>
      <c r="W51" s="1495">
        <f t="shared" si="19"/>
        <v>0</v>
      </c>
      <c r="X51" s="1495">
        <f t="shared" si="20"/>
        <v>0</v>
      </c>
      <c r="Y51" s="1495">
        <f t="shared" si="21"/>
        <v>100</v>
      </c>
      <c r="Z51" s="1495">
        <f t="shared" si="22"/>
        <v>0</v>
      </c>
      <c r="AA51" s="1506">
        <f t="shared" si="23"/>
        <v>0</v>
      </c>
      <c r="AB51" s="1505"/>
      <c r="AC51" s="1504">
        <f t="shared" si="24"/>
        <v>0</v>
      </c>
      <c r="AD51" s="1503">
        <f t="shared" si="25"/>
        <v>0</v>
      </c>
      <c r="AE51" s="1503">
        <f t="shared" si="26"/>
        <v>0</v>
      </c>
      <c r="AF51" s="1502">
        <f t="shared" si="27"/>
        <v>0</v>
      </c>
    </row>
    <row r="52" spans="1:32" s="1474" customFormat="1" ht="23.25" customHeight="1">
      <c r="A52" s="1515">
        <f t="shared" si="15"/>
        <v>40</v>
      </c>
      <c r="B52" s="1513" t="s">
        <v>1972</v>
      </c>
      <c r="C52" s="1514" t="s">
        <v>1920</v>
      </c>
      <c r="D52" s="1514"/>
      <c r="E52" s="1513">
        <v>15000000</v>
      </c>
      <c r="F52" s="1512">
        <f t="shared" si="16"/>
        <v>2700000</v>
      </c>
      <c r="G52" s="2141">
        <v>40484</v>
      </c>
      <c r="H52" s="1511">
        <v>0.18</v>
      </c>
      <c r="I52" s="1508">
        <v>12</v>
      </c>
      <c r="J52" s="1508">
        <v>12</v>
      </c>
      <c r="K52" s="1508">
        <v>1250000</v>
      </c>
      <c r="L52" s="1508">
        <v>225000</v>
      </c>
      <c r="M52" s="1510">
        <f t="shared" si="17"/>
        <v>15000000</v>
      </c>
      <c r="N52" s="1510">
        <f t="shared" si="18"/>
        <v>2700000</v>
      </c>
      <c r="O52" s="1509">
        <v>15000000</v>
      </c>
      <c r="P52" s="1509">
        <v>2700000</v>
      </c>
      <c r="Q52" s="1509"/>
      <c r="R52" s="1508"/>
      <c r="S52" s="1508"/>
      <c r="T52" s="1507"/>
      <c r="U52" s="1495">
        <f t="shared" si="3"/>
        <v>15000000</v>
      </c>
      <c r="V52" s="1495">
        <f t="shared" si="4"/>
        <v>2700000</v>
      </c>
      <c r="W52" s="1495">
        <f t="shared" si="19"/>
        <v>0</v>
      </c>
      <c r="X52" s="1495">
        <f t="shared" si="20"/>
        <v>0</v>
      </c>
      <c r="Y52" s="1495">
        <f t="shared" si="21"/>
        <v>100</v>
      </c>
      <c r="Z52" s="1495">
        <f t="shared" si="22"/>
        <v>0</v>
      </c>
      <c r="AA52" s="1506">
        <f t="shared" si="23"/>
        <v>0</v>
      </c>
      <c r="AB52" s="1505"/>
      <c r="AC52" s="1504">
        <f t="shared" si="24"/>
        <v>0</v>
      </c>
      <c r="AD52" s="1503">
        <f t="shared" si="25"/>
        <v>0</v>
      </c>
      <c r="AE52" s="1503">
        <f t="shared" si="26"/>
        <v>0</v>
      </c>
      <c r="AF52" s="1502">
        <f t="shared" si="27"/>
        <v>0</v>
      </c>
    </row>
    <row r="53" spans="1:32" s="1474" customFormat="1" ht="23.25" customHeight="1">
      <c r="A53" s="1515">
        <v>41</v>
      </c>
      <c r="B53" s="1513" t="s">
        <v>3</v>
      </c>
      <c r="C53" s="1514" t="s">
        <v>2227</v>
      </c>
      <c r="D53" s="1514">
        <v>11</v>
      </c>
      <c r="E53" s="1513">
        <v>7700000</v>
      </c>
      <c r="F53" s="1512">
        <f t="shared" si="16"/>
        <v>1386000</v>
      </c>
      <c r="G53" s="2141">
        <v>40974</v>
      </c>
      <c r="H53" s="1511">
        <v>0.18</v>
      </c>
      <c r="I53" s="1508">
        <v>12</v>
      </c>
      <c r="J53" s="1508">
        <v>12</v>
      </c>
      <c r="K53" s="1508">
        <v>641700</v>
      </c>
      <c r="L53" s="1508">
        <f t="shared" ref="L53:L61" si="28">F53/I53</f>
        <v>115500</v>
      </c>
      <c r="M53" s="2401">
        <f t="shared" si="17"/>
        <v>7700000</v>
      </c>
      <c r="N53" s="2401">
        <f>IF(J53&lt;I53,J53*L53,IF(J53&gt;=I53,F53))-115500</f>
        <v>1270500</v>
      </c>
      <c r="O53" s="1509">
        <v>7700000</v>
      </c>
      <c r="P53" s="1509">
        <v>1270500</v>
      </c>
      <c r="Q53" s="1509"/>
      <c r="R53" s="2650"/>
      <c r="S53" s="2650"/>
      <c r="T53" s="1507"/>
      <c r="U53" s="1495">
        <f t="shared" ref="U53:U68" si="29">SUM(O53+R53)</f>
        <v>7700000</v>
      </c>
      <c r="V53" s="1495">
        <f t="shared" ref="V53:V68" si="30">SUM(P53+S53)</f>
        <v>1270500</v>
      </c>
      <c r="W53" s="1495">
        <f t="shared" si="19"/>
        <v>0</v>
      </c>
      <c r="X53" s="1495">
        <f t="shared" si="20"/>
        <v>0</v>
      </c>
      <c r="Y53" s="1495">
        <f t="shared" si="21"/>
        <v>100</v>
      </c>
      <c r="Z53" s="1495">
        <f t="shared" si="22"/>
        <v>0</v>
      </c>
      <c r="AA53" s="1506">
        <f t="shared" si="23"/>
        <v>0</v>
      </c>
      <c r="AB53" s="1505"/>
      <c r="AC53" s="1504">
        <f t="shared" si="24"/>
        <v>0</v>
      </c>
      <c r="AD53" s="1503">
        <f t="shared" si="25"/>
        <v>0</v>
      </c>
      <c r="AE53" s="1503">
        <f t="shared" si="26"/>
        <v>0</v>
      </c>
      <c r="AF53" s="1502">
        <f t="shared" si="27"/>
        <v>0</v>
      </c>
    </row>
    <row r="54" spans="1:32" s="1474" customFormat="1" ht="23.25" customHeight="1">
      <c r="A54" s="1515">
        <v>42</v>
      </c>
      <c r="B54" s="1513" t="s">
        <v>2120</v>
      </c>
      <c r="C54" s="1514" t="s">
        <v>2227</v>
      </c>
      <c r="D54" s="1514">
        <v>12</v>
      </c>
      <c r="E54" s="1513">
        <v>8400000</v>
      </c>
      <c r="F54" s="1512">
        <f t="shared" si="16"/>
        <v>1512000</v>
      </c>
      <c r="G54" s="2141">
        <v>40974</v>
      </c>
      <c r="H54" s="1511">
        <v>0.18</v>
      </c>
      <c r="I54" s="1508">
        <v>12</v>
      </c>
      <c r="J54" s="1508">
        <v>12</v>
      </c>
      <c r="K54" s="1508">
        <f>E54/I54</f>
        <v>700000</v>
      </c>
      <c r="L54" s="1508">
        <f t="shared" si="28"/>
        <v>126000</v>
      </c>
      <c r="M54" s="2401">
        <f t="shared" si="17"/>
        <v>8400000</v>
      </c>
      <c r="N54" s="2401">
        <f>IF(J54&lt;I54,J54*L54,IF(J54&gt;=I54,F54))-126000</f>
        <v>1386000</v>
      </c>
      <c r="O54" s="1509">
        <v>8400000</v>
      </c>
      <c r="P54" s="1509">
        <v>1386000</v>
      </c>
      <c r="Q54" s="1509"/>
      <c r="R54" s="2650"/>
      <c r="S54" s="2650"/>
      <c r="T54" s="1507"/>
      <c r="U54" s="1495">
        <f t="shared" si="29"/>
        <v>8400000</v>
      </c>
      <c r="V54" s="1495">
        <f t="shared" si="30"/>
        <v>1386000</v>
      </c>
      <c r="W54" s="1495">
        <f t="shared" si="19"/>
        <v>0</v>
      </c>
      <c r="X54" s="1495">
        <f t="shared" si="20"/>
        <v>0</v>
      </c>
      <c r="Y54" s="1495">
        <f t="shared" si="21"/>
        <v>100</v>
      </c>
      <c r="Z54" s="1495">
        <f t="shared" si="22"/>
        <v>0</v>
      </c>
      <c r="AA54" s="1506">
        <f t="shared" si="23"/>
        <v>0</v>
      </c>
      <c r="AB54" s="1505"/>
      <c r="AC54" s="1504">
        <f t="shared" si="24"/>
        <v>0</v>
      </c>
      <c r="AD54" s="1503">
        <f t="shared" si="25"/>
        <v>0</v>
      </c>
      <c r="AE54" s="1503">
        <f t="shared" si="26"/>
        <v>0</v>
      </c>
      <c r="AF54" s="1502">
        <f t="shared" si="27"/>
        <v>0</v>
      </c>
    </row>
    <row r="55" spans="1:32" s="1474" customFormat="1" ht="23.25" customHeight="1">
      <c r="A55" s="1515">
        <v>43</v>
      </c>
      <c r="B55" s="1513" t="s">
        <v>2260</v>
      </c>
      <c r="C55" s="1514" t="s">
        <v>2227</v>
      </c>
      <c r="D55" s="1514">
        <v>12</v>
      </c>
      <c r="E55" s="1513">
        <v>8400000</v>
      </c>
      <c r="F55" s="1512">
        <f t="shared" si="16"/>
        <v>1512000</v>
      </c>
      <c r="G55" s="2141">
        <v>40974</v>
      </c>
      <c r="H55" s="1511">
        <v>0.18</v>
      </c>
      <c r="I55" s="1508">
        <v>12</v>
      </c>
      <c r="J55" s="1508">
        <v>12</v>
      </c>
      <c r="K55" s="1508">
        <f>E55/I55</f>
        <v>700000</v>
      </c>
      <c r="L55" s="1508">
        <f t="shared" si="28"/>
        <v>126000</v>
      </c>
      <c r="M55" s="1510">
        <f t="shared" si="17"/>
        <v>8400000</v>
      </c>
      <c r="N55" s="2401">
        <f>IF(J55&lt;I55,J55*L55,IF(J55&gt;=I55,F55))-252000</f>
        <v>1260000</v>
      </c>
      <c r="O55" s="1509">
        <v>8400000</v>
      </c>
      <c r="P55" s="1509">
        <v>1260000</v>
      </c>
      <c r="Q55" s="1509"/>
      <c r="R55" s="2650"/>
      <c r="S55" s="2650"/>
      <c r="T55" s="1507"/>
      <c r="U55" s="1495">
        <f t="shared" si="29"/>
        <v>8400000</v>
      </c>
      <c r="V55" s="1495">
        <f t="shared" si="30"/>
        <v>1260000</v>
      </c>
      <c r="W55" s="1495">
        <f t="shared" si="19"/>
        <v>0</v>
      </c>
      <c r="X55" s="1495">
        <f t="shared" si="20"/>
        <v>0</v>
      </c>
      <c r="Y55" s="1495">
        <f t="shared" si="21"/>
        <v>100</v>
      </c>
      <c r="Z55" s="1495">
        <f t="shared" si="22"/>
        <v>0</v>
      </c>
      <c r="AA55" s="1506">
        <f t="shared" si="23"/>
        <v>0</v>
      </c>
      <c r="AB55" s="1505"/>
      <c r="AC55" s="1504">
        <f t="shared" si="24"/>
        <v>0</v>
      </c>
      <c r="AD55" s="1503">
        <f t="shared" si="25"/>
        <v>0</v>
      </c>
      <c r="AE55" s="1503">
        <f t="shared" si="26"/>
        <v>0</v>
      </c>
      <c r="AF55" s="1502">
        <f t="shared" si="27"/>
        <v>0</v>
      </c>
    </row>
    <row r="56" spans="1:32" s="1474" customFormat="1" ht="23.25" customHeight="1">
      <c r="A56" s="1515">
        <v>44</v>
      </c>
      <c r="B56" s="1513" t="s">
        <v>2261</v>
      </c>
      <c r="C56" s="1514" t="s">
        <v>2227</v>
      </c>
      <c r="D56" s="1514">
        <v>10</v>
      </c>
      <c r="E56" s="1513">
        <v>7000000</v>
      </c>
      <c r="F56" s="1512">
        <f t="shared" si="0"/>
        <v>1260000</v>
      </c>
      <c r="G56" s="2141">
        <v>40974</v>
      </c>
      <c r="H56" s="1511">
        <v>0.18</v>
      </c>
      <c r="I56" s="1508">
        <v>12</v>
      </c>
      <c r="J56" s="1508">
        <v>12</v>
      </c>
      <c r="K56" s="1508">
        <v>583300</v>
      </c>
      <c r="L56" s="1508">
        <f t="shared" si="28"/>
        <v>105000</v>
      </c>
      <c r="M56" s="2401">
        <f t="shared" si="1"/>
        <v>7000000</v>
      </c>
      <c r="N56" s="2401">
        <f>IF(J56&lt;I56,J56*L56,IF(J56&gt;=I56,F56))-105000</f>
        <v>1155000</v>
      </c>
      <c r="O56" s="1509">
        <v>7000000</v>
      </c>
      <c r="P56" s="1509">
        <v>1155000</v>
      </c>
      <c r="Q56" s="1509"/>
      <c r="R56" s="2650"/>
      <c r="S56" s="2650"/>
      <c r="T56" s="1507"/>
      <c r="U56" s="1495">
        <f t="shared" si="29"/>
        <v>7000000</v>
      </c>
      <c r="V56" s="1495">
        <f t="shared" si="30"/>
        <v>1155000</v>
      </c>
      <c r="W56" s="1495">
        <f t="shared" si="5"/>
        <v>0</v>
      </c>
      <c r="X56" s="1495">
        <f t="shared" si="6"/>
        <v>0</v>
      </c>
      <c r="Y56" s="1495">
        <f t="shared" si="21"/>
        <v>100</v>
      </c>
      <c r="Z56" s="1495">
        <f t="shared" si="8"/>
        <v>0</v>
      </c>
      <c r="AA56" s="1506">
        <f t="shared" si="9"/>
        <v>0</v>
      </c>
      <c r="AB56" s="1505"/>
      <c r="AC56" s="1504">
        <f t="shared" si="10"/>
        <v>0</v>
      </c>
      <c r="AD56" s="1503">
        <f t="shared" si="11"/>
        <v>0</v>
      </c>
      <c r="AE56" s="1503">
        <f t="shared" si="12"/>
        <v>0</v>
      </c>
      <c r="AF56" s="1502">
        <f t="shared" si="13"/>
        <v>0</v>
      </c>
    </row>
    <row r="57" spans="1:32" s="1474" customFormat="1" ht="23.25" customHeight="1">
      <c r="A57" s="1515">
        <v>45</v>
      </c>
      <c r="B57" s="1513" t="s">
        <v>2119</v>
      </c>
      <c r="C57" s="1514" t="s">
        <v>2245</v>
      </c>
      <c r="D57" s="1514">
        <v>10</v>
      </c>
      <c r="E57" s="1513">
        <v>7000000</v>
      </c>
      <c r="F57" s="1512">
        <f t="shared" si="0"/>
        <v>1260000</v>
      </c>
      <c r="G57" s="2141">
        <v>41171</v>
      </c>
      <c r="H57" s="1511">
        <v>0.18</v>
      </c>
      <c r="I57" s="1508">
        <v>12</v>
      </c>
      <c r="J57" s="1508">
        <v>12</v>
      </c>
      <c r="K57" s="1508">
        <v>583300</v>
      </c>
      <c r="L57" s="1508">
        <f t="shared" si="28"/>
        <v>105000</v>
      </c>
      <c r="M57" s="1510">
        <f t="shared" si="1"/>
        <v>7000000</v>
      </c>
      <c r="N57" s="1510">
        <f t="shared" si="2"/>
        <v>1260000</v>
      </c>
      <c r="O57" s="1509">
        <v>7000000</v>
      </c>
      <c r="P57" s="1509">
        <v>1260000</v>
      </c>
      <c r="Q57" s="1509"/>
      <c r="R57" s="2650"/>
      <c r="S57" s="2650"/>
      <c r="T57" s="1507"/>
      <c r="U57" s="1495">
        <f t="shared" si="29"/>
        <v>7000000</v>
      </c>
      <c r="V57" s="1495">
        <f t="shared" si="30"/>
        <v>1260000</v>
      </c>
      <c r="W57" s="1495">
        <f t="shared" si="5"/>
        <v>0</v>
      </c>
      <c r="X57" s="1495">
        <f t="shared" si="6"/>
        <v>0</v>
      </c>
      <c r="Y57" s="1495">
        <f t="shared" si="7"/>
        <v>100</v>
      </c>
      <c r="Z57" s="1495">
        <f t="shared" si="8"/>
        <v>0</v>
      </c>
      <c r="AA57" s="1506">
        <f t="shared" si="9"/>
        <v>0</v>
      </c>
      <c r="AB57" s="1505"/>
      <c r="AC57" s="1504">
        <f t="shared" si="10"/>
        <v>0</v>
      </c>
      <c r="AD57" s="1503">
        <f t="shared" si="11"/>
        <v>0</v>
      </c>
      <c r="AE57" s="1503">
        <f t="shared" si="12"/>
        <v>0</v>
      </c>
      <c r="AF57" s="1502">
        <f t="shared" si="13"/>
        <v>0</v>
      </c>
    </row>
    <row r="58" spans="1:32" s="1474" customFormat="1" ht="23.25" customHeight="1">
      <c r="A58" s="1515">
        <v>46</v>
      </c>
      <c r="B58" s="1513" t="s">
        <v>2316</v>
      </c>
      <c r="C58" s="1514" t="s">
        <v>2245</v>
      </c>
      <c r="D58" s="1514">
        <v>7</v>
      </c>
      <c r="E58" s="1513">
        <v>5000000</v>
      </c>
      <c r="F58" s="1512">
        <f t="shared" si="0"/>
        <v>900000</v>
      </c>
      <c r="G58" s="2141">
        <v>41171</v>
      </c>
      <c r="H58" s="1511">
        <v>0.18</v>
      </c>
      <c r="I58" s="1508">
        <v>12</v>
      </c>
      <c r="J58" s="1508">
        <v>12</v>
      </c>
      <c r="K58" s="1508">
        <v>416700</v>
      </c>
      <c r="L58" s="1508">
        <f t="shared" si="28"/>
        <v>75000</v>
      </c>
      <c r="M58" s="1510">
        <f t="shared" si="1"/>
        <v>5000000</v>
      </c>
      <c r="N58" s="2401">
        <f>IF(J58&lt;I58,J58*L58,IF(J58&gt;=I58,F58))-75000</f>
        <v>825000</v>
      </c>
      <c r="O58" s="1509">
        <v>5000000</v>
      </c>
      <c r="P58" s="1509">
        <v>825000</v>
      </c>
      <c r="Q58" s="1509"/>
      <c r="R58" s="2650"/>
      <c r="S58" s="2650"/>
      <c r="T58" s="1507"/>
      <c r="U58" s="1495">
        <f t="shared" si="29"/>
        <v>5000000</v>
      </c>
      <c r="V58" s="1495">
        <f t="shared" si="30"/>
        <v>825000</v>
      </c>
      <c r="W58" s="1495">
        <f t="shared" si="5"/>
        <v>0</v>
      </c>
      <c r="X58" s="1495">
        <f t="shared" si="6"/>
        <v>0</v>
      </c>
      <c r="Y58" s="1495">
        <f t="shared" si="7"/>
        <v>100</v>
      </c>
      <c r="Z58" s="1495">
        <f t="shared" si="8"/>
        <v>0</v>
      </c>
      <c r="AA58" s="1506">
        <f t="shared" si="9"/>
        <v>0</v>
      </c>
      <c r="AB58" s="1505"/>
      <c r="AC58" s="1504">
        <f t="shared" si="10"/>
        <v>0</v>
      </c>
      <c r="AD58" s="1503">
        <f t="shared" si="11"/>
        <v>0</v>
      </c>
      <c r="AE58" s="1503">
        <f t="shared" si="12"/>
        <v>0</v>
      </c>
      <c r="AF58" s="1502">
        <f t="shared" si="13"/>
        <v>0</v>
      </c>
    </row>
    <row r="59" spans="1:32" s="1474" customFormat="1" ht="23.25" customHeight="1">
      <c r="A59" s="1515">
        <v>47</v>
      </c>
      <c r="B59" s="1513" t="s">
        <v>2317</v>
      </c>
      <c r="C59" s="1514" t="s">
        <v>2245</v>
      </c>
      <c r="D59" s="1514">
        <v>7</v>
      </c>
      <c r="E59" s="1513">
        <v>5000000</v>
      </c>
      <c r="F59" s="1512">
        <f t="shared" si="0"/>
        <v>900000</v>
      </c>
      <c r="G59" s="2141">
        <v>41171</v>
      </c>
      <c r="H59" s="1511">
        <v>0.18</v>
      </c>
      <c r="I59" s="1508">
        <v>12</v>
      </c>
      <c r="J59" s="1508">
        <v>12</v>
      </c>
      <c r="K59" s="1508">
        <v>416700</v>
      </c>
      <c r="L59" s="1508">
        <f t="shared" si="28"/>
        <v>75000</v>
      </c>
      <c r="M59" s="1510">
        <f t="shared" si="1"/>
        <v>5000000</v>
      </c>
      <c r="N59" s="2401">
        <f>IF(J59&lt;I59,J59*L59,IF(J59&gt;=I59,F59))-75000</f>
        <v>825000</v>
      </c>
      <c r="O59" s="1509">
        <v>5000000</v>
      </c>
      <c r="P59" s="1509">
        <v>825000</v>
      </c>
      <c r="Q59" s="1509"/>
      <c r="R59" s="2650"/>
      <c r="S59" s="2650"/>
      <c r="T59" s="1507"/>
      <c r="U59" s="1495">
        <f t="shared" si="29"/>
        <v>5000000</v>
      </c>
      <c r="V59" s="1495">
        <f t="shared" si="30"/>
        <v>825000</v>
      </c>
      <c r="W59" s="1495">
        <f t="shared" si="5"/>
        <v>0</v>
      </c>
      <c r="X59" s="1495">
        <f t="shared" si="6"/>
        <v>0</v>
      </c>
      <c r="Y59" s="1495">
        <f t="shared" si="7"/>
        <v>100</v>
      </c>
      <c r="Z59" s="1495">
        <f t="shared" si="8"/>
        <v>0</v>
      </c>
      <c r="AA59" s="1506">
        <f t="shared" si="9"/>
        <v>0</v>
      </c>
      <c r="AB59" s="1505"/>
      <c r="AC59" s="1504">
        <f t="shared" si="10"/>
        <v>0</v>
      </c>
      <c r="AD59" s="1503">
        <f t="shared" si="11"/>
        <v>0</v>
      </c>
      <c r="AE59" s="1503">
        <f t="shared" si="12"/>
        <v>0</v>
      </c>
      <c r="AF59" s="1502">
        <f t="shared" si="13"/>
        <v>0</v>
      </c>
    </row>
    <row r="60" spans="1:32" s="1474" customFormat="1" ht="23.25" customHeight="1">
      <c r="A60" s="1515">
        <v>48</v>
      </c>
      <c r="B60" s="1513" t="s">
        <v>2588</v>
      </c>
      <c r="C60" s="1514" t="s">
        <v>2590</v>
      </c>
      <c r="D60" s="1514">
        <v>7</v>
      </c>
      <c r="E60" s="1513">
        <v>7100000</v>
      </c>
      <c r="F60" s="1512">
        <f t="shared" si="0"/>
        <v>1278000</v>
      </c>
      <c r="G60" s="2141">
        <v>41929</v>
      </c>
      <c r="H60" s="1511">
        <v>0.18</v>
      </c>
      <c r="I60" s="1508">
        <v>12</v>
      </c>
      <c r="J60" s="1508">
        <v>12</v>
      </c>
      <c r="K60" s="1508">
        <v>591700</v>
      </c>
      <c r="L60" s="1508">
        <f t="shared" si="28"/>
        <v>106500</v>
      </c>
      <c r="M60" s="1510">
        <f t="shared" si="1"/>
        <v>7100000</v>
      </c>
      <c r="N60" s="1510">
        <f t="shared" si="2"/>
        <v>1278000</v>
      </c>
      <c r="O60" s="1509">
        <v>7100000</v>
      </c>
      <c r="P60" s="1509">
        <v>1278000</v>
      </c>
      <c r="Q60" s="1509"/>
      <c r="R60" s="1509"/>
      <c r="S60" s="1509"/>
      <c r="T60" s="1507"/>
      <c r="U60" s="1495">
        <f t="shared" si="29"/>
        <v>7100000</v>
      </c>
      <c r="V60" s="1495">
        <f t="shared" si="30"/>
        <v>1278000</v>
      </c>
      <c r="W60" s="1495">
        <f t="shared" si="5"/>
        <v>0</v>
      </c>
      <c r="X60" s="1495">
        <f t="shared" si="6"/>
        <v>0</v>
      </c>
      <c r="Y60" s="1495">
        <f t="shared" si="7"/>
        <v>100</v>
      </c>
      <c r="Z60" s="1495">
        <f t="shared" si="8"/>
        <v>0</v>
      </c>
      <c r="AA60" s="1506">
        <f t="shared" si="9"/>
        <v>0</v>
      </c>
      <c r="AB60" s="1505"/>
      <c r="AC60" s="1504">
        <f t="shared" si="10"/>
        <v>0</v>
      </c>
      <c r="AD60" s="1503">
        <f t="shared" si="11"/>
        <v>0</v>
      </c>
      <c r="AE60" s="1503">
        <f t="shared" si="12"/>
        <v>0</v>
      </c>
      <c r="AF60" s="1502">
        <f t="shared" si="13"/>
        <v>0</v>
      </c>
    </row>
    <row r="61" spans="1:32" s="1474" customFormat="1" ht="23.25" customHeight="1">
      <c r="A61" s="1515">
        <v>49</v>
      </c>
      <c r="B61" s="1513" t="s">
        <v>2589</v>
      </c>
      <c r="C61" s="1514" t="s">
        <v>2590</v>
      </c>
      <c r="D61" s="1514">
        <v>7</v>
      </c>
      <c r="E61" s="1513">
        <v>7100000</v>
      </c>
      <c r="F61" s="1512">
        <f t="shared" si="0"/>
        <v>1278000</v>
      </c>
      <c r="G61" s="2141">
        <v>41929</v>
      </c>
      <c r="H61" s="1511">
        <v>0.18</v>
      </c>
      <c r="I61" s="1508">
        <v>12</v>
      </c>
      <c r="J61" s="1508">
        <v>12</v>
      </c>
      <c r="K61" s="1508">
        <v>591700</v>
      </c>
      <c r="L61" s="1508">
        <f t="shared" si="28"/>
        <v>106500</v>
      </c>
      <c r="M61" s="1510">
        <f t="shared" si="1"/>
        <v>7100000</v>
      </c>
      <c r="N61" s="1510">
        <f>IF(J61&lt;I61,J61*L61,IF(J61&gt;=I61,F61))-1*L61</f>
        <v>1171500</v>
      </c>
      <c r="O61" s="1509">
        <v>7100000</v>
      </c>
      <c r="P61" s="1509">
        <v>1171500</v>
      </c>
      <c r="Q61" s="1509"/>
      <c r="R61" s="1509"/>
      <c r="S61" s="1509"/>
      <c r="T61" s="1507"/>
      <c r="U61" s="1495">
        <f t="shared" si="29"/>
        <v>7100000</v>
      </c>
      <c r="V61" s="1495">
        <f t="shared" si="30"/>
        <v>1171500</v>
      </c>
      <c r="W61" s="1495">
        <f t="shared" si="5"/>
        <v>0</v>
      </c>
      <c r="X61" s="1495">
        <f t="shared" si="6"/>
        <v>0</v>
      </c>
      <c r="Y61" s="1495">
        <f t="shared" si="7"/>
        <v>100</v>
      </c>
      <c r="Z61" s="1495">
        <f t="shared" si="8"/>
        <v>0</v>
      </c>
      <c r="AA61" s="1506">
        <f t="shared" si="9"/>
        <v>0</v>
      </c>
      <c r="AB61" s="1505"/>
      <c r="AC61" s="1504">
        <f t="shared" si="10"/>
        <v>0</v>
      </c>
      <c r="AD61" s="1503">
        <f t="shared" si="11"/>
        <v>0</v>
      </c>
      <c r="AE61" s="1503">
        <f t="shared" si="12"/>
        <v>0</v>
      </c>
      <c r="AF61" s="1502">
        <f t="shared" si="13"/>
        <v>0</v>
      </c>
    </row>
    <row r="62" spans="1:32" s="1474" customFormat="1" ht="23.25" customHeight="1">
      <c r="A62" s="1515"/>
      <c r="B62" s="1513"/>
      <c r="C62" s="1514"/>
      <c r="D62" s="1514"/>
      <c r="E62" s="1513"/>
      <c r="F62" s="1512">
        <f t="shared" si="0"/>
        <v>0</v>
      </c>
      <c r="G62" s="1508"/>
      <c r="H62" s="1511"/>
      <c r="I62" s="1508"/>
      <c r="J62" s="1508"/>
      <c r="K62" s="1508"/>
      <c r="L62" s="1508"/>
      <c r="M62" s="1510">
        <f t="shared" si="1"/>
        <v>0</v>
      </c>
      <c r="N62" s="1510">
        <f t="shared" si="2"/>
        <v>0</v>
      </c>
      <c r="O62" s="1509"/>
      <c r="P62" s="1509"/>
      <c r="Q62" s="1509"/>
      <c r="R62" s="1508"/>
      <c r="S62" s="1508"/>
      <c r="T62" s="1507"/>
      <c r="U62" s="1495">
        <f t="shared" si="29"/>
        <v>0</v>
      </c>
      <c r="V62" s="1495">
        <f t="shared" si="30"/>
        <v>0</v>
      </c>
      <c r="W62" s="1495">
        <f t="shared" si="5"/>
        <v>0</v>
      </c>
      <c r="X62" s="1495">
        <f t="shared" si="6"/>
        <v>0</v>
      </c>
      <c r="Y62" s="1495" t="e">
        <f t="shared" si="7"/>
        <v>#DIV/0!</v>
      </c>
      <c r="Z62" s="1495">
        <f t="shared" si="8"/>
        <v>0</v>
      </c>
      <c r="AA62" s="1506">
        <f t="shared" si="9"/>
        <v>0</v>
      </c>
      <c r="AB62" s="1505"/>
      <c r="AC62" s="1504">
        <f t="shared" si="10"/>
        <v>0</v>
      </c>
      <c r="AD62" s="1503">
        <f t="shared" si="11"/>
        <v>0</v>
      </c>
      <c r="AE62" s="1503">
        <f t="shared" si="12"/>
        <v>0</v>
      </c>
      <c r="AF62" s="1502">
        <f t="shared" si="13"/>
        <v>0</v>
      </c>
    </row>
    <row r="63" spans="1:32" s="1474" customFormat="1" ht="23.25" customHeight="1">
      <c r="A63" s="1515"/>
      <c r="B63" s="1513"/>
      <c r="C63" s="1514"/>
      <c r="D63" s="1514"/>
      <c r="E63" s="1513"/>
      <c r="F63" s="1512">
        <f t="shared" si="0"/>
        <v>0</v>
      </c>
      <c r="G63" s="1508"/>
      <c r="H63" s="1511"/>
      <c r="I63" s="1508"/>
      <c r="J63" s="1508"/>
      <c r="K63" s="1508"/>
      <c r="L63" s="1508"/>
      <c r="M63" s="1510">
        <f t="shared" si="1"/>
        <v>0</v>
      </c>
      <c r="N63" s="1510">
        <f t="shared" si="2"/>
        <v>0</v>
      </c>
      <c r="O63" s="1509"/>
      <c r="P63" s="1509"/>
      <c r="Q63" s="1509"/>
      <c r="R63" s="1508"/>
      <c r="S63" s="1508"/>
      <c r="T63" s="1507"/>
      <c r="U63" s="1495">
        <f t="shared" si="29"/>
        <v>0</v>
      </c>
      <c r="V63" s="1495">
        <f t="shared" si="30"/>
        <v>0</v>
      </c>
      <c r="W63" s="1495">
        <f t="shared" si="5"/>
        <v>0</v>
      </c>
      <c r="X63" s="1495">
        <f t="shared" si="6"/>
        <v>0</v>
      </c>
      <c r="Y63" s="1495" t="e">
        <f t="shared" si="7"/>
        <v>#DIV/0!</v>
      </c>
      <c r="Z63" s="1495">
        <f t="shared" si="8"/>
        <v>0</v>
      </c>
      <c r="AA63" s="1506">
        <f t="shared" si="9"/>
        <v>0</v>
      </c>
      <c r="AB63" s="1505"/>
      <c r="AC63" s="1504">
        <f t="shared" si="10"/>
        <v>0</v>
      </c>
      <c r="AD63" s="1503">
        <f t="shared" si="11"/>
        <v>0</v>
      </c>
      <c r="AE63" s="1503">
        <f t="shared" si="12"/>
        <v>0</v>
      </c>
      <c r="AF63" s="1502">
        <f t="shared" si="13"/>
        <v>0</v>
      </c>
    </row>
    <row r="64" spans="1:32" s="1474" customFormat="1" ht="23.25" customHeight="1">
      <c r="A64" s="1515"/>
      <c r="B64" s="1513"/>
      <c r="C64" s="1514"/>
      <c r="D64" s="1514"/>
      <c r="E64" s="1513"/>
      <c r="F64" s="1512">
        <f t="shared" si="0"/>
        <v>0</v>
      </c>
      <c r="G64" s="1508"/>
      <c r="H64" s="1511"/>
      <c r="I64" s="1508"/>
      <c r="J64" s="1508"/>
      <c r="K64" s="1508"/>
      <c r="L64" s="1508"/>
      <c r="M64" s="1510">
        <f t="shared" si="1"/>
        <v>0</v>
      </c>
      <c r="N64" s="1510">
        <f t="shared" si="2"/>
        <v>0</v>
      </c>
      <c r="O64" s="1509"/>
      <c r="P64" s="1509"/>
      <c r="Q64" s="1509"/>
      <c r="R64" s="1508"/>
      <c r="S64" s="1508"/>
      <c r="T64" s="1507"/>
      <c r="U64" s="1495">
        <f t="shared" si="29"/>
        <v>0</v>
      </c>
      <c r="V64" s="1495">
        <f t="shared" si="30"/>
        <v>0</v>
      </c>
      <c r="W64" s="1495">
        <f t="shared" si="5"/>
        <v>0</v>
      </c>
      <c r="X64" s="1495">
        <f t="shared" si="6"/>
        <v>0</v>
      </c>
      <c r="Y64" s="1495" t="e">
        <f t="shared" si="7"/>
        <v>#DIV/0!</v>
      </c>
      <c r="Z64" s="1495">
        <f t="shared" si="8"/>
        <v>0</v>
      </c>
      <c r="AA64" s="1506">
        <f t="shared" si="9"/>
        <v>0</v>
      </c>
      <c r="AB64" s="1505"/>
      <c r="AC64" s="1504">
        <f t="shared" si="10"/>
        <v>0</v>
      </c>
      <c r="AD64" s="1503">
        <f t="shared" si="11"/>
        <v>0</v>
      </c>
      <c r="AE64" s="1503">
        <f t="shared" si="12"/>
        <v>0</v>
      </c>
      <c r="AF64" s="1502">
        <f t="shared" si="13"/>
        <v>0</v>
      </c>
    </row>
    <row r="65" spans="1:32" s="1474" customFormat="1" ht="23.25" customHeight="1">
      <c r="A65" s="1515"/>
      <c r="B65" s="1513"/>
      <c r="C65" s="1514"/>
      <c r="D65" s="1514"/>
      <c r="E65" s="1513"/>
      <c r="F65" s="1512">
        <f t="shared" si="0"/>
        <v>0</v>
      </c>
      <c r="G65" s="1508"/>
      <c r="H65" s="1511"/>
      <c r="I65" s="1508"/>
      <c r="J65" s="1508"/>
      <c r="K65" s="1508"/>
      <c r="L65" s="1508"/>
      <c r="M65" s="1510">
        <f t="shared" si="1"/>
        <v>0</v>
      </c>
      <c r="N65" s="1510">
        <f t="shared" si="2"/>
        <v>0</v>
      </c>
      <c r="O65" s="1509"/>
      <c r="P65" s="1509"/>
      <c r="Q65" s="1509"/>
      <c r="R65" s="1508"/>
      <c r="S65" s="1508"/>
      <c r="T65" s="1507"/>
      <c r="U65" s="1495">
        <f t="shared" si="29"/>
        <v>0</v>
      </c>
      <c r="V65" s="1495">
        <f t="shared" si="30"/>
        <v>0</v>
      </c>
      <c r="W65" s="1495">
        <f t="shared" si="5"/>
        <v>0</v>
      </c>
      <c r="X65" s="1495">
        <f t="shared" si="6"/>
        <v>0</v>
      </c>
      <c r="Y65" s="1495" t="e">
        <f t="shared" si="7"/>
        <v>#DIV/0!</v>
      </c>
      <c r="Z65" s="1495">
        <f t="shared" si="8"/>
        <v>0</v>
      </c>
      <c r="AA65" s="1506">
        <f t="shared" si="9"/>
        <v>0</v>
      </c>
      <c r="AB65" s="1505"/>
      <c r="AC65" s="1504">
        <f t="shared" si="10"/>
        <v>0</v>
      </c>
      <c r="AD65" s="1503">
        <f t="shared" si="11"/>
        <v>0</v>
      </c>
      <c r="AE65" s="1503">
        <f t="shared" si="12"/>
        <v>0</v>
      </c>
      <c r="AF65" s="1502">
        <f t="shared" si="13"/>
        <v>0</v>
      </c>
    </row>
    <row r="66" spans="1:32" s="1474" customFormat="1" ht="23.25" customHeight="1">
      <c r="A66" s="1515"/>
      <c r="B66" s="1513"/>
      <c r="C66" s="1514"/>
      <c r="D66" s="1514"/>
      <c r="E66" s="1513"/>
      <c r="F66" s="1512">
        <f t="shared" si="0"/>
        <v>0</v>
      </c>
      <c r="G66" s="1508"/>
      <c r="H66" s="1511"/>
      <c r="I66" s="1508"/>
      <c r="J66" s="1508"/>
      <c r="K66" s="1508"/>
      <c r="L66" s="1508"/>
      <c r="M66" s="1510">
        <f t="shared" si="1"/>
        <v>0</v>
      </c>
      <c r="N66" s="1510">
        <f t="shared" si="2"/>
        <v>0</v>
      </c>
      <c r="O66" s="1509"/>
      <c r="P66" s="1509"/>
      <c r="Q66" s="1509"/>
      <c r="R66" s="1508"/>
      <c r="S66" s="1508"/>
      <c r="T66" s="1507"/>
      <c r="U66" s="1495">
        <f t="shared" si="29"/>
        <v>0</v>
      </c>
      <c r="V66" s="1495">
        <f t="shared" si="30"/>
        <v>0</v>
      </c>
      <c r="W66" s="1495">
        <f t="shared" si="5"/>
        <v>0</v>
      </c>
      <c r="X66" s="1495">
        <f t="shared" si="6"/>
        <v>0</v>
      </c>
      <c r="Y66" s="1495" t="e">
        <f t="shared" si="7"/>
        <v>#DIV/0!</v>
      </c>
      <c r="Z66" s="1495">
        <f t="shared" si="8"/>
        <v>0</v>
      </c>
      <c r="AA66" s="1506">
        <f t="shared" si="9"/>
        <v>0</v>
      </c>
      <c r="AB66" s="1505"/>
      <c r="AC66" s="1504">
        <f t="shared" si="10"/>
        <v>0</v>
      </c>
      <c r="AD66" s="1503">
        <f t="shared" si="11"/>
        <v>0</v>
      </c>
      <c r="AE66" s="1503">
        <f t="shared" si="12"/>
        <v>0</v>
      </c>
      <c r="AF66" s="1502">
        <f t="shared" si="13"/>
        <v>0</v>
      </c>
    </row>
    <row r="67" spans="1:32" s="1474" customFormat="1" ht="23.25" customHeight="1">
      <c r="A67" s="1515"/>
      <c r="B67" s="1513"/>
      <c r="C67" s="1514"/>
      <c r="D67" s="1514"/>
      <c r="E67" s="1513"/>
      <c r="F67" s="1512">
        <f t="shared" si="0"/>
        <v>0</v>
      </c>
      <c r="G67" s="1508"/>
      <c r="H67" s="1511"/>
      <c r="I67" s="1508"/>
      <c r="J67" s="1508"/>
      <c r="K67" s="1508"/>
      <c r="L67" s="1508"/>
      <c r="M67" s="1510">
        <f t="shared" si="1"/>
        <v>0</v>
      </c>
      <c r="N67" s="1510">
        <f t="shared" si="2"/>
        <v>0</v>
      </c>
      <c r="O67" s="1509"/>
      <c r="P67" s="1509"/>
      <c r="Q67" s="1509"/>
      <c r="R67" s="1508"/>
      <c r="S67" s="1508"/>
      <c r="T67" s="1507"/>
      <c r="U67" s="1495">
        <f t="shared" si="29"/>
        <v>0</v>
      </c>
      <c r="V67" s="1495">
        <f t="shared" si="30"/>
        <v>0</v>
      </c>
      <c r="W67" s="1495">
        <f t="shared" si="5"/>
        <v>0</v>
      </c>
      <c r="X67" s="1495">
        <f t="shared" si="6"/>
        <v>0</v>
      </c>
      <c r="Y67" s="1495" t="e">
        <f t="shared" si="7"/>
        <v>#DIV/0!</v>
      </c>
      <c r="Z67" s="1495">
        <f t="shared" si="8"/>
        <v>0</v>
      </c>
      <c r="AA67" s="1506">
        <f t="shared" si="9"/>
        <v>0</v>
      </c>
      <c r="AB67" s="1505"/>
      <c r="AC67" s="1504">
        <f t="shared" si="10"/>
        <v>0</v>
      </c>
      <c r="AD67" s="1503">
        <f t="shared" si="11"/>
        <v>0</v>
      </c>
      <c r="AE67" s="1503">
        <f t="shared" si="12"/>
        <v>0</v>
      </c>
      <c r="AF67" s="1502">
        <f t="shared" si="13"/>
        <v>0</v>
      </c>
    </row>
    <row r="68" spans="1:32" s="1474" customFormat="1" ht="23.25" customHeight="1" thickBot="1">
      <c r="A68" s="1501"/>
      <c r="B68" s="1496"/>
      <c r="C68" s="1499"/>
      <c r="D68" s="1499"/>
      <c r="E68" s="1496"/>
      <c r="F68" s="1498">
        <f t="shared" si="0"/>
        <v>0</v>
      </c>
      <c r="G68" s="1499"/>
      <c r="H68" s="1500"/>
      <c r="I68" s="1499"/>
      <c r="J68" s="1499"/>
      <c r="K68" s="1499"/>
      <c r="L68" s="1499"/>
      <c r="M68" s="1498">
        <f t="shared" si="1"/>
        <v>0</v>
      </c>
      <c r="N68" s="1498">
        <f t="shared" si="2"/>
        <v>0</v>
      </c>
      <c r="O68" s="1497"/>
      <c r="P68" s="1497"/>
      <c r="Q68" s="1497"/>
      <c r="R68" s="1496"/>
      <c r="S68" s="1496"/>
      <c r="T68" s="1496"/>
      <c r="U68" s="1494">
        <f t="shared" si="29"/>
        <v>0</v>
      </c>
      <c r="V68" s="1494">
        <f t="shared" si="30"/>
        <v>0</v>
      </c>
      <c r="W68" s="1494">
        <f t="shared" si="5"/>
        <v>0</v>
      </c>
      <c r="X68" s="1494">
        <f t="shared" si="6"/>
        <v>0</v>
      </c>
      <c r="Y68" s="1495" t="e">
        <f t="shared" si="7"/>
        <v>#DIV/0!</v>
      </c>
      <c r="Z68" s="1494">
        <f t="shared" si="8"/>
        <v>0</v>
      </c>
      <c r="AA68" s="1493">
        <f t="shared" si="9"/>
        <v>0</v>
      </c>
      <c r="AB68" s="1492"/>
      <c r="AC68" s="1491">
        <f t="shared" si="10"/>
        <v>0</v>
      </c>
      <c r="AD68" s="1490">
        <f t="shared" si="11"/>
        <v>0</v>
      </c>
      <c r="AE68" s="1490">
        <f t="shared" si="12"/>
        <v>0</v>
      </c>
      <c r="AF68" s="1489">
        <f t="shared" si="13"/>
        <v>0</v>
      </c>
    </row>
    <row r="69" spans="1:32" s="1474" customFormat="1" ht="11.25" customHeight="1" thickTop="1" thickBot="1">
      <c r="A69" s="1488"/>
      <c r="B69" s="1486"/>
      <c r="C69" s="1487"/>
      <c r="D69" s="1487"/>
      <c r="E69" s="1486"/>
      <c r="F69" s="1486"/>
      <c r="G69" s="1486"/>
      <c r="H69" s="1486"/>
      <c r="I69" s="1486"/>
      <c r="J69" s="1486"/>
      <c r="K69" s="1486"/>
      <c r="L69" s="1486"/>
      <c r="M69" s="1486"/>
      <c r="N69" s="1486"/>
      <c r="O69" s="1486"/>
      <c r="P69" s="1486"/>
      <c r="Q69" s="1486"/>
      <c r="R69" s="1486"/>
      <c r="S69" s="1486"/>
      <c r="T69" s="1486"/>
      <c r="U69" s="1486"/>
      <c r="V69" s="1486"/>
      <c r="W69" s="1486"/>
      <c r="X69" s="1486"/>
      <c r="Y69" s="1486"/>
      <c r="Z69" s="1486"/>
      <c r="AA69" s="1485"/>
      <c r="AB69" s="1484"/>
      <c r="AC69" s="1483"/>
      <c r="AD69" s="1483"/>
      <c r="AE69" s="1483"/>
      <c r="AF69" s="1482"/>
    </row>
    <row r="70" spans="1:32" s="1563" customFormat="1" ht="33" customHeight="1" thickTop="1" thickBot="1">
      <c r="A70" s="3410" t="s">
        <v>934</v>
      </c>
      <c r="B70" s="3410"/>
      <c r="C70" s="3410"/>
      <c r="D70" s="1480">
        <f>SUM(D13:D68)</f>
        <v>83</v>
      </c>
      <c r="E70" s="1480">
        <f>SUM(E13:E68)</f>
        <v>388200000</v>
      </c>
      <c r="F70" s="1480">
        <f>SUM(F13:F68)</f>
        <v>69876000</v>
      </c>
      <c r="G70" s="1481"/>
      <c r="H70" s="1481"/>
      <c r="I70" s="1481"/>
      <c r="J70" s="1481"/>
      <c r="K70" s="1481"/>
      <c r="L70" s="1481"/>
      <c r="M70" s="1480">
        <f t="shared" ref="M70:X70" si="31">SUM(M13:M68)</f>
        <v>388200000</v>
      </c>
      <c r="N70" s="1480">
        <f t="shared" si="31"/>
        <v>69021000</v>
      </c>
      <c r="O70" s="1480">
        <f t="shared" si="31"/>
        <v>388200000</v>
      </c>
      <c r="P70" s="1480">
        <f t="shared" si="31"/>
        <v>69021000</v>
      </c>
      <c r="Q70" s="1480">
        <f t="shared" si="31"/>
        <v>0</v>
      </c>
      <c r="R70" s="1480">
        <f t="shared" si="31"/>
        <v>0</v>
      </c>
      <c r="S70" s="1480">
        <f t="shared" si="31"/>
        <v>0</v>
      </c>
      <c r="T70" s="1480">
        <f t="shared" si="31"/>
        <v>0</v>
      </c>
      <c r="U70" s="1480">
        <f t="shared" si="31"/>
        <v>388200000</v>
      </c>
      <c r="V70" s="1480">
        <f t="shared" si="31"/>
        <v>69021000</v>
      </c>
      <c r="W70" s="1480">
        <f t="shared" si="31"/>
        <v>0</v>
      </c>
      <c r="X70" s="1480">
        <f t="shared" si="31"/>
        <v>0</v>
      </c>
      <c r="Y70" s="1480">
        <f>SUM(U70/M70)*100</f>
        <v>100</v>
      </c>
      <c r="Z70" s="1480">
        <f>SUM(Z13:Z68)</f>
        <v>0</v>
      </c>
      <c r="AA70" s="1479">
        <f>SUM(AA13:AA68)</f>
        <v>0</v>
      </c>
      <c r="AB70" s="1478"/>
      <c r="AC70" s="1566">
        <f>SUM(AC13:AC68)</f>
        <v>0</v>
      </c>
      <c r="AD70" s="1565">
        <f>SUM(AD13:AD68)</f>
        <v>0</v>
      </c>
      <c r="AE70" s="1565">
        <f>SUM(AE13:AE68)</f>
        <v>0</v>
      </c>
      <c r="AF70" s="1564">
        <f>SUM(AF13:AF68)</f>
        <v>0</v>
      </c>
    </row>
    <row r="71" spans="1:32" s="1461" customFormat="1" ht="17.25" thickTop="1" thickBot="1">
      <c r="A71" s="3410" t="s">
        <v>1505</v>
      </c>
      <c r="B71" s="3410"/>
      <c r="C71" s="3410"/>
      <c r="D71" s="1473">
        <f>COUNT(D13:D68)</f>
        <v>9</v>
      </c>
      <c r="E71" s="1473">
        <f>COUNT(E13:E68)</f>
        <v>49</v>
      </c>
      <c r="G71" s="1462"/>
      <c r="H71" s="1462"/>
      <c r="I71" s="1462"/>
      <c r="J71" s="1462"/>
      <c r="K71" s="1472"/>
      <c r="L71" s="1472"/>
      <c r="AB71" s="1462"/>
    </row>
    <row r="72" spans="1:32" s="1461" customFormat="1" ht="18.75" thickTop="1">
      <c r="A72" s="1465"/>
      <c r="B72" s="1465"/>
      <c r="C72" s="1466"/>
      <c r="D72" s="1466"/>
      <c r="E72" s="3410" t="s">
        <v>1463</v>
      </c>
      <c r="F72" s="3410"/>
      <c r="G72" s="3410"/>
      <c r="H72" s="3410"/>
      <c r="I72" s="3410"/>
      <c r="J72" s="3410"/>
      <c r="K72" s="3410"/>
      <c r="L72" s="3410"/>
      <c r="M72" s="3410"/>
      <c r="N72" s="3410"/>
      <c r="O72" s="1467"/>
      <c r="P72" s="1467"/>
      <c r="Q72" s="1467"/>
      <c r="R72" s="1467"/>
      <c r="S72" s="1467"/>
      <c r="T72" s="1467"/>
      <c r="U72" s="1471"/>
      <c r="V72" s="3410" t="s">
        <v>1462</v>
      </c>
      <c r="W72" s="3410"/>
      <c r="X72" s="3410"/>
      <c r="Y72" s="3410"/>
      <c r="Z72" s="1465"/>
      <c r="AA72" s="1465"/>
      <c r="AB72" s="1462"/>
    </row>
    <row r="73" spans="1:32" s="1461" customFormat="1" ht="71.25" customHeight="1">
      <c r="A73" s="1468"/>
      <c r="B73" s="1468"/>
      <c r="C73" s="1470"/>
      <c r="D73" s="1470"/>
      <c r="E73" s="1468"/>
      <c r="F73" s="1468"/>
      <c r="G73" s="1470"/>
      <c r="H73" s="1470"/>
      <c r="I73" s="1470"/>
      <c r="J73" s="1470"/>
      <c r="K73" s="1469"/>
      <c r="L73" s="1469"/>
      <c r="M73" s="1468"/>
      <c r="N73" s="1468"/>
      <c r="O73" s="1468"/>
      <c r="P73" s="1468"/>
      <c r="Q73" s="1468"/>
      <c r="R73" s="1468"/>
      <c r="S73" s="1468"/>
      <c r="T73" s="1468"/>
      <c r="U73" s="1468"/>
      <c r="V73" s="1468"/>
      <c r="W73" s="1468"/>
      <c r="X73" s="1468"/>
      <c r="Y73" s="1468"/>
      <c r="Z73" s="1468"/>
      <c r="AA73" s="1468"/>
      <c r="AB73" s="1462"/>
    </row>
    <row r="74" spans="1:32" s="1461" customFormat="1" ht="18">
      <c r="A74" s="1465"/>
      <c r="B74" s="1465"/>
      <c r="C74" s="1466"/>
      <c r="D74" s="1466"/>
      <c r="E74" s="3410" t="str">
        <f>'LPP-SPP'!G39</f>
        <v>Endang Taryana</v>
      </c>
      <c r="F74" s="3410"/>
      <c r="G74" s="3410"/>
      <c r="H74" s="3410"/>
      <c r="I74" s="3410"/>
      <c r="J74" s="3410"/>
      <c r="K74" s="3410"/>
      <c r="L74" s="3410"/>
      <c r="M74" s="3410"/>
      <c r="N74" s="3410"/>
      <c r="O74" s="1467" t="s">
        <v>1461</v>
      </c>
      <c r="P74" s="3410"/>
      <c r="Q74" s="3410"/>
      <c r="R74" s="3410"/>
      <c r="S74" s="1465"/>
      <c r="T74" s="1465"/>
      <c r="U74" s="1465"/>
      <c r="V74" s="3410" t="str">
        <f>'LPP-SPP'!T39</f>
        <v>Arin Yustini, SE</v>
      </c>
      <c r="W74" s="3410"/>
      <c r="X74" s="3410"/>
      <c r="Y74" s="3410"/>
      <c r="Z74" s="1465"/>
      <c r="AA74" s="1465"/>
      <c r="AB74" s="1462"/>
    </row>
    <row r="75" spans="1:32" s="1461" customFormat="1" ht="18">
      <c r="A75" s="1465"/>
      <c r="B75" s="1465"/>
      <c r="C75" s="1466"/>
      <c r="D75" s="1466"/>
      <c r="E75" s="3410" t="s">
        <v>23</v>
      </c>
      <c r="F75" s="3410"/>
      <c r="G75" s="3410"/>
      <c r="H75" s="3410"/>
      <c r="I75" s="3410"/>
      <c r="J75" s="3410"/>
      <c r="K75" s="3410"/>
      <c r="L75" s="3410"/>
      <c r="M75" s="3410"/>
      <c r="N75" s="3410"/>
      <c r="O75" s="1465"/>
      <c r="P75" s="3410"/>
      <c r="Q75" s="3410"/>
      <c r="R75" s="3410"/>
      <c r="S75" s="1465"/>
      <c r="T75" s="1465"/>
      <c r="U75" s="1465"/>
      <c r="V75" s="3410" t="s">
        <v>24</v>
      </c>
      <c r="W75" s="3410"/>
      <c r="X75" s="3410"/>
      <c r="Y75" s="3410"/>
      <c r="Z75" s="1465"/>
      <c r="AA75" s="1465"/>
      <c r="AB75" s="1462"/>
    </row>
    <row r="76" spans="1:32" s="1559" customFormat="1" ht="24.75" customHeight="1">
      <c r="A76" s="3525" t="s">
        <v>0</v>
      </c>
      <c r="B76" s="3525"/>
      <c r="C76" s="3525"/>
      <c r="D76" s="3525"/>
      <c r="E76" s="3525"/>
      <c r="F76" s="3525"/>
      <c r="G76" s="3525"/>
      <c r="H76" s="3525"/>
      <c r="I76" s="3525"/>
      <c r="J76" s="3525"/>
      <c r="K76" s="3525"/>
      <c r="L76" s="3525"/>
      <c r="M76" s="3525"/>
      <c r="N76" s="3525"/>
      <c r="O76" s="3525"/>
      <c r="P76" s="3525"/>
      <c r="Q76" s="3525"/>
      <c r="R76" s="3525"/>
      <c r="S76" s="3525"/>
      <c r="T76" s="3525"/>
      <c r="U76" s="3525"/>
      <c r="V76" s="3525"/>
      <c r="W76" s="3525"/>
      <c r="X76" s="3525"/>
      <c r="Y76" s="3525"/>
      <c r="Z76" s="3525"/>
      <c r="AA76" s="3525"/>
      <c r="AB76" s="1562"/>
      <c r="AC76" s="1560"/>
      <c r="AD76" s="1560"/>
      <c r="AE76" s="1560"/>
      <c r="AF76" s="1560"/>
    </row>
    <row r="77" spans="1:32" s="1559" customFormat="1" ht="26.25">
      <c r="A77" s="3525" t="str">
        <f>A2</f>
        <v>LAPORAN PERKEMBANGAN PINJAMAN  SPP</v>
      </c>
      <c r="B77" s="3525"/>
      <c r="C77" s="3525"/>
      <c r="D77" s="3525"/>
      <c r="E77" s="3525"/>
      <c r="F77" s="3525"/>
      <c r="G77" s="3525"/>
      <c r="H77" s="3525"/>
      <c r="I77" s="3525"/>
      <c r="J77" s="3525"/>
      <c r="K77" s="3525"/>
      <c r="L77" s="3525"/>
      <c r="M77" s="3525"/>
      <c r="N77" s="3525"/>
      <c r="O77" s="3525"/>
      <c r="P77" s="3525"/>
      <c r="Q77" s="3525"/>
      <c r="R77" s="3525"/>
      <c r="S77" s="3525"/>
      <c r="T77" s="3525"/>
      <c r="U77" s="3525"/>
      <c r="V77" s="3525"/>
      <c r="W77" s="3525"/>
      <c r="X77" s="3525"/>
      <c r="Y77" s="3525"/>
      <c r="Z77" s="3525"/>
      <c r="AA77" s="3525"/>
      <c r="AB77" s="1562"/>
      <c r="AC77" s="1560"/>
      <c r="AD77" s="1560"/>
      <c r="AE77" s="1560"/>
      <c r="AF77" s="1560"/>
    </row>
    <row r="78" spans="1:32" s="1559" customFormat="1" ht="34.5">
      <c r="A78" s="3525" t="s">
        <v>1504</v>
      </c>
      <c r="B78" s="3525"/>
      <c r="C78" s="3525"/>
      <c r="D78" s="3525"/>
      <c r="E78" s="3525"/>
      <c r="F78" s="3525"/>
      <c r="G78" s="3525"/>
      <c r="H78" s="3525"/>
      <c r="I78" s="3525"/>
      <c r="J78" s="3525"/>
      <c r="K78" s="3525"/>
      <c r="L78" s="3525"/>
      <c r="M78" s="3525"/>
      <c r="N78" s="3525"/>
      <c r="O78" s="3525"/>
      <c r="P78" s="3525"/>
      <c r="Q78" s="3525"/>
      <c r="R78" s="3525"/>
      <c r="S78" s="3525"/>
      <c r="T78" s="3525"/>
      <c r="U78" s="3525"/>
      <c r="V78" s="3525"/>
      <c r="W78" s="3525"/>
      <c r="X78" s="3525"/>
      <c r="Y78" s="3525"/>
      <c r="Z78" s="3525"/>
      <c r="AA78" s="3525"/>
      <c r="AB78" s="1561"/>
      <c r="AC78" s="1560"/>
      <c r="AD78" s="1560"/>
      <c r="AE78" s="1560"/>
      <c r="AF78" s="1560"/>
    </row>
    <row r="79" spans="1:32" s="1547" customFormat="1" ht="18.75" customHeight="1">
      <c r="A79" s="3525" t="str">
        <f>A4</f>
        <v>Per - Februari 2016 2016</v>
      </c>
      <c r="B79" s="3525"/>
      <c r="C79" s="3525"/>
      <c r="D79" s="3525"/>
      <c r="E79" s="3525"/>
      <c r="F79" s="3525"/>
      <c r="G79" s="3525"/>
      <c r="H79" s="3525"/>
      <c r="I79" s="3525"/>
      <c r="J79" s="3525"/>
      <c r="K79" s="3525"/>
      <c r="L79" s="3525"/>
      <c r="M79" s="3525"/>
      <c r="N79" s="3525"/>
      <c r="O79" s="3525"/>
      <c r="P79" s="3525"/>
      <c r="Q79" s="3525"/>
      <c r="R79" s="3525"/>
      <c r="S79" s="3525"/>
      <c r="T79" s="3525"/>
      <c r="U79" s="3525"/>
      <c r="V79" s="3525"/>
      <c r="W79" s="3525"/>
      <c r="X79" s="3525"/>
      <c r="Y79" s="3525"/>
      <c r="Z79" s="3525"/>
      <c r="AA79" s="3525"/>
      <c r="AB79" s="1556"/>
      <c r="AC79" s="1548"/>
      <c r="AD79" s="1548"/>
    </row>
    <row r="80" spans="1:32" s="1542" customFormat="1" ht="24.75" customHeight="1">
      <c r="A80" s="3410" t="s">
        <v>1503</v>
      </c>
      <c r="B80" s="3410"/>
      <c r="C80" s="3410"/>
      <c r="D80" s="1553"/>
      <c r="E80" s="1558" t="str">
        <f>E5</f>
        <v>:  NAGRAK UTARA</v>
      </c>
      <c r="F80" s="1556"/>
      <c r="G80" s="1556"/>
      <c r="H80" s="1556"/>
      <c r="I80" s="1556"/>
      <c r="J80" s="1556"/>
      <c r="K80" s="1557"/>
      <c r="L80" s="1557"/>
      <c r="M80" s="1556"/>
      <c r="N80" s="1556"/>
      <c r="O80" s="1556"/>
      <c r="P80" s="1556"/>
      <c r="Q80" s="1556"/>
      <c r="R80" s="1556"/>
      <c r="S80" s="1556"/>
      <c r="T80" s="1556"/>
      <c r="U80" s="1556"/>
      <c r="V80" s="1556"/>
      <c r="W80" s="1556"/>
      <c r="X80" s="1556"/>
      <c r="Y80" s="1556"/>
      <c r="Z80" s="1556"/>
      <c r="AA80" s="1556"/>
      <c r="AB80" s="1556"/>
      <c r="AC80" s="1555"/>
      <c r="AD80" s="1555"/>
      <c r="AE80" s="1555"/>
      <c r="AF80" s="1555"/>
    </row>
    <row r="81" spans="1:32" s="1547" customFormat="1" ht="18.75" customHeight="1">
      <c r="A81" s="3410" t="s">
        <v>1502</v>
      </c>
      <c r="B81" s="3410"/>
      <c r="C81" s="3410"/>
      <c r="D81" s="1553"/>
      <c r="E81" s="1552" t="str">
        <f>E6</f>
        <v>:  Nagrak</v>
      </c>
      <c r="F81" s="1552"/>
      <c r="G81" s="1551"/>
      <c r="H81" s="1551"/>
      <c r="I81" s="1551"/>
      <c r="J81" s="1551"/>
      <c r="K81" s="1550"/>
      <c r="L81" s="1550"/>
      <c r="M81" s="1548"/>
      <c r="N81" s="1548"/>
      <c r="O81" s="1548"/>
      <c r="P81" s="1548"/>
      <c r="Q81" s="1548"/>
      <c r="R81" s="1548"/>
      <c r="S81" s="1548"/>
      <c r="T81" s="1548"/>
      <c r="U81" s="1548"/>
      <c r="V81" s="1548"/>
      <c r="W81" s="1548"/>
      <c r="X81" s="1548"/>
      <c r="Y81" s="1548"/>
      <c r="Z81" s="1548"/>
      <c r="AA81" s="1548"/>
      <c r="AB81" s="1549"/>
      <c r="AC81" s="1548"/>
      <c r="AD81" s="1548"/>
    </row>
    <row r="82" spans="1:32" s="1547" customFormat="1" ht="18.75" customHeight="1">
      <c r="A82" s="3410" t="s">
        <v>1501</v>
      </c>
      <c r="B82" s="3410"/>
      <c r="C82" s="3410"/>
      <c r="D82" s="1553"/>
      <c r="E82" s="1552" t="str">
        <f>E7</f>
        <v>:  Sukabumi</v>
      </c>
      <c r="F82" s="1552"/>
      <c r="G82" s="1551"/>
      <c r="H82" s="1551"/>
      <c r="I82" s="1551"/>
      <c r="J82" s="1551"/>
      <c r="K82" s="1550"/>
      <c r="L82" s="1550"/>
      <c r="M82" s="1554"/>
      <c r="N82" s="1548"/>
      <c r="O82" s="1548"/>
      <c r="P82" s="1548"/>
      <c r="Q82" s="1548"/>
      <c r="R82" s="1548"/>
      <c r="S82" s="1548"/>
      <c r="T82" s="1548"/>
      <c r="U82" s="1548"/>
      <c r="V82" s="1548"/>
      <c r="W82" s="1548"/>
      <c r="X82" s="1548"/>
      <c r="Y82" s="1548"/>
      <c r="Z82" s="1548"/>
      <c r="AA82" s="1548"/>
      <c r="AB82" s="1549"/>
      <c r="AC82" s="1548"/>
      <c r="AD82" s="1548"/>
    </row>
    <row r="83" spans="1:32" s="1542" customFormat="1" ht="24" customHeight="1">
      <c r="A83" s="3410" t="s">
        <v>1500</v>
      </c>
      <c r="B83" s="3410"/>
      <c r="C83" s="3410"/>
      <c r="D83" s="1553"/>
      <c r="E83" s="1552" t="str">
        <f>E8</f>
        <v>:  Jawa Barat</v>
      </c>
      <c r="F83" s="1552"/>
      <c r="G83" s="1551"/>
      <c r="H83" s="1551"/>
      <c r="I83" s="1551"/>
      <c r="J83" s="1551"/>
      <c r="K83" s="1550"/>
      <c r="L83" s="1550"/>
      <c r="M83" s="1465"/>
      <c r="N83" s="1465"/>
      <c r="O83" s="1548"/>
      <c r="P83" s="1548"/>
      <c r="Q83" s="1548"/>
      <c r="R83" s="1548"/>
      <c r="S83" s="1548"/>
      <c r="T83" s="1548"/>
      <c r="U83" s="1548"/>
      <c r="V83" s="1548"/>
      <c r="W83" s="1548"/>
      <c r="X83" s="1548"/>
      <c r="Y83" s="1548"/>
      <c r="Z83" s="1548"/>
      <c r="AA83" s="1548"/>
      <c r="AB83" s="1549"/>
      <c r="AC83" s="1548"/>
      <c r="AD83" s="1548"/>
      <c r="AE83" s="1547"/>
      <c r="AF83" s="1547"/>
    </row>
    <row r="84" spans="1:32" ht="14.25" customHeight="1" thickBot="1">
      <c r="A84" s="1546" t="s">
        <v>1461</v>
      </c>
      <c r="B84" s="1546"/>
      <c r="C84" s="1545"/>
      <c r="D84" s="1545"/>
      <c r="E84" s="1543"/>
      <c r="F84" s="1543"/>
      <c r="G84" s="1545"/>
      <c r="H84" s="1545"/>
      <c r="I84" s="1545"/>
      <c r="J84" s="1545"/>
      <c r="M84" s="1543"/>
      <c r="N84" s="1543"/>
      <c r="O84" s="1543"/>
      <c r="P84" s="1543"/>
      <c r="Q84" s="1543"/>
      <c r="R84" s="1543"/>
      <c r="S84" s="1543"/>
      <c r="T84" s="1543"/>
      <c r="U84" s="1543"/>
      <c r="V84" s="1543"/>
      <c r="W84" s="1543"/>
      <c r="X84" s="1543"/>
      <c r="Y84" s="1543"/>
      <c r="Z84" s="1543"/>
      <c r="AA84" s="1543"/>
      <c r="AB84" s="1544"/>
      <c r="AC84" s="1543"/>
      <c r="AD84" s="1543"/>
      <c r="AE84" s="1542"/>
      <c r="AF84" s="1542"/>
    </row>
    <row r="85" spans="1:32" ht="66.75" customHeight="1" thickTop="1">
      <c r="A85" s="3413" t="s">
        <v>36</v>
      </c>
      <c r="B85" s="3413" t="s">
        <v>1499</v>
      </c>
      <c r="C85" s="3413"/>
      <c r="D85" s="3413" t="s">
        <v>1498</v>
      </c>
      <c r="E85" s="3413" t="s">
        <v>1497</v>
      </c>
      <c r="F85" s="3413"/>
      <c r="G85" s="3413" t="s">
        <v>1496</v>
      </c>
      <c r="H85" s="3413" t="s">
        <v>1495</v>
      </c>
      <c r="I85" s="3413" t="s">
        <v>1494</v>
      </c>
      <c r="J85" s="3413" t="s">
        <v>1493</v>
      </c>
      <c r="K85" s="3413" t="s">
        <v>1492</v>
      </c>
      <c r="L85" s="3413"/>
      <c r="M85" s="3413" t="s">
        <v>1491</v>
      </c>
      <c r="N85" s="3413"/>
      <c r="O85" s="3413" t="s">
        <v>1490</v>
      </c>
      <c r="P85" s="3413"/>
      <c r="Q85" s="3413"/>
      <c r="R85" s="3413" t="s">
        <v>1489</v>
      </c>
      <c r="S85" s="3413"/>
      <c r="T85" s="3413"/>
      <c r="U85" s="3413" t="s">
        <v>1488</v>
      </c>
      <c r="V85" s="3413"/>
      <c r="W85" s="3413"/>
      <c r="X85" s="3413" t="s">
        <v>1487</v>
      </c>
      <c r="Y85" s="3413" t="s">
        <v>1486</v>
      </c>
      <c r="Z85" s="3413" t="s">
        <v>1485</v>
      </c>
      <c r="AA85" s="3413"/>
      <c r="AB85" s="3410" t="s">
        <v>1484</v>
      </c>
      <c r="AC85" s="1541" t="s">
        <v>1483</v>
      </c>
      <c r="AD85" s="1540" t="s">
        <v>1482</v>
      </c>
      <c r="AE85" s="1540" t="s">
        <v>1481</v>
      </c>
      <c r="AF85" s="1539" t="s">
        <v>1480</v>
      </c>
    </row>
    <row r="86" spans="1:32" s="1528" customFormat="1" ht="22.5" customHeight="1">
      <c r="A86" s="3413"/>
      <c r="B86" s="1536" t="s">
        <v>1479</v>
      </c>
      <c r="C86" s="1536" t="s">
        <v>1478</v>
      </c>
      <c r="D86" s="3413"/>
      <c r="E86" s="1537" t="s">
        <v>16</v>
      </c>
      <c r="F86" s="1537" t="s">
        <v>1476</v>
      </c>
      <c r="G86" s="3413"/>
      <c r="H86" s="3413"/>
      <c r="I86" s="3413"/>
      <c r="J86" s="3413"/>
      <c r="K86" s="3413" t="s">
        <v>16</v>
      </c>
      <c r="L86" s="3413" t="s">
        <v>1476</v>
      </c>
      <c r="M86" s="1537" t="s">
        <v>16</v>
      </c>
      <c r="N86" s="1537" t="s">
        <v>1476</v>
      </c>
      <c r="O86" s="1537" t="s">
        <v>16</v>
      </c>
      <c r="P86" s="1537" t="s">
        <v>1476</v>
      </c>
      <c r="Q86" s="1537" t="s">
        <v>1477</v>
      </c>
      <c r="R86" s="1537" t="s">
        <v>16</v>
      </c>
      <c r="S86" s="1537" t="s">
        <v>1476</v>
      </c>
      <c r="T86" s="1537" t="s">
        <v>1477</v>
      </c>
      <c r="U86" s="1537" t="s">
        <v>16</v>
      </c>
      <c r="V86" s="1537" t="s">
        <v>1476</v>
      </c>
      <c r="W86" s="1537" t="s">
        <v>1477</v>
      </c>
      <c r="X86" s="3413"/>
      <c r="Y86" s="3413"/>
      <c r="Z86" s="1537" t="s">
        <v>16</v>
      </c>
      <c r="AA86" s="2162" t="s">
        <v>1476</v>
      </c>
      <c r="AB86" s="3410"/>
      <c r="AC86" s="1531" t="s">
        <v>1475</v>
      </c>
      <c r="AD86" s="1530" t="s">
        <v>1474</v>
      </c>
      <c r="AE86" s="1530" t="s">
        <v>1473</v>
      </c>
      <c r="AF86" s="1529" t="s">
        <v>1472</v>
      </c>
    </row>
    <row r="87" spans="1:32" s="1461" customFormat="1" ht="13.5" customHeight="1" thickBot="1">
      <c r="A87" s="2162">
        <v>1</v>
      </c>
      <c r="B87" s="2162">
        <v>2</v>
      </c>
      <c r="C87" s="2162">
        <v>3</v>
      </c>
      <c r="D87" s="3413"/>
      <c r="E87" s="2162">
        <v>4</v>
      </c>
      <c r="F87" s="2162">
        <v>5</v>
      </c>
      <c r="G87" s="2162">
        <v>6</v>
      </c>
      <c r="H87" s="3413"/>
      <c r="I87" s="3413"/>
      <c r="J87" s="3413"/>
      <c r="K87" s="3413"/>
      <c r="L87" s="3413"/>
      <c r="M87" s="2162">
        <v>7</v>
      </c>
      <c r="N87" s="2162">
        <v>8</v>
      </c>
      <c r="O87" s="2162">
        <v>9</v>
      </c>
      <c r="P87" s="2162">
        <v>10</v>
      </c>
      <c r="Q87" s="2162">
        <v>11</v>
      </c>
      <c r="R87" s="2162">
        <v>12</v>
      </c>
      <c r="S87" s="2162">
        <v>13</v>
      </c>
      <c r="T87" s="2162">
        <v>14</v>
      </c>
      <c r="U87" s="2162" t="s">
        <v>1471</v>
      </c>
      <c r="V87" s="2162" t="s">
        <v>1470</v>
      </c>
      <c r="W87" s="2162" t="s">
        <v>1469</v>
      </c>
      <c r="X87" s="2162" t="s">
        <v>1468</v>
      </c>
      <c r="Y87" s="2162" t="s">
        <v>1467</v>
      </c>
      <c r="Z87" s="2162" t="s">
        <v>1466</v>
      </c>
      <c r="AA87" s="2162" t="s">
        <v>1465</v>
      </c>
      <c r="AB87">
        <v>22</v>
      </c>
      <c r="AC87" s="1518">
        <v>23</v>
      </c>
      <c r="AD87" s="1517">
        <v>24</v>
      </c>
      <c r="AE87" s="1517">
        <v>25</v>
      </c>
      <c r="AF87" s="1516">
        <v>26</v>
      </c>
    </row>
    <row r="88" spans="1:32" s="1474" customFormat="1" ht="23.25" customHeight="1">
      <c r="A88" s="1515">
        <v>1</v>
      </c>
      <c r="B88" s="1513" t="s">
        <v>1973</v>
      </c>
      <c r="C88" s="1514" t="s">
        <v>1925</v>
      </c>
      <c r="D88" s="1514"/>
      <c r="E88" s="1513">
        <v>8000000</v>
      </c>
      <c r="F88" s="1512">
        <f t="shared" ref="F88:F320" si="32">E88*H88</f>
        <v>1440000</v>
      </c>
      <c r="G88" s="2141">
        <v>39939</v>
      </c>
      <c r="H88" s="1511">
        <v>0.18</v>
      </c>
      <c r="I88" s="1508">
        <v>12</v>
      </c>
      <c r="J88" s="1508">
        <v>12</v>
      </c>
      <c r="K88" s="1508">
        <v>666700</v>
      </c>
      <c r="L88" s="1508">
        <v>120000</v>
      </c>
      <c r="M88" s="1510">
        <f t="shared" ref="M88:M320" si="33">IF(J88&lt;I88,J88*K88,IF(J88&gt;=I88,E88))</f>
        <v>8000000</v>
      </c>
      <c r="N88" s="1510">
        <f t="shared" ref="N88:N320" si="34">IF(J88&lt;I88,J88*L88,IF(J88&gt;=I88,F88))</f>
        <v>1440000</v>
      </c>
      <c r="O88" s="1509">
        <v>8000000</v>
      </c>
      <c r="P88" s="1509">
        <v>1440000</v>
      </c>
      <c r="Q88" s="1509"/>
      <c r="R88" s="2408">
        <v>0</v>
      </c>
      <c r="S88" s="2408">
        <v>0</v>
      </c>
      <c r="T88" s="1507"/>
      <c r="U88" s="1495">
        <f t="shared" ref="U88:U174" si="35">SUM(O88+R88)</f>
        <v>8000000</v>
      </c>
      <c r="V88" s="1495">
        <f t="shared" ref="V88:V175" si="36">SUM(P88+S88)</f>
        <v>1440000</v>
      </c>
      <c r="W88" s="1495">
        <f t="shared" ref="W88:W175" si="37">SUM(Q88+T88)</f>
        <v>0</v>
      </c>
      <c r="X88" s="1495">
        <f t="shared" ref="X88:X175" si="38">SUM(E88-U88)</f>
        <v>0</v>
      </c>
      <c r="Y88" s="1495">
        <f t="shared" ref="Y88:Y175" si="39">SUM(U88/M88)*100</f>
        <v>100</v>
      </c>
      <c r="Z88" s="1495">
        <f t="shared" ref="Z88:Z118" si="40">SUM(M88-U88)</f>
        <v>0</v>
      </c>
      <c r="AA88" s="1506">
        <f t="shared" ref="AA88:AA118" si="41">SUM(N88-V88)</f>
        <v>0</v>
      </c>
      <c r="AB88" s="1505"/>
      <c r="AC88" s="1504">
        <f t="shared" ref="AC88:AC118" si="42">IF(AND(AB88&gt;0,AB88&lt;=2),X88,0)</f>
        <v>0</v>
      </c>
      <c r="AD88" s="1503">
        <f t="shared" ref="AD88:AD118" si="43">IF(AND(AB88&gt;=3,AB88&lt;=4),X88,0)</f>
        <v>0</v>
      </c>
      <c r="AE88" s="1503">
        <f t="shared" ref="AE88:AE118" si="44">IF(AND(AB88&gt;=5,AB88&lt;=6),X88,0)</f>
        <v>0</v>
      </c>
      <c r="AF88" s="1502">
        <f t="shared" ref="AF88:AF118" si="45">IF(AB88&gt;6,X88,0)</f>
        <v>0</v>
      </c>
    </row>
    <row r="89" spans="1:32" s="1474" customFormat="1" ht="23.25" customHeight="1">
      <c r="A89" s="1515">
        <f>A88+1</f>
        <v>2</v>
      </c>
      <c r="B89" s="1513" t="s">
        <v>1974</v>
      </c>
      <c r="C89" s="1514" t="s">
        <v>1925</v>
      </c>
      <c r="D89" s="1514"/>
      <c r="E89" s="1513">
        <v>8000000</v>
      </c>
      <c r="F89" s="1512">
        <f t="shared" si="32"/>
        <v>1440000</v>
      </c>
      <c r="G89" s="2141">
        <v>39939</v>
      </c>
      <c r="H89" s="1511">
        <v>0.18</v>
      </c>
      <c r="I89" s="1508">
        <v>12</v>
      </c>
      <c r="J89" s="1508">
        <v>12</v>
      </c>
      <c r="K89" s="1508">
        <v>666700</v>
      </c>
      <c r="L89" s="1508">
        <v>120000</v>
      </c>
      <c r="M89" s="1510">
        <f t="shared" si="33"/>
        <v>8000000</v>
      </c>
      <c r="N89" s="1510">
        <f t="shared" si="34"/>
        <v>1440000</v>
      </c>
      <c r="O89" s="1509">
        <v>8000000</v>
      </c>
      <c r="P89" s="1509">
        <v>1440000</v>
      </c>
      <c r="Q89" s="1509"/>
      <c r="R89" s="2408">
        <v>0</v>
      </c>
      <c r="S89" s="2408">
        <v>0</v>
      </c>
      <c r="T89" s="1507"/>
      <c r="U89" s="1495">
        <f t="shared" si="35"/>
        <v>8000000</v>
      </c>
      <c r="V89" s="1495">
        <f t="shared" si="36"/>
        <v>1440000</v>
      </c>
      <c r="W89" s="1495">
        <f t="shared" si="37"/>
        <v>0</v>
      </c>
      <c r="X89" s="1495">
        <f t="shared" si="38"/>
        <v>0</v>
      </c>
      <c r="Y89" s="1495">
        <f t="shared" si="39"/>
        <v>100</v>
      </c>
      <c r="Z89" s="1495">
        <f t="shared" si="40"/>
        <v>0</v>
      </c>
      <c r="AA89" s="1506">
        <f t="shared" si="41"/>
        <v>0</v>
      </c>
      <c r="AB89" s="1505"/>
      <c r="AC89" s="1504">
        <f t="shared" si="42"/>
        <v>0</v>
      </c>
      <c r="AD89" s="1503">
        <f t="shared" si="43"/>
        <v>0</v>
      </c>
      <c r="AE89" s="1503">
        <f t="shared" si="44"/>
        <v>0</v>
      </c>
      <c r="AF89" s="1502">
        <f t="shared" si="45"/>
        <v>0</v>
      </c>
    </row>
    <row r="90" spans="1:32" s="1474" customFormat="1" ht="23.25" customHeight="1">
      <c r="A90" s="1515">
        <f t="shared" ref="A90:A118" si="46">A89+1</f>
        <v>3</v>
      </c>
      <c r="B90" s="1513" t="s">
        <v>1897</v>
      </c>
      <c r="C90" s="1514" t="s">
        <v>1928</v>
      </c>
      <c r="D90" s="1514"/>
      <c r="E90" s="1513">
        <v>15100000</v>
      </c>
      <c r="F90" s="1512">
        <f t="shared" si="32"/>
        <v>2718000</v>
      </c>
      <c r="G90" s="2141">
        <v>40330</v>
      </c>
      <c r="H90" s="1511">
        <v>0.18</v>
      </c>
      <c r="I90" s="1508">
        <v>12</v>
      </c>
      <c r="J90" s="1508">
        <v>12</v>
      </c>
      <c r="K90" s="1508">
        <v>1258300</v>
      </c>
      <c r="L90" s="1508">
        <v>226500</v>
      </c>
      <c r="M90" s="1510">
        <f t="shared" si="33"/>
        <v>15100000</v>
      </c>
      <c r="N90" s="1510">
        <f t="shared" si="34"/>
        <v>2718000</v>
      </c>
      <c r="O90" s="1509">
        <v>15100000</v>
      </c>
      <c r="P90" s="1509">
        <v>2718000</v>
      </c>
      <c r="Q90" s="1509"/>
      <c r="R90" s="2408"/>
      <c r="S90" s="2408"/>
      <c r="T90" s="1507"/>
      <c r="U90" s="1495">
        <f t="shared" si="35"/>
        <v>15100000</v>
      </c>
      <c r="V90" s="1495">
        <f t="shared" si="36"/>
        <v>2718000</v>
      </c>
      <c r="W90" s="1495">
        <f t="shared" si="37"/>
        <v>0</v>
      </c>
      <c r="X90" s="1495">
        <f t="shared" si="38"/>
        <v>0</v>
      </c>
      <c r="Y90" s="1495">
        <f t="shared" si="39"/>
        <v>100</v>
      </c>
      <c r="Z90" s="1495">
        <f t="shared" si="40"/>
        <v>0</v>
      </c>
      <c r="AA90" s="1506">
        <f t="shared" si="41"/>
        <v>0</v>
      </c>
      <c r="AB90" s="1505"/>
      <c r="AC90" s="1504">
        <f t="shared" si="42"/>
        <v>0</v>
      </c>
      <c r="AD90" s="1503">
        <f t="shared" si="43"/>
        <v>0</v>
      </c>
      <c r="AE90" s="1503">
        <f t="shared" si="44"/>
        <v>0</v>
      </c>
      <c r="AF90" s="1502">
        <f t="shared" si="45"/>
        <v>0</v>
      </c>
    </row>
    <row r="91" spans="1:32" s="1474" customFormat="1" ht="23.25" customHeight="1">
      <c r="A91" s="1515">
        <f t="shared" si="46"/>
        <v>4</v>
      </c>
      <c r="B91" s="1513" t="s">
        <v>1941</v>
      </c>
      <c r="C91" s="1514" t="s">
        <v>1928</v>
      </c>
      <c r="D91" s="1514"/>
      <c r="E91" s="1513">
        <v>10000000</v>
      </c>
      <c r="F91" s="1512">
        <f t="shared" si="32"/>
        <v>1800000</v>
      </c>
      <c r="G91" s="2141">
        <v>40330</v>
      </c>
      <c r="H91" s="1511">
        <v>0.18</v>
      </c>
      <c r="I91" s="1508">
        <v>12</v>
      </c>
      <c r="J91" s="1508">
        <v>12</v>
      </c>
      <c r="K91" s="1508">
        <v>833300</v>
      </c>
      <c r="L91" s="1508">
        <v>150000</v>
      </c>
      <c r="M91" s="1510">
        <f t="shared" si="33"/>
        <v>10000000</v>
      </c>
      <c r="N91" s="1510">
        <f t="shared" si="34"/>
        <v>1800000</v>
      </c>
      <c r="O91" s="1509">
        <v>10000000</v>
      </c>
      <c r="P91" s="1509">
        <v>1800000</v>
      </c>
      <c r="Q91" s="1509"/>
      <c r="R91" s="2408"/>
      <c r="S91" s="2408"/>
      <c r="T91" s="1507"/>
      <c r="U91" s="1495">
        <f t="shared" si="35"/>
        <v>10000000</v>
      </c>
      <c r="V91" s="1495">
        <f t="shared" si="36"/>
        <v>1800000</v>
      </c>
      <c r="W91" s="1495">
        <f t="shared" si="37"/>
        <v>0</v>
      </c>
      <c r="X91" s="1495">
        <f t="shared" si="38"/>
        <v>0</v>
      </c>
      <c r="Y91" s="1495">
        <f t="shared" si="39"/>
        <v>100</v>
      </c>
      <c r="Z91" s="1495">
        <f t="shared" si="40"/>
        <v>0</v>
      </c>
      <c r="AA91" s="1506">
        <f t="shared" si="41"/>
        <v>0</v>
      </c>
      <c r="AB91" s="1505"/>
      <c r="AC91" s="1504">
        <f t="shared" si="42"/>
        <v>0</v>
      </c>
      <c r="AD91" s="1503">
        <f t="shared" si="43"/>
        <v>0</v>
      </c>
      <c r="AE91" s="1503">
        <f t="shared" si="44"/>
        <v>0</v>
      </c>
      <c r="AF91" s="1502">
        <f t="shared" si="45"/>
        <v>0</v>
      </c>
    </row>
    <row r="92" spans="1:32" s="1474" customFormat="1" ht="23.25" customHeight="1">
      <c r="A92" s="1515">
        <f t="shared" si="46"/>
        <v>5</v>
      </c>
      <c r="B92" s="1513" t="s">
        <v>1934</v>
      </c>
      <c r="C92" s="1514" t="s">
        <v>1928</v>
      </c>
      <c r="D92" s="1514"/>
      <c r="E92" s="1513">
        <v>8800000</v>
      </c>
      <c r="F92" s="1512">
        <f t="shared" si="32"/>
        <v>1584000</v>
      </c>
      <c r="G92" s="2141">
        <v>40330</v>
      </c>
      <c r="H92" s="1511">
        <v>0.18</v>
      </c>
      <c r="I92" s="1508">
        <v>12</v>
      </c>
      <c r="J92" s="1508">
        <v>12</v>
      </c>
      <c r="K92" s="1508">
        <v>733300</v>
      </c>
      <c r="L92" s="1508">
        <v>132000</v>
      </c>
      <c r="M92" s="1510">
        <f t="shared" si="33"/>
        <v>8800000</v>
      </c>
      <c r="N92" s="1510">
        <f t="shared" si="34"/>
        <v>1584000</v>
      </c>
      <c r="O92" s="1509">
        <v>8800000</v>
      </c>
      <c r="P92" s="1509">
        <v>1584000</v>
      </c>
      <c r="Q92" s="1509"/>
      <c r="R92" s="2408"/>
      <c r="S92" s="2408"/>
      <c r="T92" s="1507"/>
      <c r="U92" s="1495">
        <f t="shared" si="35"/>
        <v>8800000</v>
      </c>
      <c r="V92" s="1495">
        <f t="shared" si="36"/>
        <v>1584000</v>
      </c>
      <c r="W92" s="1495">
        <f t="shared" si="37"/>
        <v>0</v>
      </c>
      <c r="X92" s="1495">
        <f t="shared" si="38"/>
        <v>0</v>
      </c>
      <c r="Y92" s="1495">
        <f t="shared" si="39"/>
        <v>100</v>
      </c>
      <c r="Z92" s="1495">
        <f t="shared" si="40"/>
        <v>0</v>
      </c>
      <c r="AA92" s="1506">
        <f t="shared" si="41"/>
        <v>0</v>
      </c>
      <c r="AB92" s="1505"/>
      <c r="AC92" s="1504">
        <f t="shared" si="42"/>
        <v>0</v>
      </c>
      <c r="AD92" s="1503">
        <f t="shared" si="43"/>
        <v>0</v>
      </c>
      <c r="AE92" s="1503">
        <f t="shared" si="44"/>
        <v>0</v>
      </c>
      <c r="AF92" s="1502">
        <f t="shared" si="45"/>
        <v>0</v>
      </c>
    </row>
    <row r="93" spans="1:32" s="1474" customFormat="1" ht="23.25" customHeight="1">
      <c r="A93" s="1515">
        <f t="shared" si="46"/>
        <v>6</v>
      </c>
      <c r="B93" s="1513" t="s">
        <v>1942</v>
      </c>
      <c r="C93" s="1514" t="s">
        <v>1928</v>
      </c>
      <c r="D93" s="1514"/>
      <c r="E93" s="1513">
        <v>10100000</v>
      </c>
      <c r="F93" s="1512">
        <f t="shared" si="32"/>
        <v>1818000</v>
      </c>
      <c r="G93" s="2141">
        <v>40330</v>
      </c>
      <c r="H93" s="1511">
        <v>0.18</v>
      </c>
      <c r="I93" s="1508">
        <v>12</v>
      </c>
      <c r="J93" s="1508">
        <v>12</v>
      </c>
      <c r="K93" s="1508">
        <v>841700</v>
      </c>
      <c r="L93" s="1508">
        <v>151500</v>
      </c>
      <c r="M93" s="1510">
        <f t="shared" si="33"/>
        <v>10100000</v>
      </c>
      <c r="N93" s="1510">
        <f t="shared" si="34"/>
        <v>1818000</v>
      </c>
      <c r="O93" s="1509">
        <v>10100000</v>
      </c>
      <c r="P93" s="1509">
        <v>1818000</v>
      </c>
      <c r="Q93" s="1509"/>
      <c r="R93" s="2408"/>
      <c r="S93" s="2408"/>
      <c r="T93" s="1507"/>
      <c r="U93" s="1495">
        <f t="shared" si="35"/>
        <v>10100000</v>
      </c>
      <c r="V93" s="1495">
        <f t="shared" si="36"/>
        <v>1818000</v>
      </c>
      <c r="W93" s="1495">
        <f t="shared" si="37"/>
        <v>0</v>
      </c>
      <c r="X93" s="1495">
        <f t="shared" si="38"/>
        <v>0</v>
      </c>
      <c r="Y93" s="1495">
        <f t="shared" si="39"/>
        <v>100</v>
      </c>
      <c r="Z93" s="1495">
        <f t="shared" si="40"/>
        <v>0</v>
      </c>
      <c r="AA93" s="1506">
        <f t="shared" si="41"/>
        <v>0</v>
      </c>
      <c r="AB93" s="1505"/>
      <c r="AC93" s="1504">
        <f t="shared" si="42"/>
        <v>0</v>
      </c>
      <c r="AD93" s="1503">
        <f t="shared" si="43"/>
        <v>0</v>
      </c>
      <c r="AE93" s="1503">
        <f t="shared" si="44"/>
        <v>0</v>
      </c>
      <c r="AF93" s="1502">
        <f t="shared" si="45"/>
        <v>0</v>
      </c>
    </row>
    <row r="94" spans="1:32" s="1474" customFormat="1" ht="23.25" customHeight="1">
      <c r="A94" s="1515">
        <f t="shared" si="46"/>
        <v>7</v>
      </c>
      <c r="B94" s="1513" t="s">
        <v>1912</v>
      </c>
      <c r="C94" s="1514" t="s">
        <v>1928</v>
      </c>
      <c r="D94" s="1514"/>
      <c r="E94" s="1513">
        <v>12400000</v>
      </c>
      <c r="F94" s="1512">
        <f t="shared" si="32"/>
        <v>2232000</v>
      </c>
      <c r="G94" s="2141">
        <v>40330</v>
      </c>
      <c r="H94" s="1511">
        <v>0.18</v>
      </c>
      <c r="I94" s="1508">
        <v>12</v>
      </c>
      <c r="J94" s="1508">
        <v>12</v>
      </c>
      <c r="K94" s="1508">
        <v>1033300</v>
      </c>
      <c r="L94" s="1508">
        <v>186000</v>
      </c>
      <c r="M94" s="1510">
        <f t="shared" si="33"/>
        <v>12400000</v>
      </c>
      <c r="N94" s="1510">
        <f t="shared" si="34"/>
        <v>2232000</v>
      </c>
      <c r="O94" s="1509">
        <v>12400000</v>
      </c>
      <c r="P94" s="1509">
        <v>2232000</v>
      </c>
      <c r="Q94" s="1509"/>
      <c r="R94" s="2408"/>
      <c r="S94" s="2408"/>
      <c r="T94" s="1507"/>
      <c r="U94" s="1495">
        <f t="shared" si="35"/>
        <v>12400000</v>
      </c>
      <c r="V94" s="1495">
        <f t="shared" si="36"/>
        <v>2232000</v>
      </c>
      <c r="W94" s="1495">
        <f t="shared" si="37"/>
        <v>0</v>
      </c>
      <c r="X94" s="1495">
        <f t="shared" si="38"/>
        <v>0</v>
      </c>
      <c r="Y94" s="1495">
        <f t="shared" si="39"/>
        <v>100</v>
      </c>
      <c r="Z94" s="1495">
        <f t="shared" si="40"/>
        <v>0</v>
      </c>
      <c r="AA94" s="1506">
        <f t="shared" si="41"/>
        <v>0</v>
      </c>
      <c r="AB94" s="1505"/>
      <c r="AC94" s="1504">
        <f t="shared" si="42"/>
        <v>0</v>
      </c>
      <c r="AD94" s="1503">
        <f t="shared" si="43"/>
        <v>0</v>
      </c>
      <c r="AE94" s="1503">
        <f t="shared" si="44"/>
        <v>0</v>
      </c>
      <c r="AF94" s="1502">
        <f t="shared" si="45"/>
        <v>0</v>
      </c>
    </row>
    <row r="95" spans="1:32" s="1474" customFormat="1" ht="23.25" customHeight="1">
      <c r="A95" s="1515">
        <f t="shared" si="46"/>
        <v>8</v>
      </c>
      <c r="B95" s="1513" t="s">
        <v>1898</v>
      </c>
      <c r="C95" s="1514" t="s">
        <v>1931</v>
      </c>
      <c r="D95" s="1514"/>
      <c r="E95" s="1513">
        <v>7000000</v>
      </c>
      <c r="F95" s="1512">
        <f t="shared" si="32"/>
        <v>1260000</v>
      </c>
      <c r="G95" s="2141">
        <v>40242</v>
      </c>
      <c r="H95" s="1511">
        <v>0.18</v>
      </c>
      <c r="I95" s="1508">
        <v>12</v>
      </c>
      <c r="J95" s="1508">
        <v>12</v>
      </c>
      <c r="K95" s="1508">
        <v>583300</v>
      </c>
      <c r="L95" s="1508">
        <v>105000</v>
      </c>
      <c r="M95" s="1510">
        <f t="shared" si="33"/>
        <v>7000000</v>
      </c>
      <c r="N95" s="1510">
        <f t="shared" si="34"/>
        <v>1260000</v>
      </c>
      <c r="O95" s="1509">
        <v>7000000</v>
      </c>
      <c r="P95" s="1509">
        <v>1260000</v>
      </c>
      <c r="Q95" s="1509"/>
      <c r="R95" s="2408"/>
      <c r="S95" s="2408"/>
      <c r="T95" s="1507"/>
      <c r="U95" s="1495">
        <f t="shared" si="35"/>
        <v>7000000</v>
      </c>
      <c r="V95" s="1495">
        <f t="shared" si="36"/>
        <v>1260000</v>
      </c>
      <c r="W95" s="1495">
        <f t="shared" si="37"/>
        <v>0</v>
      </c>
      <c r="X95" s="1495">
        <f t="shared" si="38"/>
        <v>0</v>
      </c>
      <c r="Y95" s="1495">
        <f t="shared" si="39"/>
        <v>100</v>
      </c>
      <c r="Z95" s="1495">
        <f t="shared" si="40"/>
        <v>0</v>
      </c>
      <c r="AA95" s="1506">
        <f t="shared" si="41"/>
        <v>0</v>
      </c>
      <c r="AB95" s="1505"/>
      <c r="AC95" s="1504">
        <f t="shared" si="42"/>
        <v>0</v>
      </c>
      <c r="AD95" s="1503">
        <f t="shared" si="43"/>
        <v>0</v>
      </c>
      <c r="AE95" s="1503">
        <f t="shared" si="44"/>
        <v>0</v>
      </c>
      <c r="AF95" s="1502">
        <f t="shared" si="45"/>
        <v>0</v>
      </c>
    </row>
    <row r="96" spans="1:32" s="1474" customFormat="1" ht="23.25" customHeight="1">
      <c r="A96" s="1515">
        <f t="shared" si="46"/>
        <v>9</v>
      </c>
      <c r="B96" s="1513" t="s">
        <v>1975</v>
      </c>
      <c r="C96" s="1514" t="s">
        <v>1931</v>
      </c>
      <c r="D96" s="1514"/>
      <c r="E96" s="1513">
        <v>3500000</v>
      </c>
      <c r="F96" s="1512">
        <f t="shared" si="32"/>
        <v>630000</v>
      </c>
      <c r="G96" s="2141">
        <v>40242</v>
      </c>
      <c r="H96" s="1511">
        <v>0.18</v>
      </c>
      <c r="I96" s="1508">
        <v>12</v>
      </c>
      <c r="J96" s="1508">
        <v>12</v>
      </c>
      <c r="K96" s="1508">
        <v>291700</v>
      </c>
      <c r="L96" s="1508">
        <v>52500</v>
      </c>
      <c r="M96" s="1510">
        <f t="shared" si="33"/>
        <v>3500000</v>
      </c>
      <c r="N96" s="1510">
        <f t="shared" si="34"/>
        <v>630000</v>
      </c>
      <c r="O96" s="1509">
        <v>3500000</v>
      </c>
      <c r="P96" s="1509">
        <v>630000</v>
      </c>
      <c r="Q96" s="1509"/>
      <c r="R96" s="2408"/>
      <c r="S96" s="2408"/>
      <c r="T96" s="1507"/>
      <c r="U96" s="1495">
        <f t="shared" si="35"/>
        <v>3500000</v>
      </c>
      <c r="V96" s="1495">
        <f t="shared" si="36"/>
        <v>630000</v>
      </c>
      <c r="W96" s="1495">
        <f t="shared" si="37"/>
        <v>0</v>
      </c>
      <c r="X96" s="1495">
        <f t="shared" si="38"/>
        <v>0</v>
      </c>
      <c r="Y96" s="1495">
        <f t="shared" si="39"/>
        <v>100</v>
      </c>
      <c r="Z96" s="1495">
        <f t="shared" si="40"/>
        <v>0</v>
      </c>
      <c r="AA96" s="1506">
        <f t="shared" si="41"/>
        <v>0</v>
      </c>
      <c r="AB96" s="1505"/>
      <c r="AC96" s="1504">
        <f t="shared" si="42"/>
        <v>0</v>
      </c>
      <c r="AD96" s="1503">
        <f t="shared" si="43"/>
        <v>0</v>
      </c>
      <c r="AE96" s="1503">
        <f t="shared" si="44"/>
        <v>0</v>
      </c>
      <c r="AF96" s="1502">
        <f t="shared" si="45"/>
        <v>0</v>
      </c>
    </row>
    <row r="97" spans="1:32" s="1474" customFormat="1" ht="23.25" customHeight="1">
      <c r="A97" s="1515">
        <f t="shared" si="46"/>
        <v>10</v>
      </c>
      <c r="B97" s="1513" t="s">
        <v>1976</v>
      </c>
      <c r="C97" s="1514" t="s">
        <v>1931</v>
      </c>
      <c r="D97" s="1514"/>
      <c r="E97" s="1513">
        <v>6000000</v>
      </c>
      <c r="F97" s="1512">
        <f t="shared" si="32"/>
        <v>1080000</v>
      </c>
      <c r="G97" s="2141">
        <v>40242</v>
      </c>
      <c r="H97" s="1511">
        <v>0.18</v>
      </c>
      <c r="I97" s="1508">
        <v>12</v>
      </c>
      <c r="J97" s="1508">
        <v>12</v>
      </c>
      <c r="K97" s="1508">
        <v>500000</v>
      </c>
      <c r="L97" s="1508">
        <v>90000</v>
      </c>
      <c r="M97" s="1510">
        <f t="shared" si="33"/>
        <v>6000000</v>
      </c>
      <c r="N97" s="1510">
        <f t="shared" si="34"/>
        <v>1080000</v>
      </c>
      <c r="O97" s="1509">
        <v>6000000</v>
      </c>
      <c r="P97" s="1509">
        <v>1080000</v>
      </c>
      <c r="Q97" s="1509"/>
      <c r="R97" s="2408"/>
      <c r="S97" s="2408"/>
      <c r="T97" s="1507"/>
      <c r="U97" s="1495">
        <f t="shared" si="35"/>
        <v>6000000</v>
      </c>
      <c r="V97" s="1495">
        <f t="shared" si="36"/>
        <v>1080000</v>
      </c>
      <c r="W97" s="1495">
        <f t="shared" si="37"/>
        <v>0</v>
      </c>
      <c r="X97" s="1495">
        <f t="shared" si="38"/>
        <v>0</v>
      </c>
      <c r="Y97" s="1495">
        <f t="shared" si="39"/>
        <v>100</v>
      </c>
      <c r="Z97" s="1495">
        <f t="shared" si="40"/>
        <v>0</v>
      </c>
      <c r="AA97" s="1506">
        <f t="shared" si="41"/>
        <v>0</v>
      </c>
      <c r="AB97" s="1505"/>
      <c r="AC97" s="1504">
        <f t="shared" si="42"/>
        <v>0</v>
      </c>
      <c r="AD97" s="1503">
        <f t="shared" si="43"/>
        <v>0</v>
      </c>
      <c r="AE97" s="1503">
        <f t="shared" si="44"/>
        <v>0</v>
      </c>
      <c r="AF97" s="1502">
        <f t="shared" si="45"/>
        <v>0</v>
      </c>
    </row>
    <row r="98" spans="1:32" s="1474" customFormat="1" ht="23.25" customHeight="1">
      <c r="A98" s="1515">
        <f t="shared" si="46"/>
        <v>11</v>
      </c>
      <c r="B98" s="1513" t="s">
        <v>1977</v>
      </c>
      <c r="C98" s="1514" t="s">
        <v>1931</v>
      </c>
      <c r="D98" s="1514"/>
      <c r="E98" s="1513">
        <v>7000000</v>
      </c>
      <c r="F98" s="1512">
        <f t="shared" si="32"/>
        <v>1260000</v>
      </c>
      <c r="G98" s="2141">
        <v>40242</v>
      </c>
      <c r="H98" s="1511">
        <v>0.18</v>
      </c>
      <c r="I98" s="1508">
        <v>12</v>
      </c>
      <c r="J98" s="1508">
        <v>12</v>
      </c>
      <c r="K98" s="1508">
        <v>583300</v>
      </c>
      <c r="L98" s="1508">
        <v>105000</v>
      </c>
      <c r="M98" s="1510">
        <f t="shared" si="33"/>
        <v>7000000</v>
      </c>
      <c r="N98" s="1510">
        <f t="shared" si="34"/>
        <v>1260000</v>
      </c>
      <c r="O98" s="1509">
        <v>7000000</v>
      </c>
      <c r="P98" s="1509">
        <v>1260000</v>
      </c>
      <c r="Q98" s="1509"/>
      <c r="R98" s="2408"/>
      <c r="S98" s="2408"/>
      <c r="T98" s="1507"/>
      <c r="U98" s="1495">
        <f t="shared" si="35"/>
        <v>7000000</v>
      </c>
      <c r="V98" s="1495">
        <f t="shared" si="36"/>
        <v>1260000</v>
      </c>
      <c r="W98" s="1495">
        <f t="shared" si="37"/>
        <v>0</v>
      </c>
      <c r="X98" s="1495">
        <f t="shared" si="38"/>
        <v>0</v>
      </c>
      <c r="Y98" s="1495">
        <f t="shared" si="39"/>
        <v>100</v>
      </c>
      <c r="Z98" s="1495">
        <f t="shared" si="40"/>
        <v>0</v>
      </c>
      <c r="AA98" s="1506">
        <f t="shared" si="41"/>
        <v>0</v>
      </c>
      <c r="AB98" s="1505"/>
      <c r="AC98" s="1504">
        <f t="shared" si="42"/>
        <v>0</v>
      </c>
      <c r="AD98" s="1503">
        <f t="shared" si="43"/>
        <v>0</v>
      </c>
      <c r="AE98" s="1503">
        <f t="shared" si="44"/>
        <v>0</v>
      </c>
      <c r="AF98" s="1502">
        <f t="shared" si="45"/>
        <v>0</v>
      </c>
    </row>
    <row r="99" spans="1:32" s="1474" customFormat="1" ht="23.25" customHeight="1">
      <c r="A99" s="1515">
        <f t="shared" si="46"/>
        <v>12</v>
      </c>
      <c r="B99" s="1513" t="s">
        <v>1978</v>
      </c>
      <c r="C99" s="1514" t="s">
        <v>1932</v>
      </c>
      <c r="D99" s="1514"/>
      <c r="E99" s="1513">
        <v>9500000</v>
      </c>
      <c r="F99" s="1512">
        <f t="shared" si="32"/>
        <v>1710000</v>
      </c>
      <c r="G99" s="2141">
        <v>40338</v>
      </c>
      <c r="H99" s="1511">
        <v>0.18</v>
      </c>
      <c r="I99" s="1508">
        <v>12</v>
      </c>
      <c r="J99" s="1508">
        <v>12</v>
      </c>
      <c r="K99" s="1508">
        <v>791700</v>
      </c>
      <c r="L99" s="1508">
        <v>142500</v>
      </c>
      <c r="M99" s="1510">
        <f t="shared" si="33"/>
        <v>9500000</v>
      </c>
      <c r="N99" s="1510">
        <f t="shared" si="34"/>
        <v>1710000</v>
      </c>
      <c r="O99" s="1509">
        <v>9500000</v>
      </c>
      <c r="P99" s="1509">
        <v>1710000</v>
      </c>
      <c r="Q99" s="1509"/>
      <c r="R99" s="2408"/>
      <c r="S99" s="2408"/>
      <c r="T99" s="1507"/>
      <c r="U99" s="1495">
        <f t="shared" si="35"/>
        <v>9500000</v>
      </c>
      <c r="V99" s="1495">
        <f t="shared" si="36"/>
        <v>1710000</v>
      </c>
      <c r="W99" s="1495">
        <f t="shared" si="37"/>
        <v>0</v>
      </c>
      <c r="X99" s="1495">
        <f t="shared" si="38"/>
        <v>0</v>
      </c>
      <c r="Y99" s="1495">
        <f t="shared" si="39"/>
        <v>100</v>
      </c>
      <c r="Z99" s="1495">
        <f t="shared" si="40"/>
        <v>0</v>
      </c>
      <c r="AA99" s="1506">
        <f t="shared" si="41"/>
        <v>0</v>
      </c>
      <c r="AB99" s="1505"/>
      <c r="AC99" s="1504">
        <f t="shared" si="42"/>
        <v>0</v>
      </c>
      <c r="AD99" s="1503">
        <f t="shared" si="43"/>
        <v>0</v>
      </c>
      <c r="AE99" s="1503">
        <f t="shared" si="44"/>
        <v>0</v>
      </c>
      <c r="AF99" s="1502">
        <f t="shared" si="45"/>
        <v>0</v>
      </c>
    </row>
    <row r="100" spans="1:32" s="1474" customFormat="1" ht="23.25" customHeight="1">
      <c r="A100" s="1515">
        <f t="shared" si="46"/>
        <v>13</v>
      </c>
      <c r="B100" s="1513" t="s">
        <v>1974</v>
      </c>
      <c r="C100" s="1514" t="s">
        <v>1932</v>
      </c>
      <c r="D100" s="1514"/>
      <c r="E100" s="1513">
        <v>12000000</v>
      </c>
      <c r="F100" s="1512">
        <f t="shared" si="32"/>
        <v>2160000</v>
      </c>
      <c r="G100" s="2141">
        <v>40338</v>
      </c>
      <c r="H100" s="1511">
        <v>0.18</v>
      </c>
      <c r="I100" s="1508">
        <v>12</v>
      </c>
      <c r="J100" s="1508">
        <v>12</v>
      </c>
      <c r="K100" s="1508">
        <v>1000000</v>
      </c>
      <c r="L100" s="1508">
        <v>180000</v>
      </c>
      <c r="M100" s="1510">
        <f t="shared" si="33"/>
        <v>12000000</v>
      </c>
      <c r="N100" s="1510">
        <f t="shared" si="34"/>
        <v>2160000</v>
      </c>
      <c r="O100" s="1509">
        <v>12000000</v>
      </c>
      <c r="P100" s="1509">
        <v>2160000</v>
      </c>
      <c r="Q100" s="1509"/>
      <c r="R100" s="2408"/>
      <c r="S100" s="2408"/>
      <c r="T100" s="1507"/>
      <c r="U100" s="1495">
        <f t="shared" si="35"/>
        <v>12000000</v>
      </c>
      <c r="V100" s="1495">
        <f t="shared" si="36"/>
        <v>2160000</v>
      </c>
      <c r="W100" s="1495">
        <f t="shared" si="37"/>
        <v>0</v>
      </c>
      <c r="X100" s="1495">
        <f t="shared" si="38"/>
        <v>0</v>
      </c>
      <c r="Y100" s="1495">
        <f t="shared" si="39"/>
        <v>100</v>
      </c>
      <c r="Z100" s="1495">
        <f t="shared" si="40"/>
        <v>0</v>
      </c>
      <c r="AA100" s="1506">
        <f t="shared" si="41"/>
        <v>0</v>
      </c>
      <c r="AB100" s="1505"/>
      <c r="AC100" s="1504">
        <f t="shared" si="42"/>
        <v>0</v>
      </c>
      <c r="AD100" s="1503">
        <f t="shared" si="43"/>
        <v>0</v>
      </c>
      <c r="AE100" s="1503">
        <f t="shared" si="44"/>
        <v>0</v>
      </c>
      <c r="AF100" s="1502">
        <f t="shared" si="45"/>
        <v>0</v>
      </c>
    </row>
    <row r="101" spans="1:32" s="1474" customFormat="1" ht="23.25" customHeight="1">
      <c r="A101" s="1515">
        <f t="shared" si="46"/>
        <v>14</v>
      </c>
      <c r="B101" s="1513" t="s">
        <v>1973</v>
      </c>
      <c r="C101" s="1514" t="s">
        <v>1932</v>
      </c>
      <c r="D101" s="1514"/>
      <c r="E101" s="1513">
        <v>10000000</v>
      </c>
      <c r="F101" s="1512">
        <f t="shared" si="32"/>
        <v>1800000</v>
      </c>
      <c r="G101" s="2141">
        <v>40338</v>
      </c>
      <c r="H101" s="1511">
        <v>0.18</v>
      </c>
      <c r="I101" s="1508">
        <v>12</v>
      </c>
      <c r="J101" s="1508">
        <v>12</v>
      </c>
      <c r="K101" s="1508">
        <v>833300</v>
      </c>
      <c r="L101" s="1508">
        <v>150000</v>
      </c>
      <c r="M101" s="1510">
        <f t="shared" si="33"/>
        <v>10000000</v>
      </c>
      <c r="N101" s="1510">
        <f t="shared" si="34"/>
        <v>1800000</v>
      </c>
      <c r="O101" s="1509">
        <v>10000000</v>
      </c>
      <c r="P101" s="1509">
        <v>1800000</v>
      </c>
      <c r="Q101" s="1509"/>
      <c r="R101" s="2408"/>
      <c r="S101" s="2408"/>
      <c r="T101" s="1507"/>
      <c r="U101" s="1495">
        <f t="shared" si="35"/>
        <v>10000000</v>
      </c>
      <c r="V101" s="1495">
        <f t="shared" si="36"/>
        <v>1800000</v>
      </c>
      <c r="W101" s="1495">
        <f t="shared" si="37"/>
        <v>0</v>
      </c>
      <c r="X101" s="1495">
        <f t="shared" si="38"/>
        <v>0</v>
      </c>
      <c r="Y101" s="1495">
        <f t="shared" si="39"/>
        <v>100</v>
      </c>
      <c r="Z101" s="1495">
        <f t="shared" si="40"/>
        <v>0</v>
      </c>
      <c r="AA101" s="1506">
        <f t="shared" si="41"/>
        <v>0</v>
      </c>
      <c r="AB101" s="1505"/>
      <c r="AC101" s="1504">
        <f t="shared" si="42"/>
        <v>0</v>
      </c>
      <c r="AD101" s="1503">
        <f t="shared" si="43"/>
        <v>0</v>
      </c>
      <c r="AE101" s="1503">
        <f t="shared" si="44"/>
        <v>0</v>
      </c>
      <c r="AF101" s="1502">
        <f t="shared" si="45"/>
        <v>0</v>
      </c>
    </row>
    <row r="102" spans="1:32" s="1474" customFormat="1" ht="23.25" customHeight="1">
      <c r="A102" s="1515">
        <f t="shared" si="46"/>
        <v>15</v>
      </c>
      <c r="B102" s="1513" t="s">
        <v>1949</v>
      </c>
      <c r="C102" s="1514" t="s">
        <v>1935</v>
      </c>
      <c r="D102" s="1514"/>
      <c r="E102" s="1513">
        <v>20000000</v>
      </c>
      <c r="F102" s="1512">
        <f t="shared" si="32"/>
        <v>3600000</v>
      </c>
      <c r="G102" s="2141">
        <v>40497</v>
      </c>
      <c r="H102" s="1511">
        <v>0.18</v>
      </c>
      <c r="I102" s="1508">
        <v>12</v>
      </c>
      <c r="J102" s="1508">
        <v>12</v>
      </c>
      <c r="K102" s="1508">
        <v>1666700</v>
      </c>
      <c r="L102" s="1508">
        <v>300000</v>
      </c>
      <c r="M102" s="1510">
        <f t="shared" si="33"/>
        <v>20000000</v>
      </c>
      <c r="N102" s="1510">
        <f t="shared" si="34"/>
        <v>3600000</v>
      </c>
      <c r="O102" s="1509">
        <v>20000000</v>
      </c>
      <c r="P102" s="1509">
        <v>3600000</v>
      </c>
      <c r="Q102" s="1509"/>
      <c r="R102" s="2408"/>
      <c r="S102" s="2408"/>
      <c r="T102" s="1507"/>
      <c r="U102" s="1495">
        <f t="shared" si="35"/>
        <v>20000000</v>
      </c>
      <c r="V102" s="1495">
        <f t="shared" si="36"/>
        <v>3600000</v>
      </c>
      <c r="W102" s="1495">
        <f t="shared" si="37"/>
        <v>0</v>
      </c>
      <c r="X102" s="1495">
        <f t="shared" si="38"/>
        <v>0</v>
      </c>
      <c r="Y102" s="1495">
        <f t="shared" si="39"/>
        <v>100</v>
      </c>
      <c r="Z102" s="1495">
        <f t="shared" si="40"/>
        <v>0</v>
      </c>
      <c r="AA102" s="1506">
        <f t="shared" si="41"/>
        <v>0</v>
      </c>
      <c r="AB102" s="1505"/>
      <c r="AC102" s="1504">
        <f t="shared" si="42"/>
        <v>0</v>
      </c>
      <c r="AD102" s="1503">
        <f t="shared" si="43"/>
        <v>0</v>
      </c>
      <c r="AE102" s="1503">
        <f t="shared" si="44"/>
        <v>0</v>
      </c>
      <c r="AF102" s="1502">
        <f t="shared" si="45"/>
        <v>0</v>
      </c>
    </row>
    <row r="103" spans="1:32" s="1474" customFormat="1" ht="23.25" customHeight="1">
      <c r="A103" s="1515">
        <f t="shared" si="46"/>
        <v>16</v>
      </c>
      <c r="B103" s="1513" t="s">
        <v>1950</v>
      </c>
      <c r="C103" s="1514" t="s">
        <v>1935</v>
      </c>
      <c r="D103" s="1514"/>
      <c r="E103" s="1513">
        <v>9000000</v>
      </c>
      <c r="F103" s="1512">
        <f t="shared" si="32"/>
        <v>1620000</v>
      </c>
      <c r="G103" s="2141">
        <v>40497</v>
      </c>
      <c r="H103" s="1511">
        <v>0.18</v>
      </c>
      <c r="I103" s="1508">
        <v>12</v>
      </c>
      <c r="J103" s="1508">
        <v>12</v>
      </c>
      <c r="K103" s="1508">
        <v>750000</v>
      </c>
      <c r="L103" s="1508">
        <v>135000</v>
      </c>
      <c r="M103" s="1510">
        <f t="shared" si="33"/>
        <v>9000000</v>
      </c>
      <c r="N103" s="1510">
        <f t="shared" si="34"/>
        <v>1620000</v>
      </c>
      <c r="O103" s="1509">
        <v>9000000</v>
      </c>
      <c r="P103" s="1509">
        <v>1620000</v>
      </c>
      <c r="Q103" s="1509"/>
      <c r="R103" s="2408"/>
      <c r="S103" s="2408"/>
      <c r="T103" s="1507"/>
      <c r="U103" s="1495">
        <f t="shared" si="35"/>
        <v>9000000</v>
      </c>
      <c r="V103" s="1495">
        <f t="shared" si="36"/>
        <v>1620000</v>
      </c>
      <c r="W103" s="1495">
        <f t="shared" si="37"/>
        <v>0</v>
      </c>
      <c r="X103" s="1495">
        <f t="shared" si="38"/>
        <v>0</v>
      </c>
      <c r="Y103" s="1495">
        <f t="shared" si="39"/>
        <v>100</v>
      </c>
      <c r="Z103" s="1495">
        <f t="shared" si="40"/>
        <v>0</v>
      </c>
      <c r="AA103" s="1506">
        <f t="shared" si="41"/>
        <v>0</v>
      </c>
      <c r="AB103" s="1505"/>
      <c r="AC103" s="1504">
        <f t="shared" si="42"/>
        <v>0</v>
      </c>
      <c r="AD103" s="1503">
        <f t="shared" si="43"/>
        <v>0</v>
      </c>
      <c r="AE103" s="1503">
        <f t="shared" si="44"/>
        <v>0</v>
      </c>
      <c r="AF103" s="1502">
        <f t="shared" si="45"/>
        <v>0</v>
      </c>
    </row>
    <row r="104" spans="1:32" s="1474" customFormat="1" ht="23.25" customHeight="1">
      <c r="A104" s="1515">
        <f t="shared" si="46"/>
        <v>17</v>
      </c>
      <c r="B104" s="1513" t="s">
        <v>1954</v>
      </c>
      <c r="C104" s="1514" t="s">
        <v>1935</v>
      </c>
      <c r="D104" s="1514"/>
      <c r="E104" s="1513">
        <v>10000000</v>
      </c>
      <c r="F104" s="1512">
        <f t="shared" si="32"/>
        <v>1800000</v>
      </c>
      <c r="G104" s="2141">
        <v>40497</v>
      </c>
      <c r="H104" s="1511">
        <v>0.18</v>
      </c>
      <c r="I104" s="1508">
        <v>12</v>
      </c>
      <c r="J104" s="2404">
        <v>12</v>
      </c>
      <c r="K104" s="1508">
        <v>833300</v>
      </c>
      <c r="L104" s="1508">
        <v>150000</v>
      </c>
      <c r="M104" s="1510">
        <f t="shared" si="33"/>
        <v>10000000</v>
      </c>
      <c r="N104" s="2401">
        <f>IF(J104&lt;I104,J104*L104,IF(J104&gt;=I104,F104))-150000</f>
        <v>1650000</v>
      </c>
      <c r="O104" s="1509">
        <v>10000000</v>
      </c>
      <c r="P104" s="1509">
        <v>1650000</v>
      </c>
      <c r="Q104" s="1509"/>
      <c r="R104" s="2408"/>
      <c r="S104" s="2408"/>
      <c r="T104" s="1507"/>
      <c r="U104" s="1495">
        <f t="shared" si="35"/>
        <v>10000000</v>
      </c>
      <c r="V104" s="1495">
        <f t="shared" si="36"/>
        <v>1650000</v>
      </c>
      <c r="W104" s="1495">
        <f t="shared" si="37"/>
        <v>0</v>
      </c>
      <c r="X104" s="1495">
        <f t="shared" si="38"/>
        <v>0</v>
      </c>
      <c r="Y104" s="1495">
        <f t="shared" si="39"/>
        <v>100</v>
      </c>
      <c r="Z104" s="1495">
        <f t="shared" si="40"/>
        <v>0</v>
      </c>
      <c r="AA104" s="1506">
        <f t="shared" si="41"/>
        <v>0</v>
      </c>
      <c r="AB104" s="1505"/>
      <c r="AC104" s="1504">
        <f t="shared" si="42"/>
        <v>0</v>
      </c>
      <c r="AD104" s="1503">
        <f t="shared" si="43"/>
        <v>0</v>
      </c>
      <c r="AE104" s="1503">
        <f t="shared" si="44"/>
        <v>0</v>
      </c>
      <c r="AF104" s="1502">
        <f t="shared" si="45"/>
        <v>0</v>
      </c>
    </row>
    <row r="105" spans="1:32" s="1474" customFormat="1" ht="23.25" customHeight="1">
      <c r="A105" s="1515">
        <f t="shared" si="46"/>
        <v>18</v>
      </c>
      <c r="B105" s="1513" t="s">
        <v>1956</v>
      </c>
      <c r="C105" s="1514" t="s">
        <v>1935</v>
      </c>
      <c r="D105" s="1514"/>
      <c r="E105" s="1513">
        <v>13500000</v>
      </c>
      <c r="F105" s="1512">
        <f t="shared" si="32"/>
        <v>2430000</v>
      </c>
      <c r="G105" s="2141">
        <v>40497</v>
      </c>
      <c r="H105" s="1511">
        <v>0.18</v>
      </c>
      <c r="I105" s="1508">
        <v>12</v>
      </c>
      <c r="J105" s="1508">
        <v>12</v>
      </c>
      <c r="K105" s="1508">
        <v>1125000</v>
      </c>
      <c r="L105" s="1508">
        <v>202500</v>
      </c>
      <c r="M105" s="1510">
        <f t="shared" si="33"/>
        <v>13500000</v>
      </c>
      <c r="N105" s="1510">
        <f t="shared" si="34"/>
        <v>2430000</v>
      </c>
      <c r="O105" s="1509">
        <v>13500000</v>
      </c>
      <c r="P105" s="1509">
        <v>2430000</v>
      </c>
      <c r="Q105" s="1509"/>
      <c r="R105" s="2408"/>
      <c r="S105" s="2408"/>
      <c r="T105" s="1507"/>
      <c r="U105" s="1495">
        <f t="shared" si="35"/>
        <v>13500000</v>
      </c>
      <c r="V105" s="1495">
        <f t="shared" si="36"/>
        <v>2430000</v>
      </c>
      <c r="W105" s="1495">
        <f t="shared" si="37"/>
        <v>0</v>
      </c>
      <c r="X105" s="1495">
        <f t="shared" si="38"/>
        <v>0</v>
      </c>
      <c r="Y105" s="1495">
        <f t="shared" si="39"/>
        <v>100</v>
      </c>
      <c r="Z105" s="1495">
        <f t="shared" si="40"/>
        <v>0</v>
      </c>
      <c r="AA105" s="1506">
        <f t="shared" si="41"/>
        <v>0</v>
      </c>
      <c r="AB105" s="1505"/>
      <c r="AC105" s="1504">
        <f t="shared" si="42"/>
        <v>0</v>
      </c>
      <c r="AD105" s="1503">
        <f t="shared" si="43"/>
        <v>0</v>
      </c>
      <c r="AE105" s="1503">
        <f t="shared" si="44"/>
        <v>0</v>
      </c>
      <c r="AF105" s="1502">
        <f t="shared" si="45"/>
        <v>0</v>
      </c>
    </row>
    <row r="106" spans="1:32" s="1474" customFormat="1" ht="23.25" customHeight="1">
      <c r="A106" s="1515">
        <f t="shared" si="46"/>
        <v>19</v>
      </c>
      <c r="B106" s="1513" t="s">
        <v>1955</v>
      </c>
      <c r="C106" s="1514" t="s">
        <v>1935</v>
      </c>
      <c r="D106" s="1514"/>
      <c r="E106" s="1513">
        <v>15000000</v>
      </c>
      <c r="F106" s="1512">
        <f t="shared" si="32"/>
        <v>2700000</v>
      </c>
      <c r="G106" s="2141">
        <v>40506</v>
      </c>
      <c r="H106" s="1511">
        <v>0.18</v>
      </c>
      <c r="I106" s="1508">
        <v>12</v>
      </c>
      <c r="J106" s="1508">
        <v>12</v>
      </c>
      <c r="K106" s="1508">
        <v>1250000</v>
      </c>
      <c r="L106" s="1508">
        <v>225000</v>
      </c>
      <c r="M106" s="1510">
        <f t="shared" si="33"/>
        <v>15000000</v>
      </c>
      <c r="N106" s="1510">
        <f t="shared" si="34"/>
        <v>2700000</v>
      </c>
      <c r="O106" s="1509">
        <v>15000000</v>
      </c>
      <c r="P106" s="1509">
        <v>2700000</v>
      </c>
      <c r="Q106" s="1509"/>
      <c r="R106" s="2408"/>
      <c r="S106" s="2408"/>
      <c r="T106" s="1507"/>
      <c r="U106" s="1495">
        <f t="shared" si="35"/>
        <v>15000000</v>
      </c>
      <c r="V106" s="1495">
        <f t="shared" si="36"/>
        <v>2700000</v>
      </c>
      <c r="W106" s="1495">
        <f t="shared" si="37"/>
        <v>0</v>
      </c>
      <c r="X106" s="1495">
        <f t="shared" si="38"/>
        <v>0</v>
      </c>
      <c r="Y106" s="1495">
        <f t="shared" si="39"/>
        <v>100</v>
      </c>
      <c r="Z106" s="1495">
        <f t="shared" si="40"/>
        <v>0</v>
      </c>
      <c r="AA106" s="1506">
        <f t="shared" si="41"/>
        <v>0</v>
      </c>
      <c r="AB106" s="1505"/>
      <c r="AC106" s="1504">
        <f t="shared" si="42"/>
        <v>0</v>
      </c>
      <c r="AD106" s="1503">
        <f t="shared" si="43"/>
        <v>0</v>
      </c>
      <c r="AE106" s="1503">
        <f t="shared" si="44"/>
        <v>0</v>
      </c>
      <c r="AF106" s="1502">
        <f t="shared" si="45"/>
        <v>0</v>
      </c>
    </row>
    <row r="107" spans="1:32" s="1474" customFormat="1" ht="23.25" customHeight="1">
      <c r="A107" s="1515">
        <f t="shared" si="46"/>
        <v>20</v>
      </c>
      <c r="B107" s="1513" t="s">
        <v>1953</v>
      </c>
      <c r="C107" s="1514" t="s">
        <v>1935</v>
      </c>
      <c r="D107" s="1514"/>
      <c r="E107" s="1513">
        <v>17000000</v>
      </c>
      <c r="F107" s="1512">
        <f t="shared" si="32"/>
        <v>3060000</v>
      </c>
      <c r="G107" s="2141">
        <v>40506</v>
      </c>
      <c r="H107" s="1511">
        <v>0.18</v>
      </c>
      <c r="I107" s="1508">
        <v>12</v>
      </c>
      <c r="J107" s="1508">
        <v>12</v>
      </c>
      <c r="K107" s="1508">
        <v>1416700</v>
      </c>
      <c r="L107" s="1508">
        <v>255000</v>
      </c>
      <c r="M107" s="1510">
        <f t="shared" si="33"/>
        <v>17000000</v>
      </c>
      <c r="N107" s="1510">
        <f t="shared" si="34"/>
        <v>3060000</v>
      </c>
      <c r="O107" s="1509">
        <v>17000000</v>
      </c>
      <c r="P107" s="1509">
        <v>3060000</v>
      </c>
      <c r="Q107" s="1509"/>
      <c r="R107" s="2408"/>
      <c r="S107" s="2408"/>
      <c r="T107" s="1507"/>
      <c r="U107" s="1495">
        <f t="shared" si="35"/>
        <v>17000000</v>
      </c>
      <c r="V107" s="1495">
        <f t="shared" si="36"/>
        <v>3060000</v>
      </c>
      <c r="W107" s="1495">
        <f t="shared" si="37"/>
        <v>0</v>
      </c>
      <c r="X107" s="1495">
        <f t="shared" si="38"/>
        <v>0</v>
      </c>
      <c r="Y107" s="1495">
        <f t="shared" si="39"/>
        <v>100</v>
      </c>
      <c r="Z107" s="1495">
        <f t="shared" si="40"/>
        <v>0</v>
      </c>
      <c r="AA107" s="1506">
        <f t="shared" si="41"/>
        <v>0</v>
      </c>
      <c r="AB107" s="1505"/>
      <c r="AC107" s="1504">
        <f t="shared" si="42"/>
        <v>0</v>
      </c>
      <c r="AD107" s="1503">
        <f t="shared" si="43"/>
        <v>0</v>
      </c>
      <c r="AE107" s="1503">
        <f t="shared" si="44"/>
        <v>0</v>
      </c>
      <c r="AF107" s="1502">
        <f t="shared" si="45"/>
        <v>0</v>
      </c>
    </row>
    <row r="108" spans="1:32" s="1474" customFormat="1" ht="23.25" customHeight="1">
      <c r="A108" s="1515">
        <f t="shared" si="46"/>
        <v>21</v>
      </c>
      <c r="B108" s="1513" t="s">
        <v>1952</v>
      </c>
      <c r="C108" s="1514" t="s">
        <v>1935</v>
      </c>
      <c r="D108" s="1514"/>
      <c r="E108" s="1513">
        <v>20000000</v>
      </c>
      <c r="F108" s="1512">
        <f t="shared" si="32"/>
        <v>3600000</v>
      </c>
      <c r="G108" s="2141">
        <v>40507</v>
      </c>
      <c r="H108" s="1511">
        <v>0.18</v>
      </c>
      <c r="I108" s="1508">
        <v>12</v>
      </c>
      <c r="J108" s="1508">
        <v>12</v>
      </c>
      <c r="K108" s="1508">
        <v>1666700</v>
      </c>
      <c r="L108" s="1508">
        <v>300000</v>
      </c>
      <c r="M108" s="1510">
        <f t="shared" si="33"/>
        <v>20000000</v>
      </c>
      <c r="N108" s="1510">
        <f t="shared" si="34"/>
        <v>3600000</v>
      </c>
      <c r="O108" s="1509">
        <v>20000000</v>
      </c>
      <c r="P108" s="1509">
        <v>3600000</v>
      </c>
      <c r="Q108" s="1509"/>
      <c r="R108" s="2408"/>
      <c r="S108" s="2408"/>
      <c r="T108" s="1507"/>
      <c r="U108" s="1495">
        <f t="shared" si="35"/>
        <v>20000000</v>
      </c>
      <c r="V108" s="1495">
        <f t="shared" si="36"/>
        <v>3600000</v>
      </c>
      <c r="W108" s="1495">
        <f t="shared" si="37"/>
        <v>0</v>
      </c>
      <c r="X108" s="1495">
        <f t="shared" si="38"/>
        <v>0</v>
      </c>
      <c r="Y108" s="1495">
        <f t="shared" si="39"/>
        <v>100</v>
      </c>
      <c r="Z108" s="1495">
        <f t="shared" si="40"/>
        <v>0</v>
      </c>
      <c r="AA108" s="1506">
        <f t="shared" si="41"/>
        <v>0</v>
      </c>
      <c r="AB108" s="1505"/>
      <c r="AC108" s="1504">
        <f t="shared" si="42"/>
        <v>0</v>
      </c>
      <c r="AD108" s="1503">
        <f t="shared" si="43"/>
        <v>0</v>
      </c>
      <c r="AE108" s="1503">
        <f t="shared" si="44"/>
        <v>0</v>
      </c>
      <c r="AF108" s="1502">
        <f t="shared" si="45"/>
        <v>0</v>
      </c>
    </row>
    <row r="109" spans="1:32" s="1474" customFormat="1" ht="23.25" customHeight="1">
      <c r="A109" s="1515">
        <f t="shared" si="46"/>
        <v>22</v>
      </c>
      <c r="B109" s="1513" t="s">
        <v>1944</v>
      </c>
      <c r="C109" s="1514" t="s">
        <v>1935</v>
      </c>
      <c r="D109" s="1514"/>
      <c r="E109" s="1513">
        <v>15000000</v>
      </c>
      <c r="F109" s="1512">
        <f t="shared" si="32"/>
        <v>2700000</v>
      </c>
      <c r="G109" s="2141">
        <v>40497</v>
      </c>
      <c r="H109" s="1511">
        <v>0.18</v>
      </c>
      <c r="I109" s="1508">
        <v>12</v>
      </c>
      <c r="J109" s="1508">
        <v>12</v>
      </c>
      <c r="K109" s="1508">
        <v>1250000</v>
      </c>
      <c r="L109" s="1508">
        <v>225000</v>
      </c>
      <c r="M109" s="1510">
        <f t="shared" si="33"/>
        <v>15000000</v>
      </c>
      <c r="N109" s="1510">
        <f t="shared" si="34"/>
        <v>2700000</v>
      </c>
      <c r="O109" s="1509">
        <v>15000000</v>
      </c>
      <c r="P109" s="1509">
        <v>2700000</v>
      </c>
      <c r="Q109" s="1509"/>
      <c r="R109" s="2408"/>
      <c r="S109" s="2408"/>
      <c r="T109" s="1507"/>
      <c r="U109" s="1495">
        <f t="shared" si="35"/>
        <v>15000000</v>
      </c>
      <c r="V109" s="1495">
        <f t="shared" si="36"/>
        <v>2700000</v>
      </c>
      <c r="W109" s="1495">
        <f t="shared" si="37"/>
        <v>0</v>
      </c>
      <c r="X109" s="1495">
        <f t="shared" si="38"/>
        <v>0</v>
      </c>
      <c r="Y109" s="1495">
        <f t="shared" si="39"/>
        <v>100</v>
      </c>
      <c r="Z109" s="1495">
        <f t="shared" si="40"/>
        <v>0</v>
      </c>
      <c r="AA109" s="1506">
        <f t="shared" si="41"/>
        <v>0</v>
      </c>
      <c r="AB109" s="1505"/>
      <c r="AC109" s="1504">
        <f t="shared" si="42"/>
        <v>0</v>
      </c>
      <c r="AD109" s="1503">
        <f t="shared" si="43"/>
        <v>0</v>
      </c>
      <c r="AE109" s="1503">
        <f t="shared" si="44"/>
        <v>0</v>
      </c>
      <c r="AF109" s="1502">
        <f t="shared" si="45"/>
        <v>0</v>
      </c>
    </row>
    <row r="110" spans="1:32" s="1474" customFormat="1" ht="23.25" customHeight="1">
      <c r="A110" s="1515">
        <f t="shared" si="46"/>
        <v>23</v>
      </c>
      <c r="B110" s="1513" t="s">
        <v>1979</v>
      </c>
      <c r="C110" s="1514" t="s">
        <v>1935</v>
      </c>
      <c r="D110" s="1514"/>
      <c r="E110" s="1513">
        <v>15000000</v>
      </c>
      <c r="F110" s="1512">
        <f t="shared" si="32"/>
        <v>2700000</v>
      </c>
      <c r="G110" s="2141">
        <v>40521</v>
      </c>
      <c r="H110" s="1511">
        <v>0.18</v>
      </c>
      <c r="I110" s="1508">
        <v>12</v>
      </c>
      <c r="J110" s="1508">
        <v>12</v>
      </c>
      <c r="K110" s="1508">
        <v>1250000</v>
      </c>
      <c r="L110" s="1508">
        <v>225000</v>
      </c>
      <c r="M110" s="1510">
        <f t="shared" si="33"/>
        <v>15000000</v>
      </c>
      <c r="N110" s="1510">
        <f t="shared" si="34"/>
        <v>2700000</v>
      </c>
      <c r="O110" s="1509">
        <v>15000000</v>
      </c>
      <c r="P110" s="1509">
        <v>2700000</v>
      </c>
      <c r="Q110" s="1509"/>
      <c r="R110" s="2408"/>
      <c r="S110" s="2408"/>
      <c r="T110" s="1507"/>
      <c r="U110" s="1495">
        <f t="shared" si="35"/>
        <v>15000000</v>
      </c>
      <c r="V110" s="1495">
        <f t="shared" si="36"/>
        <v>2700000</v>
      </c>
      <c r="W110" s="1495">
        <f t="shared" si="37"/>
        <v>0</v>
      </c>
      <c r="X110" s="1495">
        <f t="shared" si="38"/>
        <v>0</v>
      </c>
      <c r="Y110" s="1495">
        <f t="shared" si="39"/>
        <v>100</v>
      </c>
      <c r="Z110" s="1495">
        <f t="shared" si="40"/>
        <v>0</v>
      </c>
      <c r="AA110" s="1506">
        <f t="shared" si="41"/>
        <v>0</v>
      </c>
      <c r="AB110" s="1505"/>
      <c r="AC110" s="1504">
        <f t="shared" si="42"/>
        <v>0</v>
      </c>
      <c r="AD110" s="1503">
        <f t="shared" si="43"/>
        <v>0</v>
      </c>
      <c r="AE110" s="1503">
        <f t="shared" si="44"/>
        <v>0</v>
      </c>
      <c r="AF110" s="1502">
        <f t="shared" si="45"/>
        <v>0</v>
      </c>
    </row>
    <row r="111" spans="1:32" s="1474" customFormat="1" ht="23.25" customHeight="1">
      <c r="A111" s="1515">
        <f t="shared" si="46"/>
        <v>24</v>
      </c>
      <c r="B111" s="1513" t="s">
        <v>1946</v>
      </c>
      <c r="C111" s="1514" t="s">
        <v>1935</v>
      </c>
      <c r="D111" s="1514"/>
      <c r="E111" s="1513">
        <v>13500000</v>
      </c>
      <c r="F111" s="1512">
        <f t="shared" si="32"/>
        <v>2430000</v>
      </c>
      <c r="G111" s="2141">
        <v>40548</v>
      </c>
      <c r="H111" s="1511">
        <v>0.18</v>
      </c>
      <c r="I111" s="1508">
        <v>12</v>
      </c>
      <c r="J111" s="1508">
        <v>12</v>
      </c>
      <c r="K111" s="1508">
        <v>1125000</v>
      </c>
      <c r="L111" s="1508">
        <v>202500</v>
      </c>
      <c r="M111" s="1510">
        <f t="shared" si="33"/>
        <v>13500000</v>
      </c>
      <c r="N111" s="1510">
        <f t="shared" si="34"/>
        <v>2430000</v>
      </c>
      <c r="O111" s="1509">
        <v>13500000</v>
      </c>
      <c r="P111" s="1509">
        <v>2430000</v>
      </c>
      <c r="Q111" s="1509"/>
      <c r="R111" s="2408"/>
      <c r="S111" s="2408"/>
      <c r="T111" s="1507"/>
      <c r="U111" s="1495">
        <f t="shared" si="35"/>
        <v>13500000</v>
      </c>
      <c r="V111" s="1495">
        <f t="shared" si="36"/>
        <v>2430000</v>
      </c>
      <c r="W111" s="1495">
        <f t="shared" si="37"/>
        <v>0</v>
      </c>
      <c r="X111" s="1495">
        <f t="shared" si="38"/>
        <v>0</v>
      </c>
      <c r="Y111" s="1495">
        <f t="shared" si="39"/>
        <v>100</v>
      </c>
      <c r="Z111" s="1495">
        <f t="shared" si="40"/>
        <v>0</v>
      </c>
      <c r="AA111" s="1506">
        <f t="shared" si="41"/>
        <v>0</v>
      </c>
      <c r="AB111" s="1505"/>
      <c r="AC111" s="1504">
        <f t="shared" si="42"/>
        <v>0</v>
      </c>
      <c r="AD111" s="1503">
        <f t="shared" si="43"/>
        <v>0</v>
      </c>
      <c r="AE111" s="1503">
        <f t="shared" si="44"/>
        <v>0</v>
      </c>
      <c r="AF111" s="1502">
        <f t="shared" si="45"/>
        <v>0</v>
      </c>
    </row>
    <row r="112" spans="1:32" s="1474" customFormat="1" ht="23.25" customHeight="1">
      <c r="A112" s="1515">
        <f t="shared" si="46"/>
        <v>25</v>
      </c>
      <c r="B112" s="1513" t="s">
        <v>1980</v>
      </c>
      <c r="C112" s="1514" t="s">
        <v>1935</v>
      </c>
      <c r="D112" s="1514">
        <v>8</v>
      </c>
      <c r="E112" s="1513">
        <v>11000000</v>
      </c>
      <c r="F112" s="1512">
        <f t="shared" si="32"/>
        <v>1980000</v>
      </c>
      <c r="G112" s="2141">
        <v>40548</v>
      </c>
      <c r="H112" s="1511">
        <v>0.18</v>
      </c>
      <c r="I112" s="1508">
        <v>12</v>
      </c>
      <c r="J112" s="1508">
        <v>12</v>
      </c>
      <c r="K112" s="1508">
        <v>916700</v>
      </c>
      <c r="L112" s="1508">
        <v>165000</v>
      </c>
      <c r="M112" s="1510">
        <f t="shared" si="33"/>
        <v>11000000</v>
      </c>
      <c r="N112" s="1510">
        <f t="shared" si="34"/>
        <v>1980000</v>
      </c>
      <c r="O112" s="1509">
        <v>11000000</v>
      </c>
      <c r="P112" s="1509">
        <v>1980000</v>
      </c>
      <c r="Q112" s="1509"/>
      <c r="R112" s="2408"/>
      <c r="S112" s="2408"/>
      <c r="T112" s="1507"/>
      <c r="U112" s="1495">
        <f t="shared" si="35"/>
        <v>11000000</v>
      </c>
      <c r="V112" s="1495">
        <f t="shared" si="36"/>
        <v>1980000</v>
      </c>
      <c r="W112" s="1495">
        <f t="shared" si="37"/>
        <v>0</v>
      </c>
      <c r="X112" s="1495">
        <f t="shared" si="38"/>
        <v>0</v>
      </c>
      <c r="Y112" s="1495">
        <f t="shared" si="39"/>
        <v>100</v>
      </c>
      <c r="Z112" s="1495">
        <f t="shared" si="40"/>
        <v>0</v>
      </c>
      <c r="AA112" s="1506">
        <f t="shared" si="41"/>
        <v>0</v>
      </c>
      <c r="AB112" s="1505"/>
      <c r="AC112" s="1504">
        <f t="shared" si="42"/>
        <v>0</v>
      </c>
      <c r="AD112" s="1503">
        <f t="shared" si="43"/>
        <v>0</v>
      </c>
      <c r="AE112" s="1503">
        <f t="shared" si="44"/>
        <v>0</v>
      </c>
      <c r="AF112" s="1502">
        <f t="shared" si="45"/>
        <v>0</v>
      </c>
    </row>
    <row r="113" spans="1:32" s="1474" customFormat="1" ht="23.25" customHeight="1">
      <c r="A113" s="1515">
        <f t="shared" si="46"/>
        <v>26</v>
      </c>
      <c r="B113" s="1513" t="s">
        <v>1945</v>
      </c>
      <c r="C113" s="1514" t="s">
        <v>1935</v>
      </c>
      <c r="D113" s="1514"/>
      <c r="E113" s="1513">
        <v>13500000</v>
      </c>
      <c r="F113" s="1512">
        <f t="shared" si="32"/>
        <v>2430000</v>
      </c>
      <c r="G113" s="2141">
        <v>40548</v>
      </c>
      <c r="H113" s="1511">
        <v>0.18</v>
      </c>
      <c r="I113" s="1508">
        <v>12</v>
      </c>
      <c r="J113" s="1508">
        <v>12</v>
      </c>
      <c r="K113" s="1508">
        <v>1125000</v>
      </c>
      <c r="L113" s="1508">
        <v>202500</v>
      </c>
      <c r="M113" s="1510">
        <f t="shared" si="33"/>
        <v>13500000</v>
      </c>
      <c r="N113" s="1510">
        <f t="shared" si="34"/>
        <v>2430000</v>
      </c>
      <c r="O113" s="1509">
        <v>13500000</v>
      </c>
      <c r="P113" s="1509">
        <v>2430000</v>
      </c>
      <c r="Q113" s="1509"/>
      <c r="R113" s="2408"/>
      <c r="S113" s="2408"/>
      <c r="T113" s="1507"/>
      <c r="U113" s="1495">
        <f t="shared" si="35"/>
        <v>13500000</v>
      </c>
      <c r="V113" s="1495">
        <f t="shared" si="36"/>
        <v>2430000</v>
      </c>
      <c r="W113" s="1495">
        <f t="shared" si="37"/>
        <v>0</v>
      </c>
      <c r="X113" s="1495">
        <f t="shared" si="38"/>
        <v>0</v>
      </c>
      <c r="Y113" s="1495">
        <f t="shared" si="39"/>
        <v>100</v>
      </c>
      <c r="Z113" s="1495">
        <f t="shared" si="40"/>
        <v>0</v>
      </c>
      <c r="AA113" s="1506">
        <f t="shared" si="41"/>
        <v>0</v>
      </c>
      <c r="AB113" s="1505"/>
      <c r="AC113" s="1504">
        <f t="shared" si="42"/>
        <v>0</v>
      </c>
      <c r="AD113" s="1503">
        <f t="shared" si="43"/>
        <v>0</v>
      </c>
      <c r="AE113" s="1503">
        <f t="shared" si="44"/>
        <v>0</v>
      </c>
      <c r="AF113" s="1502">
        <f t="shared" si="45"/>
        <v>0</v>
      </c>
    </row>
    <row r="114" spans="1:32" s="1474" customFormat="1" ht="23.25" customHeight="1">
      <c r="A114" s="1515">
        <f t="shared" si="46"/>
        <v>27</v>
      </c>
      <c r="B114" s="1513" t="s">
        <v>1941</v>
      </c>
      <c r="C114" s="1514" t="s">
        <v>1981</v>
      </c>
      <c r="D114" s="1514"/>
      <c r="E114" s="1513">
        <v>20000000</v>
      </c>
      <c r="F114" s="1512">
        <f t="shared" si="32"/>
        <v>3600000</v>
      </c>
      <c r="G114" s="2141">
        <v>36908</v>
      </c>
      <c r="H114" s="1511">
        <v>0.18</v>
      </c>
      <c r="I114" s="1508">
        <v>12</v>
      </c>
      <c r="J114" s="1508">
        <v>12</v>
      </c>
      <c r="K114" s="1508">
        <v>1666600</v>
      </c>
      <c r="L114" s="1508">
        <v>300000</v>
      </c>
      <c r="M114" s="1510">
        <f t="shared" si="33"/>
        <v>20000000</v>
      </c>
      <c r="N114" s="1510">
        <f t="shared" si="34"/>
        <v>3600000</v>
      </c>
      <c r="O114" s="1509">
        <v>20000000</v>
      </c>
      <c r="P114" s="1509">
        <v>3600000</v>
      </c>
      <c r="Q114" s="1509"/>
      <c r="R114" s="2408"/>
      <c r="S114" s="2408"/>
      <c r="T114" s="1507"/>
      <c r="U114" s="1495">
        <f t="shared" si="35"/>
        <v>20000000</v>
      </c>
      <c r="V114" s="1495">
        <f t="shared" si="36"/>
        <v>3600000</v>
      </c>
      <c r="W114" s="1495">
        <f t="shared" si="37"/>
        <v>0</v>
      </c>
      <c r="X114" s="1495">
        <f t="shared" si="38"/>
        <v>0</v>
      </c>
      <c r="Y114" s="1495">
        <f t="shared" si="39"/>
        <v>100</v>
      </c>
      <c r="Z114" s="1495">
        <f t="shared" si="40"/>
        <v>0</v>
      </c>
      <c r="AA114" s="1506">
        <f t="shared" si="41"/>
        <v>0</v>
      </c>
      <c r="AB114" s="1505"/>
      <c r="AC114" s="1504">
        <f t="shared" si="42"/>
        <v>0</v>
      </c>
      <c r="AD114" s="1503">
        <f t="shared" si="43"/>
        <v>0</v>
      </c>
      <c r="AE114" s="1503">
        <f t="shared" si="44"/>
        <v>0</v>
      </c>
      <c r="AF114" s="1502">
        <f t="shared" si="45"/>
        <v>0</v>
      </c>
    </row>
    <row r="115" spans="1:32" s="1474" customFormat="1" ht="23.25" customHeight="1">
      <c r="A115" s="1515">
        <f t="shared" si="46"/>
        <v>28</v>
      </c>
      <c r="B115" s="1513" t="s">
        <v>1982</v>
      </c>
      <c r="C115" s="1514" t="s">
        <v>1935</v>
      </c>
      <c r="D115" s="1514"/>
      <c r="E115" s="1513">
        <v>12000000</v>
      </c>
      <c r="F115" s="1512">
        <f t="shared" si="32"/>
        <v>2160000</v>
      </c>
      <c r="G115" s="2141">
        <v>36908</v>
      </c>
      <c r="H115" s="1511">
        <v>0.18</v>
      </c>
      <c r="I115" s="1508">
        <v>12</v>
      </c>
      <c r="J115" s="2404">
        <v>12</v>
      </c>
      <c r="K115" s="1508">
        <v>1000000</v>
      </c>
      <c r="L115" s="1508">
        <v>180000</v>
      </c>
      <c r="M115" s="1510">
        <f t="shared" si="33"/>
        <v>12000000</v>
      </c>
      <c r="N115" s="2401">
        <f>IF(J115&lt;I115,J115*L115,IF(J115&gt;=I115,F115))-360000</f>
        <v>1800000</v>
      </c>
      <c r="O115" s="1509">
        <v>12000000</v>
      </c>
      <c r="P115" s="1509">
        <v>1800000</v>
      </c>
      <c r="Q115" s="1509"/>
      <c r="R115" s="2408"/>
      <c r="S115" s="2408"/>
      <c r="T115" s="1507"/>
      <c r="U115" s="1495">
        <f t="shared" si="35"/>
        <v>12000000</v>
      </c>
      <c r="V115" s="1495">
        <f t="shared" si="36"/>
        <v>1800000</v>
      </c>
      <c r="W115" s="1495">
        <f t="shared" si="37"/>
        <v>0</v>
      </c>
      <c r="X115" s="1495">
        <f t="shared" si="38"/>
        <v>0</v>
      </c>
      <c r="Y115" s="1495">
        <f t="shared" si="39"/>
        <v>100</v>
      </c>
      <c r="Z115" s="1495">
        <f t="shared" si="40"/>
        <v>0</v>
      </c>
      <c r="AA115" s="1506">
        <f t="shared" si="41"/>
        <v>0</v>
      </c>
      <c r="AB115" s="1505"/>
      <c r="AC115" s="1504">
        <f t="shared" si="42"/>
        <v>0</v>
      </c>
      <c r="AD115" s="1503">
        <f t="shared" si="43"/>
        <v>0</v>
      </c>
      <c r="AE115" s="1503">
        <f t="shared" si="44"/>
        <v>0</v>
      </c>
      <c r="AF115" s="1502">
        <f t="shared" si="45"/>
        <v>0</v>
      </c>
    </row>
    <row r="116" spans="1:32" s="1474" customFormat="1" ht="23.25" customHeight="1">
      <c r="A116" s="1515">
        <f t="shared" si="46"/>
        <v>29</v>
      </c>
      <c r="B116" s="1513" t="s">
        <v>1942</v>
      </c>
      <c r="C116" s="1514" t="s">
        <v>1935</v>
      </c>
      <c r="D116" s="1514"/>
      <c r="E116" s="1513">
        <v>20000000</v>
      </c>
      <c r="F116" s="1512">
        <f t="shared" si="32"/>
        <v>3600000</v>
      </c>
      <c r="G116" s="2141">
        <v>40560</v>
      </c>
      <c r="H116" s="1511">
        <v>0.18</v>
      </c>
      <c r="I116" s="1508">
        <v>12</v>
      </c>
      <c r="J116" s="1508">
        <v>12</v>
      </c>
      <c r="K116" s="1508">
        <v>1666600</v>
      </c>
      <c r="L116" s="1508">
        <v>300000</v>
      </c>
      <c r="M116" s="1510">
        <f t="shared" si="33"/>
        <v>20000000</v>
      </c>
      <c r="N116" s="1510">
        <f t="shared" si="34"/>
        <v>3600000</v>
      </c>
      <c r="O116" s="1509">
        <v>20000000</v>
      </c>
      <c r="P116" s="1509">
        <v>3600000</v>
      </c>
      <c r="Q116" s="1509"/>
      <c r="R116" s="2408"/>
      <c r="S116" s="2408"/>
      <c r="T116" s="1507"/>
      <c r="U116" s="1495">
        <f t="shared" si="35"/>
        <v>20000000</v>
      </c>
      <c r="V116" s="1495">
        <f t="shared" si="36"/>
        <v>3600000</v>
      </c>
      <c r="W116" s="1495">
        <f t="shared" si="37"/>
        <v>0</v>
      </c>
      <c r="X116" s="1495">
        <f t="shared" si="38"/>
        <v>0</v>
      </c>
      <c r="Y116" s="1495">
        <f t="shared" si="39"/>
        <v>100</v>
      </c>
      <c r="Z116" s="1495">
        <f t="shared" si="40"/>
        <v>0</v>
      </c>
      <c r="AA116" s="1506">
        <f t="shared" si="41"/>
        <v>0</v>
      </c>
      <c r="AB116" s="1505"/>
      <c r="AC116" s="1504">
        <f t="shared" si="42"/>
        <v>0</v>
      </c>
      <c r="AD116" s="1503">
        <f t="shared" si="43"/>
        <v>0</v>
      </c>
      <c r="AE116" s="1503">
        <f t="shared" si="44"/>
        <v>0</v>
      </c>
      <c r="AF116" s="1502">
        <f t="shared" si="45"/>
        <v>0</v>
      </c>
    </row>
    <row r="117" spans="1:32" s="1474" customFormat="1" ht="23.25" customHeight="1">
      <c r="A117" s="1515">
        <f t="shared" si="46"/>
        <v>30</v>
      </c>
      <c r="B117" s="1513" t="s">
        <v>1897</v>
      </c>
      <c r="C117" s="1514" t="s">
        <v>1935</v>
      </c>
      <c r="D117" s="1514"/>
      <c r="E117" s="1513">
        <v>25000000</v>
      </c>
      <c r="F117" s="1512">
        <f t="shared" si="32"/>
        <v>4500000</v>
      </c>
      <c r="G117" s="2141">
        <v>40560</v>
      </c>
      <c r="H117" s="1511">
        <v>0.18</v>
      </c>
      <c r="I117" s="1508">
        <v>12</v>
      </c>
      <c r="J117" s="1508">
        <v>12</v>
      </c>
      <c r="K117" s="1508">
        <v>2083300</v>
      </c>
      <c r="L117" s="1508">
        <v>375000</v>
      </c>
      <c r="M117" s="1510">
        <f t="shared" si="33"/>
        <v>25000000</v>
      </c>
      <c r="N117" s="1510">
        <f t="shared" si="34"/>
        <v>4500000</v>
      </c>
      <c r="O117" s="1509">
        <v>25000000</v>
      </c>
      <c r="P117" s="1509">
        <v>4500000</v>
      </c>
      <c r="Q117" s="1509"/>
      <c r="R117" s="2408"/>
      <c r="S117" s="2408"/>
      <c r="T117" s="1507"/>
      <c r="U117" s="1495">
        <f t="shared" si="35"/>
        <v>25000000</v>
      </c>
      <c r="V117" s="1495">
        <f t="shared" si="36"/>
        <v>4500000</v>
      </c>
      <c r="W117" s="1495">
        <f t="shared" si="37"/>
        <v>0</v>
      </c>
      <c r="X117" s="1495">
        <f t="shared" si="38"/>
        <v>0</v>
      </c>
      <c r="Y117" s="1495">
        <f t="shared" si="39"/>
        <v>100</v>
      </c>
      <c r="Z117" s="1495">
        <f t="shared" si="40"/>
        <v>0</v>
      </c>
      <c r="AA117" s="1506">
        <f t="shared" si="41"/>
        <v>0</v>
      </c>
      <c r="AB117" s="1505"/>
      <c r="AC117" s="1504">
        <f t="shared" si="42"/>
        <v>0</v>
      </c>
      <c r="AD117" s="1503">
        <f t="shared" si="43"/>
        <v>0</v>
      </c>
      <c r="AE117" s="1503">
        <f t="shared" si="44"/>
        <v>0</v>
      </c>
      <c r="AF117" s="1502">
        <f t="shared" si="45"/>
        <v>0</v>
      </c>
    </row>
    <row r="118" spans="1:32" s="1474" customFormat="1" ht="23.25" customHeight="1">
      <c r="A118" s="1515">
        <f t="shared" si="46"/>
        <v>31</v>
      </c>
      <c r="B118" s="1513" t="s">
        <v>1983</v>
      </c>
      <c r="C118" s="1514" t="s">
        <v>1940</v>
      </c>
      <c r="D118" s="1514"/>
      <c r="E118" s="1513">
        <v>7000000</v>
      </c>
      <c r="F118" s="1512">
        <f t="shared" si="32"/>
        <v>1260000</v>
      </c>
      <c r="G118" s="2141">
        <v>40596</v>
      </c>
      <c r="H118" s="1511">
        <v>0.18</v>
      </c>
      <c r="I118" s="1508">
        <v>12</v>
      </c>
      <c r="J118" s="1508">
        <v>12</v>
      </c>
      <c r="K118" s="1508">
        <v>583300</v>
      </c>
      <c r="L118" s="1508">
        <v>105000</v>
      </c>
      <c r="M118" s="1510">
        <f t="shared" si="33"/>
        <v>7000000</v>
      </c>
      <c r="N118" s="1510">
        <f t="shared" si="34"/>
        <v>1260000</v>
      </c>
      <c r="O118" s="1509">
        <v>7000000</v>
      </c>
      <c r="P118" s="1509">
        <v>1260000</v>
      </c>
      <c r="Q118" s="1509"/>
      <c r="R118" s="2408"/>
      <c r="S118" s="2408"/>
      <c r="T118" s="1507"/>
      <c r="U118" s="1495">
        <f t="shared" si="35"/>
        <v>7000000</v>
      </c>
      <c r="V118" s="1495">
        <f t="shared" si="36"/>
        <v>1260000</v>
      </c>
      <c r="W118" s="1495">
        <f t="shared" si="37"/>
        <v>0</v>
      </c>
      <c r="X118" s="1495">
        <f t="shared" si="38"/>
        <v>0</v>
      </c>
      <c r="Y118" s="1495">
        <f t="shared" si="39"/>
        <v>100</v>
      </c>
      <c r="Z118" s="1495">
        <f t="shared" si="40"/>
        <v>0</v>
      </c>
      <c r="AA118" s="1506">
        <f t="shared" si="41"/>
        <v>0</v>
      </c>
      <c r="AB118" s="1505"/>
      <c r="AC118" s="1504">
        <f t="shared" si="42"/>
        <v>0</v>
      </c>
      <c r="AD118" s="1503">
        <f t="shared" si="43"/>
        <v>0</v>
      </c>
      <c r="AE118" s="1503">
        <f t="shared" si="44"/>
        <v>0</v>
      </c>
      <c r="AF118" s="1502">
        <f t="shared" si="45"/>
        <v>0</v>
      </c>
    </row>
    <row r="119" spans="1:32" s="1474" customFormat="1" ht="23.25" customHeight="1">
      <c r="A119" s="1515">
        <f t="shared" ref="A119:A125" si="47">A118+1</f>
        <v>32</v>
      </c>
      <c r="B119" s="1513" t="s">
        <v>1975</v>
      </c>
      <c r="C119" s="1514" t="s">
        <v>1940</v>
      </c>
      <c r="D119" s="1514"/>
      <c r="E119" s="1513">
        <v>10000000</v>
      </c>
      <c r="F119" s="1512">
        <f t="shared" ref="F119:F127" si="48">E119*H119</f>
        <v>1800000</v>
      </c>
      <c r="G119" s="2141">
        <v>40619</v>
      </c>
      <c r="H119" s="1511">
        <v>0.18</v>
      </c>
      <c r="I119" s="1508">
        <v>12</v>
      </c>
      <c r="J119" s="1508">
        <v>12</v>
      </c>
      <c r="K119" s="1508">
        <v>833300</v>
      </c>
      <c r="L119" s="1508">
        <v>150000</v>
      </c>
      <c r="M119" s="1510">
        <f t="shared" ref="M119:M127" si="49">IF(J119&lt;I119,J119*K119,IF(J119&gt;=I119,E119))</f>
        <v>10000000</v>
      </c>
      <c r="N119" s="1510">
        <f t="shared" ref="N119:N127" si="50">IF(J119&lt;I119,J119*L119,IF(J119&gt;=I119,F119))</f>
        <v>1800000</v>
      </c>
      <c r="O119" s="1509">
        <v>10000000</v>
      </c>
      <c r="P119" s="1509">
        <v>1800000</v>
      </c>
      <c r="Q119" s="1509"/>
      <c r="R119" s="2650"/>
      <c r="S119" s="2650"/>
      <c r="T119" s="1507"/>
      <c r="U119" s="1495">
        <f t="shared" ref="U119:U126" si="51">SUM(O119+R119)</f>
        <v>10000000</v>
      </c>
      <c r="V119" s="1495">
        <f t="shared" ref="V119:V127" si="52">SUM(P119+S119)</f>
        <v>1800000</v>
      </c>
      <c r="W119" s="1495">
        <f t="shared" ref="W119:W127" si="53">SUM(Q119+T119)</f>
        <v>0</v>
      </c>
      <c r="X119" s="1495">
        <f t="shared" ref="X119:X127" si="54">SUM(E119-U119)</f>
        <v>0</v>
      </c>
      <c r="Y119" s="1495">
        <f t="shared" ref="Y119:Y127" si="55">SUM(U119/M119)*100</f>
        <v>100</v>
      </c>
      <c r="Z119" s="1495">
        <f t="shared" ref="Z119:Z175" si="56">SUM(M119-U119)</f>
        <v>0</v>
      </c>
      <c r="AA119" s="1506">
        <f t="shared" ref="AA119:AA175" si="57">SUM(N119-V119)</f>
        <v>0</v>
      </c>
      <c r="AB119" s="1505"/>
      <c r="AC119" s="1504">
        <f t="shared" ref="AC119:AC182" si="58">IF(AND(AB119&gt;0,AB119&lt;=2),X119,0)</f>
        <v>0</v>
      </c>
      <c r="AD119" s="1503">
        <f t="shared" ref="AD119:AD127" si="59">IF(AND(AB119&gt;=3,AB119&lt;=4),X119,0)</f>
        <v>0</v>
      </c>
      <c r="AE119" s="1503">
        <f t="shared" ref="AE119:AE127" si="60">IF(AND(AB119&gt;=5,AB119&lt;=6),X119,0)</f>
        <v>0</v>
      </c>
      <c r="AF119" s="1502">
        <f t="shared" ref="AF119:AF127" si="61">IF(AB119&gt;6,X119,0)</f>
        <v>0</v>
      </c>
    </row>
    <row r="120" spans="1:32" s="1474" customFormat="1" ht="23.25" customHeight="1">
      <c r="A120" s="1515">
        <f t="shared" si="47"/>
        <v>33</v>
      </c>
      <c r="B120" s="1513" t="s">
        <v>1976</v>
      </c>
      <c r="C120" s="1514" t="s">
        <v>1940</v>
      </c>
      <c r="D120" s="1514"/>
      <c r="E120" s="1513">
        <v>12000000</v>
      </c>
      <c r="F120" s="1512">
        <f t="shared" si="48"/>
        <v>2160000</v>
      </c>
      <c r="G120" s="2141">
        <v>40619</v>
      </c>
      <c r="H120" s="1511">
        <v>0.18</v>
      </c>
      <c r="I120" s="1508">
        <v>12</v>
      </c>
      <c r="J120" s="1508">
        <v>12</v>
      </c>
      <c r="K120" s="1508">
        <v>1000000</v>
      </c>
      <c r="L120" s="1508">
        <v>180000</v>
      </c>
      <c r="M120" s="1510">
        <f t="shared" si="49"/>
        <v>12000000</v>
      </c>
      <c r="N120" s="1510">
        <f t="shared" si="50"/>
        <v>2160000</v>
      </c>
      <c r="O120" s="1509">
        <v>12000000</v>
      </c>
      <c r="P120" s="1509">
        <v>2160000</v>
      </c>
      <c r="Q120" s="1509"/>
      <c r="R120" s="2408"/>
      <c r="S120" s="2408"/>
      <c r="T120" s="1507"/>
      <c r="U120" s="1495">
        <f t="shared" si="51"/>
        <v>12000000</v>
      </c>
      <c r="V120" s="1495">
        <f t="shared" si="52"/>
        <v>2160000</v>
      </c>
      <c r="W120" s="1495">
        <f t="shared" si="53"/>
        <v>0</v>
      </c>
      <c r="X120" s="1495">
        <f t="shared" si="54"/>
        <v>0</v>
      </c>
      <c r="Y120" s="1495">
        <f t="shared" si="55"/>
        <v>100</v>
      </c>
      <c r="Z120" s="1495">
        <f t="shared" si="56"/>
        <v>0</v>
      </c>
      <c r="AA120" s="1506">
        <f t="shared" si="57"/>
        <v>0</v>
      </c>
      <c r="AB120" s="1505"/>
      <c r="AC120" s="1504">
        <f t="shared" si="58"/>
        <v>0</v>
      </c>
      <c r="AD120" s="1503">
        <f t="shared" si="59"/>
        <v>0</v>
      </c>
      <c r="AE120" s="1503">
        <f t="shared" si="60"/>
        <v>0</v>
      </c>
      <c r="AF120" s="1502">
        <f t="shared" si="61"/>
        <v>0</v>
      </c>
    </row>
    <row r="121" spans="1:32" s="1474" customFormat="1" ht="23.25" customHeight="1">
      <c r="A121" s="1515">
        <f t="shared" si="47"/>
        <v>34</v>
      </c>
      <c r="B121" s="1513" t="s">
        <v>1984</v>
      </c>
      <c r="C121" s="1514" t="s">
        <v>1940</v>
      </c>
      <c r="D121" s="1514"/>
      <c r="E121" s="1513">
        <v>8000000</v>
      </c>
      <c r="F121" s="1512">
        <f t="shared" si="48"/>
        <v>1440000</v>
      </c>
      <c r="G121" s="2141">
        <v>40619</v>
      </c>
      <c r="H121" s="1511">
        <v>0.18</v>
      </c>
      <c r="I121" s="1508">
        <v>12</v>
      </c>
      <c r="J121" s="1508">
        <v>12</v>
      </c>
      <c r="K121" s="1508">
        <v>666700</v>
      </c>
      <c r="L121" s="1508">
        <v>120000</v>
      </c>
      <c r="M121" s="1510">
        <f t="shared" si="49"/>
        <v>8000000</v>
      </c>
      <c r="N121" s="1510">
        <f t="shared" si="50"/>
        <v>1440000</v>
      </c>
      <c r="O121" s="1509">
        <v>8000000</v>
      </c>
      <c r="P121" s="1509">
        <v>1440000</v>
      </c>
      <c r="Q121" s="1509"/>
      <c r="R121" s="2650"/>
      <c r="S121" s="2650"/>
      <c r="T121" s="1507"/>
      <c r="U121" s="1495">
        <f t="shared" si="51"/>
        <v>8000000</v>
      </c>
      <c r="V121" s="1495">
        <f t="shared" si="52"/>
        <v>1440000</v>
      </c>
      <c r="W121" s="1495">
        <f t="shared" si="53"/>
        <v>0</v>
      </c>
      <c r="X121" s="1495">
        <f t="shared" si="54"/>
        <v>0</v>
      </c>
      <c r="Y121" s="1495">
        <f t="shared" si="55"/>
        <v>100</v>
      </c>
      <c r="Z121" s="1495">
        <f t="shared" si="56"/>
        <v>0</v>
      </c>
      <c r="AA121" s="1506">
        <f t="shared" si="57"/>
        <v>0</v>
      </c>
      <c r="AB121" s="1505"/>
      <c r="AC121" s="1504">
        <f t="shared" si="58"/>
        <v>0</v>
      </c>
      <c r="AD121" s="1503">
        <f t="shared" si="59"/>
        <v>0</v>
      </c>
      <c r="AE121" s="1503">
        <f t="shared" si="60"/>
        <v>0</v>
      </c>
      <c r="AF121" s="1502">
        <f t="shared" si="61"/>
        <v>0</v>
      </c>
    </row>
    <row r="122" spans="1:32" s="1474" customFormat="1" ht="23.25" customHeight="1">
      <c r="A122" s="1515">
        <f t="shared" si="47"/>
        <v>35</v>
      </c>
      <c r="B122" s="1513" t="s">
        <v>1957</v>
      </c>
      <c r="C122" s="1514" t="s">
        <v>1940</v>
      </c>
      <c r="D122" s="1514"/>
      <c r="E122" s="1513">
        <v>8000000</v>
      </c>
      <c r="F122" s="1512">
        <f t="shared" si="48"/>
        <v>1440000</v>
      </c>
      <c r="G122" s="2141">
        <v>40619</v>
      </c>
      <c r="H122" s="1511">
        <v>0.18</v>
      </c>
      <c r="I122" s="1508">
        <v>12</v>
      </c>
      <c r="J122" s="1508">
        <v>12</v>
      </c>
      <c r="K122" s="1508">
        <v>666700</v>
      </c>
      <c r="L122" s="1508">
        <v>120000</v>
      </c>
      <c r="M122" s="1510">
        <f t="shared" si="49"/>
        <v>8000000</v>
      </c>
      <c r="N122" s="1510">
        <f t="shared" si="50"/>
        <v>1440000</v>
      </c>
      <c r="O122" s="1509">
        <v>8000000</v>
      </c>
      <c r="P122" s="1509">
        <v>1440000</v>
      </c>
      <c r="Q122" s="1509"/>
      <c r="R122" s="2650"/>
      <c r="S122" s="2650"/>
      <c r="T122" s="1507"/>
      <c r="U122" s="1495">
        <f t="shared" si="51"/>
        <v>8000000</v>
      </c>
      <c r="V122" s="1495">
        <f t="shared" si="52"/>
        <v>1440000</v>
      </c>
      <c r="W122" s="1495">
        <f t="shared" si="53"/>
        <v>0</v>
      </c>
      <c r="X122" s="1495">
        <f t="shared" si="54"/>
        <v>0</v>
      </c>
      <c r="Y122" s="1495">
        <f t="shared" si="55"/>
        <v>100</v>
      </c>
      <c r="Z122" s="1495">
        <f t="shared" si="56"/>
        <v>0</v>
      </c>
      <c r="AA122" s="1506">
        <f t="shared" si="57"/>
        <v>0</v>
      </c>
      <c r="AB122" s="1505"/>
      <c r="AC122" s="1504">
        <f t="shared" si="58"/>
        <v>0</v>
      </c>
      <c r="AD122" s="1503">
        <f t="shared" si="59"/>
        <v>0</v>
      </c>
      <c r="AE122" s="1503">
        <f t="shared" si="60"/>
        <v>0</v>
      </c>
      <c r="AF122" s="1502">
        <f t="shared" si="61"/>
        <v>0</v>
      </c>
    </row>
    <row r="123" spans="1:32" s="3080" customFormat="1" ht="23.25" customHeight="1">
      <c r="A123" s="3081">
        <f t="shared" si="47"/>
        <v>36</v>
      </c>
      <c r="B123" s="3082" t="s">
        <v>1912</v>
      </c>
      <c r="C123" s="3083" t="s">
        <v>1940</v>
      </c>
      <c r="D123" s="3083"/>
      <c r="E123" s="3082">
        <v>15000000</v>
      </c>
      <c r="F123" s="3082">
        <f t="shared" si="48"/>
        <v>2700000</v>
      </c>
      <c r="G123" s="3084">
        <v>40619</v>
      </c>
      <c r="H123" s="3085">
        <v>0.18</v>
      </c>
      <c r="I123" s="2408">
        <v>12</v>
      </c>
      <c r="J123" s="2408">
        <v>12</v>
      </c>
      <c r="K123" s="2408">
        <v>1250000</v>
      </c>
      <c r="L123" s="2408">
        <v>225000</v>
      </c>
      <c r="M123" s="2408">
        <f t="shared" si="49"/>
        <v>15000000</v>
      </c>
      <c r="N123" s="2408">
        <f t="shared" si="50"/>
        <v>2700000</v>
      </c>
      <c r="O123" s="2408">
        <v>12500000</v>
      </c>
      <c r="P123" s="2408">
        <v>2250000</v>
      </c>
      <c r="Q123" s="2408"/>
      <c r="R123" s="2408"/>
      <c r="S123" s="2408"/>
      <c r="T123" s="3082"/>
      <c r="U123" s="2831">
        <f t="shared" si="51"/>
        <v>12500000</v>
      </c>
      <c r="V123" s="2831">
        <f t="shared" si="52"/>
        <v>2250000</v>
      </c>
      <c r="W123" s="2831">
        <f t="shared" si="53"/>
        <v>0</v>
      </c>
      <c r="X123" s="2831">
        <f t="shared" si="54"/>
        <v>2500000</v>
      </c>
      <c r="Y123" s="2831">
        <f t="shared" si="55"/>
        <v>83.333333333333343</v>
      </c>
      <c r="Z123" s="2831">
        <f t="shared" si="56"/>
        <v>2500000</v>
      </c>
      <c r="AA123" s="2832">
        <f t="shared" si="57"/>
        <v>450000</v>
      </c>
      <c r="AB123" s="3086">
        <v>7</v>
      </c>
      <c r="AC123" s="3077">
        <f t="shared" si="58"/>
        <v>0</v>
      </c>
      <c r="AD123" s="3078">
        <f t="shared" si="59"/>
        <v>0</v>
      </c>
      <c r="AE123" s="3078">
        <f t="shared" si="60"/>
        <v>0</v>
      </c>
      <c r="AF123" s="3079">
        <f t="shared" si="61"/>
        <v>2500000</v>
      </c>
    </row>
    <row r="124" spans="1:32" s="3080" customFormat="1" ht="23.25" customHeight="1">
      <c r="A124" s="3081">
        <f t="shared" si="47"/>
        <v>37</v>
      </c>
      <c r="B124" s="3082" t="s">
        <v>1977</v>
      </c>
      <c r="C124" s="3083" t="s">
        <v>1985</v>
      </c>
      <c r="D124" s="3083"/>
      <c r="E124" s="3082">
        <v>15000000</v>
      </c>
      <c r="F124" s="3082">
        <f t="shared" si="48"/>
        <v>2700000</v>
      </c>
      <c r="G124" s="3084">
        <v>40648</v>
      </c>
      <c r="H124" s="3085">
        <v>0.18</v>
      </c>
      <c r="I124" s="2408">
        <v>12</v>
      </c>
      <c r="J124" s="2408">
        <v>12</v>
      </c>
      <c r="K124" s="2408">
        <v>1250000</v>
      </c>
      <c r="L124" s="2408">
        <v>225000</v>
      </c>
      <c r="M124" s="2408">
        <f t="shared" si="49"/>
        <v>15000000</v>
      </c>
      <c r="N124" s="2408">
        <f t="shared" si="50"/>
        <v>2700000</v>
      </c>
      <c r="O124" s="2408">
        <v>11250000</v>
      </c>
      <c r="P124" s="2408">
        <v>2025000</v>
      </c>
      <c r="Q124" s="2408"/>
      <c r="R124" s="2408"/>
      <c r="S124" s="2408"/>
      <c r="T124" s="3082"/>
      <c r="U124" s="2831">
        <f t="shared" si="51"/>
        <v>11250000</v>
      </c>
      <c r="V124" s="2831">
        <f t="shared" si="52"/>
        <v>2025000</v>
      </c>
      <c r="W124" s="2831">
        <f t="shared" si="53"/>
        <v>0</v>
      </c>
      <c r="X124" s="2831">
        <f t="shared" si="54"/>
        <v>3750000</v>
      </c>
      <c r="Y124" s="2831">
        <f t="shared" si="55"/>
        <v>75</v>
      </c>
      <c r="Z124" s="2831">
        <f t="shared" si="56"/>
        <v>3750000</v>
      </c>
      <c r="AA124" s="2832">
        <f t="shared" si="57"/>
        <v>675000</v>
      </c>
      <c r="AB124" s="3086">
        <v>7</v>
      </c>
      <c r="AC124" s="3077">
        <f t="shared" si="58"/>
        <v>0</v>
      </c>
      <c r="AD124" s="3078">
        <f t="shared" si="59"/>
        <v>0</v>
      </c>
      <c r="AE124" s="3078">
        <f t="shared" si="60"/>
        <v>0</v>
      </c>
      <c r="AF124" s="3079">
        <f t="shared" si="61"/>
        <v>3750000</v>
      </c>
    </row>
    <row r="125" spans="1:32" s="1474" customFormat="1" ht="23.25" customHeight="1">
      <c r="A125" s="1515">
        <f t="shared" si="47"/>
        <v>38</v>
      </c>
      <c r="B125" s="1513" t="s">
        <v>1898</v>
      </c>
      <c r="C125" s="1514" t="s">
        <v>1985</v>
      </c>
      <c r="D125" s="1514"/>
      <c r="E125" s="1513">
        <v>13000000</v>
      </c>
      <c r="F125" s="1512">
        <f t="shared" si="48"/>
        <v>2340000</v>
      </c>
      <c r="G125" s="2141">
        <v>40648</v>
      </c>
      <c r="H125" s="1511">
        <v>0.18</v>
      </c>
      <c r="I125" s="1508">
        <v>12</v>
      </c>
      <c r="J125" s="1508">
        <v>12</v>
      </c>
      <c r="K125" s="1508">
        <v>1083300</v>
      </c>
      <c r="L125" s="1508">
        <v>195000</v>
      </c>
      <c r="M125" s="1510">
        <f t="shared" si="49"/>
        <v>13000000</v>
      </c>
      <c r="N125" s="1510">
        <f t="shared" si="50"/>
        <v>2340000</v>
      </c>
      <c r="O125" s="1509">
        <v>13000000</v>
      </c>
      <c r="P125" s="1509">
        <v>2340000</v>
      </c>
      <c r="Q125" s="1509"/>
      <c r="R125" s="2650"/>
      <c r="S125" s="2650"/>
      <c r="T125" s="1507"/>
      <c r="U125" s="1495">
        <f t="shared" si="51"/>
        <v>13000000</v>
      </c>
      <c r="V125" s="1495">
        <f t="shared" si="52"/>
        <v>2340000</v>
      </c>
      <c r="W125" s="1495">
        <f t="shared" si="53"/>
        <v>0</v>
      </c>
      <c r="X125" s="1495">
        <f t="shared" si="54"/>
        <v>0</v>
      </c>
      <c r="Y125" s="1495">
        <f t="shared" si="55"/>
        <v>100</v>
      </c>
      <c r="Z125" s="1495">
        <f t="shared" si="56"/>
        <v>0</v>
      </c>
      <c r="AA125" s="1506">
        <f t="shared" si="57"/>
        <v>0</v>
      </c>
      <c r="AB125" s="1505"/>
      <c r="AC125" s="1504">
        <f t="shared" si="58"/>
        <v>0</v>
      </c>
      <c r="AD125" s="1503">
        <f t="shared" si="59"/>
        <v>0</v>
      </c>
      <c r="AE125" s="1503">
        <f t="shared" si="60"/>
        <v>0</v>
      </c>
      <c r="AF125" s="1502">
        <f t="shared" si="61"/>
        <v>0</v>
      </c>
    </row>
    <row r="126" spans="1:32" s="1474" customFormat="1" ht="23.25" customHeight="1">
      <c r="A126" s="1515">
        <v>39</v>
      </c>
      <c r="B126" s="1513" t="s">
        <v>2194</v>
      </c>
      <c r="C126" s="1514" t="s">
        <v>1985</v>
      </c>
      <c r="D126" s="1514"/>
      <c r="E126" s="1513">
        <v>20000000</v>
      </c>
      <c r="F126" s="1512">
        <f t="shared" si="48"/>
        <v>3600000</v>
      </c>
      <c r="G126" s="2141">
        <v>40702</v>
      </c>
      <c r="H126" s="1511">
        <v>0.18</v>
      </c>
      <c r="I126" s="1508">
        <v>12</v>
      </c>
      <c r="J126" s="1508">
        <v>12</v>
      </c>
      <c r="K126" s="1508">
        <v>1666700</v>
      </c>
      <c r="L126" s="1508">
        <f>F126/I126</f>
        <v>300000</v>
      </c>
      <c r="M126" s="1510">
        <f t="shared" si="49"/>
        <v>20000000</v>
      </c>
      <c r="N126" s="1510">
        <f t="shared" si="50"/>
        <v>3600000</v>
      </c>
      <c r="O126" s="1509">
        <v>20000000</v>
      </c>
      <c r="P126" s="1509">
        <v>3600000</v>
      </c>
      <c r="Q126" s="1509"/>
      <c r="R126" s="2650"/>
      <c r="S126" s="2650"/>
      <c r="T126" s="2840"/>
      <c r="U126" s="1495">
        <f t="shared" si="51"/>
        <v>20000000</v>
      </c>
      <c r="V126" s="1495">
        <f t="shared" si="52"/>
        <v>3600000</v>
      </c>
      <c r="W126" s="1495">
        <f t="shared" si="53"/>
        <v>0</v>
      </c>
      <c r="X126" s="1495">
        <f t="shared" si="54"/>
        <v>0</v>
      </c>
      <c r="Y126" s="1495">
        <f t="shared" si="55"/>
        <v>100</v>
      </c>
      <c r="Z126" s="1495">
        <f t="shared" si="56"/>
        <v>0</v>
      </c>
      <c r="AA126" s="1506">
        <f t="shared" si="57"/>
        <v>0</v>
      </c>
      <c r="AB126" s="1505"/>
      <c r="AC126" s="1504">
        <f t="shared" si="58"/>
        <v>0</v>
      </c>
      <c r="AD126" s="1503">
        <f t="shared" si="59"/>
        <v>0</v>
      </c>
      <c r="AE126" s="1503">
        <f t="shared" si="60"/>
        <v>0</v>
      </c>
      <c r="AF126" s="1502">
        <f t="shared" si="61"/>
        <v>0</v>
      </c>
    </row>
    <row r="127" spans="1:32" s="3080" customFormat="1" ht="23.25" customHeight="1">
      <c r="A127" s="3081">
        <v>40</v>
      </c>
      <c r="B127" s="3082" t="s">
        <v>1978</v>
      </c>
      <c r="C127" s="3083" t="s">
        <v>1985</v>
      </c>
      <c r="D127" s="3083"/>
      <c r="E127" s="3082">
        <v>20000000</v>
      </c>
      <c r="F127" s="3082">
        <f t="shared" si="48"/>
        <v>3600000</v>
      </c>
      <c r="G127" s="3084">
        <v>40715</v>
      </c>
      <c r="H127" s="3085">
        <v>0.18</v>
      </c>
      <c r="I127" s="2408">
        <v>12</v>
      </c>
      <c r="J127" s="2408">
        <v>12</v>
      </c>
      <c r="K127" s="2408">
        <v>1666700</v>
      </c>
      <c r="L127" s="2408">
        <v>300000</v>
      </c>
      <c r="M127" s="2408">
        <f t="shared" si="49"/>
        <v>20000000</v>
      </c>
      <c r="N127" s="2408">
        <f t="shared" si="50"/>
        <v>3600000</v>
      </c>
      <c r="O127" s="2408">
        <v>19090300</v>
      </c>
      <c r="P127" s="2408">
        <v>3650000</v>
      </c>
      <c r="Q127" s="2408"/>
      <c r="R127" s="2837"/>
      <c r="S127" s="2837"/>
      <c r="T127" s="3082"/>
      <c r="U127" s="1495">
        <f>SUM(O127+R127)</f>
        <v>19090300</v>
      </c>
      <c r="V127" s="2831">
        <f t="shared" si="52"/>
        <v>3650000</v>
      </c>
      <c r="W127" s="2831">
        <f t="shared" si="53"/>
        <v>0</v>
      </c>
      <c r="X127" s="3087">
        <f t="shared" si="54"/>
        <v>909700</v>
      </c>
      <c r="Y127" s="2831">
        <f t="shared" si="55"/>
        <v>95.451499999999996</v>
      </c>
      <c r="Z127" s="1495">
        <f t="shared" si="56"/>
        <v>909700</v>
      </c>
      <c r="AA127" s="2832">
        <f t="shared" si="57"/>
        <v>-50000</v>
      </c>
      <c r="AB127" s="3086">
        <v>7</v>
      </c>
      <c r="AC127" s="3077">
        <f t="shared" si="58"/>
        <v>0</v>
      </c>
      <c r="AD127" s="3078">
        <f t="shared" si="59"/>
        <v>0</v>
      </c>
      <c r="AE127" s="3078">
        <f t="shared" si="60"/>
        <v>0</v>
      </c>
      <c r="AF127" s="3079">
        <f t="shared" si="61"/>
        <v>909700</v>
      </c>
    </row>
    <row r="128" spans="1:32" s="1474" customFormat="1" ht="23.25" customHeight="1">
      <c r="A128" s="1515">
        <v>41</v>
      </c>
      <c r="B128" s="1513" t="s">
        <v>1973</v>
      </c>
      <c r="C128" s="1514" t="s">
        <v>1985</v>
      </c>
      <c r="D128" s="1514"/>
      <c r="E128" s="1513">
        <v>25000000</v>
      </c>
      <c r="F128" s="1512">
        <f t="shared" si="32"/>
        <v>4500000</v>
      </c>
      <c r="G128" s="2141">
        <v>40707</v>
      </c>
      <c r="H128" s="1511">
        <v>0.18</v>
      </c>
      <c r="I128" s="1508">
        <v>12</v>
      </c>
      <c r="J128" s="1508">
        <v>12</v>
      </c>
      <c r="K128" s="1508">
        <v>2083300</v>
      </c>
      <c r="L128" s="1508">
        <v>375000</v>
      </c>
      <c r="M128" s="1510">
        <f t="shared" si="33"/>
        <v>25000000</v>
      </c>
      <c r="N128" s="1510">
        <f t="shared" si="34"/>
        <v>4500000</v>
      </c>
      <c r="O128" s="1509">
        <v>25000000</v>
      </c>
      <c r="P128" s="1509">
        <v>4500000</v>
      </c>
      <c r="Q128" s="1509"/>
      <c r="R128" s="2650"/>
      <c r="S128" s="2650"/>
      <c r="T128" s="2840"/>
      <c r="U128" s="1495">
        <f t="shared" si="35"/>
        <v>25000000</v>
      </c>
      <c r="V128" s="1495">
        <f t="shared" si="36"/>
        <v>4500000</v>
      </c>
      <c r="W128" s="1495">
        <f t="shared" si="37"/>
        <v>0</v>
      </c>
      <c r="X128" s="1495">
        <f t="shared" si="38"/>
        <v>0</v>
      </c>
      <c r="Y128" s="1495">
        <f t="shared" si="39"/>
        <v>100</v>
      </c>
      <c r="Z128" s="1495">
        <f t="shared" si="56"/>
        <v>0</v>
      </c>
      <c r="AA128" s="1506">
        <f t="shared" si="57"/>
        <v>0</v>
      </c>
      <c r="AB128" s="1505"/>
      <c r="AC128" s="1504">
        <f t="shared" si="58"/>
        <v>0</v>
      </c>
      <c r="AD128" s="1503">
        <f>IF(AND(AB128&gt;=3,AB128&lt;=4),X128,0)</f>
        <v>0</v>
      </c>
      <c r="AE128" s="1503">
        <f>IF(AND(AB128&gt;=5,AB128&lt;=6),X128,0)</f>
        <v>0</v>
      </c>
      <c r="AF128" s="1502">
        <f>IF(AB128&gt;6,X128,0)</f>
        <v>0</v>
      </c>
    </row>
    <row r="129" spans="1:32" s="1474" customFormat="1" ht="23.25" customHeight="1">
      <c r="A129" s="1515">
        <v>42</v>
      </c>
      <c r="B129" s="1513" t="s">
        <v>1958</v>
      </c>
      <c r="C129" s="1514" t="s">
        <v>2195</v>
      </c>
      <c r="D129" s="1514"/>
      <c r="E129" s="1513">
        <v>13000000</v>
      </c>
      <c r="F129" s="1512">
        <f t="shared" si="32"/>
        <v>2340000</v>
      </c>
      <c r="G129" s="2141">
        <v>40928</v>
      </c>
      <c r="H129" s="1511">
        <v>0.18</v>
      </c>
      <c r="I129" s="1508">
        <v>12</v>
      </c>
      <c r="J129" s="1508">
        <v>12</v>
      </c>
      <c r="K129" s="1508">
        <v>1083300</v>
      </c>
      <c r="L129" s="1508">
        <f>F129/I129</f>
        <v>195000</v>
      </c>
      <c r="M129" s="1510">
        <f t="shared" si="33"/>
        <v>13000000</v>
      </c>
      <c r="N129" s="1510">
        <f t="shared" si="34"/>
        <v>2340000</v>
      </c>
      <c r="O129" s="1509">
        <v>13000000</v>
      </c>
      <c r="P129" s="1509">
        <v>2340000</v>
      </c>
      <c r="Q129" s="1509"/>
      <c r="R129" s="2650"/>
      <c r="S129" s="2650"/>
      <c r="T129" s="2840"/>
      <c r="U129" s="1495">
        <f t="shared" si="35"/>
        <v>13000000</v>
      </c>
      <c r="V129" s="1495">
        <f t="shared" si="36"/>
        <v>2340000</v>
      </c>
      <c r="W129" s="1495">
        <f t="shared" si="37"/>
        <v>0</v>
      </c>
      <c r="X129" s="1495">
        <f t="shared" si="38"/>
        <v>0</v>
      </c>
      <c r="Y129" s="1495">
        <f t="shared" si="39"/>
        <v>100</v>
      </c>
      <c r="Z129" s="1495">
        <f t="shared" si="56"/>
        <v>0</v>
      </c>
      <c r="AA129" s="1506">
        <f t="shared" si="57"/>
        <v>0</v>
      </c>
      <c r="AB129" s="1505"/>
      <c r="AC129" s="1504">
        <f t="shared" si="58"/>
        <v>0</v>
      </c>
      <c r="AD129" s="1503">
        <f t="shared" ref="AD129:AD192" si="62">IF(AND(AB129&gt;=3,AB129&lt;=4),X129,0)</f>
        <v>0</v>
      </c>
      <c r="AE129" s="1503">
        <f t="shared" ref="AE129:AE192" si="63">IF(AND(AB129&gt;=5,AB129&lt;=6),X129,0)</f>
        <v>0</v>
      </c>
      <c r="AF129" s="1502">
        <f t="shared" ref="AF129:AF192" si="64">IF(AB129&gt;6,X129,0)</f>
        <v>0</v>
      </c>
    </row>
    <row r="130" spans="1:32" s="1474" customFormat="1" ht="23.25" customHeight="1">
      <c r="A130" s="1515">
        <v>43</v>
      </c>
      <c r="B130" s="1513" t="s">
        <v>1959</v>
      </c>
      <c r="C130" s="1514" t="s">
        <v>2195</v>
      </c>
      <c r="D130" s="1514"/>
      <c r="E130" s="1513">
        <v>10000000</v>
      </c>
      <c r="F130" s="1512">
        <f t="shared" si="32"/>
        <v>1800000</v>
      </c>
      <c r="G130" s="2141">
        <v>40928</v>
      </c>
      <c r="H130" s="1511">
        <v>0.18</v>
      </c>
      <c r="I130" s="1508">
        <v>12</v>
      </c>
      <c r="J130" s="1508">
        <v>12</v>
      </c>
      <c r="K130" s="1508">
        <v>833300</v>
      </c>
      <c r="L130" s="1508">
        <f t="shared" ref="L130:L223" si="65">F130/I130</f>
        <v>150000</v>
      </c>
      <c r="M130" s="1510">
        <f t="shared" si="33"/>
        <v>10000000</v>
      </c>
      <c r="N130" s="1510">
        <f>IF(J130&lt;I130,J130*L130,IF(J130&gt;=I130,F130))-150000</f>
        <v>1650000</v>
      </c>
      <c r="O130" s="1509">
        <v>10000000</v>
      </c>
      <c r="P130" s="1509">
        <v>1650000</v>
      </c>
      <c r="Q130" s="1509"/>
      <c r="R130" s="2650"/>
      <c r="S130" s="2650"/>
      <c r="T130" s="2840"/>
      <c r="U130" s="1495">
        <f t="shared" si="35"/>
        <v>10000000</v>
      </c>
      <c r="V130" s="1495">
        <f t="shared" si="36"/>
        <v>1650000</v>
      </c>
      <c r="W130" s="1495">
        <f t="shared" si="37"/>
        <v>0</v>
      </c>
      <c r="X130" s="1495">
        <f t="shared" si="38"/>
        <v>0</v>
      </c>
      <c r="Y130" s="1495">
        <f t="shared" si="39"/>
        <v>100</v>
      </c>
      <c r="Z130" s="1495">
        <f t="shared" si="56"/>
        <v>0</v>
      </c>
      <c r="AA130" s="1506">
        <f t="shared" si="57"/>
        <v>0</v>
      </c>
      <c r="AB130" s="1505"/>
      <c r="AC130" s="1504">
        <f t="shared" si="58"/>
        <v>0</v>
      </c>
      <c r="AD130" s="1503">
        <f t="shared" si="62"/>
        <v>0</v>
      </c>
      <c r="AE130" s="1503">
        <f t="shared" si="63"/>
        <v>0</v>
      </c>
      <c r="AF130" s="1502">
        <f t="shared" si="64"/>
        <v>0</v>
      </c>
    </row>
    <row r="131" spans="1:32" s="1474" customFormat="1" ht="23.25" customHeight="1">
      <c r="A131" s="1515">
        <v>44</v>
      </c>
      <c r="B131" s="1513" t="s">
        <v>1960</v>
      </c>
      <c r="C131" s="1514" t="s">
        <v>2195</v>
      </c>
      <c r="D131" s="1514"/>
      <c r="E131" s="1513">
        <v>9600000</v>
      </c>
      <c r="F131" s="1512">
        <f t="shared" si="32"/>
        <v>1728000</v>
      </c>
      <c r="G131" s="2141">
        <v>40928</v>
      </c>
      <c r="H131" s="1511">
        <v>0.18</v>
      </c>
      <c r="I131" s="1508">
        <v>12</v>
      </c>
      <c r="J131" s="1508">
        <v>12</v>
      </c>
      <c r="K131" s="1508">
        <f>E131/I131</f>
        <v>800000</v>
      </c>
      <c r="L131" s="1508">
        <f t="shared" si="65"/>
        <v>144000</v>
      </c>
      <c r="M131" s="1510">
        <f t="shared" si="33"/>
        <v>9600000</v>
      </c>
      <c r="N131" s="1510">
        <f t="shared" si="34"/>
        <v>1728000</v>
      </c>
      <c r="O131" s="1509">
        <v>9600000</v>
      </c>
      <c r="P131" s="1509">
        <v>1728000</v>
      </c>
      <c r="Q131" s="1509"/>
      <c r="R131" s="2650"/>
      <c r="S131" s="2650"/>
      <c r="T131" s="2840"/>
      <c r="U131" s="1495">
        <f t="shared" si="35"/>
        <v>9600000</v>
      </c>
      <c r="V131" s="1495">
        <f t="shared" si="36"/>
        <v>1728000</v>
      </c>
      <c r="W131" s="1495">
        <f t="shared" si="37"/>
        <v>0</v>
      </c>
      <c r="X131" s="1495">
        <f t="shared" si="38"/>
        <v>0</v>
      </c>
      <c r="Y131" s="1495">
        <f t="shared" si="39"/>
        <v>100</v>
      </c>
      <c r="Z131" s="1495">
        <f t="shared" si="56"/>
        <v>0</v>
      </c>
      <c r="AA131" s="1506">
        <f t="shared" si="57"/>
        <v>0</v>
      </c>
      <c r="AB131" s="1505"/>
      <c r="AC131" s="1504">
        <f t="shared" si="58"/>
        <v>0</v>
      </c>
      <c r="AD131" s="1503">
        <f t="shared" si="62"/>
        <v>0</v>
      </c>
      <c r="AE131" s="1503">
        <f t="shared" si="63"/>
        <v>0</v>
      </c>
      <c r="AF131" s="1502">
        <f t="shared" si="64"/>
        <v>0</v>
      </c>
    </row>
    <row r="132" spans="1:32" s="1474" customFormat="1" ht="23.25" customHeight="1">
      <c r="A132" s="1515">
        <v>45</v>
      </c>
      <c r="B132" s="1513" t="s">
        <v>1961</v>
      </c>
      <c r="C132" s="1514" t="s">
        <v>2195</v>
      </c>
      <c r="D132" s="1514"/>
      <c r="E132" s="1513">
        <v>15000000</v>
      </c>
      <c r="F132" s="1512">
        <f t="shared" si="32"/>
        <v>2700000</v>
      </c>
      <c r="G132" s="2141">
        <v>40928</v>
      </c>
      <c r="H132" s="1511">
        <v>0.18</v>
      </c>
      <c r="I132" s="1508">
        <v>12</v>
      </c>
      <c r="J132" s="1508">
        <v>12</v>
      </c>
      <c r="K132" s="1508">
        <f>E132/I132</f>
        <v>1250000</v>
      </c>
      <c r="L132" s="1508">
        <f t="shared" si="65"/>
        <v>225000</v>
      </c>
      <c r="M132" s="1510">
        <f t="shared" si="33"/>
        <v>15000000</v>
      </c>
      <c r="N132" s="1510">
        <f t="shared" si="34"/>
        <v>2700000</v>
      </c>
      <c r="O132" s="1509">
        <v>15000000</v>
      </c>
      <c r="P132" s="1509">
        <v>2700000</v>
      </c>
      <c r="Q132" s="1509"/>
      <c r="R132" s="2650"/>
      <c r="S132" s="2650"/>
      <c r="T132" s="2840"/>
      <c r="U132" s="1495">
        <f t="shared" si="35"/>
        <v>15000000</v>
      </c>
      <c r="V132" s="1495">
        <f t="shared" si="36"/>
        <v>2700000</v>
      </c>
      <c r="W132" s="1495">
        <f t="shared" si="37"/>
        <v>0</v>
      </c>
      <c r="X132" s="1495">
        <f t="shared" si="38"/>
        <v>0</v>
      </c>
      <c r="Y132" s="1495">
        <f t="shared" si="39"/>
        <v>100</v>
      </c>
      <c r="Z132" s="1495">
        <f t="shared" si="56"/>
        <v>0</v>
      </c>
      <c r="AA132" s="1506">
        <f t="shared" si="57"/>
        <v>0</v>
      </c>
      <c r="AB132" s="1505"/>
      <c r="AC132" s="1504">
        <f t="shared" si="58"/>
        <v>0</v>
      </c>
      <c r="AD132" s="1503">
        <f t="shared" si="62"/>
        <v>0</v>
      </c>
      <c r="AE132" s="1503">
        <f t="shared" si="63"/>
        <v>0</v>
      </c>
      <c r="AF132" s="1502">
        <f t="shared" si="64"/>
        <v>0</v>
      </c>
    </row>
    <row r="133" spans="1:32" s="1474" customFormat="1" ht="23.25" customHeight="1">
      <c r="A133" s="1515">
        <v>46</v>
      </c>
      <c r="B133" s="1513" t="s">
        <v>1962</v>
      </c>
      <c r="C133" s="1514" t="s">
        <v>2195</v>
      </c>
      <c r="D133" s="1514"/>
      <c r="E133" s="1513">
        <v>10000000</v>
      </c>
      <c r="F133" s="1512">
        <f t="shared" si="32"/>
        <v>1800000</v>
      </c>
      <c r="G133" s="2141">
        <v>40928</v>
      </c>
      <c r="H133" s="1511">
        <v>0.18</v>
      </c>
      <c r="I133" s="1508">
        <v>12</v>
      </c>
      <c r="J133" s="1508">
        <v>12</v>
      </c>
      <c r="K133" s="1508">
        <v>833300</v>
      </c>
      <c r="L133" s="1508">
        <f t="shared" si="65"/>
        <v>150000</v>
      </c>
      <c r="M133" s="1510">
        <f t="shared" si="33"/>
        <v>10000000</v>
      </c>
      <c r="N133" s="1510">
        <f>IF(J133&lt;I133,J133*L133,IF(J133&gt;=I133,F133))-150000</f>
        <v>1650000</v>
      </c>
      <c r="O133" s="1509">
        <v>10000000</v>
      </c>
      <c r="P133" s="1509">
        <v>1650000</v>
      </c>
      <c r="Q133" s="1509"/>
      <c r="R133" s="2650"/>
      <c r="S133" s="2650"/>
      <c r="T133" s="2840"/>
      <c r="U133" s="1495">
        <f t="shared" si="35"/>
        <v>10000000</v>
      </c>
      <c r="V133" s="1495">
        <f t="shared" si="36"/>
        <v>1650000</v>
      </c>
      <c r="W133" s="1495">
        <f t="shared" si="37"/>
        <v>0</v>
      </c>
      <c r="X133" s="1495">
        <f t="shared" si="38"/>
        <v>0</v>
      </c>
      <c r="Y133" s="1495">
        <f t="shared" si="39"/>
        <v>100</v>
      </c>
      <c r="Z133" s="1495">
        <f t="shared" si="56"/>
        <v>0</v>
      </c>
      <c r="AA133" s="1506">
        <f t="shared" si="57"/>
        <v>0</v>
      </c>
      <c r="AB133" s="1505"/>
      <c r="AC133" s="1504">
        <f t="shared" si="58"/>
        <v>0</v>
      </c>
      <c r="AD133" s="1503">
        <f t="shared" si="62"/>
        <v>0</v>
      </c>
      <c r="AE133" s="1503">
        <f t="shared" si="63"/>
        <v>0</v>
      </c>
      <c r="AF133" s="1502">
        <f t="shared" si="64"/>
        <v>0</v>
      </c>
    </row>
    <row r="134" spans="1:32" s="1474" customFormat="1" ht="23.25" customHeight="1">
      <c r="A134" s="1515">
        <v>47</v>
      </c>
      <c r="B134" s="1513" t="s">
        <v>2239</v>
      </c>
      <c r="C134" s="1514" t="s">
        <v>2195</v>
      </c>
      <c r="D134" s="1514"/>
      <c r="E134" s="1513">
        <v>11000000</v>
      </c>
      <c r="F134" s="1512">
        <f t="shared" si="32"/>
        <v>1980000</v>
      </c>
      <c r="G134" s="2141">
        <v>40928</v>
      </c>
      <c r="H134" s="1511">
        <v>0.18</v>
      </c>
      <c r="I134" s="1508">
        <v>12</v>
      </c>
      <c r="J134" s="1508">
        <v>12</v>
      </c>
      <c r="K134" s="1508">
        <v>916700</v>
      </c>
      <c r="L134" s="1508">
        <f t="shared" si="65"/>
        <v>165000</v>
      </c>
      <c r="M134" s="1510">
        <f t="shared" si="33"/>
        <v>11000000</v>
      </c>
      <c r="N134" s="1510">
        <f>IF(J134&lt;I134,J134*L134,IF(J134&gt;=I134,F134))-165000</f>
        <v>1815000</v>
      </c>
      <c r="O134" s="1509">
        <v>11000000</v>
      </c>
      <c r="P134" s="1509">
        <v>1815000</v>
      </c>
      <c r="Q134" s="1509"/>
      <c r="R134" s="2650"/>
      <c r="S134" s="2650"/>
      <c r="T134" s="2840"/>
      <c r="U134" s="1495">
        <f t="shared" si="35"/>
        <v>11000000</v>
      </c>
      <c r="V134" s="1495">
        <f t="shared" si="36"/>
        <v>1815000</v>
      </c>
      <c r="W134" s="1495">
        <f t="shared" si="37"/>
        <v>0</v>
      </c>
      <c r="X134" s="1495">
        <f t="shared" si="38"/>
        <v>0</v>
      </c>
      <c r="Y134" s="1495">
        <f t="shared" si="39"/>
        <v>100</v>
      </c>
      <c r="Z134" s="1495">
        <f t="shared" si="56"/>
        <v>0</v>
      </c>
      <c r="AA134" s="1506">
        <f t="shared" si="57"/>
        <v>0</v>
      </c>
      <c r="AB134" s="1505"/>
      <c r="AC134" s="1504">
        <f t="shared" si="58"/>
        <v>0</v>
      </c>
      <c r="AD134" s="1503">
        <f t="shared" si="62"/>
        <v>0</v>
      </c>
      <c r="AE134" s="1503">
        <f t="shared" si="63"/>
        <v>0</v>
      </c>
      <c r="AF134" s="1502">
        <f t="shared" si="64"/>
        <v>0</v>
      </c>
    </row>
    <row r="135" spans="1:32" s="1474" customFormat="1" ht="23.25" customHeight="1">
      <c r="A135" s="1515">
        <v>48</v>
      </c>
      <c r="B135" s="1513" t="s">
        <v>2240</v>
      </c>
      <c r="C135" s="1514" t="s">
        <v>2195</v>
      </c>
      <c r="D135" s="1514"/>
      <c r="E135" s="1513">
        <v>15000000</v>
      </c>
      <c r="F135" s="1512">
        <f t="shared" si="32"/>
        <v>2700000</v>
      </c>
      <c r="G135" s="2141">
        <v>40928</v>
      </c>
      <c r="H135" s="1511">
        <v>0.18</v>
      </c>
      <c r="I135" s="1508">
        <v>12</v>
      </c>
      <c r="J135" s="1508">
        <v>12</v>
      </c>
      <c r="K135" s="1508">
        <f>E135/I135</f>
        <v>1250000</v>
      </c>
      <c r="L135" s="1508">
        <f t="shared" si="65"/>
        <v>225000</v>
      </c>
      <c r="M135" s="1510">
        <f t="shared" si="33"/>
        <v>15000000</v>
      </c>
      <c r="N135" s="1510">
        <f t="shared" si="34"/>
        <v>2700000</v>
      </c>
      <c r="O135" s="1509">
        <v>15000000</v>
      </c>
      <c r="P135" s="1509">
        <v>2700000</v>
      </c>
      <c r="Q135" s="1509"/>
      <c r="R135" s="2650"/>
      <c r="S135" s="2650"/>
      <c r="T135" s="2840"/>
      <c r="U135" s="1495">
        <f t="shared" si="35"/>
        <v>15000000</v>
      </c>
      <c r="V135" s="1495">
        <f t="shared" si="36"/>
        <v>2700000</v>
      </c>
      <c r="W135" s="1495">
        <f t="shared" si="37"/>
        <v>0</v>
      </c>
      <c r="X135" s="1495">
        <f t="shared" si="38"/>
        <v>0</v>
      </c>
      <c r="Y135" s="1495">
        <f t="shared" si="39"/>
        <v>100</v>
      </c>
      <c r="Z135" s="1495">
        <f t="shared" si="56"/>
        <v>0</v>
      </c>
      <c r="AA135" s="1506">
        <f t="shared" si="57"/>
        <v>0</v>
      </c>
      <c r="AB135" s="1505"/>
      <c r="AC135" s="1504">
        <f t="shared" si="58"/>
        <v>0</v>
      </c>
      <c r="AD135" s="1503">
        <f t="shared" si="62"/>
        <v>0</v>
      </c>
      <c r="AE135" s="1503">
        <f t="shared" si="63"/>
        <v>0</v>
      </c>
      <c r="AF135" s="1502">
        <f t="shared" si="64"/>
        <v>0</v>
      </c>
    </row>
    <row r="136" spans="1:32" s="1474" customFormat="1" ht="23.25" customHeight="1">
      <c r="A136" s="1515">
        <v>49</v>
      </c>
      <c r="B136" s="1513" t="s">
        <v>1966</v>
      </c>
      <c r="C136" s="1514" t="s">
        <v>2195</v>
      </c>
      <c r="D136" s="1514"/>
      <c r="E136" s="1513">
        <v>9000000</v>
      </c>
      <c r="F136" s="1512">
        <f t="shared" si="32"/>
        <v>1620000</v>
      </c>
      <c r="G136" s="2141">
        <v>40928</v>
      </c>
      <c r="H136" s="1511">
        <v>0.18</v>
      </c>
      <c r="I136" s="1508">
        <v>12</v>
      </c>
      <c r="J136" s="1508">
        <v>12</v>
      </c>
      <c r="K136" s="1508">
        <f>E136/I136</f>
        <v>750000</v>
      </c>
      <c r="L136" s="1508">
        <f t="shared" si="65"/>
        <v>135000</v>
      </c>
      <c r="M136" s="1510">
        <f t="shared" si="33"/>
        <v>9000000</v>
      </c>
      <c r="N136" s="1510">
        <f t="shared" si="34"/>
        <v>1620000</v>
      </c>
      <c r="O136" s="1509">
        <v>9000000</v>
      </c>
      <c r="P136" s="1509">
        <v>1620000</v>
      </c>
      <c r="Q136" s="1509"/>
      <c r="R136" s="2650"/>
      <c r="S136" s="2650"/>
      <c r="T136" s="2840"/>
      <c r="U136" s="1495">
        <f t="shared" si="35"/>
        <v>9000000</v>
      </c>
      <c r="V136" s="1495">
        <f t="shared" si="36"/>
        <v>1620000</v>
      </c>
      <c r="W136" s="1495">
        <f t="shared" si="37"/>
        <v>0</v>
      </c>
      <c r="X136" s="1495">
        <f t="shared" si="38"/>
        <v>0</v>
      </c>
      <c r="Y136" s="1495">
        <f t="shared" si="39"/>
        <v>100</v>
      </c>
      <c r="Z136" s="1495">
        <f t="shared" si="56"/>
        <v>0</v>
      </c>
      <c r="AA136" s="1506">
        <f t="shared" si="57"/>
        <v>0</v>
      </c>
      <c r="AB136" s="1505"/>
      <c r="AC136" s="1504">
        <f t="shared" si="58"/>
        <v>0</v>
      </c>
      <c r="AD136" s="1503">
        <f t="shared" si="62"/>
        <v>0</v>
      </c>
      <c r="AE136" s="1503">
        <f t="shared" si="63"/>
        <v>0</v>
      </c>
      <c r="AF136" s="1502">
        <f t="shared" si="64"/>
        <v>0</v>
      </c>
    </row>
    <row r="137" spans="1:32" s="1474" customFormat="1" ht="23.25" customHeight="1">
      <c r="A137" s="1515">
        <v>50</v>
      </c>
      <c r="B137" s="1513" t="s">
        <v>1934</v>
      </c>
      <c r="C137" s="1514" t="s">
        <v>2195</v>
      </c>
      <c r="D137" s="1514"/>
      <c r="E137" s="1513">
        <v>12000000</v>
      </c>
      <c r="F137" s="1512">
        <f t="shared" si="32"/>
        <v>2160000</v>
      </c>
      <c r="G137" s="2141">
        <v>40928</v>
      </c>
      <c r="H137" s="1511">
        <v>0.18</v>
      </c>
      <c r="I137" s="1508">
        <v>12</v>
      </c>
      <c r="J137" s="1508">
        <v>12</v>
      </c>
      <c r="K137" s="1508">
        <f>E137/I137</f>
        <v>1000000</v>
      </c>
      <c r="L137" s="1508">
        <f t="shared" si="65"/>
        <v>180000</v>
      </c>
      <c r="M137" s="1510">
        <f t="shared" si="33"/>
        <v>12000000</v>
      </c>
      <c r="N137" s="1510">
        <f>IF(J137&lt;I137,J137*L137,IF(J137&gt;=I137,F137))-180000</f>
        <v>1980000</v>
      </c>
      <c r="O137" s="1509">
        <v>12000000</v>
      </c>
      <c r="P137" s="1509">
        <v>1980000</v>
      </c>
      <c r="Q137" s="1509"/>
      <c r="R137" s="2650"/>
      <c r="S137" s="2650"/>
      <c r="T137" s="2840"/>
      <c r="U137" s="1495">
        <f t="shared" si="35"/>
        <v>12000000</v>
      </c>
      <c r="V137" s="1495">
        <f t="shared" si="36"/>
        <v>1980000</v>
      </c>
      <c r="W137" s="1495">
        <f t="shared" si="37"/>
        <v>0</v>
      </c>
      <c r="X137" s="1495">
        <f t="shared" si="38"/>
        <v>0</v>
      </c>
      <c r="Y137" s="1495">
        <f t="shared" si="39"/>
        <v>100</v>
      </c>
      <c r="Z137" s="1495">
        <f t="shared" si="56"/>
        <v>0</v>
      </c>
      <c r="AA137" s="1506">
        <f t="shared" si="57"/>
        <v>0</v>
      </c>
      <c r="AB137" s="1505"/>
      <c r="AC137" s="1504">
        <f t="shared" si="58"/>
        <v>0</v>
      </c>
      <c r="AD137" s="1503">
        <f t="shared" si="62"/>
        <v>0</v>
      </c>
      <c r="AE137" s="1503">
        <f t="shared" si="63"/>
        <v>0</v>
      </c>
      <c r="AF137" s="1502">
        <f t="shared" si="64"/>
        <v>0</v>
      </c>
    </row>
    <row r="138" spans="1:32" s="1474" customFormat="1" ht="23.25" customHeight="1">
      <c r="A138" s="1515">
        <v>51</v>
      </c>
      <c r="B138" s="1513" t="s">
        <v>1967</v>
      </c>
      <c r="C138" s="1514" t="s">
        <v>2195</v>
      </c>
      <c r="D138" s="1514"/>
      <c r="E138" s="1513">
        <v>12000000</v>
      </c>
      <c r="F138" s="1512">
        <f t="shared" si="32"/>
        <v>2160000</v>
      </c>
      <c r="G138" s="2141">
        <v>40928</v>
      </c>
      <c r="H138" s="1511">
        <v>0.18</v>
      </c>
      <c r="I138" s="1508">
        <v>12</v>
      </c>
      <c r="J138" s="1508">
        <v>12</v>
      </c>
      <c r="K138" s="1508">
        <f>E138/I138</f>
        <v>1000000</v>
      </c>
      <c r="L138" s="1508">
        <f t="shared" si="65"/>
        <v>180000</v>
      </c>
      <c r="M138" s="1510">
        <f t="shared" si="33"/>
        <v>12000000</v>
      </c>
      <c r="N138" s="1510">
        <f t="shared" si="34"/>
        <v>2160000</v>
      </c>
      <c r="O138" s="1509">
        <v>12000000</v>
      </c>
      <c r="P138" s="1509">
        <v>2160000</v>
      </c>
      <c r="Q138" s="1509"/>
      <c r="R138" s="2650"/>
      <c r="S138" s="2650"/>
      <c r="T138" s="2840"/>
      <c r="U138" s="1495">
        <f t="shared" si="35"/>
        <v>12000000</v>
      </c>
      <c r="V138" s="1495">
        <f t="shared" si="36"/>
        <v>2160000</v>
      </c>
      <c r="W138" s="1495">
        <f t="shared" si="37"/>
        <v>0</v>
      </c>
      <c r="X138" s="1495">
        <f t="shared" si="38"/>
        <v>0</v>
      </c>
      <c r="Y138" s="1495">
        <f t="shared" si="39"/>
        <v>100</v>
      </c>
      <c r="Z138" s="1495">
        <f t="shared" si="56"/>
        <v>0</v>
      </c>
      <c r="AA138" s="1506">
        <f t="shared" si="57"/>
        <v>0</v>
      </c>
      <c r="AB138" s="1505"/>
      <c r="AC138" s="1504">
        <f t="shared" si="58"/>
        <v>0</v>
      </c>
      <c r="AD138" s="1503">
        <f t="shared" si="62"/>
        <v>0</v>
      </c>
      <c r="AE138" s="1503">
        <f t="shared" si="63"/>
        <v>0</v>
      </c>
      <c r="AF138" s="1502">
        <f t="shared" si="64"/>
        <v>0</v>
      </c>
    </row>
    <row r="139" spans="1:32" s="1474" customFormat="1" ht="23.25" customHeight="1">
      <c r="A139" s="1515">
        <v>52</v>
      </c>
      <c r="B139" s="1513" t="s">
        <v>1968</v>
      </c>
      <c r="C139" s="1514" t="s">
        <v>2195</v>
      </c>
      <c r="D139" s="1514"/>
      <c r="E139" s="1513">
        <v>10000000</v>
      </c>
      <c r="F139" s="1512">
        <f t="shared" si="32"/>
        <v>1800000</v>
      </c>
      <c r="G139" s="2141">
        <v>40928</v>
      </c>
      <c r="H139" s="1511">
        <v>0.18</v>
      </c>
      <c r="I139" s="1508">
        <v>12</v>
      </c>
      <c r="J139" s="1508">
        <v>12</v>
      </c>
      <c r="K139" s="1508">
        <v>833300</v>
      </c>
      <c r="L139" s="1508">
        <f t="shared" si="65"/>
        <v>150000</v>
      </c>
      <c r="M139" s="1510">
        <f t="shared" si="33"/>
        <v>10000000</v>
      </c>
      <c r="N139" s="1510">
        <f t="shared" si="34"/>
        <v>1800000</v>
      </c>
      <c r="O139" s="1509">
        <v>10000000</v>
      </c>
      <c r="P139" s="1509">
        <v>1800000</v>
      </c>
      <c r="Q139" s="1509"/>
      <c r="R139" s="2650"/>
      <c r="S139" s="2650"/>
      <c r="T139" s="2840"/>
      <c r="U139" s="1495">
        <f t="shared" si="35"/>
        <v>10000000</v>
      </c>
      <c r="V139" s="1495">
        <f t="shared" si="36"/>
        <v>1800000</v>
      </c>
      <c r="W139" s="1495">
        <f t="shared" si="37"/>
        <v>0</v>
      </c>
      <c r="X139" s="1495">
        <f t="shared" si="38"/>
        <v>0</v>
      </c>
      <c r="Y139" s="1495">
        <f t="shared" si="39"/>
        <v>100</v>
      </c>
      <c r="Z139" s="1495">
        <f t="shared" si="56"/>
        <v>0</v>
      </c>
      <c r="AA139" s="1506">
        <f t="shared" si="57"/>
        <v>0</v>
      </c>
      <c r="AB139" s="1505"/>
      <c r="AC139" s="1504">
        <f t="shared" si="58"/>
        <v>0</v>
      </c>
      <c r="AD139" s="1503">
        <f t="shared" si="62"/>
        <v>0</v>
      </c>
      <c r="AE139" s="1503">
        <f t="shared" si="63"/>
        <v>0</v>
      </c>
      <c r="AF139" s="1502">
        <f t="shared" si="64"/>
        <v>0</v>
      </c>
    </row>
    <row r="140" spans="1:32" s="1474" customFormat="1" ht="23.25" customHeight="1">
      <c r="A140" s="1515">
        <v>53</v>
      </c>
      <c r="B140" s="1513" t="s">
        <v>1972</v>
      </c>
      <c r="C140" s="1514" t="s">
        <v>2195</v>
      </c>
      <c r="D140" s="1514"/>
      <c r="E140" s="1513">
        <v>16000000</v>
      </c>
      <c r="F140" s="1512">
        <f t="shared" si="32"/>
        <v>2880000</v>
      </c>
      <c r="G140" s="2141">
        <v>40928</v>
      </c>
      <c r="H140" s="1511">
        <v>0.18</v>
      </c>
      <c r="I140" s="1508">
        <v>12</v>
      </c>
      <c r="J140" s="1508">
        <v>12</v>
      </c>
      <c r="K140" s="1508">
        <v>1333300</v>
      </c>
      <c r="L140" s="1508">
        <f t="shared" si="65"/>
        <v>240000</v>
      </c>
      <c r="M140" s="1510">
        <f t="shared" si="33"/>
        <v>16000000</v>
      </c>
      <c r="N140" s="1510">
        <f t="shared" si="34"/>
        <v>2880000</v>
      </c>
      <c r="O140" s="1509">
        <v>16000000</v>
      </c>
      <c r="P140" s="1509">
        <v>2880000</v>
      </c>
      <c r="Q140" s="1509"/>
      <c r="R140" s="2650"/>
      <c r="S140" s="2650"/>
      <c r="T140" s="2840"/>
      <c r="U140" s="1495">
        <f t="shared" si="35"/>
        <v>16000000</v>
      </c>
      <c r="V140" s="1495">
        <f t="shared" si="36"/>
        <v>2880000</v>
      </c>
      <c r="W140" s="1495">
        <f t="shared" si="37"/>
        <v>0</v>
      </c>
      <c r="X140" s="1495">
        <f t="shared" si="38"/>
        <v>0</v>
      </c>
      <c r="Y140" s="1495">
        <f t="shared" si="39"/>
        <v>100</v>
      </c>
      <c r="Z140" s="1495">
        <f t="shared" si="56"/>
        <v>0</v>
      </c>
      <c r="AA140" s="1506">
        <f t="shared" si="57"/>
        <v>0</v>
      </c>
      <c r="AB140" s="1505"/>
      <c r="AC140" s="1504">
        <f t="shared" si="58"/>
        <v>0</v>
      </c>
      <c r="AD140" s="1503">
        <f t="shared" si="62"/>
        <v>0</v>
      </c>
      <c r="AE140" s="1503">
        <f t="shared" si="63"/>
        <v>0</v>
      </c>
      <c r="AF140" s="1502">
        <f t="shared" si="64"/>
        <v>0</v>
      </c>
    </row>
    <row r="141" spans="1:32" s="1474" customFormat="1" ht="23.25" customHeight="1">
      <c r="A141" s="1515">
        <v>54</v>
      </c>
      <c r="B141" s="1513" t="s">
        <v>1949</v>
      </c>
      <c r="C141" s="1514" t="s">
        <v>2195</v>
      </c>
      <c r="D141" s="1514"/>
      <c r="E141" s="1513">
        <v>23000000</v>
      </c>
      <c r="F141" s="1512">
        <f t="shared" si="32"/>
        <v>4140000</v>
      </c>
      <c r="G141" s="2141">
        <v>40928</v>
      </c>
      <c r="H141" s="1511">
        <v>0.18</v>
      </c>
      <c r="I141" s="1508">
        <v>12</v>
      </c>
      <c r="J141" s="1508">
        <v>12</v>
      </c>
      <c r="K141" s="1508">
        <v>1916700</v>
      </c>
      <c r="L141" s="1508">
        <f t="shared" si="65"/>
        <v>345000</v>
      </c>
      <c r="M141" s="1510">
        <f t="shared" si="33"/>
        <v>23000000</v>
      </c>
      <c r="N141" s="1510">
        <f t="shared" si="34"/>
        <v>4140000</v>
      </c>
      <c r="O141" s="1509">
        <v>23000000</v>
      </c>
      <c r="P141" s="1509">
        <v>4140000</v>
      </c>
      <c r="Q141" s="1509"/>
      <c r="R141" s="2650"/>
      <c r="S141" s="2650"/>
      <c r="T141" s="2840"/>
      <c r="U141" s="1495">
        <f t="shared" si="35"/>
        <v>23000000</v>
      </c>
      <c r="V141" s="1495">
        <f t="shared" si="36"/>
        <v>4140000</v>
      </c>
      <c r="W141" s="1495">
        <f t="shared" si="37"/>
        <v>0</v>
      </c>
      <c r="X141" s="1495">
        <f t="shared" si="38"/>
        <v>0</v>
      </c>
      <c r="Y141" s="1495">
        <f t="shared" si="39"/>
        <v>100</v>
      </c>
      <c r="Z141" s="1495">
        <f t="shared" si="56"/>
        <v>0</v>
      </c>
      <c r="AA141" s="1506">
        <f t="shared" si="57"/>
        <v>0</v>
      </c>
      <c r="AB141" s="1505"/>
      <c r="AC141" s="1504">
        <f t="shared" si="58"/>
        <v>0</v>
      </c>
      <c r="AD141" s="1503">
        <f t="shared" si="62"/>
        <v>0</v>
      </c>
      <c r="AE141" s="1503">
        <f t="shared" si="63"/>
        <v>0</v>
      </c>
      <c r="AF141" s="1502">
        <f t="shared" si="64"/>
        <v>0</v>
      </c>
    </row>
    <row r="142" spans="1:32" s="3080" customFormat="1" ht="23.25" customHeight="1">
      <c r="A142" s="3081">
        <v>55</v>
      </c>
      <c r="B142" s="3082" t="s">
        <v>1950</v>
      </c>
      <c r="C142" s="3083" t="s">
        <v>2195</v>
      </c>
      <c r="D142" s="3083">
        <v>10</v>
      </c>
      <c r="E142" s="3082">
        <v>13500000</v>
      </c>
      <c r="F142" s="3082">
        <f t="shared" si="32"/>
        <v>2430000</v>
      </c>
      <c r="G142" s="3084">
        <v>40928</v>
      </c>
      <c r="H142" s="3085">
        <v>0.18</v>
      </c>
      <c r="I142" s="2408">
        <v>12</v>
      </c>
      <c r="J142" s="2408">
        <v>12</v>
      </c>
      <c r="K142" s="2408">
        <f>E142/I142</f>
        <v>1125000</v>
      </c>
      <c r="L142" s="2408">
        <f t="shared" si="65"/>
        <v>202500</v>
      </c>
      <c r="M142" s="2408">
        <f t="shared" si="33"/>
        <v>13500000</v>
      </c>
      <c r="N142" s="2408">
        <f t="shared" si="34"/>
        <v>2430000</v>
      </c>
      <c r="O142" s="2408">
        <v>12125000</v>
      </c>
      <c r="P142" s="2408">
        <v>2227500</v>
      </c>
      <c r="Q142" s="2408"/>
      <c r="R142" s="2408"/>
      <c r="S142" s="2408"/>
      <c r="T142" s="3082"/>
      <c r="U142" s="2831">
        <f t="shared" si="35"/>
        <v>12125000</v>
      </c>
      <c r="V142" s="2831">
        <f t="shared" si="36"/>
        <v>2227500</v>
      </c>
      <c r="W142" s="2831">
        <f t="shared" si="37"/>
        <v>0</v>
      </c>
      <c r="X142" s="2831">
        <f t="shared" si="38"/>
        <v>1375000</v>
      </c>
      <c r="Y142" s="2831">
        <f t="shared" si="39"/>
        <v>89.81481481481481</v>
      </c>
      <c r="Z142" s="2831">
        <f t="shared" si="56"/>
        <v>1375000</v>
      </c>
      <c r="AA142" s="2832">
        <f t="shared" si="57"/>
        <v>202500</v>
      </c>
      <c r="AB142" s="3086">
        <v>7</v>
      </c>
      <c r="AC142" s="3077">
        <f t="shared" si="58"/>
        <v>0</v>
      </c>
      <c r="AD142" s="3078">
        <f t="shared" si="62"/>
        <v>0</v>
      </c>
      <c r="AE142" s="3078">
        <f t="shared" si="63"/>
        <v>0</v>
      </c>
      <c r="AF142" s="3079">
        <f t="shared" si="64"/>
        <v>1375000</v>
      </c>
    </row>
    <row r="143" spans="1:32" s="1474" customFormat="1" ht="23.25" customHeight="1">
      <c r="A143" s="1515">
        <v>56</v>
      </c>
      <c r="B143" s="1513" t="s">
        <v>1954</v>
      </c>
      <c r="C143" s="1514" t="s">
        <v>2195</v>
      </c>
      <c r="D143" s="1514"/>
      <c r="E143" s="1513">
        <v>13000000</v>
      </c>
      <c r="F143" s="1512">
        <f t="shared" si="32"/>
        <v>2340000</v>
      </c>
      <c r="G143" s="2141">
        <v>40928</v>
      </c>
      <c r="H143" s="1511">
        <v>0.18</v>
      </c>
      <c r="I143" s="1508">
        <v>12</v>
      </c>
      <c r="J143" s="1508">
        <v>12</v>
      </c>
      <c r="K143" s="1508">
        <v>1083300</v>
      </c>
      <c r="L143" s="1508">
        <f t="shared" si="65"/>
        <v>195000</v>
      </c>
      <c r="M143" s="1510">
        <f t="shared" si="33"/>
        <v>13000000</v>
      </c>
      <c r="N143" s="1510">
        <f>IF(J143&lt;I143,J143*L143,IF(J143&gt;=I143,F143))-195000</f>
        <v>2145000</v>
      </c>
      <c r="O143" s="1509">
        <v>13000000</v>
      </c>
      <c r="P143" s="1509">
        <v>2145000</v>
      </c>
      <c r="Q143" s="1509"/>
      <c r="R143" s="2650"/>
      <c r="S143" s="2650"/>
      <c r="T143" s="2840"/>
      <c r="U143" s="1495">
        <f t="shared" si="35"/>
        <v>13000000</v>
      </c>
      <c r="V143" s="1495">
        <f t="shared" si="36"/>
        <v>2145000</v>
      </c>
      <c r="W143" s="1495">
        <f t="shared" si="37"/>
        <v>0</v>
      </c>
      <c r="X143" s="1495">
        <f t="shared" si="38"/>
        <v>0</v>
      </c>
      <c r="Y143" s="1495">
        <f t="shared" si="39"/>
        <v>100</v>
      </c>
      <c r="Z143" s="1495">
        <f t="shared" si="56"/>
        <v>0</v>
      </c>
      <c r="AA143" s="1506">
        <f t="shared" si="57"/>
        <v>0</v>
      </c>
      <c r="AB143" s="1505"/>
      <c r="AC143" s="1504">
        <f t="shared" si="58"/>
        <v>0</v>
      </c>
      <c r="AD143" s="1503">
        <f t="shared" si="62"/>
        <v>0</v>
      </c>
      <c r="AE143" s="1503">
        <f t="shared" si="63"/>
        <v>0</v>
      </c>
      <c r="AF143" s="1502">
        <f t="shared" si="64"/>
        <v>0</v>
      </c>
    </row>
    <row r="144" spans="1:32" s="1474" customFormat="1" ht="23.25" customHeight="1">
      <c r="A144" s="1515">
        <v>57</v>
      </c>
      <c r="B144" s="1513" t="s">
        <v>1956</v>
      </c>
      <c r="C144" s="1514" t="s">
        <v>2195</v>
      </c>
      <c r="D144" s="1514"/>
      <c r="E144" s="1513">
        <v>10000000</v>
      </c>
      <c r="F144" s="1512">
        <f t="shared" si="32"/>
        <v>1800000</v>
      </c>
      <c r="G144" s="2141">
        <v>40928</v>
      </c>
      <c r="H144" s="1511">
        <v>0.18</v>
      </c>
      <c r="I144" s="1508">
        <v>12</v>
      </c>
      <c r="J144" s="1508">
        <v>12</v>
      </c>
      <c r="K144" s="1508">
        <v>833300</v>
      </c>
      <c r="L144" s="1508">
        <f t="shared" si="65"/>
        <v>150000</v>
      </c>
      <c r="M144" s="1510">
        <f t="shared" si="33"/>
        <v>10000000</v>
      </c>
      <c r="N144" s="1510">
        <f t="shared" si="34"/>
        <v>1800000</v>
      </c>
      <c r="O144" s="1509">
        <v>10000000</v>
      </c>
      <c r="P144" s="1509">
        <v>1800000</v>
      </c>
      <c r="Q144" s="1509"/>
      <c r="R144" s="2650"/>
      <c r="S144" s="2650"/>
      <c r="T144" s="2840"/>
      <c r="U144" s="1495">
        <f t="shared" si="35"/>
        <v>10000000</v>
      </c>
      <c r="V144" s="1495">
        <f t="shared" si="36"/>
        <v>1800000</v>
      </c>
      <c r="W144" s="1495">
        <f t="shared" si="37"/>
        <v>0</v>
      </c>
      <c r="X144" s="1495">
        <f t="shared" si="38"/>
        <v>0</v>
      </c>
      <c r="Y144" s="1495">
        <f t="shared" si="39"/>
        <v>100</v>
      </c>
      <c r="Z144" s="1495">
        <f t="shared" si="56"/>
        <v>0</v>
      </c>
      <c r="AA144" s="1506">
        <f t="shared" si="57"/>
        <v>0</v>
      </c>
      <c r="AB144" s="1505"/>
      <c r="AC144" s="1504">
        <f t="shared" si="58"/>
        <v>0</v>
      </c>
      <c r="AD144" s="1503">
        <f t="shared" si="62"/>
        <v>0</v>
      </c>
      <c r="AE144" s="1503">
        <f t="shared" si="63"/>
        <v>0</v>
      </c>
      <c r="AF144" s="1502">
        <f t="shared" si="64"/>
        <v>0</v>
      </c>
    </row>
    <row r="145" spans="1:32" s="1474" customFormat="1" ht="23.25" customHeight="1">
      <c r="A145" s="1515">
        <v>58</v>
      </c>
      <c r="B145" s="1513" t="s">
        <v>2241</v>
      </c>
      <c r="C145" s="1514" t="s">
        <v>2195</v>
      </c>
      <c r="D145" s="1514"/>
      <c r="E145" s="1513">
        <v>15000000</v>
      </c>
      <c r="F145" s="1512">
        <f t="shared" si="32"/>
        <v>2700000</v>
      </c>
      <c r="G145" s="2141">
        <v>40928</v>
      </c>
      <c r="H145" s="1511">
        <v>0.18</v>
      </c>
      <c r="I145" s="1508">
        <v>12</v>
      </c>
      <c r="J145" s="1508">
        <v>12</v>
      </c>
      <c r="K145" s="1508">
        <f>E145/I145</f>
        <v>1250000</v>
      </c>
      <c r="L145" s="1508">
        <f t="shared" si="65"/>
        <v>225000</v>
      </c>
      <c r="M145" s="1510">
        <f t="shared" si="33"/>
        <v>15000000</v>
      </c>
      <c r="N145" s="1510">
        <f t="shared" si="34"/>
        <v>2700000</v>
      </c>
      <c r="O145" s="1509">
        <v>15000000</v>
      </c>
      <c r="P145" s="1509">
        <v>2700000</v>
      </c>
      <c r="Q145" s="1509"/>
      <c r="R145" s="2650"/>
      <c r="S145" s="2650"/>
      <c r="T145" s="2840"/>
      <c r="U145" s="1495">
        <f t="shared" si="35"/>
        <v>15000000</v>
      </c>
      <c r="V145" s="1495">
        <f t="shared" si="36"/>
        <v>2700000</v>
      </c>
      <c r="W145" s="1495">
        <f t="shared" si="37"/>
        <v>0</v>
      </c>
      <c r="X145" s="1495">
        <f t="shared" si="38"/>
        <v>0</v>
      </c>
      <c r="Y145" s="1495">
        <f t="shared" si="39"/>
        <v>100</v>
      </c>
      <c r="Z145" s="1495">
        <f t="shared" si="56"/>
        <v>0</v>
      </c>
      <c r="AA145" s="1506">
        <f t="shared" si="57"/>
        <v>0</v>
      </c>
      <c r="AB145" s="1505"/>
      <c r="AC145" s="1504">
        <f t="shared" si="58"/>
        <v>0</v>
      </c>
      <c r="AD145" s="1503">
        <f t="shared" si="62"/>
        <v>0</v>
      </c>
      <c r="AE145" s="1503">
        <f t="shared" si="63"/>
        <v>0</v>
      </c>
      <c r="AF145" s="1502">
        <f t="shared" si="64"/>
        <v>0</v>
      </c>
    </row>
    <row r="146" spans="1:32" s="1474" customFormat="1" ht="23.25" customHeight="1">
      <c r="A146" s="1515">
        <v>59</v>
      </c>
      <c r="B146" s="1513" t="s">
        <v>1953</v>
      </c>
      <c r="C146" s="1514" t="s">
        <v>2195</v>
      </c>
      <c r="D146" s="1514"/>
      <c r="E146" s="1513">
        <v>20000000</v>
      </c>
      <c r="F146" s="1512">
        <f t="shared" si="32"/>
        <v>3600000</v>
      </c>
      <c r="G146" s="2141">
        <v>40928</v>
      </c>
      <c r="H146" s="1511">
        <v>0.18</v>
      </c>
      <c r="I146" s="1508">
        <v>12</v>
      </c>
      <c r="J146" s="1508">
        <v>12</v>
      </c>
      <c r="K146" s="1508">
        <v>1666700</v>
      </c>
      <c r="L146" s="1508">
        <f t="shared" si="65"/>
        <v>300000</v>
      </c>
      <c r="M146" s="1510">
        <f t="shared" si="33"/>
        <v>20000000</v>
      </c>
      <c r="N146" s="1510">
        <f t="shared" si="34"/>
        <v>3600000</v>
      </c>
      <c r="O146" s="1509">
        <v>20000000</v>
      </c>
      <c r="P146" s="1509">
        <v>3600000</v>
      </c>
      <c r="Q146" s="1509"/>
      <c r="R146" s="2650"/>
      <c r="S146" s="2650"/>
      <c r="T146" s="2840"/>
      <c r="U146" s="1495">
        <f t="shared" si="35"/>
        <v>20000000</v>
      </c>
      <c r="V146" s="1495">
        <f t="shared" si="36"/>
        <v>3600000</v>
      </c>
      <c r="W146" s="1495">
        <f t="shared" si="37"/>
        <v>0</v>
      </c>
      <c r="X146" s="1495">
        <f t="shared" si="38"/>
        <v>0</v>
      </c>
      <c r="Y146" s="1495">
        <f t="shared" si="39"/>
        <v>100</v>
      </c>
      <c r="Z146" s="1495">
        <f t="shared" si="56"/>
        <v>0</v>
      </c>
      <c r="AA146" s="1506">
        <f t="shared" si="57"/>
        <v>0</v>
      </c>
      <c r="AB146" s="1505"/>
      <c r="AC146" s="1504">
        <f t="shared" si="58"/>
        <v>0</v>
      </c>
      <c r="AD146" s="1503">
        <f t="shared" si="62"/>
        <v>0</v>
      </c>
      <c r="AE146" s="1503">
        <f t="shared" si="63"/>
        <v>0</v>
      </c>
      <c r="AF146" s="1502">
        <f t="shared" si="64"/>
        <v>0</v>
      </c>
    </row>
    <row r="147" spans="1:32" s="1474" customFormat="1" ht="23.25" customHeight="1">
      <c r="A147" s="1515">
        <v>60</v>
      </c>
      <c r="B147" s="1513" t="s">
        <v>1952</v>
      </c>
      <c r="C147" s="1514" t="s">
        <v>2195</v>
      </c>
      <c r="D147" s="1514"/>
      <c r="E147" s="1513">
        <v>22000000</v>
      </c>
      <c r="F147" s="1512">
        <f t="shared" si="32"/>
        <v>3960000</v>
      </c>
      <c r="G147" s="2141">
        <v>40928</v>
      </c>
      <c r="H147" s="1511">
        <v>0.18</v>
      </c>
      <c r="I147" s="1508">
        <v>12</v>
      </c>
      <c r="J147" s="1508">
        <v>12</v>
      </c>
      <c r="K147" s="1508">
        <v>1833300</v>
      </c>
      <c r="L147" s="1508">
        <f t="shared" si="65"/>
        <v>330000</v>
      </c>
      <c r="M147" s="1510">
        <f t="shared" si="33"/>
        <v>22000000</v>
      </c>
      <c r="N147" s="1510">
        <f t="shared" si="34"/>
        <v>3960000</v>
      </c>
      <c r="O147" s="1509">
        <v>22000000</v>
      </c>
      <c r="P147" s="1509">
        <v>3960000</v>
      </c>
      <c r="Q147" s="1509"/>
      <c r="R147" s="2650"/>
      <c r="S147" s="2650"/>
      <c r="T147" s="2840"/>
      <c r="U147" s="1495">
        <f t="shared" si="35"/>
        <v>22000000</v>
      </c>
      <c r="V147" s="1495">
        <f t="shared" si="36"/>
        <v>3960000</v>
      </c>
      <c r="W147" s="1495">
        <f t="shared" si="37"/>
        <v>0</v>
      </c>
      <c r="X147" s="1495">
        <f t="shared" si="38"/>
        <v>0</v>
      </c>
      <c r="Y147" s="1495">
        <f t="shared" si="39"/>
        <v>100</v>
      </c>
      <c r="Z147" s="1495">
        <f t="shared" si="56"/>
        <v>0</v>
      </c>
      <c r="AA147" s="1506">
        <f t="shared" si="57"/>
        <v>0</v>
      </c>
      <c r="AB147" s="1505"/>
      <c r="AC147" s="1504">
        <f t="shared" si="58"/>
        <v>0</v>
      </c>
      <c r="AD147" s="1503">
        <f t="shared" si="62"/>
        <v>0</v>
      </c>
      <c r="AE147" s="1503">
        <f t="shared" si="63"/>
        <v>0</v>
      </c>
      <c r="AF147" s="1502">
        <f t="shared" si="64"/>
        <v>0</v>
      </c>
    </row>
    <row r="148" spans="1:32" s="1474" customFormat="1" ht="23.25" customHeight="1">
      <c r="A148" s="1515">
        <v>61</v>
      </c>
      <c r="B148" s="1513" t="s">
        <v>1944</v>
      </c>
      <c r="C148" s="1514" t="s">
        <v>2195</v>
      </c>
      <c r="D148" s="1514"/>
      <c r="E148" s="1513">
        <v>18000000</v>
      </c>
      <c r="F148" s="1512">
        <f t="shared" si="32"/>
        <v>3240000</v>
      </c>
      <c r="G148" s="2141">
        <v>40928</v>
      </c>
      <c r="H148" s="1511">
        <v>0.18</v>
      </c>
      <c r="I148" s="1508">
        <v>12</v>
      </c>
      <c r="J148" s="1508">
        <v>12</v>
      </c>
      <c r="K148" s="1508">
        <f>E148/I148</f>
        <v>1500000</v>
      </c>
      <c r="L148" s="1508">
        <f t="shared" si="65"/>
        <v>270000</v>
      </c>
      <c r="M148" s="1510">
        <f t="shared" si="33"/>
        <v>18000000</v>
      </c>
      <c r="N148" s="1510">
        <f t="shared" si="34"/>
        <v>3240000</v>
      </c>
      <c r="O148" s="1509">
        <v>18000000</v>
      </c>
      <c r="P148" s="1509">
        <v>3240000</v>
      </c>
      <c r="Q148" s="1509"/>
      <c r="R148" s="2650"/>
      <c r="S148" s="2650"/>
      <c r="T148" s="2840"/>
      <c r="U148" s="1495">
        <f t="shared" si="35"/>
        <v>18000000</v>
      </c>
      <c r="V148" s="1495">
        <f t="shared" si="36"/>
        <v>3240000</v>
      </c>
      <c r="W148" s="1495">
        <f t="shared" si="37"/>
        <v>0</v>
      </c>
      <c r="X148" s="1495">
        <f t="shared" si="38"/>
        <v>0</v>
      </c>
      <c r="Y148" s="1495">
        <f t="shared" si="39"/>
        <v>100</v>
      </c>
      <c r="Z148" s="1495">
        <f t="shared" si="56"/>
        <v>0</v>
      </c>
      <c r="AA148" s="1506">
        <f t="shared" si="57"/>
        <v>0</v>
      </c>
      <c r="AB148" s="1505"/>
      <c r="AC148" s="1504">
        <f t="shared" si="58"/>
        <v>0</v>
      </c>
      <c r="AD148" s="1503">
        <f t="shared" si="62"/>
        <v>0</v>
      </c>
      <c r="AE148" s="1503">
        <f t="shared" si="63"/>
        <v>0</v>
      </c>
      <c r="AF148" s="1502">
        <f t="shared" si="64"/>
        <v>0</v>
      </c>
    </row>
    <row r="149" spans="1:32" s="1474" customFormat="1" ht="23.25" customHeight="1">
      <c r="A149" s="1515">
        <v>62</v>
      </c>
      <c r="B149" s="1513" t="s">
        <v>1898</v>
      </c>
      <c r="C149" s="1514" t="s">
        <v>2195</v>
      </c>
      <c r="D149" s="1514"/>
      <c r="E149" s="1513">
        <v>17500000</v>
      </c>
      <c r="F149" s="1512">
        <f t="shared" si="32"/>
        <v>3150000</v>
      </c>
      <c r="G149" s="2141">
        <v>40928</v>
      </c>
      <c r="H149" s="1511">
        <v>0.18</v>
      </c>
      <c r="I149" s="1508">
        <v>12</v>
      </c>
      <c r="J149" s="1508">
        <v>12</v>
      </c>
      <c r="K149" s="1508">
        <v>1458300</v>
      </c>
      <c r="L149" s="1508">
        <f t="shared" si="65"/>
        <v>262500</v>
      </c>
      <c r="M149" s="1510">
        <f t="shared" si="33"/>
        <v>17500000</v>
      </c>
      <c r="N149" s="1510">
        <f t="shared" si="34"/>
        <v>3150000</v>
      </c>
      <c r="O149" s="1509">
        <v>17500000</v>
      </c>
      <c r="P149" s="1509">
        <v>3150000</v>
      </c>
      <c r="Q149" s="1509"/>
      <c r="R149" s="2650"/>
      <c r="S149" s="2650"/>
      <c r="T149" s="2840"/>
      <c r="U149" s="1495">
        <f t="shared" si="35"/>
        <v>17500000</v>
      </c>
      <c r="V149" s="1495">
        <f t="shared" si="36"/>
        <v>3150000</v>
      </c>
      <c r="W149" s="1495">
        <f t="shared" si="37"/>
        <v>0</v>
      </c>
      <c r="X149" s="1495">
        <f t="shared" si="38"/>
        <v>0</v>
      </c>
      <c r="Y149" s="1495">
        <f t="shared" si="39"/>
        <v>100</v>
      </c>
      <c r="Z149" s="1495">
        <f t="shared" si="56"/>
        <v>0</v>
      </c>
      <c r="AA149" s="1506">
        <f t="shared" si="57"/>
        <v>0</v>
      </c>
      <c r="AB149" s="1505"/>
      <c r="AC149" s="1504">
        <f t="shared" si="58"/>
        <v>0</v>
      </c>
      <c r="AD149" s="1503">
        <f t="shared" si="62"/>
        <v>0</v>
      </c>
      <c r="AE149" s="1503">
        <f t="shared" si="63"/>
        <v>0</v>
      </c>
      <c r="AF149" s="1502">
        <f t="shared" si="64"/>
        <v>0</v>
      </c>
    </row>
    <row r="150" spans="1:32" s="1474" customFormat="1" ht="23.25" customHeight="1">
      <c r="A150" s="1515">
        <v>63</v>
      </c>
      <c r="B150" s="1513" t="s">
        <v>2242</v>
      </c>
      <c r="C150" s="1514" t="s">
        <v>2195</v>
      </c>
      <c r="D150" s="1514"/>
      <c r="E150" s="1513">
        <v>4500000</v>
      </c>
      <c r="F150" s="1512">
        <f t="shared" si="32"/>
        <v>810000</v>
      </c>
      <c r="G150" s="2141">
        <v>40928</v>
      </c>
      <c r="H150" s="1511">
        <v>0.18</v>
      </c>
      <c r="I150" s="1508">
        <v>12</v>
      </c>
      <c r="J150" s="1508">
        <v>12</v>
      </c>
      <c r="K150" s="1508">
        <f>E150/I150</f>
        <v>375000</v>
      </c>
      <c r="L150" s="1508">
        <f t="shared" si="65"/>
        <v>67500</v>
      </c>
      <c r="M150" s="1510">
        <f t="shared" si="33"/>
        <v>4500000</v>
      </c>
      <c r="N150" s="1510">
        <f t="shared" si="34"/>
        <v>810000</v>
      </c>
      <c r="O150" s="1509">
        <v>4500000</v>
      </c>
      <c r="P150" s="1509">
        <v>810000</v>
      </c>
      <c r="Q150" s="1509"/>
      <c r="R150" s="2650"/>
      <c r="S150" s="2650"/>
      <c r="T150" s="2840"/>
      <c r="U150" s="1495">
        <f t="shared" si="35"/>
        <v>4500000</v>
      </c>
      <c r="V150" s="1495">
        <f t="shared" si="36"/>
        <v>810000</v>
      </c>
      <c r="W150" s="1495">
        <f t="shared" si="37"/>
        <v>0</v>
      </c>
      <c r="X150" s="1495">
        <f t="shared" si="38"/>
        <v>0</v>
      </c>
      <c r="Y150" s="1495">
        <f t="shared" si="39"/>
        <v>100</v>
      </c>
      <c r="Z150" s="1495">
        <f t="shared" si="56"/>
        <v>0</v>
      </c>
      <c r="AA150" s="1506">
        <f t="shared" si="57"/>
        <v>0</v>
      </c>
      <c r="AB150" s="1505"/>
      <c r="AC150" s="1504">
        <f t="shared" si="58"/>
        <v>0</v>
      </c>
      <c r="AD150" s="1503">
        <f t="shared" si="62"/>
        <v>0</v>
      </c>
      <c r="AE150" s="1503">
        <f t="shared" si="63"/>
        <v>0</v>
      </c>
      <c r="AF150" s="1502">
        <f t="shared" si="64"/>
        <v>0</v>
      </c>
    </row>
    <row r="151" spans="1:32" s="1474" customFormat="1" ht="23.25" customHeight="1">
      <c r="A151" s="1515">
        <v>64</v>
      </c>
      <c r="B151" s="1513" t="s">
        <v>2243</v>
      </c>
      <c r="C151" s="1514" t="s">
        <v>2195</v>
      </c>
      <c r="D151" s="1514"/>
      <c r="E151" s="1513">
        <v>5000000</v>
      </c>
      <c r="F151" s="1512">
        <f t="shared" si="32"/>
        <v>900000</v>
      </c>
      <c r="G151" s="2141">
        <v>40928</v>
      </c>
      <c r="H151" s="1511">
        <v>0.18</v>
      </c>
      <c r="I151" s="1508">
        <v>12</v>
      </c>
      <c r="J151" s="1508">
        <v>12</v>
      </c>
      <c r="K151" s="1508">
        <v>416700</v>
      </c>
      <c r="L151" s="1508">
        <f t="shared" si="65"/>
        <v>75000</v>
      </c>
      <c r="M151" s="1510">
        <f t="shared" si="33"/>
        <v>5000000</v>
      </c>
      <c r="N151" s="1510">
        <f t="shared" si="34"/>
        <v>900000</v>
      </c>
      <c r="O151" s="1509">
        <v>5000000</v>
      </c>
      <c r="P151" s="1509">
        <v>900000</v>
      </c>
      <c r="Q151" s="1509"/>
      <c r="R151" s="2650"/>
      <c r="S151" s="2650"/>
      <c r="T151" s="2840"/>
      <c r="U151" s="1495">
        <f t="shared" si="35"/>
        <v>5000000</v>
      </c>
      <c r="V151" s="1495">
        <f t="shared" si="36"/>
        <v>900000</v>
      </c>
      <c r="W151" s="1495">
        <f t="shared" si="37"/>
        <v>0</v>
      </c>
      <c r="X151" s="1495">
        <f t="shared" si="38"/>
        <v>0</v>
      </c>
      <c r="Y151" s="1495">
        <f t="shared" si="39"/>
        <v>100</v>
      </c>
      <c r="Z151" s="1495">
        <f t="shared" si="56"/>
        <v>0</v>
      </c>
      <c r="AA151" s="1506">
        <f t="shared" si="57"/>
        <v>0</v>
      </c>
      <c r="AB151" s="1505"/>
      <c r="AC151" s="1504">
        <f t="shared" si="58"/>
        <v>0</v>
      </c>
      <c r="AD151" s="1503">
        <f t="shared" si="62"/>
        <v>0</v>
      </c>
      <c r="AE151" s="1503">
        <f t="shared" si="63"/>
        <v>0</v>
      </c>
      <c r="AF151" s="1502">
        <f t="shared" si="64"/>
        <v>0</v>
      </c>
    </row>
    <row r="152" spans="1:32" s="1474" customFormat="1" ht="23.25" customHeight="1">
      <c r="A152" s="1515">
        <v>65</v>
      </c>
      <c r="B152" s="1513" t="s">
        <v>1911</v>
      </c>
      <c r="C152" s="1514" t="s">
        <v>2248</v>
      </c>
      <c r="D152" s="1514"/>
      <c r="E152" s="1513">
        <v>10000000</v>
      </c>
      <c r="F152" s="1512">
        <f t="shared" si="32"/>
        <v>1800000</v>
      </c>
      <c r="G152" s="2141">
        <v>40963</v>
      </c>
      <c r="H152" s="1511">
        <v>0.18</v>
      </c>
      <c r="I152" s="1508">
        <v>12</v>
      </c>
      <c r="J152" s="1508">
        <v>12</v>
      </c>
      <c r="K152" s="1508">
        <v>833300</v>
      </c>
      <c r="L152" s="1508">
        <f t="shared" si="65"/>
        <v>150000</v>
      </c>
      <c r="M152" s="1510">
        <f t="shared" si="33"/>
        <v>10000000</v>
      </c>
      <c r="N152" s="1510">
        <f t="shared" si="34"/>
        <v>1800000</v>
      </c>
      <c r="O152" s="1509">
        <v>10000000</v>
      </c>
      <c r="P152" s="1509">
        <v>1800000</v>
      </c>
      <c r="Q152" s="1509"/>
      <c r="R152" s="2650"/>
      <c r="S152" s="2650"/>
      <c r="T152" s="2840"/>
      <c r="U152" s="1495">
        <f t="shared" si="35"/>
        <v>10000000</v>
      </c>
      <c r="V152" s="1495">
        <f t="shared" si="36"/>
        <v>1800000</v>
      </c>
      <c r="W152" s="1495">
        <f t="shared" si="37"/>
        <v>0</v>
      </c>
      <c r="X152" s="1495">
        <f t="shared" si="38"/>
        <v>0</v>
      </c>
      <c r="Y152" s="1495">
        <f t="shared" si="39"/>
        <v>100</v>
      </c>
      <c r="Z152" s="1495">
        <f t="shared" si="56"/>
        <v>0</v>
      </c>
      <c r="AA152" s="1506">
        <f t="shared" si="57"/>
        <v>0</v>
      </c>
      <c r="AB152" s="1505"/>
      <c r="AC152" s="1504">
        <f t="shared" si="58"/>
        <v>0</v>
      </c>
      <c r="AD152" s="1503">
        <f t="shared" si="62"/>
        <v>0</v>
      </c>
      <c r="AE152" s="1503">
        <f t="shared" si="63"/>
        <v>0</v>
      </c>
      <c r="AF152" s="1502">
        <f t="shared" si="64"/>
        <v>0</v>
      </c>
    </row>
    <row r="153" spans="1:32" s="1474" customFormat="1" ht="23.25" customHeight="1">
      <c r="A153" s="1515">
        <v>66</v>
      </c>
      <c r="B153" s="1513" t="s">
        <v>1951</v>
      </c>
      <c r="C153" s="1514" t="s">
        <v>2248</v>
      </c>
      <c r="D153" s="1514">
        <v>12</v>
      </c>
      <c r="E153" s="1513">
        <v>25000000</v>
      </c>
      <c r="F153" s="1512">
        <f t="shared" si="32"/>
        <v>4500000</v>
      </c>
      <c r="G153" s="2141">
        <v>40963</v>
      </c>
      <c r="H153" s="1511">
        <v>0.18</v>
      </c>
      <c r="I153" s="1508">
        <v>12</v>
      </c>
      <c r="J153" s="1508">
        <v>12</v>
      </c>
      <c r="K153" s="1508">
        <v>2083300</v>
      </c>
      <c r="L153" s="1508">
        <f t="shared" si="65"/>
        <v>375000</v>
      </c>
      <c r="M153" s="1510">
        <f t="shared" si="33"/>
        <v>25000000</v>
      </c>
      <c r="N153" s="1510">
        <f t="shared" si="34"/>
        <v>4500000</v>
      </c>
      <c r="O153" s="1509">
        <v>25000000</v>
      </c>
      <c r="P153" s="1509">
        <v>4500000</v>
      </c>
      <c r="Q153" s="1509"/>
      <c r="R153" s="2650"/>
      <c r="S153" s="2650"/>
      <c r="T153" s="2840"/>
      <c r="U153" s="1495">
        <f t="shared" si="35"/>
        <v>25000000</v>
      </c>
      <c r="V153" s="1495">
        <f t="shared" si="36"/>
        <v>4500000</v>
      </c>
      <c r="W153" s="1495">
        <f t="shared" si="37"/>
        <v>0</v>
      </c>
      <c r="X153" s="1495">
        <f t="shared" si="38"/>
        <v>0</v>
      </c>
      <c r="Y153" s="1495">
        <f t="shared" si="39"/>
        <v>100</v>
      </c>
      <c r="Z153" s="1495">
        <f t="shared" si="56"/>
        <v>0</v>
      </c>
      <c r="AA153" s="1506">
        <f t="shared" si="57"/>
        <v>0</v>
      </c>
      <c r="AB153" s="1505"/>
      <c r="AC153" s="1504">
        <f t="shared" si="58"/>
        <v>0</v>
      </c>
      <c r="AD153" s="1503">
        <f t="shared" si="62"/>
        <v>0</v>
      </c>
      <c r="AE153" s="1503">
        <f t="shared" si="63"/>
        <v>0</v>
      </c>
      <c r="AF153" s="1502">
        <f t="shared" si="64"/>
        <v>0</v>
      </c>
    </row>
    <row r="154" spans="1:32" s="3080" customFormat="1" ht="23.25" customHeight="1">
      <c r="A154" s="3081">
        <v>67</v>
      </c>
      <c r="B154" s="3082" t="s">
        <v>1941</v>
      </c>
      <c r="C154" s="3083" t="s">
        <v>2248</v>
      </c>
      <c r="D154" s="3083"/>
      <c r="E154" s="3082">
        <v>15000000</v>
      </c>
      <c r="F154" s="3082">
        <f t="shared" si="32"/>
        <v>2700000</v>
      </c>
      <c r="G154" s="3084">
        <v>40963</v>
      </c>
      <c r="H154" s="3085">
        <v>0.18</v>
      </c>
      <c r="I154" s="2408">
        <v>12</v>
      </c>
      <c r="J154" s="2408">
        <v>12</v>
      </c>
      <c r="K154" s="2408">
        <f>E154/I154</f>
        <v>1250000</v>
      </c>
      <c r="L154" s="2408">
        <f t="shared" si="65"/>
        <v>225000</v>
      </c>
      <c r="M154" s="2408">
        <f t="shared" si="33"/>
        <v>15000000</v>
      </c>
      <c r="N154" s="2408">
        <f t="shared" si="34"/>
        <v>2700000</v>
      </c>
      <c r="O154" s="2408">
        <v>10850000</v>
      </c>
      <c r="P154" s="2408">
        <v>2025000</v>
      </c>
      <c r="Q154" s="2408"/>
      <c r="R154" s="2408"/>
      <c r="S154" s="2408"/>
      <c r="T154" s="3082"/>
      <c r="U154" s="2831">
        <f t="shared" si="35"/>
        <v>10850000</v>
      </c>
      <c r="V154" s="2831">
        <f t="shared" si="36"/>
        <v>2025000</v>
      </c>
      <c r="W154" s="2831">
        <f t="shared" si="37"/>
        <v>0</v>
      </c>
      <c r="X154" s="2831">
        <f t="shared" si="38"/>
        <v>4150000</v>
      </c>
      <c r="Y154" s="2831">
        <f t="shared" si="39"/>
        <v>72.333333333333343</v>
      </c>
      <c r="Z154" s="2831">
        <f t="shared" si="56"/>
        <v>4150000</v>
      </c>
      <c r="AA154" s="2832">
        <f t="shared" si="57"/>
        <v>675000</v>
      </c>
      <c r="AB154" s="3086">
        <v>7</v>
      </c>
      <c r="AC154" s="3077">
        <f t="shared" si="58"/>
        <v>0</v>
      </c>
      <c r="AD154" s="3078">
        <f t="shared" si="62"/>
        <v>0</v>
      </c>
      <c r="AE154" s="3078">
        <f t="shared" si="63"/>
        <v>0</v>
      </c>
      <c r="AF154" s="3079">
        <f t="shared" si="64"/>
        <v>4150000</v>
      </c>
    </row>
    <row r="155" spans="1:32" s="1474" customFormat="1" ht="23.25" customHeight="1">
      <c r="A155" s="1515">
        <v>68</v>
      </c>
      <c r="B155" s="1513" t="s">
        <v>2250</v>
      </c>
      <c r="C155" s="1514" t="s">
        <v>2248</v>
      </c>
      <c r="D155" s="1514"/>
      <c r="E155" s="1513">
        <v>25000000</v>
      </c>
      <c r="F155" s="1512">
        <f t="shared" si="32"/>
        <v>4500000</v>
      </c>
      <c r="G155" s="2141">
        <v>40963</v>
      </c>
      <c r="H155" s="1511">
        <v>0.18</v>
      </c>
      <c r="I155" s="1508">
        <v>12</v>
      </c>
      <c r="J155" s="1508">
        <v>12</v>
      </c>
      <c r="K155" s="1508">
        <v>2083300</v>
      </c>
      <c r="L155" s="1508">
        <f t="shared" si="65"/>
        <v>375000</v>
      </c>
      <c r="M155" s="1510">
        <f t="shared" si="33"/>
        <v>25000000</v>
      </c>
      <c r="N155" s="1510">
        <f t="shared" si="34"/>
        <v>4500000</v>
      </c>
      <c r="O155" s="1509">
        <v>25000000</v>
      </c>
      <c r="P155" s="1509">
        <v>4500000</v>
      </c>
      <c r="Q155" s="1509"/>
      <c r="R155" s="2650"/>
      <c r="S155" s="2650"/>
      <c r="T155" s="2840"/>
      <c r="U155" s="1495">
        <f t="shared" si="35"/>
        <v>25000000</v>
      </c>
      <c r="V155" s="1495">
        <f t="shared" si="36"/>
        <v>4500000</v>
      </c>
      <c r="W155" s="1495">
        <f t="shared" si="37"/>
        <v>0</v>
      </c>
      <c r="X155" s="1495">
        <f t="shared" si="38"/>
        <v>0</v>
      </c>
      <c r="Y155" s="1495">
        <f t="shared" si="39"/>
        <v>100</v>
      </c>
      <c r="Z155" s="1495">
        <f t="shared" si="56"/>
        <v>0</v>
      </c>
      <c r="AA155" s="1506">
        <f t="shared" si="57"/>
        <v>0</v>
      </c>
      <c r="AB155" s="1505"/>
      <c r="AC155" s="1504">
        <f t="shared" si="58"/>
        <v>0</v>
      </c>
      <c r="AD155" s="1503">
        <f t="shared" si="62"/>
        <v>0</v>
      </c>
      <c r="AE155" s="1503">
        <f t="shared" si="63"/>
        <v>0</v>
      </c>
      <c r="AF155" s="1502">
        <f t="shared" si="64"/>
        <v>0</v>
      </c>
    </row>
    <row r="156" spans="1:32" s="1474" customFormat="1" ht="23.25" customHeight="1">
      <c r="A156" s="1515">
        <v>69</v>
      </c>
      <c r="B156" s="1513" t="s">
        <v>1934</v>
      </c>
      <c r="C156" s="1514" t="s">
        <v>2248</v>
      </c>
      <c r="D156" s="1514"/>
      <c r="E156" s="1513">
        <v>20000000</v>
      </c>
      <c r="F156" s="1512">
        <f t="shared" si="32"/>
        <v>3600000</v>
      </c>
      <c r="G156" s="2141">
        <v>40963</v>
      </c>
      <c r="H156" s="1511">
        <v>0.18</v>
      </c>
      <c r="I156" s="1508">
        <v>12</v>
      </c>
      <c r="J156" s="1508">
        <v>12</v>
      </c>
      <c r="K156" s="1508">
        <v>1666700</v>
      </c>
      <c r="L156" s="1508">
        <f t="shared" si="65"/>
        <v>300000</v>
      </c>
      <c r="M156" s="1510">
        <f t="shared" si="33"/>
        <v>20000000</v>
      </c>
      <c r="N156" s="2401">
        <f>IF(J156&lt;I156,J156*L156,IF(J156&gt;=I156,F156))-600000</f>
        <v>3000000</v>
      </c>
      <c r="O156" s="1509">
        <v>20000000</v>
      </c>
      <c r="P156" s="1509">
        <v>3000000</v>
      </c>
      <c r="Q156" s="1509"/>
      <c r="R156" s="2650"/>
      <c r="S156" s="2650"/>
      <c r="T156" s="2840"/>
      <c r="U156" s="1495">
        <f t="shared" si="35"/>
        <v>20000000</v>
      </c>
      <c r="V156" s="1495">
        <f t="shared" si="36"/>
        <v>3000000</v>
      </c>
      <c r="W156" s="1495">
        <f t="shared" si="37"/>
        <v>0</v>
      </c>
      <c r="X156" s="1495">
        <f t="shared" si="38"/>
        <v>0</v>
      </c>
      <c r="Y156" s="1495">
        <f t="shared" si="39"/>
        <v>100</v>
      </c>
      <c r="Z156" s="1495">
        <f t="shared" si="56"/>
        <v>0</v>
      </c>
      <c r="AA156" s="1506">
        <f t="shared" si="57"/>
        <v>0</v>
      </c>
      <c r="AB156" s="1505"/>
      <c r="AC156" s="1504">
        <f t="shared" si="58"/>
        <v>0</v>
      </c>
      <c r="AD156" s="1503">
        <f t="shared" si="62"/>
        <v>0</v>
      </c>
      <c r="AE156" s="1503">
        <f t="shared" si="63"/>
        <v>0</v>
      </c>
      <c r="AF156" s="1502">
        <f t="shared" si="64"/>
        <v>0</v>
      </c>
    </row>
    <row r="157" spans="1:32" s="1474" customFormat="1" ht="23.25" customHeight="1">
      <c r="A157" s="1515">
        <v>70</v>
      </c>
      <c r="B157" s="1513" t="s">
        <v>1945</v>
      </c>
      <c r="C157" s="1514" t="s">
        <v>2248</v>
      </c>
      <c r="D157" s="1514"/>
      <c r="E157" s="1513">
        <v>15000000</v>
      </c>
      <c r="F157" s="1512">
        <f t="shared" si="32"/>
        <v>2700000</v>
      </c>
      <c r="G157" s="2141">
        <v>40963</v>
      </c>
      <c r="H157" s="1511">
        <v>0.18</v>
      </c>
      <c r="I157" s="1508">
        <v>12</v>
      </c>
      <c r="J157" s="1508">
        <v>12</v>
      </c>
      <c r="K157" s="1508">
        <f>E157/I157</f>
        <v>1250000</v>
      </c>
      <c r="L157" s="1508">
        <f t="shared" si="65"/>
        <v>225000</v>
      </c>
      <c r="M157" s="1510">
        <f t="shared" si="33"/>
        <v>15000000</v>
      </c>
      <c r="N157" s="1510">
        <f t="shared" si="34"/>
        <v>2700000</v>
      </c>
      <c r="O157" s="1509">
        <v>15000000</v>
      </c>
      <c r="P157" s="1509">
        <v>2700000</v>
      </c>
      <c r="Q157" s="1509"/>
      <c r="R157" s="2650"/>
      <c r="S157" s="2650"/>
      <c r="T157" s="2840"/>
      <c r="U157" s="1495">
        <f t="shared" si="35"/>
        <v>15000000</v>
      </c>
      <c r="V157" s="1495">
        <f t="shared" si="36"/>
        <v>2700000</v>
      </c>
      <c r="W157" s="1495">
        <f t="shared" si="37"/>
        <v>0</v>
      </c>
      <c r="X157" s="1495">
        <f t="shared" si="38"/>
        <v>0</v>
      </c>
      <c r="Y157" s="1495">
        <f t="shared" si="39"/>
        <v>100</v>
      </c>
      <c r="Z157" s="1495">
        <f t="shared" si="56"/>
        <v>0</v>
      </c>
      <c r="AA157" s="1506">
        <f t="shared" si="57"/>
        <v>0</v>
      </c>
      <c r="AB157" s="1505"/>
      <c r="AC157" s="1504">
        <f t="shared" si="58"/>
        <v>0</v>
      </c>
      <c r="AD157" s="1503">
        <f t="shared" si="62"/>
        <v>0</v>
      </c>
      <c r="AE157" s="1503">
        <f t="shared" si="63"/>
        <v>0</v>
      </c>
      <c r="AF157" s="1502">
        <f t="shared" si="64"/>
        <v>0</v>
      </c>
    </row>
    <row r="158" spans="1:32" s="1474" customFormat="1" ht="23.25" customHeight="1">
      <c r="A158" s="1515">
        <v>71</v>
      </c>
      <c r="B158" s="1513" t="s">
        <v>1983</v>
      </c>
      <c r="C158" s="1514" t="s">
        <v>2248</v>
      </c>
      <c r="D158" s="1514"/>
      <c r="E158" s="1513">
        <v>12000000</v>
      </c>
      <c r="F158" s="1512">
        <f t="shared" si="32"/>
        <v>2160000</v>
      </c>
      <c r="G158" s="2141">
        <v>40963</v>
      </c>
      <c r="H158" s="1511">
        <v>0.18</v>
      </c>
      <c r="I158" s="1508">
        <v>12</v>
      </c>
      <c r="J158" s="1508">
        <v>12</v>
      </c>
      <c r="K158" s="1508">
        <f>E158/I158</f>
        <v>1000000</v>
      </c>
      <c r="L158" s="1508">
        <f t="shared" si="65"/>
        <v>180000</v>
      </c>
      <c r="M158" s="1510">
        <f t="shared" si="33"/>
        <v>12000000</v>
      </c>
      <c r="N158" s="2401">
        <f>IF(J158&lt;I158,J158*L158,IF(J158&gt;=I158,F158))-180000</f>
        <v>1980000</v>
      </c>
      <c r="O158" s="1509">
        <v>12000000</v>
      </c>
      <c r="P158" s="1509">
        <v>1980000</v>
      </c>
      <c r="Q158" s="1509"/>
      <c r="R158" s="2650"/>
      <c r="S158" s="2650"/>
      <c r="T158" s="2840"/>
      <c r="U158" s="1495">
        <f t="shared" si="35"/>
        <v>12000000</v>
      </c>
      <c r="V158" s="1495">
        <f t="shared" si="36"/>
        <v>1980000</v>
      </c>
      <c r="W158" s="1495">
        <f t="shared" si="37"/>
        <v>0</v>
      </c>
      <c r="X158" s="1495">
        <f t="shared" si="38"/>
        <v>0</v>
      </c>
      <c r="Y158" s="1495">
        <f t="shared" si="39"/>
        <v>100</v>
      </c>
      <c r="Z158" s="1495">
        <f t="shared" si="56"/>
        <v>0</v>
      </c>
      <c r="AA158" s="1506">
        <f t="shared" si="57"/>
        <v>0</v>
      </c>
      <c r="AB158" s="1505"/>
      <c r="AC158" s="1504">
        <f t="shared" si="58"/>
        <v>0</v>
      </c>
      <c r="AD158" s="1503">
        <f t="shared" si="62"/>
        <v>0</v>
      </c>
      <c r="AE158" s="1503">
        <f t="shared" si="63"/>
        <v>0</v>
      </c>
      <c r="AF158" s="1502">
        <f t="shared" si="64"/>
        <v>0</v>
      </c>
    </row>
    <row r="159" spans="1:32" s="2849" customFormat="1" ht="23.25" customHeight="1">
      <c r="A159" s="2683">
        <v>72</v>
      </c>
      <c r="B159" s="2684" t="s">
        <v>1946</v>
      </c>
      <c r="C159" s="2685" t="s">
        <v>2248</v>
      </c>
      <c r="D159" s="2685"/>
      <c r="E159" s="2684">
        <v>14000000</v>
      </c>
      <c r="F159" s="2684">
        <f t="shared" si="32"/>
        <v>2520000</v>
      </c>
      <c r="G159" s="2686">
        <v>40963</v>
      </c>
      <c r="H159" s="2687">
        <v>0.18</v>
      </c>
      <c r="I159" s="2688">
        <v>12</v>
      </c>
      <c r="J159" s="2688">
        <v>12</v>
      </c>
      <c r="K159" s="2688">
        <v>1166700</v>
      </c>
      <c r="L159" s="2688">
        <f t="shared" si="65"/>
        <v>210000</v>
      </c>
      <c r="M159" s="2688">
        <f t="shared" si="33"/>
        <v>14000000</v>
      </c>
      <c r="N159" s="2688">
        <f t="shared" si="34"/>
        <v>2520000</v>
      </c>
      <c r="O159" s="2688">
        <v>14000000</v>
      </c>
      <c r="P159" s="2688">
        <v>2520000</v>
      </c>
      <c r="Q159" s="2688"/>
      <c r="R159" s="2650"/>
      <c r="S159" s="2650"/>
      <c r="T159" s="2684"/>
      <c r="U159" s="2689">
        <f t="shared" si="35"/>
        <v>14000000</v>
      </c>
      <c r="V159" s="2689">
        <f t="shared" si="36"/>
        <v>2520000</v>
      </c>
      <c r="W159" s="2689">
        <f t="shared" si="37"/>
        <v>0</v>
      </c>
      <c r="X159" s="2689">
        <f t="shared" si="38"/>
        <v>0</v>
      </c>
      <c r="Y159" s="2689">
        <f t="shared" si="39"/>
        <v>100</v>
      </c>
      <c r="Z159" s="2689">
        <f t="shared" si="56"/>
        <v>0</v>
      </c>
      <c r="AA159" s="2828">
        <f t="shared" si="57"/>
        <v>0</v>
      </c>
      <c r="AB159" s="2845"/>
      <c r="AC159" s="2846">
        <f t="shared" si="58"/>
        <v>0</v>
      </c>
      <c r="AD159" s="1503">
        <f t="shared" si="62"/>
        <v>0</v>
      </c>
      <c r="AE159" s="1503">
        <f t="shared" si="63"/>
        <v>0</v>
      </c>
      <c r="AF159" s="1502">
        <f t="shared" si="64"/>
        <v>0</v>
      </c>
    </row>
    <row r="160" spans="1:32" s="1474" customFormat="1" ht="23.25" customHeight="1">
      <c r="A160" s="1515">
        <v>73</v>
      </c>
      <c r="B160" s="1513" t="s">
        <v>1898</v>
      </c>
      <c r="C160" s="1514" t="s">
        <v>2248</v>
      </c>
      <c r="D160" s="1514"/>
      <c r="E160" s="1513">
        <v>15000000</v>
      </c>
      <c r="F160" s="1512">
        <f t="shared" si="32"/>
        <v>2700000</v>
      </c>
      <c r="G160" s="2141">
        <v>41037</v>
      </c>
      <c r="H160" s="1511">
        <v>0.18</v>
      </c>
      <c r="I160" s="1508">
        <v>12</v>
      </c>
      <c r="J160" s="1508">
        <v>12</v>
      </c>
      <c r="K160" s="1508">
        <f>E160/I160</f>
        <v>1250000</v>
      </c>
      <c r="L160" s="1508">
        <f t="shared" si="65"/>
        <v>225000</v>
      </c>
      <c r="M160" s="1510">
        <f t="shared" si="33"/>
        <v>15000000</v>
      </c>
      <c r="N160" s="1510">
        <f t="shared" si="34"/>
        <v>2700000</v>
      </c>
      <c r="O160" s="1509">
        <v>15000000</v>
      </c>
      <c r="P160" s="1509">
        <v>2700000</v>
      </c>
      <c r="Q160" s="1509"/>
      <c r="R160" s="2650"/>
      <c r="S160" s="2650"/>
      <c r="T160" s="2840"/>
      <c r="U160" s="1495">
        <f t="shared" si="35"/>
        <v>15000000</v>
      </c>
      <c r="V160" s="1495">
        <f t="shared" si="36"/>
        <v>2700000</v>
      </c>
      <c r="W160" s="1495">
        <f t="shared" si="37"/>
        <v>0</v>
      </c>
      <c r="X160" s="1495">
        <f t="shared" si="38"/>
        <v>0</v>
      </c>
      <c r="Y160" s="1495">
        <f t="shared" si="39"/>
        <v>100</v>
      </c>
      <c r="Z160" s="1495">
        <f t="shared" si="56"/>
        <v>0</v>
      </c>
      <c r="AA160" s="1506">
        <f t="shared" si="57"/>
        <v>0</v>
      </c>
      <c r="AB160" s="1505"/>
      <c r="AC160" s="1504">
        <f t="shared" si="58"/>
        <v>0</v>
      </c>
      <c r="AD160" s="1503">
        <f t="shared" si="62"/>
        <v>0</v>
      </c>
      <c r="AE160" s="1503">
        <f t="shared" si="63"/>
        <v>0</v>
      </c>
      <c r="AF160" s="1502">
        <f t="shared" si="64"/>
        <v>0</v>
      </c>
    </row>
    <row r="161" spans="1:32" s="1474" customFormat="1" ht="23.25" customHeight="1">
      <c r="A161" s="1515">
        <v>74</v>
      </c>
      <c r="B161" s="1513" t="s">
        <v>1976</v>
      </c>
      <c r="C161" s="1514" t="s">
        <v>2248</v>
      </c>
      <c r="D161" s="1514"/>
      <c r="E161" s="1513">
        <v>15000000</v>
      </c>
      <c r="F161" s="1512">
        <f t="shared" si="32"/>
        <v>2700000</v>
      </c>
      <c r="G161" s="2141">
        <v>41037</v>
      </c>
      <c r="H161" s="1511">
        <v>0.18</v>
      </c>
      <c r="I161" s="1508">
        <v>12</v>
      </c>
      <c r="J161" s="1508">
        <v>12</v>
      </c>
      <c r="K161" s="1508">
        <f>E161/I161</f>
        <v>1250000</v>
      </c>
      <c r="L161" s="1508">
        <f t="shared" si="65"/>
        <v>225000</v>
      </c>
      <c r="M161" s="1510">
        <f t="shared" si="33"/>
        <v>15000000</v>
      </c>
      <c r="N161" s="2401">
        <f>IF(J161&lt;I161,J161*L161,IF(J161&gt;=I161,F161))-225000</f>
        <v>2475000</v>
      </c>
      <c r="O161" s="1509">
        <v>15000000</v>
      </c>
      <c r="P161" s="1509">
        <v>2475000</v>
      </c>
      <c r="Q161" s="1509"/>
      <c r="R161" s="2650"/>
      <c r="S161" s="2650"/>
      <c r="T161" s="2840"/>
      <c r="U161" s="1495">
        <f t="shared" si="35"/>
        <v>15000000</v>
      </c>
      <c r="V161" s="1495">
        <f t="shared" si="36"/>
        <v>2475000</v>
      </c>
      <c r="W161" s="1495">
        <f t="shared" si="37"/>
        <v>0</v>
      </c>
      <c r="X161" s="1495">
        <f t="shared" si="38"/>
        <v>0</v>
      </c>
      <c r="Y161" s="1495">
        <f t="shared" si="39"/>
        <v>100</v>
      </c>
      <c r="Z161" s="1495">
        <f t="shared" si="56"/>
        <v>0</v>
      </c>
      <c r="AA161" s="1506">
        <f t="shared" si="57"/>
        <v>0</v>
      </c>
      <c r="AB161" s="1505"/>
      <c r="AC161" s="1504">
        <f t="shared" si="58"/>
        <v>0</v>
      </c>
      <c r="AD161" s="1503">
        <f t="shared" si="62"/>
        <v>0</v>
      </c>
      <c r="AE161" s="1503">
        <f t="shared" si="63"/>
        <v>0</v>
      </c>
      <c r="AF161" s="1502">
        <f t="shared" si="64"/>
        <v>0</v>
      </c>
    </row>
    <row r="162" spans="1:32" s="1474" customFormat="1" ht="23.25" customHeight="1">
      <c r="A162" s="1515">
        <v>75</v>
      </c>
      <c r="B162" s="1513" t="s">
        <v>1984</v>
      </c>
      <c r="C162" s="1514" t="s">
        <v>2248</v>
      </c>
      <c r="D162" s="1514"/>
      <c r="E162" s="1513">
        <v>12000000</v>
      </c>
      <c r="F162" s="1512">
        <f t="shared" si="32"/>
        <v>2160000</v>
      </c>
      <c r="G162" s="2141">
        <v>41037</v>
      </c>
      <c r="H162" s="1511">
        <v>0.18</v>
      </c>
      <c r="I162" s="1508">
        <v>12</v>
      </c>
      <c r="J162" s="1508">
        <v>12</v>
      </c>
      <c r="K162" s="1508">
        <f>E162/I162</f>
        <v>1000000</v>
      </c>
      <c r="L162" s="1508">
        <f t="shared" si="65"/>
        <v>180000</v>
      </c>
      <c r="M162" s="1510">
        <f t="shared" si="33"/>
        <v>12000000</v>
      </c>
      <c r="N162" s="2401">
        <f>IF(J162&lt;I162,J162*L162,IF(J162&gt;=I162,F162))-180000</f>
        <v>1980000</v>
      </c>
      <c r="O162" s="1509">
        <v>12000000</v>
      </c>
      <c r="P162" s="1509">
        <v>1980000</v>
      </c>
      <c r="Q162" s="1509"/>
      <c r="R162" s="2650"/>
      <c r="S162" s="2650"/>
      <c r="T162" s="2840"/>
      <c r="U162" s="1495">
        <f t="shared" si="35"/>
        <v>12000000</v>
      </c>
      <c r="V162" s="1495">
        <f t="shared" si="36"/>
        <v>1980000</v>
      </c>
      <c r="W162" s="1495">
        <f t="shared" si="37"/>
        <v>0</v>
      </c>
      <c r="X162" s="1495">
        <f t="shared" si="38"/>
        <v>0</v>
      </c>
      <c r="Y162" s="1495">
        <f t="shared" si="39"/>
        <v>100</v>
      </c>
      <c r="Z162" s="1495">
        <f t="shared" si="56"/>
        <v>0</v>
      </c>
      <c r="AA162" s="1506">
        <f t="shared" si="57"/>
        <v>0</v>
      </c>
      <c r="AB162" s="1505"/>
      <c r="AC162" s="1504">
        <f t="shared" si="58"/>
        <v>0</v>
      </c>
      <c r="AD162" s="1503">
        <f t="shared" si="62"/>
        <v>0</v>
      </c>
      <c r="AE162" s="1503">
        <f t="shared" si="63"/>
        <v>0</v>
      </c>
      <c r="AF162" s="1502">
        <f t="shared" si="64"/>
        <v>0</v>
      </c>
    </row>
    <row r="163" spans="1:32" s="1474" customFormat="1" ht="23.25" customHeight="1">
      <c r="A163" s="1515">
        <v>76</v>
      </c>
      <c r="B163" s="1513" t="s">
        <v>1973</v>
      </c>
      <c r="C163" s="1514" t="s">
        <v>2277</v>
      </c>
      <c r="D163" s="1514"/>
      <c r="E163" s="1513">
        <v>30000000</v>
      </c>
      <c r="F163" s="1512">
        <f t="shared" si="32"/>
        <v>5400000</v>
      </c>
      <c r="G163" s="2141">
        <v>41067</v>
      </c>
      <c r="H163" s="1511">
        <v>0.18</v>
      </c>
      <c r="I163" s="1508">
        <v>12</v>
      </c>
      <c r="J163" s="1508">
        <v>12</v>
      </c>
      <c r="K163" s="1508">
        <f>E163/I163</f>
        <v>2500000</v>
      </c>
      <c r="L163" s="1508">
        <f t="shared" si="65"/>
        <v>450000</v>
      </c>
      <c r="M163" s="1510">
        <f t="shared" si="33"/>
        <v>30000000</v>
      </c>
      <c r="N163" s="1510">
        <f>IF(J163&lt;I163,J163*L163,IF(J163&gt;=I163,F163))-450000</f>
        <v>4950000</v>
      </c>
      <c r="O163" s="1509">
        <v>30000000</v>
      </c>
      <c r="P163" s="1509">
        <v>4950000</v>
      </c>
      <c r="Q163" s="1509"/>
      <c r="R163" s="2650"/>
      <c r="S163" s="2650"/>
      <c r="T163" s="2840"/>
      <c r="U163" s="1495">
        <f t="shared" si="35"/>
        <v>30000000</v>
      </c>
      <c r="V163" s="1495">
        <f t="shared" si="36"/>
        <v>4950000</v>
      </c>
      <c r="W163" s="1495">
        <f t="shared" si="37"/>
        <v>0</v>
      </c>
      <c r="X163" s="1495">
        <f t="shared" si="38"/>
        <v>0</v>
      </c>
      <c r="Y163" s="1495">
        <f t="shared" si="39"/>
        <v>100</v>
      </c>
      <c r="Z163" s="1495">
        <f t="shared" si="56"/>
        <v>0</v>
      </c>
      <c r="AA163" s="1506">
        <f t="shared" si="57"/>
        <v>0</v>
      </c>
      <c r="AB163" s="1505"/>
      <c r="AC163" s="1504">
        <f t="shared" si="58"/>
        <v>0</v>
      </c>
      <c r="AD163" s="1503">
        <f t="shared" si="62"/>
        <v>0</v>
      </c>
      <c r="AE163" s="1503">
        <f t="shared" si="63"/>
        <v>0</v>
      </c>
      <c r="AF163" s="1502">
        <f t="shared" si="64"/>
        <v>0</v>
      </c>
    </row>
    <row r="164" spans="1:32" s="1474" customFormat="1" ht="23.25" customHeight="1">
      <c r="A164" s="1515">
        <v>77</v>
      </c>
      <c r="B164" s="1513" t="s">
        <v>2194</v>
      </c>
      <c r="C164" s="1514" t="s">
        <v>2277</v>
      </c>
      <c r="D164" s="1514"/>
      <c r="E164" s="1513">
        <v>25000000</v>
      </c>
      <c r="F164" s="1512">
        <f t="shared" si="32"/>
        <v>4500000</v>
      </c>
      <c r="G164" s="2141">
        <v>41068</v>
      </c>
      <c r="H164" s="1511">
        <v>0.18</v>
      </c>
      <c r="I164" s="1508">
        <v>12</v>
      </c>
      <c r="J164" s="1508">
        <v>12</v>
      </c>
      <c r="K164" s="1508">
        <v>2083300</v>
      </c>
      <c r="L164" s="1508">
        <f t="shared" si="65"/>
        <v>375000</v>
      </c>
      <c r="M164" s="1510">
        <f t="shared" si="33"/>
        <v>25000000</v>
      </c>
      <c r="N164" s="1510">
        <f>IF(J164&lt;I164,J164*L164,IF(J164&gt;=I164,F164))-375000</f>
        <v>4125000</v>
      </c>
      <c r="O164" s="1509">
        <v>25000000</v>
      </c>
      <c r="P164" s="1509">
        <v>4125000</v>
      </c>
      <c r="Q164" s="1509"/>
      <c r="R164" s="2650"/>
      <c r="S164" s="2650"/>
      <c r="T164" s="2840"/>
      <c r="U164" s="1495">
        <f t="shared" si="35"/>
        <v>25000000</v>
      </c>
      <c r="V164" s="1495">
        <f t="shared" si="36"/>
        <v>4125000</v>
      </c>
      <c r="W164" s="1495">
        <f t="shared" si="37"/>
        <v>0</v>
      </c>
      <c r="X164" s="1495">
        <f t="shared" si="38"/>
        <v>0</v>
      </c>
      <c r="Y164" s="1495">
        <f t="shared" si="39"/>
        <v>100</v>
      </c>
      <c r="Z164" s="1495">
        <f t="shared" si="56"/>
        <v>0</v>
      </c>
      <c r="AA164" s="1506">
        <f t="shared" si="57"/>
        <v>0</v>
      </c>
      <c r="AB164" s="1505"/>
      <c r="AC164" s="1504">
        <f t="shared" si="58"/>
        <v>0</v>
      </c>
      <c r="AD164" s="1503">
        <f t="shared" si="62"/>
        <v>0</v>
      </c>
      <c r="AE164" s="1503">
        <f t="shared" si="63"/>
        <v>0</v>
      </c>
      <c r="AF164" s="1502">
        <f t="shared" si="64"/>
        <v>0</v>
      </c>
    </row>
    <row r="165" spans="1:32" s="1474" customFormat="1" ht="23.25" customHeight="1">
      <c r="A165" s="1515">
        <v>78</v>
      </c>
      <c r="B165" s="1513" t="s">
        <v>1947</v>
      </c>
      <c r="C165" s="1514" t="s">
        <v>2248</v>
      </c>
      <c r="D165" s="1514">
        <v>12</v>
      </c>
      <c r="E165" s="1513">
        <v>12000000</v>
      </c>
      <c r="F165" s="1512">
        <v>2160000</v>
      </c>
      <c r="G165" s="2141">
        <v>41101</v>
      </c>
      <c r="H165" s="1511">
        <v>0.18</v>
      </c>
      <c r="I165" s="1508">
        <v>12</v>
      </c>
      <c r="J165" s="1508">
        <v>12</v>
      </c>
      <c r="K165" s="1508">
        <f>E165/I165</f>
        <v>1000000</v>
      </c>
      <c r="L165" s="1508">
        <f t="shared" si="65"/>
        <v>180000</v>
      </c>
      <c r="M165" s="1510">
        <f t="shared" si="33"/>
        <v>12000000</v>
      </c>
      <c r="N165" s="1510">
        <f t="shared" si="34"/>
        <v>2160000</v>
      </c>
      <c r="O165" s="1509">
        <v>12000000</v>
      </c>
      <c r="P165" s="1509">
        <v>2160000</v>
      </c>
      <c r="Q165" s="1509"/>
      <c r="R165" s="2650"/>
      <c r="S165" s="2650"/>
      <c r="T165" s="2840"/>
      <c r="U165" s="1495">
        <f t="shared" si="35"/>
        <v>12000000</v>
      </c>
      <c r="V165" s="1495">
        <f t="shared" si="36"/>
        <v>2160000</v>
      </c>
      <c r="W165" s="1495">
        <f t="shared" si="37"/>
        <v>0</v>
      </c>
      <c r="X165" s="1495">
        <f t="shared" si="38"/>
        <v>0</v>
      </c>
      <c r="Y165" s="1495">
        <f t="shared" si="39"/>
        <v>100</v>
      </c>
      <c r="Z165" s="1495">
        <f t="shared" si="56"/>
        <v>0</v>
      </c>
      <c r="AA165" s="1506">
        <f t="shared" si="57"/>
        <v>0</v>
      </c>
      <c r="AB165" s="1505"/>
      <c r="AC165" s="1504">
        <f t="shared" si="58"/>
        <v>0</v>
      </c>
      <c r="AD165" s="1503">
        <f t="shared" si="62"/>
        <v>0</v>
      </c>
      <c r="AE165" s="1503">
        <f t="shared" si="63"/>
        <v>0</v>
      </c>
      <c r="AF165" s="1502">
        <f t="shared" si="64"/>
        <v>0</v>
      </c>
    </row>
    <row r="166" spans="1:32" s="1474" customFormat="1" ht="23.25" customHeight="1">
      <c r="A166" s="1515">
        <v>79</v>
      </c>
      <c r="B166" s="1513" t="s">
        <v>1975</v>
      </c>
      <c r="C166" s="1514" t="s">
        <v>2248</v>
      </c>
      <c r="D166" s="1514">
        <v>10</v>
      </c>
      <c r="E166" s="1513">
        <v>13000000</v>
      </c>
      <c r="F166" s="1512">
        <v>2340000</v>
      </c>
      <c r="G166" s="2141">
        <v>41101</v>
      </c>
      <c r="H166" s="1511">
        <v>0.18</v>
      </c>
      <c r="I166" s="1508">
        <v>12</v>
      </c>
      <c r="J166" s="1508">
        <v>12</v>
      </c>
      <c r="K166" s="1508">
        <v>1083300</v>
      </c>
      <c r="L166" s="1508">
        <f t="shared" si="65"/>
        <v>195000</v>
      </c>
      <c r="M166" s="1510">
        <f t="shared" si="33"/>
        <v>13000000</v>
      </c>
      <c r="N166" s="1510">
        <f t="shared" si="34"/>
        <v>2340000</v>
      </c>
      <c r="O166" s="1509">
        <v>13000000</v>
      </c>
      <c r="P166" s="1509">
        <v>2340000</v>
      </c>
      <c r="Q166" s="1509"/>
      <c r="R166" s="2650"/>
      <c r="S166" s="2650"/>
      <c r="T166" s="2840"/>
      <c r="U166" s="1495">
        <f t="shared" si="35"/>
        <v>13000000</v>
      </c>
      <c r="V166" s="1495">
        <f t="shared" si="36"/>
        <v>2340000</v>
      </c>
      <c r="W166" s="1495">
        <f t="shared" si="37"/>
        <v>0</v>
      </c>
      <c r="X166" s="1495">
        <f t="shared" si="38"/>
        <v>0</v>
      </c>
      <c r="Y166" s="1495">
        <f t="shared" si="39"/>
        <v>100</v>
      </c>
      <c r="Z166" s="1495">
        <f t="shared" si="56"/>
        <v>0</v>
      </c>
      <c r="AA166" s="1506">
        <f t="shared" si="57"/>
        <v>0</v>
      </c>
      <c r="AB166" s="1505"/>
      <c r="AC166" s="1504">
        <f t="shared" si="58"/>
        <v>0</v>
      </c>
      <c r="AD166" s="1503">
        <f t="shared" si="62"/>
        <v>0</v>
      </c>
      <c r="AE166" s="1503">
        <f t="shared" si="63"/>
        <v>0</v>
      </c>
      <c r="AF166" s="1502">
        <f t="shared" si="64"/>
        <v>0</v>
      </c>
    </row>
    <row r="167" spans="1:32" s="1474" customFormat="1" ht="23.25" customHeight="1">
      <c r="A167" s="1515">
        <v>80</v>
      </c>
      <c r="B167" s="1513" t="s">
        <v>1962</v>
      </c>
      <c r="C167" s="1514" t="s">
        <v>2340</v>
      </c>
      <c r="D167" s="1514"/>
      <c r="E167" s="2942">
        <v>14000000</v>
      </c>
      <c r="F167" s="1512">
        <f t="shared" si="32"/>
        <v>2520000</v>
      </c>
      <c r="G167" s="2941">
        <v>41278</v>
      </c>
      <c r="H167" s="1511">
        <v>0.18</v>
      </c>
      <c r="I167" s="1508">
        <v>12</v>
      </c>
      <c r="J167" s="1508">
        <v>12</v>
      </c>
      <c r="K167" s="1508">
        <v>1166700</v>
      </c>
      <c r="L167" s="1508">
        <f t="shared" si="65"/>
        <v>210000</v>
      </c>
      <c r="M167" s="1510">
        <f t="shared" si="33"/>
        <v>14000000</v>
      </c>
      <c r="N167" s="2401">
        <f>IF(J167&lt;I167,J167*L167,IF(J167&gt;=I167,F167))-210000</f>
        <v>2310000</v>
      </c>
      <c r="O167" s="1509">
        <v>14000000</v>
      </c>
      <c r="P167" s="1509">
        <v>2310000</v>
      </c>
      <c r="Q167" s="1509"/>
      <c r="R167" s="2650"/>
      <c r="S167" s="2650"/>
      <c r="T167" s="2840"/>
      <c r="U167" s="1495">
        <f t="shared" si="35"/>
        <v>14000000</v>
      </c>
      <c r="V167" s="1495">
        <f t="shared" si="36"/>
        <v>2310000</v>
      </c>
      <c r="W167" s="1495">
        <f t="shared" si="37"/>
        <v>0</v>
      </c>
      <c r="X167" s="1495">
        <f t="shared" si="38"/>
        <v>0</v>
      </c>
      <c r="Y167" s="1495">
        <f t="shared" si="39"/>
        <v>100</v>
      </c>
      <c r="Z167" s="1495">
        <f t="shared" si="56"/>
        <v>0</v>
      </c>
      <c r="AA167" s="1506">
        <f t="shared" si="57"/>
        <v>0</v>
      </c>
      <c r="AB167" s="1505"/>
      <c r="AC167" s="1504">
        <f t="shared" si="58"/>
        <v>0</v>
      </c>
      <c r="AD167" s="1503">
        <f t="shared" si="62"/>
        <v>0</v>
      </c>
      <c r="AE167" s="1503">
        <f t="shared" si="63"/>
        <v>0</v>
      </c>
      <c r="AF167" s="1502">
        <f t="shared" si="64"/>
        <v>0</v>
      </c>
    </row>
    <row r="168" spans="1:32" s="1474" customFormat="1" ht="23.25" customHeight="1">
      <c r="A168" s="1515">
        <v>81</v>
      </c>
      <c r="B168" s="1513" t="s">
        <v>1963</v>
      </c>
      <c r="C168" s="1514" t="s">
        <v>2340</v>
      </c>
      <c r="D168" s="1514"/>
      <c r="E168" s="2159">
        <v>15000000</v>
      </c>
      <c r="F168" s="1512">
        <f t="shared" si="32"/>
        <v>2700000</v>
      </c>
      <c r="G168" s="2941">
        <v>41278</v>
      </c>
      <c r="H168" s="1511">
        <v>0.18</v>
      </c>
      <c r="I168" s="1508">
        <v>12</v>
      </c>
      <c r="J168" s="1508">
        <v>12</v>
      </c>
      <c r="K168" s="1508">
        <f t="shared" ref="K168:K175" si="66">E168/I168</f>
        <v>1250000</v>
      </c>
      <c r="L168" s="1508">
        <f t="shared" si="65"/>
        <v>225000</v>
      </c>
      <c r="M168" s="1510">
        <f t="shared" si="33"/>
        <v>15000000</v>
      </c>
      <c r="N168" s="2401">
        <f>IF(J168&lt;I168,J168*L168,IF(J168&gt;=I168,F168))-225000</f>
        <v>2475000</v>
      </c>
      <c r="O168" s="1509">
        <v>15000000</v>
      </c>
      <c r="P168" s="1509">
        <v>2475000</v>
      </c>
      <c r="Q168" s="1509"/>
      <c r="R168" s="2650"/>
      <c r="S168" s="2650"/>
      <c r="T168" s="2840"/>
      <c r="U168" s="1495">
        <f t="shared" si="35"/>
        <v>15000000</v>
      </c>
      <c r="V168" s="1495">
        <f t="shared" si="36"/>
        <v>2475000</v>
      </c>
      <c r="W168" s="1495">
        <f t="shared" si="37"/>
        <v>0</v>
      </c>
      <c r="X168" s="1495">
        <f t="shared" si="38"/>
        <v>0</v>
      </c>
      <c r="Y168" s="1495">
        <f t="shared" si="39"/>
        <v>100</v>
      </c>
      <c r="Z168" s="1495">
        <f t="shared" si="56"/>
        <v>0</v>
      </c>
      <c r="AA168" s="1506">
        <f t="shared" si="57"/>
        <v>0</v>
      </c>
      <c r="AB168" s="1505"/>
      <c r="AC168" s="1504">
        <f t="shared" si="58"/>
        <v>0</v>
      </c>
      <c r="AD168" s="1503">
        <f t="shared" si="62"/>
        <v>0</v>
      </c>
      <c r="AE168" s="1503">
        <f t="shared" si="63"/>
        <v>0</v>
      </c>
      <c r="AF168" s="1502">
        <f t="shared" si="64"/>
        <v>0</v>
      </c>
    </row>
    <row r="169" spans="1:32" s="1474" customFormat="1" ht="23.25" customHeight="1">
      <c r="A169" s="1515">
        <v>82</v>
      </c>
      <c r="B169" s="1513" t="s">
        <v>1934</v>
      </c>
      <c r="C169" s="1514" t="s">
        <v>2340</v>
      </c>
      <c r="D169" s="1514"/>
      <c r="E169" s="2159">
        <v>15000000</v>
      </c>
      <c r="F169" s="1512">
        <f t="shared" si="32"/>
        <v>2700000</v>
      </c>
      <c r="G169" s="2941">
        <v>41278</v>
      </c>
      <c r="H169" s="1511">
        <v>0.18</v>
      </c>
      <c r="I169" s="1508">
        <v>12</v>
      </c>
      <c r="J169" s="1508">
        <v>12</v>
      </c>
      <c r="K169" s="1508">
        <f t="shared" si="66"/>
        <v>1250000</v>
      </c>
      <c r="L169" s="1508">
        <f t="shared" si="65"/>
        <v>225000</v>
      </c>
      <c r="M169" s="1510">
        <f t="shared" si="33"/>
        <v>15000000</v>
      </c>
      <c r="N169" s="2401">
        <f>IF(J169&lt;I169,J169*L169,IF(J169&gt;=I169,F169))-225000</f>
        <v>2475000</v>
      </c>
      <c r="O169" s="1509">
        <v>15000000</v>
      </c>
      <c r="P169" s="1509">
        <v>2475000</v>
      </c>
      <c r="Q169" s="1509"/>
      <c r="R169" s="2650"/>
      <c r="S169" s="2650"/>
      <c r="T169" s="2840"/>
      <c r="U169" s="1495">
        <f t="shared" si="35"/>
        <v>15000000</v>
      </c>
      <c r="V169" s="1495">
        <f t="shared" si="36"/>
        <v>2475000</v>
      </c>
      <c r="W169" s="1495">
        <f t="shared" si="37"/>
        <v>0</v>
      </c>
      <c r="X169" s="1495">
        <f t="shared" si="38"/>
        <v>0</v>
      </c>
      <c r="Y169" s="1495">
        <f t="shared" si="39"/>
        <v>100</v>
      </c>
      <c r="Z169" s="1495">
        <f t="shared" si="56"/>
        <v>0</v>
      </c>
      <c r="AA169" s="1506">
        <f t="shared" si="57"/>
        <v>0</v>
      </c>
      <c r="AB169" s="1505"/>
      <c r="AC169" s="1504">
        <f t="shared" si="58"/>
        <v>0</v>
      </c>
      <c r="AD169" s="1503">
        <f t="shared" si="62"/>
        <v>0</v>
      </c>
      <c r="AE169" s="1503">
        <f t="shared" si="63"/>
        <v>0</v>
      </c>
      <c r="AF169" s="1502">
        <f t="shared" si="64"/>
        <v>0</v>
      </c>
    </row>
    <row r="170" spans="1:32" s="1474" customFormat="1" ht="23.25" customHeight="1">
      <c r="A170" s="1515">
        <v>83</v>
      </c>
      <c r="B170" s="1513" t="s">
        <v>1944</v>
      </c>
      <c r="C170" s="1514" t="s">
        <v>2340</v>
      </c>
      <c r="D170" s="1514"/>
      <c r="E170" s="2159">
        <v>22000000</v>
      </c>
      <c r="F170" s="1512">
        <f t="shared" si="32"/>
        <v>3960000</v>
      </c>
      <c r="G170" s="2941">
        <v>41282</v>
      </c>
      <c r="H170" s="1511">
        <v>0.18</v>
      </c>
      <c r="I170" s="1508">
        <v>12</v>
      </c>
      <c r="J170" s="1508">
        <v>12</v>
      </c>
      <c r="K170" s="1508">
        <v>1833300</v>
      </c>
      <c r="L170" s="1508">
        <f t="shared" si="65"/>
        <v>330000</v>
      </c>
      <c r="M170" s="1510">
        <f t="shared" si="33"/>
        <v>22000000</v>
      </c>
      <c r="N170" s="1510">
        <f t="shared" si="34"/>
        <v>3960000</v>
      </c>
      <c r="O170" s="1509">
        <v>22000000</v>
      </c>
      <c r="P170" s="1509">
        <v>3960000</v>
      </c>
      <c r="Q170" s="1509"/>
      <c r="R170" s="2650"/>
      <c r="S170" s="2650"/>
      <c r="T170" s="2840"/>
      <c r="U170" s="1495">
        <f t="shared" si="35"/>
        <v>22000000</v>
      </c>
      <c r="V170" s="1495">
        <f t="shared" si="36"/>
        <v>3960000</v>
      </c>
      <c r="W170" s="1495">
        <f t="shared" si="37"/>
        <v>0</v>
      </c>
      <c r="X170" s="1495">
        <f t="shared" si="38"/>
        <v>0</v>
      </c>
      <c r="Y170" s="1495">
        <f t="shared" si="39"/>
        <v>100</v>
      </c>
      <c r="Z170" s="1495">
        <f t="shared" si="56"/>
        <v>0</v>
      </c>
      <c r="AA170" s="1506">
        <f t="shared" si="57"/>
        <v>0</v>
      </c>
      <c r="AB170" s="1505"/>
      <c r="AC170" s="1504">
        <f t="shared" si="58"/>
        <v>0</v>
      </c>
      <c r="AD170" s="1503">
        <f t="shared" si="62"/>
        <v>0</v>
      </c>
      <c r="AE170" s="1503">
        <f t="shared" si="63"/>
        <v>0</v>
      </c>
      <c r="AF170" s="1502">
        <f t="shared" si="64"/>
        <v>0</v>
      </c>
    </row>
    <row r="171" spans="1:32" s="1474" customFormat="1" ht="23.25" customHeight="1">
      <c r="A171" s="1515">
        <v>84</v>
      </c>
      <c r="B171" s="1513" t="s">
        <v>1959</v>
      </c>
      <c r="C171" s="1514" t="s">
        <v>2340</v>
      </c>
      <c r="D171" s="1514"/>
      <c r="E171" s="2159">
        <v>13000000</v>
      </c>
      <c r="F171" s="1512">
        <f t="shared" si="32"/>
        <v>2340000</v>
      </c>
      <c r="G171" s="2941">
        <v>41282</v>
      </c>
      <c r="H171" s="1511">
        <v>0.18</v>
      </c>
      <c r="I171" s="1508">
        <v>12</v>
      </c>
      <c r="J171" s="1508">
        <v>12</v>
      </c>
      <c r="K171" s="1508">
        <v>1083300</v>
      </c>
      <c r="L171" s="1508">
        <f t="shared" si="65"/>
        <v>195000</v>
      </c>
      <c r="M171" s="1510">
        <f t="shared" si="33"/>
        <v>13000000</v>
      </c>
      <c r="N171" s="2401">
        <f>IF(J171&lt;I171,J171*L171,IF(J171&gt;=I171,F171))-195000</f>
        <v>2145000</v>
      </c>
      <c r="O171" s="1509">
        <v>13000000</v>
      </c>
      <c r="P171" s="1509">
        <v>2145000</v>
      </c>
      <c r="Q171" s="1509"/>
      <c r="R171" s="2650"/>
      <c r="S171" s="2650"/>
      <c r="T171" s="1507"/>
      <c r="U171" s="1495">
        <f t="shared" si="35"/>
        <v>13000000</v>
      </c>
      <c r="V171" s="1495">
        <f t="shared" si="36"/>
        <v>2145000</v>
      </c>
      <c r="W171" s="1495">
        <f t="shared" si="37"/>
        <v>0</v>
      </c>
      <c r="X171" s="1495">
        <f t="shared" si="38"/>
        <v>0</v>
      </c>
      <c r="Y171" s="1495">
        <f t="shared" si="39"/>
        <v>100</v>
      </c>
      <c r="Z171" s="1495">
        <f t="shared" si="56"/>
        <v>0</v>
      </c>
      <c r="AA171" s="1506">
        <f t="shared" si="57"/>
        <v>0</v>
      </c>
      <c r="AB171" s="1505"/>
      <c r="AC171" s="1504">
        <f t="shared" si="58"/>
        <v>0</v>
      </c>
      <c r="AD171" s="1503">
        <f t="shared" si="62"/>
        <v>0</v>
      </c>
      <c r="AE171" s="1503">
        <f t="shared" si="63"/>
        <v>0</v>
      </c>
      <c r="AF171" s="1502">
        <f t="shared" si="64"/>
        <v>0</v>
      </c>
    </row>
    <row r="172" spans="1:32" s="1474" customFormat="1" ht="23.25" customHeight="1">
      <c r="A172" s="1515">
        <v>85</v>
      </c>
      <c r="B172" s="1513" t="s">
        <v>1948</v>
      </c>
      <c r="C172" s="1514" t="s">
        <v>2340</v>
      </c>
      <c r="D172" s="1514"/>
      <c r="E172" s="2159">
        <v>18000000</v>
      </c>
      <c r="F172" s="1512">
        <f t="shared" si="32"/>
        <v>3240000</v>
      </c>
      <c r="G172" s="2941">
        <v>41282</v>
      </c>
      <c r="H172" s="1511">
        <v>0.18</v>
      </c>
      <c r="I172" s="1508">
        <v>12</v>
      </c>
      <c r="J172" s="1508">
        <v>12</v>
      </c>
      <c r="K172" s="1508">
        <f t="shared" si="66"/>
        <v>1500000</v>
      </c>
      <c r="L172" s="1508">
        <f t="shared" si="65"/>
        <v>270000</v>
      </c>
      <c r="M172" s="1510">
        <f t="shared" si="33"/>
        <v>18000000</v>
      </c>
      <c r="N172" s="2401">
        <f>IF(J172&lt;I172,J172*L172,IF(J172&gt;=I172,F172))-270000</f>
        <v>2970000</v>
      </c>
      <c r="O172" s="1509">
        <v>18000000</v>
      </c>
      <c r="P172" s="1509">
        <v>2970000</v>
      </c>
      <c r="Q172" s="1509"/>
      <c r="R172" s="2650"/>
      <c r="S172" s="2650"/>
      <c r="T172" s="1507"/>
      <c r="U172" s="1495">
        <f t="shared" si="35"/>
        <v>18000000</v>
      </c>
      <c r="V172" s="1495">
        <f t="shared" si="36"/>
        <v>2970000</v>
      </c>
      <c r="W172" s="1495">
        <f t="shared" si="37"/>
        <v>0</v>
      </c>
      <c r="X172" s="1495">
        <f t="shared" si="38"/>
        <v>0</v>
      </c>
      <c r="Y172" s="1495">
        <f t="shared" si="39"/>
        <v>100</v>
      </c>
      <c r="Z172" s="1495">
        <f t="shared" si="56"/>
        <v>0</v>
      </c>
      <c r="AA172" s="1506">
        <f t="shared" si="57"/>
        <v>0</v>
      </c>
      <c r="AB172" s="1505"/>
      <c r="AC172" s="1504">
        <f t="shared" si="58"/>
        <v>0</v>
      </c>
      <c r="AD172" s="1503">
        <f t="shared" si="62"/>
        <v>0</v>
      </c>
      <c r="AE172" s="1503">
        <f t="shared" si="63"/>
        <v>0</v>
      </c>
      <c r="AF172" s="1502">
        <f t="shared" si="64"/>
        <v>0</v>
      </c>
    </row>
    <row r="173" spans="1:32" s="1474" customFormat="1" ht="23.25" customHeight="1">
      <c r="A173" s="1515">
        <v>86</v>
      </c>
      <c r="B173" s="1513" t="s">
        <v>1954</v>
      </c>
      <c r="C173" s="1514" t="s">
        <v>2340</v>
      </c>
      <c r="D173" s="1514"/>
      <c r="E173" s="2159">
        <v>18000000</v>
      </c>
      <c r="F173" s="1512">
        <f t="shared" si="32"/>
        <v>3240000</v>
      </c>
      <c r="G173" s="2941">
        <v>41283</v>
      </c>
      <c r="H173" s="1511">
        <v>0.18</v>
      </c>
      <c r="I173" s="1508">
        <v>12</v>
      </c>
      <c r="J173" s="1508">
        <v>12</v>
      </c>
      <c r="K173" s="1508">
        <f t="shared" si="66"/>
        <v>1500000</v>
      </c>
      <c r="L173" s="1508">
        <f t="shared" si="65"/>
        <v>270000</v>
      </c>
      <c r="M173" s="1510">
        <f t="shared" si="33"/>
        <v>18000000</v>
      </c>
      <c r="N173" s="2401">
        <f>IF(J173&lt;I173,J173*L173,IF(J173&gt;=I173,F173))-270000</f>
        <v>2970000</v>
      </c>
      <c r="O173" s="1509">
        <v>18000000</v>
      </c>
      <c r="P173" s="1509">
        <v>2970000</v>
      </c>
      <c r="Q173" s="1509"/>
      <c r="R173" s="2650"/>
      <c r="S173" s="2650"/>
      <c r="T173" s="1507"/>
      <c r="U173" s="1495">
        <f t="shared" si="35"/>
        <v>18000000</v>
      </c>
      <c r="V173" s="1495">
        <f t="shared" si="36"/>
        <v>2970000</v>
      </c>
      <c r="W173" s="1495">
        <f t="shared" si="37"/>
        <v>0</v>
      </c>
      <c r="X173" s="1495">
        <f t="shared" si="38"/>
        <v>0</v>
      </c>
      <c r="Y173" s="1495">
        <f t="shared" si="39"/>
        <v>100</v>
      </c>
      <c r="Z173" s="1495">
        <f t="shared" si="56"/>
        <v>0</v>
      </c>
      <c r="AA173" s="1506">
        <f t="shared" si="57"/>
        <v>0</v>
      </c>
      <c r="AB173" s="1505"/>
      <c r="AC173" s="1504">
        <f t="shared" si="58"/>
        <v>0</v>
      </c>
      <c r="AD173" s="1503">
        <f t="shared" si="62"/>
        <v>0</v>
      </c>
      <c r="AE173" s="1503">
        <f t="shared" si="63"/>
        <v>0</v>
      </c>
      <c r="AF173" s="1502">
        <f t="shared" si="64"/>
        <v>0</v>
      </c>
    </row>
    <row r="174" spans="1:32" s="3080" customFormat="1" ht="23.25" customHeight="1">
      <c r="A174" s="3081">
        <v>87</v>
      </c>
      <c r="B174" s="3082" t="s">
        <v>1968</v>
      </c>
      <c r="C174" s="3083" t="s">
        <v>2340</v>
      </c>
      <c r="D174" s="3083">
        <v>10</v>
      </c>
      <c r="E174" s="3088">
        <v>13000000</v>
      </c>
      <c r="F174" s="3082">
        <f t="shared" si="32"/>
        <v>2340000</v>
      </c>
      <c r="G174" s="3089">
        <v>41283</v>
      </c>
      <c r="H174" s="3085">
        <v>0.18</v>
      </c>
      <c r="I174" s="2408">
        <v>12</v>
      </c>
      <c r="J174" s="2408">
        <v>12</v>
      </c>
      <c r="K174" s="2408">
        <v>1083300</v>
      </c>
      <c r="L174" s="2408">
        <f t="shared" si="65"/>
        <v>195000</v>
      </c>
      <c r="M174" s="2408">
        <f t="shared" si="33"/>
        <v>13000000</v>
      </c>
      <c r="N174" s="2408">
        <f t="shared" si="34"/>
        <v>2340000</v>
      </c>
      <c r="O174" s="2408">
        <v>9749700</v>
      </c>
      <c r="P174" s="2408">
        <v>1755000</v>
      </c>
      <c r="Q174" s="2408"/>
      <c r="R174" s="2408"/>
      <c r="S174" s="2408"/>
      <c r="T174" s="3082"/>
      <c r="U174" s="2831">
        <f t="shared" si="35"/>
        <v>9749700</v>
      </c>
      <c r="V174" s="2831">
        <f t="shared" si="36"/>
        <v>1755000</v>
      </c>
      <c r="W174" s="2831">
        <f t="shared" si="37"/>
        <v>0</v>
      </c>
      <c r="X174" s="2831">
        <f t="shared" si="38"/>
        <v>3250300</v>
      </c>
      <c r="Y174" s="2831">
        <f t="shared" si="39"/>
        <v>74.997692307692304</v>
      </c>
      <c r="Z174" s="2831">
        <f t="shared" si="56"/>
        <v>3250300</v>
      </c>
      <c r="AA174" s="2832">
        <f t="shared" si="57"/>
        <v>585000</v>
      </c>
      <c r="AB174" s="3086">
        <v>7</v>
      </c>
      <c r="AC174" s="3077">
        <f t="shared" si="58"/>
        <v>0</v>
      </c>
      <c r="AD174" s="3078">
        <f t="shared" si="62"/>
        <v>0</v>
      </c>
      <c r="AE174" s="3078">
        <f t="shared" si="63"/>
        <v>0</v>
      </c>
      <c r="AF174" s="3079">
        <f t="shared" si="64"/>
        <v>3250300</v>
      </c>
    </row>
    <row r="175" spans="1:32" s="1474" customFormat="1" ht="23.25" customHeight="1">
      <c r="A175" s="1515">
        <v>88</v>
      </c>
      <c r="B175" s="1513" t="s">
        <v>1982</v>
      </c>
      <c r="C175" s="1514" t="s">
        <v>2340</v>
      </c>
      <c r="D175" s="1514"/>
      <c r="E175" s="1513">
        <v>24000000</v>
      </c>
      <c r="F175" s="1512">
        <f t="shared" si="32"/>
        <v>4320000</v>
      </c>
      <c r="G175" s="2141">
        <v>41289</v>
      </c>
      <c r="H175" s="1511">
        <v>0.18</v>
      </c>
      <c r="I175" s="1508">
        <v>12</v>
      </c>
      <c r="J175" s="1508">
        <v>12</v>
      </c>
      <c r="K175" s="1508">
        <f t="shared" si="66"/>
        <v>2000000</v>
      </c>
      <c r="L175" s="1508">
        <f t="shared" si="65"/>
        <v>360000</v>
      </c>
      <c r="M175" s="1510">
        <f t="shared" si="33"/>
        <v>24000000</v>
      </c>
      <c r="N175" s="2401">
        <f>IF(J175&lt;I175,J175*L175,IF(J175&gt;=I175,F175))-720000</f>
        <v>3600000</v>
      </c>
      <c r="O175" s="1509">
        <v>24000000</v>
      </c>
      <c r="P175" s="1509">
        <v>3600000</v>
      </c>
      <c r="Q175" s="1509"/>
      <c r="R175" s="2650"/>
      <c r="S175" s="2650"/>
      <c r="T175" s="1507"/>
      <c r="U175" s="1495">
        <f>SUM(O175+R175)</f>
        <v>24000000</v>
      </c>
      <c r="V175" s="1495">
        <f t="shared" si="36"/>
        <v>3600000</v>
      </c>
      <c r="W175" s="1495">
        <f t="shared" si="37"/>
        <v>0</v>
      </c>
      <c r="X175" s="1495">
        <f t="shared" si="38"/>
        <v>0</v>
      </c>
      <c r="Y175" s="1495">
        <f t="shared" si="39"/>
        <v>100</v>
      </c>
      <c r="Z175" s="1495">
        <f t="shared" si="56"/>
        <v>0</v>
      </c>
      <c r="AA175" s="1506">
        <f t="shared" si="57"/>
        <v>0</v>
      </c>
      <c r="AB175" s="1505"/>
      <c r="AC175" s="1504">
        <f t="shared" si="58"/>
        <v>0</v>
      </c>
      <c r="AD175" s="1503">
        <f t="shared" si="62"/>
        <v>0</v>
      </c>
      <c r="AE175" s="1503">
        <f t="shared" si="63"/>
        <v>0</v>
      </c>
      <c r="AF175" s="1502">
        <f t="shared" si="64"/>
        <v>0</v>
      </c>
    </row>
    <row r="176" spans="1:32" s="1474" customFormat="1" ht="23.25" customHeight="1">
      <c r="A176" s="1515">
        <v>89</v>
      </c>
      <c r="B176" s="1513" t="s">
        <v>2352</v>
      </c>
      <c r="C176" s="1514" t="s">
        <v>2340</v>
      </c>
      <c r="D176" s="1514"/>
      <c r="E176" s="1513">
        <v>20000000</v>
      </c>
      <c r="F176" s="1512">
        <f t="shared" si="32"/>
        <v>3600000</v>
      </c>
      <c r="G176" s="2141">
        <v>41289</v>
      </c>
      <c r="H176" s="1511">
        <v>0.18</v>
      </c>
      <c r="I176" s="1508">
        <v>12</v>
      </c>
      <c r="J176" s="1508">
        <v>12</v>
      </c>
      <c r="K176" s="1508">
        <v>1666700</v>
      </c>
      <c r="L176" s="1508">
        <f t="shared" si="65"/>
        <v>300000</v>
      </c>
      <c r="M176" s="1510">
        <f t="shared" si="33"/>
        <v>20000000</v>
      </c>
      <c r="N176" s="1510">
        <f t="shared" si="34"/>
        <v>3600000</v>
      </c>
      <c r="O176" s="1509">
        <v>20000000</v>
      </c>
      <c r="P176" s="1509">
        <v>3600000</v>
      </c>
      <c r="Q176" s="1509"/>
      <c r="R176" s="2650"/>
      <c r="S176" s="2650"/>
      <c r="T176" s="1507"/>
      <c r="U176" s="1495">
        <f t="shared" ref="U176:U320" si="67">SUM(O176+R176)</f>
        <v>20000000</v>
      </c>
      <c r="V176" s="1495">
        <f t="shared" ref="V176:V320" si="68">SUM(P176+S176)</f>
        <v>3600000</v>
      </c>
      <c r="W176" s="1495">
        <f t="shared" ref="W176:W320" si="69">SUM(Q176+T176)</f>
        <v>0</v>
      </c>
      <c r="X176" s="1495">
        <f t="shared" ref="X176:X320" si="70">SUM(E176-U176)</f>
        <v>0</v>
      </c>
      <c r="Y176" s="1495">
        <f t="shared" ref="Y176:Y320" si="71">SUM(U176/M176)*100</f>
        <v>100</v>
      </c>
      <c r="Z176" s="1495">
        <f t="shared" ref="Z176:Z320" si="72">SUM(M176-U176)</f>
        <v>0</v>
      </c>
      <c r="AA176" s="1506">
        <f t="shared" ref="AA176:AA320" si="73">SUM(N176-V176)</f>
        <v>0</v>
      </c>
      <c r="AB176" s="1505"/>
      <c r="AC176" s="1504">
        <f t="shared" si="58"/>
        <v>0</v>
      </c>
      <c r="AD176" s="1503">
        <f t="shared" si="62"/>
        <v>0</v>
      </c>
      <c r="AE176" s="1503">
        <f t="shared" si="63"/>
        <v>0</v>
      </c>
      <c r="AF176" s="1502">
        <f t="shared" si="64"/>
        <v>0</v>
      </c>
    </row>
    <row r="177" spans="1:32" s="1474" customFormat="1" ht="23.25" customHeight="1">
      <c r="A177" s="1515">
        <v>90</v>
      </c>
      <c r="B177" s="1513" t="s">
        <v>2240</v>
      </c>
      <c r="C177" s="1514" t="s">
        <v>2340</v>
      </c>
      <c r="D177" s="1514"/>
      <c r="E177" s="1513">
        <v>20000000</v>
      </c>
      <c r="F177" s="1512">
        <f t="shared" si="32"/>
        <v>3600000</v>
      </c>
      <c r="G177" s="2141">
        <v>41289</v>
      </c>
      <c r="H177" s="1511">
        <v>0.18</v>
      </c>
      <c r="I177" s="1508">
        <v>12</v>
      </c>
      <c r="J177" s="1508">
        <v>12</v>
      </c>
      <c r="K177" s="1508">
        <v>1666700</v>
      </c>
      <c r="L177" s="1508">
        <f t="shared" si="65"/>
        <v>300000</v>
      </c>
      <c r="M177" s="1510">
        <f t="shared" si="33"/>
        <v>20000000</v>
      </c>
      <c r="N177" s="2401">
        <f>IF(J177&lt;I177,J177*L177,IF(J177&gt;=I177,F177))-300000</f>
        <v>3300000</v>
      </c>
      <c r="O177" s="1509">
        <v>20000000</v>
      </c>
      <c r="P177" s="1509">
        <v>3300000</v>
      </c>
      <c r="Q177" s="1509"/>
      <c r="R177" s="2650"/>
      <c r="S177" s="2650"/>
      <c r="T177" s="1507"/>
      <c r="U177" s="1495">
        <f t="shared" si="67"/>
        <v>20000000</v>
      </c>
      <c r="V177" s="1495">
        <f t="shared" si="68"/>
        <v>3300000</v>
      </c>
      <c r="W177" s="1495">
        <f t="shared" si="69"/>
        <v>0</v>
      </c>
      <c r="X177" s="1495">
        <f t="shared" si="70"/>
        <v>0</v>
      </c>
      <c r="Y177" s="1495">
        <f t="shared" si="71"/>
        <v>100</v>
      </c>
      <c r="Z177" s="1495">
        <f t="shared" si="72"/>
        <v>0</v>
      </c>
      <c r="AA177" s="1506">
        <f t="shared" si="73"/>
        <v>0</v>
      </c>
      <c r="AB177" s="1505"/>
      <c r="AC177" s="1504">
        <f t="shared" si="58"/>
        <v>0</v>
      </c>
      <c r="AD177" s="1503">
        <f t="shared" si="62"/>
        <v>0</v>
      </c>
      <c r="AE177" s="1503">
        <f t="shared" si="63"/>
        <v>0</v>
      </c>
      <c r="AF177" s="1502">
        <f t="shared" si="64"/>
        <v>0</v>
      </c>
    </row>
    <row r="178" spans="1:32" s="3080" customFormat="1" ht="23.25" customHeight="1">
      <c r="A178" s="3081">
        <v>91</v>
      </c>
      <c r="B178" s="3082" t="s">
        <v>1953</v>
      </c>
      <c r="C178" s="3083" t="s">
        <v>2340</v>
      </c>
      <c r="D178" s="3083">
        <v>13</v>
      </c>
      <c r="E178" s="3082">
        <v>22000000</v>
      </c>
      <c r="F178" s="3082">
        <f t="shared" si="32"/>
        <v>3960000</v>
      </c>
      <c r="G178" s="3084">
        <v>41289</v>
      </c>
      <c r="H178" s="3085">
        <v>0.18</v>
      </c>
      <c r="I178" s="2408">
        <v>12</v>
      </c>
      <c r="J178" s="2408">
        <v>12</v>
      </c>
      <c r="K178" s="2408">
        <v>1833300</v>
      </c>
      <c r="L178" s="2408">
        <f t="shared" si="65"/>
        <v>330000</v>
      </c>
      <c r="M178" s="2408">
        <f t="shared" si="33"/>
        <v>22000000</v>
      </c>
      <c r="N178" s="2408">
        <f t="shared" si="34"/>
        <v>3960000</v>
      </c>
      <c r="O178" s="2408">
        <v>18833100</v>
      </c>
      <c r="P178" s="2408">
        <v>3630000</v>
      </c>
      <c r="Q178" s="2408"/>
      <c r="R178" s="2408"/>
      <c r="S178" s="2408"/>
      <c r="T178" s="3082"/>
      <c r="U178" s="2831">
        <f t="shared" si="67"/>
        <v>18833100</v>
      </c>
      <c r="V178" s="2831">
        <f t="shared" si="68"/>
        <v>3630000</v>
      </c>
      <c r="W178" s="2831">
        <f t="shared" si="69"/>
        <v>0</v>
      </c>
      <c r="X178" s="2831">
        <f t="shared" si="70"/>
        <v>3166900</v>
      </c>
      <c r="Y178" s="2831">
        <f t="shared" si="71"/>
        <v>85.605000000000004</v>
      </c>
      <c r="Z178" s="2831">
        <f t="shared" si="72"/>
        <v>3166900</v>
      </c>
      <c r="AA178" s="2832">
        <f t="shared" si="73"/>
        <v>330000</v>
      </c>
      <c r="AB178" s="3086">
        <v>7</v>
      </c>
      <c r="AC178" s="3077">
        <f t="shared" si="58"/>
        <v>0</v>
      </c>
      <c r="AD178" s="3078">
        <f t="shared" si="62"/>
        <v>0</v>
      </c>
      <c r="AE178" s="3078">
        <f t="shared" si="63"/>
        <v>0</v>
      </c>
      <c r="AF178" s="3079">
        <f t="shared" si="64"/>
        <v>3166900</v>
      </c>
    </row>
    <row r="179" spans="1:32" s="1474" customFormat="1" ht="23.25" customHeight="1">
      <c r="A179" s="1515">
        <v>92</v>
      </c>
      <c r="B179" s="1513" t="s">
        <v>1961</v>
      </c>
      <c r="C179" s="1514" t="s">
        <v>2340</v>
      </c>
      <c r="D179" s="1514"/>
      <c r="E179" s="1513">
        <v>17000000</v>
      </c>
      <c r="F179" s="1512">
        <f t="shared" si="32"/>
        <v>3060000</v>
      </c>
      <c r="G179" s="2141">
        <v>41289</v>
      </c>
      <c r="H179" s="1511">
        <v>0.18</v>
      </c>
      <c r="I179" s="1508">
        <v>12</v>
      </c>
      <c r="J179" s="1508">
        <v>12</v>
      </c>
      <c r="K179" s="1508">
        <v>1416700</v>
      </c>
      <c r="L179" s="1508">
        <f t="shared" si="65"/>
        <v>255000</v>
      </c>
      <c r="M179" s="1510">
        <f t="shared" si="33"/>
        <v>17000000</v>
      </c>
      <c r="N179" s="1510">
        <f t="shared" si="34"/>
        <v>3060000</v>
      </c>
      <c r="O179" s="1509">
        <v>17000000</v>
      </c>
      <c r="P179" s="1509">
        <v>3060000</v>
      </c>
      <c r="Q179" s="1509"/>
      <c r="R179" s="2650"/>
      <c r="S179" s="2650"/>
      <c r="T179" s="1507"/>
      <c r="U179" s="1495">
        <f t="shared" si="67"/>
        <v>17000000</v>
      </c>
      <c r="V179" s="1495">
        <f t="shared" si="68"/>
        <v>3060000</v>
      </c>
      <c r="W179" s="1495">
        <f t="shared" si="69"/>
        <v>0</v>
      </c>
      <c r="X179" s="1495">
        <f t="shared" si="70"/>
        <v>0</v>
      </c>
      <c r="Y179" s="1495">
        <f t="shared" si="71"/>
        <v>100</v>
      </c>
      <c r="Z179" s="1495">
        <f t="shared" si="72"/>
        <v>0</v>
      </c>
      <c r="AA179" s="1506">
        <f t="shared" si="73"/>
        <v>0</v>
      </c>
      <c r="AB179" s="1505"/>
      <c r="AC179" s="1504">
        <f t="shared" si="58"/>
        <v>0</v>
      </c>
      <c r="AD179" s="1503">
        <f t="shared" si="62"/>
        <v>0</v>
      </c>
      <c r="AE179" s="1503">
        <f t="shared" si="63"/>
        <v>0</v>
      </c>
      <c r="AF179" s="1502">
        <f t="shared" si="64"/>
        <v>0</v>
      </c>
    </row>
    <row r="180" spans="1:32" s="1474" customFormat="1" ht="23.25" customHeight="1">
      <c r="A180" s="1515">
        <v>93</v>
      </c>
      <c r="B180" s="1513" t="s">
        <v>1949</v>
      </c>
      <c r="C180" s="1514" t="s">
        <v>2340</v>
      </c>
      <c r="D180" s="1514"/>
      <c r="E180" s="1513">
        <v>26000000</v>
      </c>
      <c r="F180" s="1512">
        <f t="shared" si="32"/>
        <v>4680000</v>
      </c>
      <c r="G180" s="2141">
        <v>41289</v>
      </c>
      <c r="H180" s="1511">
        <v>0.18</v>
      </c>
      <c r="I180" s="1508">
        <v>12</v>
      </c>
      <c r="J180" s="1508">
        <v>12</v>
      </c>
      <c r="K180" s="1508">
        <v>2166700</v>
      </c>
      <c r="L180" s="1508">
        <f t="shared" si="65"/>
        <v>390000</v>
      </c>
      <c r="M180" s="1510">
        <f t="shared" si="33"/>
        <v>26000000</v>
      </c>
      <c r="N180" s="1510">
        <f t="shared" si="34"/>
        <v>4680000</v>
      </c>
      <c r="O180" s="1509">
        <v>26000000</v>
      </c>
      <c r="P180" s="1509">
        <v>4680000</v>
      </c>
      <c r="Q180" s="1509"/>
      <c r="R180" s="2650"/>
      <c r="S180" s="2650"/>
      <c r="T180" s="1507"/>
      <c r="U180" s="1495">
        <f t="shared" si="67"/>
        <v>26000000</v>
      </c>
      <c r="V180" s="1495">
        <f t="shared" si="68"/>
        <v>4680000</v>
      </c>
      <c r="W180" s="1495">
        <f t="shared" si="69"/>
        <v>0</v>
      </c>
      <c r="X180" s="1495">
        <f t="shared" si="70"/>
        <v>0</v>
      </c>
      <c r="Y180" s="1495">
        <f t="shared" si="71"/>
        <v>100</v>
      </c>
      <c r="Z180" s="1495">
        <f t="shared" si="72"/>
        <v>0</v>
      </c>
      <c r="AA180" s="1506">
        <f t="shared" si="73"/>
        <v>0</v>
      </c>
      <c r="AB180" s="1505"/>
      <c r="AC180" s="1504">
        <f t="shared" si="58"/>
        <v>0</v>
      </c>
      <c r="AD180" s="1503">
        <f t="shared" si="62"/>
        <v>0</v>
      </c>
      <c r="AE180" s="1503">
        <f t="shared" si="63"/>
        <v>0</v>
      </c>
      <c r="AF180" s="1502">
        <f t="shared" si="64"/>
        <v>0</v>
      </c>
    </row>
    <row r="181" spans="1:32" s="1474" customFormat="1" ht="23.25" customHeight="1">
      <c r="A181" s="1515">
        <v>94</v>
      </c>
      <c r="B181" s="1513" t="s">
        <v>2241</v>
      </c>
      <c r="C181" s="1514" t="s">
        <v>2340</v>
      </c>
      <c r="D181" s="1514"/>
      <c r="E181" s="1513">
        <v>20000000</v>
      </c>
      <c r="F181" s="1512">
        <f t="shared" si="32"/>
        <v>3600000</v>
      </c>
      <c r="G181" s="2141">
        <v>41289</v>
      </c>
      <c r="H181" s="1511">
        <v>0.18</v>
      </c>
      <c r="I181" s="1508">
        <v>12</v>
      </c>
      <c r="J181" s="1508">
        <v>12</v>
      </c>
      <c r="K181" s="1508">
        <v>1666700</v>
      </c>
      <c r="L181" s="1508">
        <f t="shared" si="65"/>
        <v>300000</v>
      </c>
      <c r="M181" s="1510">
        <f t="shared" si="33"/>
        <v>20000000</v>
      </c>
      <c r="N181" s="1510">
        <f t="shared" si="34"/>
        <v>3600000</v>
      </c>
      <c r="O181" s="1509">
        <v>20000000</v>
      </c>
      <c r="P181" s="1509">
        <v>3600000</v>
      </c>
      <c r="Q181" s="1509"/>
      <c r="R181" s="2650"/>
      <c r="S181" s="2650"/>
      <c r="T181" s="1507"/>
      <c r="U181" s="1495">
        <f t="shared" si="67"/>
        <v>20000000</v>
      </c>
      <c r="V181" s="1495">
        <f t="shared" si="68"/>
        <v>3600000</v>
      </c>
      <c r="W181" s="1495">
        <f t="shared" si="69"/>
        <v>0</v>
      </c>
      <c r="X181" s="1495">
        <f t="shared" si="70"/>
        <v>0</v>
      </c>
      <c r="Y181" s="1495">
        <f t="shared" si="71"/>
        <v>100</v>
      </c>
      <c r="Z181" s="1495">
        <f t="shared" si="72"/>
        <v>0</v>
      </c>
      <c r="AA181" s="1506">
        <f t="shared" si="73"/>
        <v>0</v>
      </c>
      <c r="AB181" s="1505"/>
      <c r="AC181" s="1504">
        <f t="shared" si="58"/>
        <v>0</v>
      </c>
      <c r="AD181" s="1503">
        <f t="shared" si="62"/>
        <v>0</v>
      </c>
      <c r="AE181" s="1503">
        <f t="shared" si="63"/>
        <v>0</v>
      </c>
      <c r="AF181" s="1502">
        <f t="shared" si="64"/>
        <v>0</v>
      </c>
    </row>
    <row r="182" spans="1:32" s="1474" customFormat="1" ht="23.25" customHeight="1">
      <c r="A182" s="1515">
        <v>95</v>
      </c>
      <c r="B182" s="1513" t="s">
        <v>2260</v>
      </c>
      <c r="C182" s="1514" t="s">
        <v>2340</v>
      </c>
      <c r="D182" s="1514"/>
      <c r="E182" s="1513">
        <v>11000000</v>
      </c>
      <c r="F182" s="1512">
        <f t="shared" si="32"/>
        <v>1980000</v>
      </c>
      <c r="G182" s="2141">
        <v>41290</v>
      </c>
      <c r="H182" s="1511">
        <v>0.18</v>
      </c>
      <c r="I182" s="1508">
        <v>12</v>
      </c>
      <c r="J182" s="1508">
        <v>12</v>
      </c>
      <c r="K182" s="1508">
        <v>916700</v>
      </c>
      <c r="L182" s="1508">
        <f t="shared" si="65"/>
        <v>165000</v>
      </c>
      <c r="M182" s="1510">
        <f t="shared" si="33"/>
        <v>11000000</v>
      </c>
      <c r="N182" s="2401">
        <f>IF(J182&lt;I182,J182*L182,IF(J182&gt;=I182,F182))-495000</f>
        <v>1485000</v>
      </c>
      <c r="O182" s="1509">
        <v>11000000</v>
      </c>
      <c r="P182" s="1509">
        <v>1485000</v>
      </c>
      <c r="Q182" s="1509"/>
      <c r="R182" s="2650"/>
      <c r="S182" s="2650"/>
      <c r="T182" s="1507"/>
      <c r="U182" s="1495">
        <f t="shared" si="67"/>
        <v>11000000</v>
      </c>
      <c r="V182" s="1495">
        <f t="shared" si="68"/>
        <v>1485000</v>
      </c>
      <c r="W182" s="1495">
        <f t="shared" si="69"/>
        <v>0</v>
      </c>
      <c r="X182" s="1495">
        <f t="shared" si="70"/>
        <v>0</v>
      </c>
      <c r="Y182" s="1495">
        <f t="shared" si="71"/>
        <v>100</v>
      </c>
      <c r="Z182" s="1495">
        <f t="shared" si="72"/>
        <v>0</v>
      </c>
      <c r="AA182" s="1506">
        <f t="shared" si="73"/>
        <v>0</v>
      </c>
      <c r="AB182" s="1505"/>
      <c r="AC182" s="1504">
        <f t="shared" si="58"/>
        <v>0</v>
      </c>
      <c r="AD182" s="1503">
        <f t="shared" si="62"/>
        <v>0</v>
      </c>
      <c r="AE182" s="1503">
        <f t="shared" si="63"/>
        <v>0</v>
      </c>
      <c r="AF182" s="1502">
        <f t="shared" si="64"/>
        <v>0</v>
      </c>
    </row>
    <row r="183" spans="1:32" s="1474" customFormat="1" ht="23.25" customHeight="1">
      <c r="A183" s="1515">
        <v>96</v>
      </c>
      <c r="B183" s="1513" t="s">
        <v>1966</v>
      </c>
      <c r="C183" s="1514" t="s">
        <v>2340</v>
      </c>
      <c r="D183" s="1514"/>
      <c r="E183" s="1513">
        <v>12000000</v>
      </c>
      <c r="F183" s="1512">
        <f t="shared" si="32"/>
        <v>2160000</v>
      </c>
      <c r="G183" s="2141">
        <v>41290</v>
      </c>
      <c r="H183" s="1511">
        <v>0.18</v>
      </c>
      <c r="I183" s="1508">
        <v>12</v>
      </c>
      <c r="J183" s="1508">
        <v>12</v>
      </c>
      <c r="K183" s="1508">
        <f t="shared" ref="K183:K192" si="74">E183/I183</f>
        <v>1000000</v>
      </c>
      <c r="L183" s="1508">
        <f t="shared" si="65"/>
        <v>180000</v>
      </c>
      <c r="M183" s="1510">
        <f t="shared" si="33"/>
        <v>12000000</v>
      </c>
      <c r="N183" s="1510">
        <f t="shared" si="34"/>
        <v>2160000</v>
      </c>
      <c r="O183" s="1509">
        <v>12000000</v>
      </c>
      <c r="P183" s="1509">
        <v>2160000</v>
      </c>
      <c r="Q183" s="1509"/>
      <c r="R183" s="2650"/>
      <c r="S183" s="2650"/>
      <c r="T183" s="1507"/>
      <c r="U183" s="1495">
        <f t="shared" si="67"/>
        <v>12000000</v>
      </c>
      <c r="V183" s="1495">
        <f t="shared" si="68"/>
        <v>2160000</v>
      </c>
      <c r="W183" s="1495">
        <f t="shared" si="69"/>
        <v>0</v>
      </c>
      <c r="X183" s="1495">
        <f t="shared" si="70"/>
        <v>0</v>
      </c>
      <c r="Y183" s="1495">
        <f t="shared" si="71"/>
        <v>100</v>
      </c>
      <c r="Z183" s="1495">
        <f t="shared" si="72"/>
        <v>0</v>
      </c>
      <c r="AA183" s="1506">
        <f t="shared" si="73"/>
        <v>0</v>
      </c>
      <c r="AB183" s="1505"/>
      <c r="AC183" s="1504">
        <f t="shared" ref="AC183:AC320" si="75">IF(AND(AB183&gt;0,AB183&lt;=2),X183,0)</f>
        <v>0</v>
      </c>
      <c r="AD183" s="1503">
        <f t="shared" si="62"/>
        <v>0</v>
      </c>
      <c r="AE183" s="1503">
        <f t="shared" si="63"/>
        <v>0</v>
      </c>
      <c r="AF183" s="1502">
        <f t="shared" si="64"/>
        <v>0</v>
      </c>
    </row>
    <row r="184" spans="1:32" s="1474" customFormat="1" ht="23.25" customHeight="1">
      <c r="A184" s="1515">
        <v>97</v>
      </c>
      <c r="B184" s="1513" t="s">
        <v>1958</v>
      </c>
      <c r="C184" s="1514" t="s">
        <v>2340</v>
      </c>
      <c r="D184" s="1514"/>
      <c r="E184" s="1513">
        <v>18000000</v>
      </c>
      <c r="F184" s="1512">
        <f t="shared" si="32"/>
        <v>3240000</v>
      </c>
      <c r="G184" s="2141">
        <v>41290</v>
      </c>
      <c r="H184" s="1511">
        <v>0.18</v>
      </c>
      <c r="I184" s="1508">
        <v>12</v>
      </c>
      <c r="J184" s="1508">
        <v>12</v>
      </c>
      <c r="K184" s="1508">
        <f t="shared" si="74"/>
        <v>1500000</v>
      </c>
      <c r="L184" s="1508">
        <f t="shared" si="65"/>
        <v>270000</v>
      </c>
      <c r="M184" s="1510">
        <f t="shared" si="33"/>
        <v>18000000</v>
      </c>
      <c r="N184" s="1510">
        <f t="shared" si="34"/>
        <v>3240000</v>
      </c>
      <c r="O184" s="1509">
        <v>18000000</v>
      </c>
      <c r="P184" s="1509">
        <v>3240000</v>
      </c>
      <c r="Q184" s="1509"/>
      <c r="R184" s="2650"/>
      <c r="S184" s="2650"/>
      <c r="T184" s="1507"/>
      <c r="U184" s="1495">
        <f t="shared" si="67"/>
        <v>18000000</v>
      </c>
      <c r="V184" s="1495">
        <f t="shared" si="68"/>
        <v>3240000</v>
      </c>
      <c r="W184" s="1495">
        <f t="shared" si="69"/>
        <v>0</v>
      </c>
      <c r="X184" s="1495">
        <f t="shared" si="70"/>
        <v>0</v>
      </c>
      <c r="Y184" s="1495">
        <f t="shared" si="71"/>
        <v>100</v>
      </c>
      <c r="Z184" s="1495">
        <f t="shared" si="72"/>
        <v>0</v>
      </c>
      <c r="AA184" s="1506">
        <f t="shared" si="73"/>
        <v>0</v>
      </c>
      <c r="AB184" s="1505"/>
      <c r="AC184" s="1504">
        <f t="shared" si="75"/>
        <v>0</v>
      </c>
      <c r="AD184" s="1503">
        <f t="shared" si="62"/>
        <v>0</v>
      </c>
      <c r="AE184" s="1503">
        <f t="shared" si="63"/>
        <v>0</v>
      </c>
      <c r="AF184" s="1502">
        <f t="shared" si="64"/>
        <v>0</v>
      </c>
    </row>
    <row r="185" spans="1:32" s="1474" customFormat="1" ht="23.25" customHeight="1">
      <c r="A185" s="1515">
        <v>98</v>
      </c>
      <c r="B185" s="1513" t="s">
        <v>1952</v>
      </c>
      <c r="C185" s="1514" t="s">
        <v>2340</v>
      </c>
      <c r="D185" s="1514"/>
      <c r="E185" s="1513">
        <v>25000000</v>
      </c>
      <c r="F185" s="1512">
        <f t="shared" si="32"/>
        <v>4500000</v>
      </c>
      <c r="G185" s="2141">
        <v>41290</v>
      </c>
      <c r="H185" s="1511">
        <v>0.18</v>
      </c>
      <c r="I185" s="1508">
        <v>12</v>
      </c>
      <c r="J185" s="1508">
        <v>12</v>
      </c>
      <c r="K185" s="1508">
        <v>2083300</v>
      </c>
      <c r="L185" s="1508">
        <f t="shared" si="65"/>
        <v>375000</v>
      </c>
      <c r="M185" s="1510">
        <f t="shared" si="33"/>
        <v>25000000</v>
      </c>
      <c r="N185" s="1510">
        <f t="shared" si="34"/>
        <v>4500000</v>
      </c>
      <c r="O185" s="1509">
        <v>25000000</v>
      </c>
      <c r="P185" s="1509">
        <v>4500000</v>
      </c>
      <c r="Q185" s="1509"/>
      <c r="R185" s="2650"/>
      <c r="S185" s="2650"/>
      <c r="T185" s="1507"/>
      <c r="U185" s="1495">
        <f t="shared" si="67"/>
        <v>25000000</v>
      </c>
      <c r="V185" s="1495">
        <f t="shared" si="68"/>
        <v>4500000</v>
      </c>
      <c r="W185" s="1495">
        <f t="shared" si="69"/>
        <v>0</v>
      </c>
      <c r="X185" s="1495">
        <f t="shared" si="70"/>
        <v>0</v>
      </c>
      <c r="Y185" s="1495">
        <f t="shared" si="71"/>
        <v>100</v>
      </c>
      <c r="Z185" s="1495">
        <f t="shared" si="72"/>
        <v>0</v>
      </c>
      <c r="AA185" s="1506">
        <f t="shared" si="73"/>
        <v>0</v>
      </c>
      <c r="AB185" s="1505"/>
      <c r="AC185" s="1504">
        <f t="shared" si="75"/>
        <v>0</v>
      </c>
      <c r="AD185" s="1503">
        <f t="shared" si="62"/>
        <v>0</v>
      </c>
      <c r="AE185" s="1503">
        <f t="shared" si="63"/>
        <v>0</v>
      </c>
      <c r="AF185" s="1502">
        <f t="shared" si="64"/>
        <v>0</v>
      </c>
    </row>
    <row r="186" spans="1:32" s="3080" customFormat="1" ht="23.25" customHeight="1">
      <c r="A186" s="3081">
        <v>99</v>
      </c>
      <c r="B186" s="3082" t="s">
        <v>2243</v>
      </c>
      <c r="C186" s="3083" t="s">
        <v>2340</v>
      </c>
      <c r="D186" s="3083">
        <v>7</v>
      </c>
      <c r="E186" s="3082">
        <v>6000000</v>
      </c>
      <c r="F186" s="3082">
        <f t="shared" si="32"/>
        <v>1080000</v>
      </c>
      <c r="G186" s="3084">
        <v>41290</v>
      </c>
      <c r="H186" s="3085">
        <v>0.18</v>
      </c>
      <c r="I186" s="2408">
        <v>12</v>
      </c>
      <c r="J186" s="2408">
        <v>12</v>
      </c>
      <c r="K186" s="2408">
        <f t="shared" si="74"/>
        <v>500000</v>
      </c>
      <c r="L186" s="2408">
        <f t="shared" si="65"/>
        <v>90000</v>
      </c>
      <c r="M186" s="2408">
        <f t="shared" si="33"/>
        <v>6000000</v>
      </c>
      <c r="N186" s="2408">
        <f t="shared" si="34"/>
        <v>1080000</v>
      </c>
      <c r="O186" s="2408">
        <v>4140000</v>
      </c>
      <c r="P186" s="2408">
        <v>810000</v>
      </c>
      <c r="Q186" s="2408"/>
      <c r="R186" s="2408"/>
      <c r="S186" s="2408"/>
      <c r="T186" s="3082"/>
      <c r="U186" s="2831">
        <f t="shared" si="67"/>
        <v>4140000</v>
      </c>
      <c r="V186" s="2831">
        <f t="shared" si="68"/>
        <v>810000</v>
      </c>
      <c r="W186" s="2831">
        <f t="shared" si="69"/>
        <v>0</v>
      </c>
      <c r="X186" s="2831">
        <f t="shared" si="70"/>
        <v>1860000</v>
      </c>
      <c r="Y186" s="2831">
        <f t="shared" si="71"/>
        <v>69</v>
      </c>
      <c r="Z186" s="2831">
        <f t="shared" si="72"/>
        <v>1860000</v>
      </c>
      <c r="AA186" s="2832">
        <f t="shared" si="73"/>
        <v>270000</v>
      </c>
      <c r="AB186" s="3086">
        <v>7</v>
      </c>
      <c r="AC186" s="3077">
        <f t="shared" si="75"/>
        <v>0</v>
      </c>
      <c r="AD186" s="3078">
        <f t="shared" si="62"/>
        <v>0</v>
      </c>
      <c r="AE186" s="3078">
        <f t="shared" si="63"/>
        <v>0</v>
      </c>
      <c r="AF186" s="3079">
        <f t="shared" si="64"/>
        <v>1860000</v>
      </c>
    </row>
    <row r="187" spans="1:32" s="1474" customFormat="1" ht="23.25" customHeight="1">
      <c r="A187" s="1515">
        <v>100</v>
      </c>
      <c r="B187" s="1513" t="s">
        <v>1972</v>
      </c>
      <c r="C187" s="1514" t="s">
        <v>2340</v>
      </c>
      <c r="D187" s="1514"/>
      <c r="E187" s="1513">
        <v>12000000</v>
      </c>
      <c r="F187" s="1512">
        <f t="shared" si="32"/>
        <v>2160000</v>
      </c>
      <c r="G187" s="2141">
        <v>41310</v>
      </c>
      <c r="H187" s="1511">
        <v>0.18</v>
      </c>
      <c r="I187" s="1508">
        <v>12</v>
      </c>
      <c r="J187" s="1508">
        <v>12</v>
      </c>
      <c r="K187" s="1508">
        <f t="shared" si="74"/>
        <v>1000000</v>
      </c>
      <c r="L187" s="1508">
        <f t="shared" si="65"/>
        <v>180000</v>
      </c>
      <c r="M187" s="1510">
        <f t="shared" si="33"/>
        <v>12000000</v>
      </c>
      <c r="N187" s="1510">
        <f t="shared" si="34"/>
        <v>2160000</v>
      </c>
      <c r="O187" s="1509">
        <v>12000000</v>
      </c>
      <c r="P187" s="1509">
        <v>2160000</v>
      </c>
      <c r="Q187" s="1509"/>
      <c r="R187" s="2650"/>
      <c r="S187" s="2650"/>
      <c r="T187" s="1507"/>
      <c r="U187" s="1495">
        <f t="shared" si="67"/>
        <v>12000000</v>
      </c>
      <c r="V187" s="1495">
        <f t="shared" si="68"/>
        <v>2160000</v>
      </c>
      <c r="W187" s="1495">
        <f t="shared" si="69"/>
        <v>0</v>
      </c>
      <c r="X187" s="1495">
        <f t="shared" si="70"/>
        <v>0</v>
      </c>
      <c r="Y187" s="1495">
        <f t="shared" si="71"/>
        <v>100</v>
      </c>
      <c r="Z187" s="1495">
        <f t="shared" si="72"/>
        <v>0</v>
      </c>
      <c r="AA187" s="1506">
        <f t="shared" si="73"/>
        <v>0</v>
      </c>
      <c r="AB187" s="1505"/>
      <c r="AC187" s="1504">
        <f t="shared" si="75"/>
        <v>0</v>
      </c>
      <c r="AD187" s="1503">
        <f t="shared" si="62"/>
        <v>0</v>
      </c>
      <c r="AE187" s="1503">
        <f t="shared" si="63"/>
        <v>0</v>
      </c>
      <c r="AF187" s="1502">
        <f t="shared" si="64"/>
        <v>0</v>
      </c>
    </row>
    <row r="188" spans="1:32" s="1474" customFormat="1" ht="23.25" customHeight="1">
      <c r="A188" s="1515">
        <v>101</v>
      </c>
      <c r="B188" s="1513" t="s">
        <v>1960</v>
      </c>
      <c r="C188" s="1514" t="s">
        <v>2340</v>
      </c>
      <c r="D188" s="1514"/>
      <c r="E188" s="1513">
        <v>12000000</v>
      </c>
      <c r="F188" s="1512">
        <f t="shared" si="32"/>
        <v>2160000</v>
      </c>
      <c r="G188" s="2141">
        <v>41310</v>
      </c>
      <c r="H188" s="1511">
        <v>0.18</v>
      </c>
      <c r="I188" s="1508">
        <v>12</v>
      </c>
      <c r="J188" s="1508">
        <v>12</v>
      </c>
      <c r="K188" s="1508">
        <f t="shared" si="74"/>
        <v>1000000</v>
      </c>
      <c r="L188" s="1508">
        <f t="shared" si="65"/>
        <v>180000</v>
      </c>
      <c r="M188" s="1510">
        <f t="shared" si="33"/>
        <v>12000000</v>
      </c>
      <c r="N188" s="1510">
        <f t="shared" si="34"/>
        <v>2160000</v>
      </c>
      <c r="O188" s="1509">
        <v>12000000</v>
      </c>
      <c r="P188" s="1509">
        <v>2160000</v>
      </c>
      <c r="Q188" s="1509"/>
      <c r="R188" s="2650"/>
      <c r="S188" s="2650"/>
      <c r="T188" s="1507"/>
      <c r="U188" s="1495">
        <f t="shared" si="67"/>
        <v>12000000</v>
      </c>
      <c r="V188" s="1495">
        <f t="shared" si="68"/>
        <v>2160000</v>
      </c>
      <c r="W188" s="1495">
        <f t="shared" si="69"/>
        <v>0</v>
      </c>
      <c r="X188" s="1495">
        <f t="shared" si="70"/>
        <v>0</v>
      </c>
      <c r="Y188" s="1495">
        <f t="shared" si="71"/>
        <v>100</v>
      </c>
      <c r="Z188" s="1495">
        <f t="shared" si="72"/>
        <v>0</v>
      </c>
      <c r="AA188" s="1506">
        <f t="shared" si="73"/>
        <v>0</v>
      </c>
      <c r="AB188" s="1505"/>
      <c r="AC188" s="1504">
        <f t="shared" si="75"/>
        <v>0</v>
      </c>
      <c r="AD188" s="1503">
        <f t="shared" si="62"/>
        <v>0</v>
      </c>
      <c r="AE188" s="1503">
        <f t="shared" si="63"/>
        <v>0</v>
      </c>
      <c r="AF188" s="1502">
        <f t="shared" si="64"/>
        <v>0</v>
      </c>
    </row>
    <row r="189" spans="1:32" s="1474" customFormat="1" ht="23.25" customHeight="1">
      <c r="A189" s="1515">
        <v>102</v>
      </c>
      <c r="B189" s="1513" t="s">
        <v>1967</v>
      </c>
      <c r="C189" s="1514" t="s">
        <v>2340</v>
      </c>
      <c r="D189" s="1514"/>
      <c r="E189" s="1513">
        <v>15000000</v>
      </c>
      <c r="F189" s="1512">
        <f t="shared" si="32"/>
        <v>2700000</v>
      </c>
      <c r="G189" s="2141">
        <v>41310</v>
      </c>
      <c r="H189" s="1511">
        <v>0.18</v>
      </c>
      <c r="I189" s="1508">
        <v>12</v>
      </c>
      <c r="J189" s="1508">
        <v>12</v>
      </c>
      <c r="K189" s="1508">
        <f t="shared" si="74"/>
        <v>1250000</v>
      </c>
      <c r="L189" s="1508">
        <f t="shared" si="65"/>
        <v>225000</v>
      </c>
      <c r="M189" s="1510">
        <f t="shared" si="33"/>
        <v>15000000</v>
      </c>
      <c r="N189" s="1510">
        <f t="shared" si="34"/>
        <v>2700000</v>
      </c>
      <c r="O189" s="1509">
        <v>15000000</v>
      </c>
      <c r="P189" s="1509">
        <v>2475000</v>
      </c>
      <c r="Q189" s="1509"/>
      <c r="R189" s="2650"/>
      <c r="S189" s="2650"/>
      <c r="T189" s="1507"/>
      <c r="U189" s="1495">
        <f t="shared" si="67"/>
        <v>15000000</v>
      </c>
      <c r="V189" s="1495">
        <f t="shared" si="68"/>
        <v>2475000</v>
      </c>
      <c r="W189" s="1495">
        <f t="shared" si="69"/>
        <v>0</v>
      </c>
      <c r="X189" s="1495">
        <f t="shared" si="70"/>
        <v>0</v>
      </c>
      <c r="Y189" s="1495">
        <f t="shared" si="71"/>
        <v>100</v>
      </c>
      <c r="Z189" s="1495">
        <f t="shared" si="72"/>
        <v>0</v>
      </c>
      <c r="AA189" s="1506">
        <f>SUM(N189-V189)-225000</f>
        <v>0</v>
      </c>
      <c r="AB189" s="1505"/>
      <c r="AC189" s="1504">
        <f t="shared" si="75"/>
        <v>0</v>
      </c>
      <c r="AD189" s="1503">
        <f t="shared" si="62"/>
        <v>0</v>
      </c>
      <c r="AE189" s="1503">
        <f t="shared" si="63"/>
        <v>0</v>
      </c>
      <c r="AF189" s="1502">
        <f t="shared" si="64"/>
        <v>0</v>
      </c>
    </row>
    <row r="190" spans="1:32" s="1474" customFormat="1" ht="23.25" customHeight="1">
      <c r="A190" s="1515">
        <v>103</v>
      </c>
      <c r="B190" s="1513" t="s">
        <v>1897</v>
      </c>
      <c r="C190" s="1514" t="s">
        <v>2340</v>
      </c>
      <c r="D190" s="1514"/>
      <c r="E190" s="1513">
        <v>30000000</v>
      </c>
      <c r="F190" s="1512">
        <f t="shared" si="32"/>
        <v>5400000</v>
      </c>
      <c r="G190" s="2141">
        <v>41310</v>
      </c>
      <c r="H190" s="1511">
        <v>0.18</v>
      </c>
      <c r="I190" s="1508">
        <v>12</v>
      </c>
      <c r="J190" s="1508">
        <v>12</v>
      </c>
      <c r="K190" s="1508">
        <f t="shared" si="74"/>
        <v>2500000</v>
      </c>
      <c r="L190" s="1508">
        <f t="shared" si="65"/>
        <v>450000</v>
      </c>
      <c r="M190" s="1510">
        <f t="shared" si="33"/>
        <v>30000000</v>
      </c>
      <c r="N190" s="1510">
        <f t="shared" si="34"/>
        <v>5400000</v>
      </c>
      <c r="O190" s="1509">
        <v>30000000</v>
      </c>
      <c r="P190" s="1509">
        <v>5400000</v>
      </c>
      <c r="Q190" s="1509"/>
      <c r="R190" s="2650"/>
      <c r="S190" s="2650"/>
      <c r="T190" s="1507"/>
      <c r="U190" s="1495">
        <f t="shared" si="67"/>
        <v>30000000</v>
      </c>
      <c r="V190" s="1495">
        <f t="shared" si="68"/>
        <v>5400000</v>
      </c>
      <c r="W190" s="1495">
        <f t="shared" si="69"/>
        <v>0</v>
      </c>
      <c r="X190" s="1495">
        <f t="shared" si="70"/>
        <v>0</v>
      </c>
      <c r="Y190" s="1495">
        <f t="shared" si="71"/>
        <v>100</v>
      </c>
      <c r="Z190" s="1495">
        <f t="shared" si="72"/>
        <v>0</v>
      </c>
      <c r="AA190" s="1506">
        <f t="shared" si="73"/>
        <v>0</v>
      </c>
      <c r="AB190" s="1505"/>
      <c r="AC190" s="1504">
        <f t="shared" si="75"/>
        <v>0</v>
      </c>
      <c r="AD190" s="1503">
        <f t="shared" si="62"/>
        <v>0</v>
      </c>
      <c r="AE190" s="1503">
        <f t="shared" si="63"/>
        <v>0</v>
      </c>
      <c r="AF190" s="1502">
        <f t="shared" si="64"/>
        <v>0</v>
      </c>
    </row>
    <row r="191" spans="1:32" s="1474" customFormat="1" ht="23.25" customHeight="1">
      <c r="A191" s="1515">
        <v>104</v>
      </c>
      <c r="B191" s="1513" t="s">
        <v>3</v>
      </c>
      <c r="C191" s="1514" t="s">
        <v>2340</v>
      </c>
      <c r="D191" s="1514"/>
      <c r="E191" s="1513">
        <v>11000000</v>
      </c>
      <c r="F191" s="1512">
        <f t="shared" si="32"/>
        <v>1980000</v>
      </c>
      <c r="G191" s="2141">
        <v>41310</v>
      </c>
      <c r="H191" s="1511">
        <v>0.18</v>
      </c>
      <c r="I191" s="1508">
        <v>12</v>
      </c>
      <c r="J191" s="1508">
        <v>12</v>
      </c>
      <c r="K191" s="1508">
        <v>916700</v>
      </c>
      <c r="L191" s="1508">
        <f t="shared" si="65"/>
        <v>165000</v>
      </c>
      <c r="M191" s="1510">
        <f t="shared" si="33"/>
        <v>11000000</v>
      </c>
      <c r="N191" s="2401">
        <f t="shared" si="34"/>
        <v>1980000</v>
      </c>
      <c r="O191" s="1509">
        <v>11000000</v>
      </c>
      <c r="P191" s="1509">
        <v>1815000</v>
      </c>
      <c r="Q191" s="1509"/>
      <c r="R191" s="2650"/>
      <c r="S191" s="2650"/>
      <c r="T191" s="1507"/>
      <c r="U191" s="1495">
        <f t="shared" si="67"/>
        <v>11000000</v>
      </c>
      <c r="V191" s="1495">
        <f t="shared" si="68"/>
        <v>1815000</v>
      </c>
      <c r="W191" s="1495">
        <f t="shared" si="69"/>
        <v>0</v>
      </c>
      <c r="X191" s="1495">
        <f t="shared" si="70"/>
        <v>0</v>
      </c>
      <c r="Y191" s="1495">
        <f t="shared" si="71"/>
        <v>100</v>
      </c>
      <c r="Z191" s="1495">
        <f t="shared" si="72"/>
        <v>0</v>
      </c>
      <c r="AA191" s="1506">
        <f>SUM(N191-V191)-165000</f>
        <v>0</v>
      </c>
      <c r="AB191" s="1505"/>
      <c r="AC191" s="1504">
        <f t="shared" si="75"/>
        <v>0</v>
      </c>
      <c r="AD191" s="1503">
        <f t="shared" si="62"/>
        <v>0</v>
      </c>
      <c r="AE191" s="1503">
        <f t="shared" si="63"/>
        <v>0</v>
      </c>
      <c r="AF191" s="1502">
        <f t="shared" si="64"/>
        <v>0</v>
      </c>
    </row>
    <row r="192" spans="1:32" s="1474" customFormat="1" ht="23.25" customHeight="1">
      <c r="A192" s="1515">
        <v>105</v>
      </c>
      <c r="B192" s="1513" t="s">
        <v>1945</v>
      </c>
      <c r="C192" s="1514" t="s">
        <v>2340</v>
      </c>
      <c r="D192" s="1514"/>
      <c r="E192" s="1513">
        <v>18000000</v>
      </c>
      <c r="F192" s="1512">
        <f t="shared" si="32"/>
        <v>3240000</v>
      </c>
      <c r="G192" s="2141">
        <v>41310</v>
      </c>
      <c r="H192" s="1511">
        <v>0.18</v>
      </c>
      <c r="I192" s="1508">
        <v>12</v>
      </c>
      <c r="J192" s="1508">
        <v>12</v>
      </c>
      <c r="K192" s="1508">
        <f t="shared" si="74"/>
        <v>1500000</v>
      </c>
      <c r="L192" s="1508">
        <f t="shared" si="65"/>
        <v>270000</v>
      </c>
      <c r="M192" s="1510">
        <f t="shared" si="33"/>
        <v>18000000</v>
      </c>
      <c r="N192" s="1510">
        <f t="shared" si="34"/>
        <v>3240000</v>
      </c>
      <c r="O192" s="1509">
        <v>18000000</v>
      </c>
      <c r="P192" s="1509">
        <v>3240000</v>
      </c>
      <c r="Q192" s="1509"/>
      <c r="R192" s="2650"/>
      <c r="S192" s="2650"/>
      <c r="T192" s="1507"/>
      <c r="U192" s="1495">
        <f t="shared" si="67"/>
        <v>18000000</v>
      </c>
      <c r="V192" s="1495">
        <f t="shared" si="68"/>
        <v>3240000</v>
      </c>
      <c r="W192" s="1495">
        <f t="shared" si="69"/>
        <v>0</v>
      </c>
      <c r="X192" s="1495">
        <f t="shared" si="70"/>
        <v>0</v>
      </c>
      <c r="Y192" s="1495">
        <f t="shared" si="71"/>
        <v>100</v>
      </c>
      <c r="Z192" s="1495">
        <f t="shared" si="72"/>
        <v>0</v>
      </c>
      <c r="AA192" s="1506">
        <f t="shared" si="73"/>
        <v>0</v>
      </c>
      <c r="AB192" s="1505"/>
      <c r="AC192" s="1504">
        <f t="shared" si="75"/>
        <v>0</v>
      </c>
      <c r="AD192" s="1503">
        <f t="shared" si="62"/>
        <v>0</v>
      </c>
      <c r="AE192" s="1503">
        <f t="shared" si="63"/>
        <v>0</v>
      </c>
      <c r="AF192" s="1502">
        <f t="shared" si="64"/>
        <v>0</v>
      </c>
    </row>
    <row r="193" spans="1:32" s="1474" customFormat="1" ht="23.25" customHeight="1">
      <c r="A193" s="1515">
        <v>106</v>
      </c>
      <c r="B193" s="1513" t="s">
        <v>2120</v>
      </c>
      <c r="C193" s="1514" t="s">
        <v>2340</v>
      </c>
      <c r="D193" s="1514"/>
      <c r="E193" s="1513">
        <v>11000000</v>
      </c>
      <c r="F193" s="1512">
        <f t="shared" si="32"/>
        <v>1980000</v>
      </c>
      <c r="G193" s="2141">
        <v>41313</v>
      </c>
      <c r="H193" s="1511">
        <v>0.18</v>
      </c>
      <c r="I193" s="1508">
        <v>12</v>
      </c>
      <c r="J193" s="1508">
        <v>12</v>
      </c>
      <c r="K193" s="1508">
        <v>916700</v>
      </c>
      <c r="L193" s="1508">
        <f t="shared" si="65"/>
        <v>165000</v>
      </c>
      <c r="M193" s="2401">
        <f t="shared" si="33"/>
        <v>11000000</v>
      </c>
      <c r="N193" s="2401">
        <f t="shared" si="34"/>
        <v>1980000</v>
      </c>
      <c r="O193" s="3090">
        <v>11000000</v>
      </c>
      <c r="P193" s="3090">
        <v>1815000</v>
      </c>
      <c r="Q193" s="3090"/>
      <c r="R193" s="2839"/>
      <c r="S193" s="2839"/>
      <c r="T193" s="3091"/>
      <c r="U193" s="3041">
        <f t="shared" si="67"/>
        <v>11000000</v>
      </c>
      <c r="V193" s="3041">
        <f t="shared" si="68"/>
        <v>1815000</v>
      </c>
      <c r="W193" s="3041">
        <f t="shared" si="69"/>
        <v>0</v>
      </c>
      <c r="X193" s="3041">
        <f t="shared" si="70"/>
        <v>0</v>
      </c>
      <c r="Y193" s="3041">
        <f t="shared" si="71"/>
        <v>100</v>
      </c>
      <c r="Z193" s="3041">
        <f t="shared" si="72"/>
        <v>0</v>
      </c>
      <c r="AA193" s="3092">
        <f>SUM(N193-V193)-165000</f>
        <v>0</v>
      </c>
      <c r="AB193" s="1505"/>
      <c r="AC193" s="1504">
        <f t="shared" si="75"/>
        <v>0</v>
      </c>
      <c r="AD193" s="1503">
        <f t="shared" ref="AD193:AD256" si="76">IF(AND(AB193&gt;=3,AB193&lt;=4),X193,0)</f>
        <v>0</v>
      </c>
      <c r="AE193" s="1503">
        <f t="shared" ref="AE193:AE256" si="77">IF(AND(AB193&gt;=5,AB193&lt;=6),X193,0)</f>
        <v>0</v>
      </c>
      <c r="AF193" s="1502">
        <f t="shared" ref="AF193:AF256" si="78">IF(AB193&gt;6,X193,0)</f>
        <v>0</v>
      </c>
    </row>
    <row r="194" spans="1:32" s="1474" customFormat="1" ht="23.25" customHeight="1">
      <c r="A194" s="1515">
        <v>107</v>
      </c>
      <c r="B194" s="1513" t="s">
        <v>1911</v>
      </c>
      <c r="C194" s="1514" t="s">
        <v>2340</v>
      </c>
      <c r="D194" s="1514"/>
      <c r="E194" s="1513">
        <v>13000000</v>
      </c>
      <c r="F194" s="1512">
        <f t="shared" si="32"/>
        <v>2340000</v>
      </c>
      <c r="G194" s="2141">
        <v>41313</v>
      </c>
      <c r="H194" s="1511">
        <v>0.18</v>
      </c>
      <c r="I194" s="1508">
        <v>12</v>
      </c>
      <c r="J194" s="1508">
        <v>12</v>
      </c>
      <c r="K194" s="1508">
        <v>1083300</v>
      </c>
      <c r="L194" s="1508">
        <f t="shared" si="65"/>
        <v>195000</v>
      </c>
      <c r="M194" s="1510">
        <f t="shared" si="33"/>
        <v>13000000</v>
      </c>
      <c r="N194" s="2401">
        <f>IF(J194&lt;I194,J194*L194,IF(J194&gt;=I194,F194))-195000</f>
        <v>2145000</v>
      </c>
      <c r="O194" s="1509">
        <v>13000000</v>
      </c>
      <c r="P194" s="1509">
        <v>2145000</v>
      </c>
      <c r="Q194" s="1509"/>
      <c r="R194" s="2650"/>
      <c r="S194" s="2650"/>
      <c r="T194" s="1507"/>
      <c r="U194" s="1495">
        <f t="shared" si="67"/>
        <v>13000000</v>
      </c>
      <c r="V194" s="1495">
        <f t="shared" si="68"/>
        <v>2145000</v>
      </c>
      <c r="W194" s="1495">
        <f t="shared" si="69"/>
        <v>0</v>
      </c>
      <c r="X194" s="1495">
        <f t="shared" si="70"/>
        <v>0</v>
      </c>
      <c r="Y194" s="1495">
        <f t="shared" si="71"/>
        <v>100</v>
      </c>
      <c r="Z194" s="1495">
        <f t="shared" si="72"/>
        <v>0</v>
      </c>
      <c r="AA194" s="1506">
        <f t="shared" si="73"/>
        <v>0</v>
      </c>
      <c r="AB194" s="1505"/>
      <c r="AC194" s="1504">
        <f t="shared" si="75"/>
        <v>0</v>
      </c>
      <c r="AD194" s="1503">
        <f t="shared" si="76"/>
        <v>0</v>
      </c>
      <c r="AE194" s="1503">
        <f t="shared" si="77"/>
        <v>0</v>
      </c>
      <c r="AF194" s="1502">
        <f t="shared" si="78"/>
        <v>0</v>
      </c>
    </row>
    <row r="195" spans="1:32" s="1474" customFormat="1" ht="23.25" customHeight="1">
      <c r="A195" s="1515">
        <v>108</v>
      </c>
      <c r="B195" s="1513" t="s">
        <v>2365</v>
      </c>
      <c r="C195" s="1514" t="s">
        <v>2340</v>
      </c>
      <c r="D195" s="1514"/>
      <c r="E195" s="1513">
        <v>16000000</v>
      </c>
      <c r="F195" s="1512">
        <f t="shared" si="32"/>
        <v>2880000</v>
      </c>
      <c r="G195" s="2141">
        <v>41313</v>
      </c>
      <c r="H195" s="1511">
        <v>0.18</v>
      </c>
      <c r="I195" s="1508">
        <v>12</v>
      </c>
      <c r="J195" s="1508">
        <v>12</v>
      </c>
      <c r="K195" s="1508">
        <v>1333300</v>
      </c>
      <c r="L195" s="1508">
        <f t="shared" si="65"/>
        <v>240000</v>
      </c>
      <c r="M195" s="1510">
        <f t="shared" si="33"/>
        <v>16000000</v>
      </c>
      <c r="N195" s="1510">
        <f t="shared" si="34"/>
        <v>2880000</v>
      </c>
      <c r="O195" s="1509">
        <v>16000000</v>
      </c>
      <c r="P195" s="1509">
        <v>2880000</v>
      </c>
      <c r="Q195" s="1509"/>
      <c r="R195" s="2650"/>
      <c r="S195" s="2650"/>
      <c r="T195" s="1507"/>
      <c r="U195" s="1495">
        <f t="shared" si="67"/>
        <v>16000000</v>
      </c>
      <c r="V195" s="1495">
        <f t="shared" si="68"/>
        <v>2880000</v>
      </c>
      <c r="W195" s="1495">
        <f t="shared" si="69"/>
        <v>0</v>
      </c>
      <c r="X195" s="1495">
        <f t="shared" si="70"/>
        <v>0</v>
      </c>
      <c r="Y195" s="1495">
        <f t="shared" si="71"/>
        <v>100</v>
      </c>
      <c r="Z195" s="1495">
        <f t="shared" si="72"/>
        <v>0</v>
      </c>
      <c r="AA195" s="1506">
        <f t="shared" si="73"/>
        <v>0</v>
      </c>
      <c r="AB195" s="1505"/>
      <c r="AC195" s="1504">
        <f t="shared" si="75"/>
        <v>0</v>
      </c>
      <c r="AD195" s="1503">
        <f t="shared" si="76"/>
        <v>0</v>
      </c>
      <c r="AE195" s="1503">
        <f t="shared" si="77"/>
        <v>0</v>
      </c>
      <c r="AF195" s="1502">
        <f t="shared" si="78"/>
        <v>0</v>
      </c>
    </row>
    <row r="196" spans="1:32" s="1474" customFormat="1" ht="23.25" customHeight="1">
      <c r="A196" s="1515">
        <v>109</v>
      </c>
      <c r="B196" s="1513" t="s">
        <v>2261</v>
      </c>
      <c r="C196" s="1514" t="s">
        <v>2340</v>
      </c>
      <c r="D196" s="1514"/>
      <c r="E196" s="1513">
        <v>12000000</v>
      </c>
      <c r="F196" s="1512">
        <f t="shared" si="32"/>
        <v>2160000</v>
      </c>
      <c r="G196" s="2141">
        <v>41320</v>
      </c>
      <c r="H196" s="1511">
        <v>0.18</v>
      </c>
      <c r="I196" s="1508">
        <v>12</v>
      </c>
      <c r="J196" s="1508">
        <v>12</v>
      </c>
      <c r="K196" s="1508">
        <f>E196/I196</f>
        <v>1000000</v>
      </c>
      <c r="L196" s="1508">
        <f t="shared" si="65"/>
        <v>180000</v>
      </c>
      <c r="M196" s="1510">
        <f t="shared" si="33"/>
        <v>12000000</v>
      </c>
      <c r="N196" s="1510">
        <f t="shared" si="34"/>
        <v>2160000</v>
      </c>
      <c r="O196" s="1509">
        <v>12000000</v>
      </c>
      <c r="P196" s="1509">
        <v>2160000</v>
      </c>
      <c r="Q196" s="1509"/>
      <c r="R196" s="2650"/>
      <c r="S196" s="2650"/>
      <c r="T196" s="1507"/>
      <c r="U196" s="1495">
        <f t="shared" si="67"/>
        <v>12000000</v>
      </c>
      <c r="V196" s="1495">
        <f t="shared" si="68"/>
        <v>2160000</v>
      </c>
      <c r="W196" s="1495">
        <f t="shared" si="69"/>
        <v>0</v>
      </c>
      <c r="X196" s="1495">
        <f t="shared" si="70"/>
        <v>0</v>
      </c>
      <c r="Y196" s="1495">
        <f t="shared" si="71"/>
        <v>100</v>
      </c>
      <c r="Z196" s="1495">
        <f t="shared" si="72"/>
        <v>0</v>
      </c>
      <c r="AA196" s="1506">
        <f t="shared" si="73"/>
        <v>0</v>
      </c>
      <c r="AB196" s="1505"/>
      <c r="AC196" s="1504">
        <f t="shared" si="75"/>
        <v>0</v>
      </c>
      <c r="AD196" s="1503">
        <f t="shared" si="76"/>
        <v>0</v>
      </c>
      <c r="AE196" s="1503">
        <f t="shared" si="77"/>
        <v>0</v>
      </c>
      <c r="AF196" s="1502">
        <f t="shared" si="78"/>
        <v>0</v>
      </c>
    </row>
    <row r="197" spans="1:32" s="1474" customFormat="1" ht="23.25" customHeight="1">
      <c r="A197" s="1515">
        <v>110</v>
      </c>
      <c r="B197" s="1513" t="s">
        <v>1942</v>
      </c>
      <c r="C197" s="1514" t="s">
        <v>2340</v>
      </c>
      <c r="D197" s="1514"/>
      <c r="E197" s="1513">
        <v>23000000</v>
      </c>
      <c r="F197" s="1512">
        <f t="shared" si="32"/>
        <v>4140000</v>
      </c>
      <c r="G197" s="2141">
        <v>41320</v>
      </c>
      <c r="H197" s="1511">
        <v>0.18</v>
      </c>
      <c r="I197" s="1508">
        <v>12</v>
      </c>
      <c r="J197" s="1508">
        <v>12</v>
      </c>
      <c r="K197" s="1508">
        <v>1916700</v>
      </c>
      <c r="L197" s="1508">
        <f t="shared" si="65"/>
        <v>345000</v>
      </c>
      <c r="M197" s="1510">
        <f t="shared" si="33"/>
        <v>23000000</v>
      </c>
      <c r="N197" s="1510">
        <f t="shared" si="34"/>
        <v>4140000</v>
      </c>
      <c r="O197" s="1509">
        <v>23000000</v>
      </c>
      <c r="P197" s="1509">
        <v>4140000</v>
      </c>
      <c r="Q197" s="1509"/>
      <c r="R197" s="2650"/>
      <c r="S197" s="2650"/>
      <c r="T197" s="1507"/>
      <c r="U197" s="1495">
        <f t="shared" si="67"/>
        <v>23000000</v>
      </c>
      <c r="V197" s="1495">
        <f t="shared" si="68"/>
        <v>4140000</v>
      </c>
      <c r="W197" s="1495">
        <f t="shared" si="69"/>
        <v>0</v>
      </c>
      <c r="X197" s="1495">
        <f t="shared" si="70"/>
        <v>0</v>
      </c>
      <c r="Y197" s="1495">
        <f t="shared" si="71"/>
        <v>100</v>
      </c>
      <c r="Z197" s="1495">
        <f t="shared" si="72"/>
        <v>0</v>
      </c>
      <c r="AA197" s="1506">
        <f t="shared" si="73"/>
        <v>0</v>
      </c>
      <c r="AB197" s="1505"/>
      <c r="AC197" s="1504">
        <f t="shared" si="75"/>
        <v>0</v>
      </c>
      <c r="AD197" s="1503">
        <f t="shared" si="76"/>
        <v>0</v>
      </c>
      <c r="AE197" s="1503">
        <f t="shared" si="77"/>
        <v>0</v>
      </c>
      <c r="AF197" s="1502">
        <f t="shared" si="78"/>
        <v>0</v>
      </c>
    </row>
    <row r="198" spans="1:32" s="3080" customFormat="1" ht="23.25" customHeight="1">
      <c r="A198" s="3081">
        <v>111</v>
      </c>
      <c r="B198" s="3082" t="s">
        <v>2242</v>
      </c>
      <c r="C198" s="3083" t="s">
        <v>2377</v>
      </c>
      <c r="D198" s="3083">
        <v>10</v>
      </c>
      <c r="E198" s="3082">
        <v>10000000</v>
      </c>
      <c r="F198" s="3082">
        <f t="shared" si="32"/>
        <v>1800000</v>
      </c>
      <c r="G198" s="3084">
        <v>41348</v>
      </c>
      <c r="H198" s="3085">
        <v>0.18</v>
      </c>
      <c r="I198" s="2408">
        <v>12</v>
      </c>
      <c r="J198" s="2408">
        <v>12</v>
      </c>
      <c r="K198" s="2408">
        <v>833300</v>
      </c>
      <c r="L198" s="2408">
        <f t="shared" si="65"/>
        <v>150000</v>
      </c>
      <c r="M198" s="2408">
        <f t="shared" si="33"/>
        <v>10000000</v>
      </c>
      <c r="N198" s="2408">
        <f t="shared" si="34"/>
        <v>1800000</v>
      </c>
      <c r="O198" s="2408">
        <v>3333200</v>
      </c>
      <c r="P198" s="2408">
        <v>600000</v>
      </c>
      <c r="Q198" s="2408"/>
      <c r="R198" s="2408"/>
      <c r="S198" s="2408"/>
      <c r="T198" s="3082"/>
      <c r="U198" s="2831">
        <f t="shared" si="67"/>
        <v>3333200</v>
      </c>
      <c r="V198" s="2831">
        <f t="shared" si="68"/>
        <v>600000</v>
      </c>
      <c r="W198" s="2831">
        <f t="shared" si="69"/>
        <v>0</v>
      </c>
      <c r="X198" s="2831">
        <f t="shared" si="70"/>
        <v>6666800</v>
      </c>
      <c r="Y198" s="2831">
        <f t="shared" si="71"/>
        <v>33.332000000000001</v>
      </c>
      <c r="Z198" s="2831">
        <f t="shared" si="72"/>
        <v>6666800</v>
      </c>
      <c r="AA198" s="2832">
        <f t="shared" si="73"/>
        <v>1200000</v>
      </c>
      <c r="AB198" s="3086">
        <v>7</v>
      </c>
      <c r="AC198" s="3077">
        <f t="shared" si="75"/>
        <v>0</v>
      </c>
      <c r="AD198" s="3078">
        <f t="shared" si="76"/>
        <v>0</v>
      </c>
      <c r="AE198" s="3078">
        <f t="shared" si="77"/>
        <v>0</v>
      </c>
      <c r="AF198" s="3079">
        <f t="shared" si="78"/>
        <v>6666800</v>
      </c>
    </row>
    <row r="199" spans="1:32" s="1474" customFormat="1" ht="23.25" customHeight="1">
      <c r="A199" s="1515">
        <v>112</v>
      </c>
      <c r="B199" s="1513" t="s">
        <v>2390</v>
      </c>
      <c r="C199" s="1514" t="s">
        <v>2387</v>
      </c>
      <c r="D199" s="1514"/>
      <c r="E199" s="1513">
        <v>7000000</v>
      </c>
      <c r="F199" s="1512">
        <f t="shared" si="32"/>
        <v>1260000</v>
      </c>
      <c r="G199" s="2141">
        <v>41375</v>
      </c>
      <c r="H199" s="1511">
        <v>0.18</v>
      </c>
      <c r="I199" s="1508">
        <v>12</v>
      </c>
      <c r="J199" s="1508">
        <v>12</v>
      </c>
      <c r="K199" s="1508">
        <v>583300</v>
      </c>
      <c r="L199" s="1508">
        <f t="shared" si="65"/>
        <v>105000</v>
      </c>
      <c r="M199" s="1510">
        <f t="shared" si="33"/>
        <v>7000000</v>
      </c>
      <c r="N199" s="1510">
        <f t="shared" si="34"/>
        <v>1260000</v>
      </c>
      <c r="O199" s="1509">
        <v>7000000</v>
      </c>
      <c r="P199" s="1509">
        <v>1260000</v>
      </c>
      <c r="Q199" s="1509"/>
      <c r="R199" s="2650"/>
      <c r="S199" s="2650"/>
      <c r="T199" s="1507"/>
      <c r="U199" s="1495">
        <f t="shared" si="67"/>
        <v>7000000</v>
      </c>
      <c r="V199" s="1495">
        <f t="shared" si="68"/>
        <v>1260000</v>
      </c>
      <c r="W199" s="1495">
        <f t="shared" si="69"/>
        <v>0</v>
      </c>
      <c r="X199" s="1495">
        <f t="shared" si="70"/>
        <v>0</v>
      </c>
      <c r="Y199" s="1495">
        <f t="shared" si="71"/>
        <v>100</v>
      </c>
      <c r="Z199" s="1495">
        <f t="shared" si="72"/>
        <v>0</v>
      </c>
      <c r="AA199" s="1506">
        <f t="shared" si="73"/>
        <v>0</v>
      </c>
      <c r="AB199" s="1505"/>
      <c r="AC199" s="1504">
        <f t="shared" si="75"/>
        <v>0</v>
      </c>
      <c r="AD199" s="1503">
        <f t="shared" si="76"/>
        <v>0</v>
      </c>
      <c r="AE199" s="1503">
        <f t="shared" si="77"/>
        <v>0</v>
      </c>
      <c r="AF199" s="1502">
        <f t="shared" si="78"/>
        <v>0</v>
      </c>
    </row>
    <row r="200" spans="1:32" s="1474" customFormat="1" ht="23.25" customHeight="1">
      <c r="A200" s="1515">
        <v>113</v>
      </c>
      <c r="B200" s="1513" t="s">
        <v>2391</v>
      </c>
      <c r="C200" s="1514" t="s">
        <v>2387</v>
      </c>
      <c r="D200" s="1514"/>
      <c r="E200" s="1513">
        <v>7000000</v>
      </c>
      <c r="F200" s="1512">
        <f t="shared" si="32"/>
        <v>1260000</v>
      </c>
      <c r="G200" s="2141">
        <v>41375</v>
      </c>
      <c r="H200" s="1511">
        <v>0.18</v>
      </c>
      <c r="I200" s="1508">
        <v>12</v>
      </c>
      <c r="J200" s="1508">
        <v>12</v>
      </c>
      <c r="K200" s="1508">
        <v>583300</v>
      </c>
      <c r="L200" s="1508">
        <f t="shared" si="65"/>
        <v>105000</v>
      </c>
      <c r="M200" s="1510">
        <f t="shared" si="33"/>
        <v>7000000</v>
      </c>
      <c r="N200" s="1510">
        <f t="shared" si="34"/>
        <v>1260000</v>
      </c>
      <c r="O200" s="1509">
        <v>7000000</v>
      </c>
      <c r="P200" s="1509">
        <v>1260000</v>
      </c>
      <c r="Q200" s="1509"/>
      <c r="R200" s="2650"/>
      <c r="S200" s="2650"/>
      <c r="T200" s="1507"/>
      <c r="U200" s="1495">
        <f t="shared" si="67"/>
        <v>7000000</v>
      </c>
      <c r="V200" s="1495">
        <f t="shared" si="68"/>
        <v>1260000</v>
      </c>
      <c r="W200" s="1495">
        <f t="shared" si="69"/>
        <v>0</v>
      </c>
      <c r="X200" s="1495">
        <f t="shared" si="70"/>
        <v>0</v>
      </c>
      <c r="Y200" s="1495">
        <f t="shared" si="71"/>
        <v>100</v>
      </c>
      <c r="Z200" s="1495">
        <f t="shared" si="72"/>
        <v>0</v>
      </c>
      <c r="AA200" s="1506">
        <f t="shared" si="73"/>
        <v>0</v>
      </c>
      <c r="AB200" s="1505"/>
      <c r="AC200" s="1504">
        <f t="shared" si="75"/>
        <v>0</v>
      </c>
      <c r="AD200" s="1503">
        <f t="shared" si="76"/>
        <v>0</v>
      </c>
      <c r="AE200" s="1503">
        <f t="shared" si="77"/>
        <v>0</v>
      </c>
      <c r="AF200" s="1502">
        <f t="shared" si="78"/>
        <v>0</v>
      </c>
    </row>
    <row r="201" spans="1:32" s="3080" customFormat="1" ht="23.25" customHeight="1">
      <c r="A201" s="3081">
        <v>114</v>
      </c>
      <c r="B201" s="3082" t="s">
        <v>2041</v>
      </c>
      <c r="C201" s="3083" t="s">
        <v>2387</v>
      </c>
      <c r="D201" s="3083">
        <v>10</v>
      </c>
      <c r="E201" s="3082">
        <v>7000000</v>
      </c>
      <c r="F201" s="3082">
        <f t="shared" si="32"/>
        <v>1260000</v>
      </c>
      <c r="G201" s="3084">
        <v>41375</v>
      </c>
      <c r="H201" s="3085">
        <v>0.18</v>
      </c>
      <c r="I201" s="2408">
        <v>12</v>
      </c>
      <c r="J201" s="2408">
        <v>12</v>
      </c>
      <c r="K201" s="2408">
        <v>583300</v>
      </c>
      <c r="L201" s="2408">
        <f t="shared" si="65"/>
        <v>105000</v>
      </c>
      <c r="M201" s="2408">
        <f t="shared" si="33"/>
        <v>7000000</v>
      </c>
      <c r="N201" s="2408">
        <f t="shared" si="34"/>
        <v>1260000</v>
      </c>
      <c r="O201" s="2408">
        <v>3011500</v>
      </c>
      <c r="P201" s="2408">
        <v>630000</v>
      </c>
      <c r="Q201" s="2408"/>
      <c r="R201" s="2408"/>
      <c r="S201" s="2408"/>
      <c r="T201" s="3082"/>
      <c r="U201" s="2831">
        <f t="shared" si="67"/>
        <v>3011500</v>
      </c>
      <c r="V201" s="2831">
        <f t="shared" si="68"/>
        <v>630000</v>
      </c>
      <c r="W201" s="2831">
        <f t="shared" si="69"/>
        <v>0</v>
      </c>
      <c r="X201" s="2831">
        <f t="shared" si="70"/>
        <v>3988500</v>
      </c>
      <c r="Y201" s="2831">
        <f t="shared" si="71"/>
        <v>43.021428571428572</v>
      </c>
      <c r="Z201" s="2831">
        <f t="shared" si="72"/>
        <v>3988500</v>
      </c>
      <c r="AA201" s="2832">
        <f t="shared" si="73"/>
        <v>630000</v>
      </c>
      <c r="AB201" s="3086">
        <v>7</v>
      </c>
      <c r="AC201" s="3077">
        <f t="shared" si="75"/>
        <v>0</v>
      </c>
      <c r="AD201" s="3078">
        <f t="shared" si="76"/>
        <v>0</v>
      </c>
      <c r="AE201" s="3078">
        <f t="shared" si="77"/>
        <v>0</v>
      </c>
      <c r="AF201" s="3079">
        <f t="shared" si="78"/>
        <v>3988500</v>
      </c>
    </row>
    <row r="202" spans="1:32" s="3080" customFormat="1" ht="23.25" customHeight="1">
      <c r="A202" s="3081">
        <v>115</v>
      </c>
      <c r="B202" s="3082" t="s">
        <v>2392</v>
      </c>
      <c r="C202" s="3083" t="s">
        <v>2387</v>
      </c>
      <c r="D202" s="3083">
        <v>10</v>
      </c>
      <c r="E202" s="3082">
        <v>7000000</v>
      </c>
      <c r="F202" s="3082">
        <f t="shared" si="32"/>
        <v>1260000</v>
      </c>
      <c r="G202" s="3084">
        <v>41375</v>
      </c>
      <c r="H202" s="3085">
        <v>0.18</v>
      </c>
      <c r="I202" s="2408">
        <v>12</v>
      </c>
      <c r="J202" s="2408">
        <v>12</v>
      </c>
      <c r="K202" s="2408">
        <v>583300</v>
      </c>
      <c r="L202" s="2408">
        <f t="shared" si="65"/>
        <v>105000</v>
      </c>
      <c r="M202" s="2408">
        <f t="shared" si="33"/>
        <v>7000000</v>
      </c>
      <c r="N202" s="2408">
        <f t="shared" si="34"/>
        <v>1260000</v>
      </c>
      <c r="O202" s="2408">
        <v>5833000</v>
      </c>
      <c r="P202" s="2408">
        <v>1050000</v>
      </c>
      <c r="Q202" s="2408"/>
      <c r="R202" s="2408"/>
      <c r="S202" s="2408"/>
      <c r="T202" s="3082"/>
      <c r="U202" s="2831">
        <f t="shared" si="67"/>
        <v>5833000</v>
      </c>
      <c r="V202" s="2831">
        <f t="shared" si="68"/>
        <v>1050000</v>
      </c>
      <c r="W202" s="2831">
        <f t="shared" si="69"/>
        <v>0</v>
      </c>
      <c r="X202" s="2831">
        <f t="shared" si="70"/>
        <v>1167000</v>
      </c>
      <c r="Y202" s="2831">
        <f t="shared" si="71"/>
        <v>83.328571428571436</v>
      </c>
      <c r="Z202" s="2831">
        <f t="shared" si="72"/>
        <v>1167000</v>
      </c>
      <c r="AA202" s="2832">
        <f t="shared" si="73"/>
        <v>210000</v>
      </c>
      <c r="AB202" s="3086">
        <v>7</v>
      </c>
      <c r="AC202" s="3077">
        <f t="shared" si="75"/>
        <v>0</v>
      </c>
      <c r="AD202" s="3078">
        <f t="shared" si="76"/>
        <v>0</v>
      </c>
      <c r="AE202" s="3078">
        <f t="shared" si="77"/>
        <v>0</v>
      </c>
      <c r="AF202" s="3079">
        <f t="shared" si="78"/>
        <v>1167000</v>
      </c>
    </row>
    <row r="203" spans="1:32" s="1474" customFormat="1" ht="23.25" customHeight="1">
      <c r="A203" s="1515">
        <v>116</v>
      </c>
      <c r="B203" s="1513" t="s">
        <v>1984</v>
      </c>
      <c r="C203" s="1514" t="s">
        <v>2377</v>
      </c>
      <c r="D203" s="1514"/>
      <c r="E203" s="1513">
        <v>16000000</v>
      </c>
      <c r="F203" s="1512">
        <f t="shared" si="32"/>
        <v>2880000</v>
      </c>
      <c r="G203" s="2141">
        <v>41379</v>
      </c>
      <c r="H203" s="1511">
        <v>0.18</v>
      </c>
      <c r="I203" s="1508">
        <v>12</v>
      </c>
      <c r="J203" s="1508">
        <v>12</v>
      </c>
      <c r="K203" s="1508">
        <v>1333300</v>
      </c>
      <c r="L203" s="1508">
        <f t="shared" si="65"/>
        <v>240000</v>
      </c>
      <c r="M203" s="1510">
        <f t="shared" si="33"/>
        <v>16000000</v>
      </c>
      <c r="N203" s="1510">
        <f t="shared" si="34"/>
        <v>2880000</v>
      </c>
      <c r="O203" s="1509">
        <v>16000000</v>
      </c>
      <c r="P203" s="1509">
        <v>2880000</v>
      </c>
      <c r="Q203" s="1509"/>
      <c r="R203" s="2650"/>
      <c r="S203" s="2650"/>
      <c r="T203" s="1507"/>
      <c r="U203" s="1495">
        <f t="shared" si="67"/>
        <v>16000000</v>
      </c>
      <c r="V203" s="1495">
        <f t="shared" si="68"/>
        <v>2880000</v>
      </c>
      <c r="W203" s="1495">
        <f t="shared" si="69"/>
        <v>0</v>
      </c>
      <c r="X203" s="1495">
        <f t="shared" si="70"/>
        <v>0</v>
      </c>
      <c r="Y203" s="1495">
        <f t="shared" si="71"/>
        <v>100</v>
      </c>
      <c r="Z203" s="1495">
        <f t="shared" si="72"/>
        <v>0</v>
      </c>
      <c r="AA203" s="1506">
        <f t="shared" si="73"/>
        <v>0</v>
      </c>
      <c r="AB203" s="1505"/>
      <c r="AC203" s="1504">
        <f t="shared" si="75"/>
        <v>0</v>
      </c>
      <c r="AD203" s="1503">
        <f t="shared" si="76"/>
        <v>0</v>
      </c>
      <c r="AE203" s="1503">
        <f t="shared" si="77"/>
        <v>0</v>
      </c>
      <c r="AF203" s="1502">
        <f t="shared" si="78"/>
        <v>0</v>
      </c>
    </row>
    <row r="204" spans="1:32" s="1474" customFormat="1" ht="23.25" customHeight="1">
      <c r="A204" s="1515">
        <v>117</v>
      </c>
      <c r="B204" s="1513" t="s">
        <v>1976</v>
      </c>
      <c r="C204" s="1514" t="s">
        <v>2377</v>
      </c>
      <c r="D204" s="1514"/>
      <c r="E204" s="1513">
        <v>19000000</v>
      </c>
      <c r="F204" s="1512">
        <f t="shared" si="32"/>
        <v>3420000</v>
      </c>
      <c r="G204" s="2141">
        <v>41383</v>
      </c>
      <c r="H204" s="1511">
        <v>0.18</v>
      </c>
      <c r="I204" s="1508">
        <v>12</v>
      </c>
      <c r="J204" s="1508">
        <v>12</v>
      </c>
      <c r="K204" s="1508">
        <v>1583300</v>
      </c>
      <c r="L204" s="1508">
        <f t="shared" si="65"/>
        <v>285000</v>
      </c>
      <c r="M204" s="1510">
        <f t="shared" si="33"/>
        <v>19000000</v>
      </c>
      <c r="N204" s="1510">
        <f t="shared" si="34"/>
        <v>3420000</v>
      </c>
      <c r="O204" s="1509">
        <v>19000000</v>
      </c>
      <c r="P204" s="1509">
        <v>3420000</v>
      </c>
      <c r="Q204" s="1509"/>
      <c r="R204" s="2650"/>
      <c r="S204" s="2650"/>
      <c r="T204" s="1507"/>
      <c r="U204" s="1495">
        <f t="shared" si="67"/>
        <v>19000000</v>
      </c>
      <c r="V204" s="1495">
        <f t="shared" si="68"/>
        <v>3420000</v>
      </c>
      <c r="W204" s="1495">
        <f t="shared" si="69"/>
        <v>0</v>
      </c>
      <c r="X204" s="1495">
        <f t="shared" si="70"/>
        <v>0</v>
      </c>
      <c r="Y204" s="1495">
        <f t="shared" si="71"/>
        <v>100</v>
      </c>
      <c r="Z204" s="1495">
        <f t="shared" si="72"/>
        <v>0</v>
      </c>
      <c r="AA204" s="1506">
        <f t="shared" si="73"/>
        <v>0</v>
      </c>
      <c r="AB204" s="1505"/>
      <c r="AC204" s="1504">
        <f t="shared" si="75"/>
        <v>0</v>
      </c>
      <c r="AD204" s="1503">
        <f t="shared" si="76"/>
        <v>0</v>
      </c>
      <c r="AE204" s="1503">
        <f t="shared" si="77"/>
        <v>0</v>
      </c>
      <c r="AF204" s="1502">
        <f t="shared" si="78"/>
        <v>0</v>
      </c>
    </row>
    <row r="205" spans="1:32" s="1474" customFormat="1" ht="23.25" customHeight="1">
      <c r="A205" s="1515">
        <v>118</v>
      </c>
      <c r="B205" s="1513" t="s">
        <v>2400</v>
      </c>
      <c r="C205" s="1514" t="s">
        <v>2377</v>
      </c>
      <c r="D205" s="1514"/>
      <c r="E205" s="1513">
        <v>18000000</v>
      </c>
      <c r="F205" s="1512">
        <f t="shared" si="32"/>
        <v>3240000</v>
      </c>
      <c r="G205" s="2141">
        <v>41403</v>
      </c>
      <c r="H205" s="1511">
        <v>0.18</v>
      </c>
      <c r="I205" s="1508">
        <v>12</v>
      </c>
      <c r="J205" s="1508">
        <v>12</v>
      </c>
      <c r="K205" s="1508">
        <f>E205/I205</f>
        <v>1500000</v>
      </c>
      <c r="L205" s="1508">
        <f t="shared" si="65"/>
        <v>270000</v>
      </c>
      <c r="M205" s="1510">
        <f t="shared" si="33"/>
        <v>18000000</v>
      </c>
      <c r="N205" s="2401">
        <f t="shared" si="34"/>
        <v>3240000</v>
      </c>
      <c r="O205" s="1509">
        <v>18000000</v>
      </c>
      <c r="P205" s="1509">
        <v>2970000</v>
      </c>
      <c r="Q205" s="1509"/>
      <c r="R205" s="2650"/>
      <c r="S205" s="2650"/>
      <c r="T205" s="1507"/>
      <c r="U205" s="1495">
        <f t="shared" si="67"/>
        <v>18000000</v>
      </c>
      <c r="V205" s="1495">
        <f t="shared" si="68"/>
        <v>2970000</v>
      </c>
      <c r="W205" s="1495">
        <f t="shared" si="69"/>
        <v>0</v>
      </c>
      <c r="X205" s="1495">
        <f t="shared" si="70"/>
        <v>0</v>
      </c>
      <c r="Y205" s="1495">
        <f t="shared" si="71"/>
        <v>100</v>
      </c>
      <c r="Z205" s="1495">
        <f t="shared" si="72"/>
        <v>0</v>
      </c>
      <c r="AA205" s="1506">
        <f>SUM(N205-V205)-270000</f>
        <v>0</v>
      </c>
      <c r="AB205" s="1505"/>
      <c r="AC205" s="1504">
        <f t="shared" si="75"/>
        <v>0</v>
      </c>
      <c r="AD205" s="1503">
        <f t="shared" si="76"/>
        <v>0</v>
      </c>
      <c r="AE205" s="1503">
        <f t="shared" si="77"/>
        <v>0</v>
      </c>
      <c r="AF205" s="1502">
        <f t="shared" si="78"/>
        <v>0</v>
      </c>
    </row>
    <row r="206" spans="1:32" s="1474" customFormat="1" ht="23.25" customHeight="1">
      <c r="A206" s="1515">
        <v>119</v>
      </c>
      <c r="B206" s="1513" t="s">
        <v>1973</v>
      </c>
      <c r="C206" s="1514" t="s">
        <v>2377</v>
      </c>
      <c r="D206" s="1514">
        <v>12</v>
      </c>
      <c r="E206" s="1513">
        <v>20000000</v>
      </c>
      <c r="F206" s="1512">
        <f t="shared" si="32"/>
        <v>3600000</v>
      </c>
      <c r="G206" s="2141">
        <v>41403</v>
      </c>
      <c r="H206" s="1511">
        <v>0.18</v>
      </c>
      <c r="I206" s="1508">
        <v>12</v>
      </c>
      <c r="J206" s="1508">
        <v>12</v>
      </c>
      <c r="K206" s="1508">
        <v>1666700</v>
      </c>
      <c r="L206" s="1508">
        <f t="shared" si="65"/>
        <v>300000</v>
      </c>
      <c r="M206" s="1510">
        <f t="shared" si="33"/>
        <v>20000000</v>
      </c>
      <c r="N206" s="1510">
        <f t="shared" si="34"/>
        <v>3600000</v>
      </c>
      <c r="O206" s="1509">
        <v>20000000</v>
      </c>
      <c r="P206" s="1509">
        <v>3600000</v>
      </c>
      <c r="Q206" s="1509"/>
      <c r="R206" s="2650"/>
      <c r="S206" s="2650"/>
      <c r="T206" s="1507"/>
      <c r="U206" s="1495">
        <f t="shared" si="67"/>
        <v>20000000</v>
      </c>
      <c r="V206" s="1495">
        <f t="shared" si="68"/>
        <v>3600000</v>
      </c>
      <c r="W206" s="1495">
        <f t="shared" si="69"/>
        <v>0</v>
      </c>
      <c r="X206" s="1495">
        <f t="shared" si="70"/>
        <v>0</v>
      </c>
      <c r="Y206" s="1495">
        <f t="shared" si="71"/>
        <v>100</v>
      </c>
      <c r="Z206" s="1495">
        <f t="shared" si="72"/>
        <v>0</v>
      </c>
      <c r="AA206" s="1506">
        <f t="shared" si="73"/>
        <v>0</v>
      </c>
      <c r="AB206" s="1505"/>
      <c r="AC206" s="1504">
        <f t="shared" si="75"/>
        <v>0</v>
      </c>
      <c r="AD206" s="1503">
        <f t="shared" si="76"/>
        <v>0</v>
      </c>
      <c r="AE206" s="1503">
        <f t="shared" si="77"/>
        <v>0</v>
      </c>
      <c r="AF206" s="1502">
        <f t="shared" si="78"/>
        <v>0</v>
      </c>
    </row>
    <row r="207" spans="1:32" s="1474" customFormat="1" ht="23.25" customHeight="1">
      <c r="A207" s="1515">
        <v>120</v>
      </c>
      <c r="B207" s="1513" t="s">
        <v>2401</v>
      </c>
      <c r="C207" s="1514" t="s">
        <v>2377</v>
      </c>
      <c r="D207" s="1514"/>
      <c r="E207" s="1513">
        <v>15000000</v>
      </c>
      <c r="F207" s="1512">
        <f t="shared" si="32"/>
        <v>2700000</v>
      </c>
      <c r="G207" s="2141">
        <v>41403</v>
      </c>
      <c r="H207" s="1511">
        <v>0.18</v>
      </c>
      <c r="I207" s="1508">
        <v>12</v>
      </c>
      <c r="J207" s="1508">
        <v>12</v>
      </c>
      <c r="K207" s="1508">
        <f>E207/I207</f>
        <v>1250000</v>
      </c>
      <c r="L207" s="1508">
        <f t="shared" si="65"/>
        <v>225000</v>
      </c>
      <c r="M207" s="1510">
        <f t="shared" si="33"/>
        <v>15000000</v>
      </c>
      <c r="N207" s="2401">
        <f t="shared" si="34"/>
        <v>2700000</v>
      </c>
      <c r="O207" s="1509">
        <v>15000000</v>
      </c>
      <c r="P207" s="1509">
        <v>2475000</v>
      </c>
      <c r="Q207" s="1509"/>
      <c r="R207" s="2650"/>
      <c r="S207" s="2650"/>
      <c r="T207" s="1507"/>
      <c r="U207" s="1495">
        <f t="shared" si="67"/>
        <v>15000000</v>
      </c>
      <c r="V207" s="1495">
        <f t="shared" si="68"/>
        <v>2475000</v>
      </c>
      <c r="W207" s="1495">
        <f t="shared" si="69"/>
        <v>0</v>
      </c>
      <c r="X207" s="1495">
        <f t="shared" si="70"/>
        <v>0</v>
      </c>
      <c r="Y207" s="1495">
        <f t="shared" si="71"/>
        <v>100</v>
      </c>
      <c r="Z207" s="1495">
        <f t="shared" si="72"/>
        <v>0</v>
      </c>
      <c r="AA207" s="1506">
        <f>SUM(N207-V207)-225000</f>
        <v>0</v>
      </c>
      <c r="AB207" s="1505"/>
      <c r="AC207" s="1504">
        <f t="shared" si="75"/>
        <v>0</v>
      </c>
      <c r="AD207" s="1503">
        <f t="shared" si="76"/>
        <v>0</v>
      </c>
      <c r="AE207" s="1503">
        <f t="shared" si="77"/>
        <v>0</v>
      </c>
      <c r="AF207" s="1502">
        <f t="shared" si="78"/>
        <v>0</v>
      </c>
    </row>
    <row r="208" spans="1:32" s="1474" customFormat="1" ht="23.25" customHeight="1">
      <c r="A208" s="1515">
        <v>121</v>
      </c>
      <c r="B208" s="1513" t="s">
        <v>2194</v>
      </c>
      <c r="C208" s="1514" t="s">
        <v>2377</v>
      </c>
      <c r="D208" s="1514"/>
      <c r="E208" s="1513">
        <v>28000000</v>
      </c>
      <c r="F208" s="1512">
        <f t="shared" si="32"/>
        <v>5040000</v>
      </c>
      <c r="G208" s="2141">
        <v>41408</v>
      </c>
      <c r="H208" s="1511">
        <v>0.18</v>
      </c>
      <c r="I208" s="1508">
        <v>12</v>
      </c>
      <c r="J208" s="1508">
        <v>12</v>
      </c>
      <c r="K208" s="1508">
        <v>2333300</v>
      </c>
      <c r="L208" s="1508">
        <f t="shared" si="65"/>
        <v>420000</v>
      </c>
      <c r="M208" s="1510">
        <f t="shared" si="33"/>
        <v>28000000</v>
      </c>
      <c r="N208" s="2401">
        <f>IF(J208&lt;I208,J208*L208,IF(J208&gt;=I208,F208))-420000</f>
        <v>4620000</v>
      </c>
      <c r="O208" s="1509">
        <v>28000000</v>
      </c>
      <c r="P208" s="1509">
        <v>4620000</v>
      </c>
      <c r="Q208" s="1509"/>
      <c r="R208" s="2650"/>
      <c r="S208" s="2650"/>
      <c r="T208" s="1507"/>
      <c r="U208" s="1495">
        <f t="shared" si="67"/>
        <v>28000000</v>
      </c>
      <c r="V208" s="1495">
        <f t="shared" si="68"/>
        <v>4620000</v>
      </c>
      <c r="W208" s="1495">
        <f t="shared" si="69"/>
        <v>0</v>
      </c>
      <c r="X208" s="1495">
        <f t="shared" si="70"/>
        <v>0</v>
      </c>
      <c r="Y208" s="1495">
        <f t="shared" si="71"/>
        <v>100</v>
      </c>
      <c r="Z208" s="1495">
        <f t="shared" si="72"/>
        <v>0</v>
      </c>
      <c r="AA208" s="1506">
        <f t="shared" si="73"/>
        <v>0</v>
      </c>
      <c r="AB208" s="1505"/>
      <c r="AC208" s="1504">
        <f t="shared" si="75"/>
        <v>0</v>
      </c>
      <c r="AD208" s="1503">
        <f t="shared" si="76"/>
        <v>0</v>
      </c>
      <c r="AE208" s="1503">
        <f t="shared" si="77"/>
        <v>0</v>
      </c>
      <c r="AF208" s="1502">
        <f t="shared" si="78"/>
        <v>0</v>
      </c>
    </row>
    <row r="209" spans="1:32" s="1474" customFormat="1" ht="23.25" customHeight="1">
      <c r="A209" s="1515">
        <v>122</v>
      </c>
      <c r="B209" s="1513" t="s">
        <v>2317</v>
      </c>
      <c r="C209" s="1514" t="s">
        <v>2411</v>
      </c>
      <c r="D209" s="1514">
        <v>12</v>
      </c>
      <c r="E209" s="1513">
        <v>8000000</v>
      </c>
      <c r="F209" s="1512">
        <f t="shared" si="32"/>
        <v>1440000</v>
      </c>
      <c r="G209" s="2141">
        <v>41506</v>
      </c>
      <c r="H209" s="1511">
        <v>0.18</v>
      </c>
      <c r="I209" s="1508">
        <v>12</v>
      </c>
      <c r="J209" s="1508">
        <v>12</v>
      </c>
      <c r="K209" s="1508">
        <v>666700</v>
      </c>
      <c r="L209" s="1508">
        <f t="shared" si="65"/>
        <v>120000</v>
      </c>
      <c r="M209" s="1510">
        <f t="shared" si="33"/>
        <v>8000000</v>
      </c>
      <c r="N209" s="2401">
        <f>IF(J209&lt;I209,J209*L209,IF(J209&gt;=I209,F209))-120000</f>
        <v>1320000</v>
      </c>
      <c r="O209" s="1509">
        <v>8000000</v>
      </c>
      <c r="P209" s="1509">
        <v>1320000</v>
      </c>
      <c r="Q209" s="1509"/>
      <c r="R209" s="2650"/>
      <c r="S209" s="2650"/>
      <c r="T209" s="1507"/>
      <c r="U209" s="1495">
        <f t="shared" si="67"/>
        <v>8000000</v>
      </c>
      <c r="V209" s="1495">
        <f t="shared" si="68"/>
        <v>1320000</v>
      </c>
      <c r="W209" s="1495">
        <f t="shared" si="69"/>
        <v>0</v>
      </c>
      <c r="X209" s="1495">
        <f t="shared" si="70"/>
        <v>0</v>
      </c>
      <c r="Y209" s="1495">
        <f t="shared" si="71"/>
        <v>100</v>
      </c>
      <c r="Z209" s="1495">
        <f t="shared" si="72"/>
        <v>0</v>
      </c>
      <c r="AA209" s="1506">
        <f t="shared" si="73"/>
        <v>0</v>
      </c>
      <c r="AB209" s="1505"/>
      <c r="AC209" s="1504">
        <f t="shared" si="75"/>
        <v>0</v>
      </c>
      <c r="AD209" s="1503">
        <f t="shared" si="76"/>
        <v>0</v>
      </c>
      <c r="AE209" s="1503">
        <f t="shared" si="77"/>
        <v>0</v>
      </c>
      <c r="AF209" s="1502">
        <f t="shared" si="78"/>
        <v>0</v>
      </c>
    </row>
    <row r="210" spans="1:32" s="1474" customFormat="1" ht="23.25" customHeight="1">
      <c r="A210" s="1515">
        <v>123</v>
      </c>
      <c r="B210" s="1513" t="s">
        <v>2316</v>
      </c>
      <c r="C210" s="1514" t="s">
        <v>2411</v>
      </c>
      <c r="D210" s="1514">
        <v>12</v>
      </c>
      <c r="E210" s="1513">
        <v>9000000</v>
      </c>
      <c r="F210" s="1512">
        <f t="shared" si="32"/>
        <v>1620000</v>
      </c>
      <c r="G210" s="2141">
        <v>41506</v>
      </c>
      <c r="H210" s="1511">
        <v>0.18</v>
      </c>
      <c r="I210" s="1508">
        <v>12</v>
      </c>
      <c r="J210" s="1508">
        <v>12</v>
      </c>
      <c r="K210" s="1508">
        <f>E210/I210</f>
        <v>750000</v>
      </c>
      <c r="L210" s="1508">
        <f t="shared" si="65"/>
        <v>135000</v>
      </c>
      <c r="M210" s="1510">
        <f t="shared" si="33"/>
        <v>9000000</v>
      </c>
      <c r="N210" s="1510">
        <f t="shared" si="34"/>
        <v>1620000</v>
      </c>
      <c r="O210" s="1509">
        <v>9000000</v>
      </c>
      <c r="P210" s="1509">
        <v>1620000</v>
      </c>
      <c r="Q210" s="1509"/>
      <c r="R210" s="2650"/>
      <c r="S210" s="2650"/>
      <c r="T210" s="1507"/>
      <c r="U210" s="1495">
        <f t="shared" si="67"/>
        <v>9000000</v>
      </c>
      <c r="V210" s="1495">
        <f t="shared" si="68"/>
        <v>1620000</v>
      </c>
      <c r="W210" s="1495">
        <f t="shared" si="69"/>
        <v>0</v>
      </c>
      <c r="X210" s="1495">
        <f t="shared" si="70"/>
        <v>0</v>
      </c>
      <c r="Y210" s="1495">
        <f t="shared" si="71"/>
        <v>100</v>
      </c>
      <c r="Z210" s="1495">
        <f t="shared" si="72"/>
        <v>0</v>
      </c>
      <c r="AA210" s="1506">
        <f t="shared" si="73"/>
        <v>0</v>
      </c>
      <c r="AB210" s="1505"/>
      <c r="AC210" s="1504">
        <f t="shared" si="75"/>
        <v>0</v>
      </c>
      <c r="AD210" s="1503">
        <f t="shared" si="76"/>
        <v>0</v>
      </c>
      <c r="AE210" s="1503">
        <f t="shared" si="77"/>
        <v>0</v>
      </c>
      <c r="AF210" s="1502">
        <f t="shared" si="78"/>
        <v>0</v>
      </c>
    </row>
    <row r="211" spans="1:32" s="1474" customFormat="1" ht="23.25" customHeight="1">
      <c r="A211" s="1515">
        <v>124</v>
      </c>
      <c r="B211" s="1513" t="s">
        <v>2469</v>
      </c>
      <c r="C211" s="1514" t="s">
        <v>2465</v>
      </c>
      <c r="D211" s="1514">
        <v>12</v>
      </c>
      <c r="E211" s="1513">
        <v>16500000</v>
      </c>
      <c r="F211" s="1512">
        <f t="shared" si="32"/>
        <v>2970000</v>
      </c>
      <c r="G211" s="2141">
        <v>41568</v>
      </c>
      <c r="H211" s="1511">
        <v>0.18</v>
      </c>
      <c r="I211" s="1508">
        <v>12</v>
      </c>
      <c r="J211" s="1508">
        <v>12</v>
      </c>
      <c r="K211" s="1508">
        <f>E211/I211</f>
        <v>1375000</v>
      </c>
      <c r="L211" s="1508">
        <f t="shared" si="65"/>
        <v>247500</v>
      </c>
      <c r="M211" s="1510">
        <f t="shared" si="33"/>
        <v>16500000</v>
      </c>
      <c r="N211" s="2401">
        <f>IF(J211&lt;I211,J211*L211,IF(J211&gt;=I211,F211))-247500-247500</f>
        <v>2475000</v>
      </c>
      <c r="O211" s="1509">
        <v>16500000</v>
      </c>
      <c r="P211" s="1509">
        <v>2475000</v>
      </c>
      <c r="Q211" s="1509"/>
      <c r="R211" s="2650"/>
      <c r="S211" s="2650"/>
      <c r="T211" s="1507"/>
      <c r="U211" s="1495">
        <f t="shared" si="67"/>
        <v>16500000</v>
      </c>
      <c r="V211" s="1495">
        <f t="shared" si="68"/>
        <v>2475000</v>
      </c>
      <c r="W211" s="1495">
        <f t="shared" si="69"/>
        <v>0</v>
      </c>
      <c r="X211" s="1495">
        <f t="shared" si="70"/>
        <v>0</v>
      </c>
      <c r="Y211" s="1495">
        <f t="shared" si="71"/>
        <v>100</v>
      </c>
      <c r="Z211" s="1495">
        <f t="shared" si="72"/>
        <v>0</v>
      </c>
      <c r="AA211" s="1506">
        <f t="shared" si="73"/>
        <v>0</v>
      </c>
      <c r="AB211" s="1505">
        <v>0</v>
      </c>
      <c r="AC211" s="1504">
        <f t="shared" si="75"/>
        <v>0</v>
      </c>
      <c r="AD211" s="1503">
        <f t="shared" si="76"/>
        <v>0</v>
      </c>
      <c r="AE211" s="1503">
        <f t="shared" si="77"/>
        <v>0</v>
      </c>
      <c r="AF211" s="1502">
        <f t="shared" si="78"/>
        <v>0</v>
      </c>
    </row>
    <row r="212" spans="1:32" s="1474" customFormat="1" ht="23.25" customHeight="1">
      <c r="A212" s="1515">
        <v>125</v>
      </c>
      <c r="B212" s="1513" t="s">
        <v>1962</v>
      </c>
      <c r="C212" s="1514" t="s">
        <v>2465</v>
      </c>
      <c r="D212" s="1514">
        <v>12</v>
      </c>
      <c r="E212" s="1513">
        <v>20000000</v>
      </c>
      <c r="F212" s="1512">
        <f t="shared" si="32"/>
        <v>3600000</v>
      </c>
      <c r="G212" s="2141">
        <v>41612</v>
      </c>
      <c r="H212" s="1511">
        <v>0.18</v>
      </c>
      <c r="I212" s="1508">
        <v>12</v>
      </c>
      <c r="J212" s="1508">
        <v>12</v>
      </c>
      <c r="K212" s="1508">
        <v>1666700</v>
      </c>
      <c r="L212" s="1508">
        <f t="shared" si="65"/>
        <v>300000</v>
      </c>
      <c r="M212" s="1510">
        <f>IF(J212&lt;I212,J212*K212,IF(J212&gt;=I212,E212))</f>
        <v>20000000</v>
      </c>
      <c r="N212" s="2401">
        <f>IF(J212&lt;I212,J212*L212,IF(J212&gt;=I212,F212))-600000</f>
        <v>3000000</v>
      </c>
      <c r="O212" s="1509">
        <v>20000000</v>
      </c>
      <c r="P212" s="1509">
        <v>3000000</v>
      </c>
      <c r="Q212" s="1509"/>
      <c r="R212" s="2650"/>
      <c r="S212" s="2650"/>
      <c r="T212" s="1507"/>
      <c r="U212" s="1495">
        <f t="shared" si="67"/>
        <v>20000000</v>
      </c>
      <c r="V212" s="1495">
        <f t="shared" si="68"/>
        <v>3000000</v>
      </c>
      <c r="W212" s="1495">
        <f t="shared" si="69"/>
        <v>0</v>
      </c>
      <c r="X212" s="1495">
        <f t="shared" si="70"/>
        <v>0</v>
      </c>
      <c r="Y212" s="1495">
        <f t="shared" si="71"/>
        <v>100</v>
      </c>
      <c r="Z212" s="1495">
        <f t="shared" si="72"/>
        <v>0</v>
      </c>
      <c r="AA212" s="1506">
        <f t="shared" si="73"/>
        <v>0</v>
      </c>
      <c r="AB212" s="1505"/>
      <c r="AC212" s="1504">
        <f t="shared" si="75"/>
        <v>0</v>
      </c>
      <c r="AD212" s="1503">
        <f t="shared" si="76"/>
        <v>0</v>
      </c>
      <c r="AE212" s="1503">
        <f t="shared" si="77"/>
        <v>0</v>
      </c>
      <c r="AF212" s="1502">
        <f t="shared" si="78"/>
        <v>0</v>
      </c>
    </row>
    <row r="213" spans="1:32" s="1474" customFormat="1" ht="23.25" customHeight="1">
      <c r="A213" s="1515">
        <v>126</v>
      </c>
      <c r="B213" s="1513" t="s">
        <v>1934</v>
      </c>
      <c r="C213" s="1514" t="s">
        <v>2465</v>
      </c>
      <c r="D213" s="1514">
        <v>12</v>
      </c>
      <c r="E213" s="1513">
        <v>20000000</v>
      </c>
      <c r="F213" s="1512">
        <f t="shared" si="32"/>
        <v>3600000</v>
      </c>
      <c r="G213" s="2141">
        <v>41612</v>
      </c>
      <c r="H213" s="1511">
        <v>0.18</v>
      </c>
      <c r="I213" s="1508">
        <v>12</v>
      </c>
      <c r="J213" s="1508">
        <v>12</v>
      </c>
      <c r="K213" s="1508">
        <v>1666700</v>
      </c>
      <c r="L213" s="1508">
        <f t="shared" si="65"/>
        <v>300000</v>
      </c>
      <c r="M213" s="1510">
        <f>IF(J213&lt;I213,J213*K213,IF(J213&gt;=I213,E213))</f>
        <v>20000000</v>
      </c>
      <c r="N213" s="2401">
        <f>IF(J213&lt;I213,J213*L213,IF(J213&gt;=I213,F213))-300000</f>
        <v>3300000</v>
      </c>
      <c r="O213" s="1509">
        <v>20000000</v>
      </c>
      <c r="P213" s="1509">
        <v>3300000</v>
      </c>
      <c r="Q213" s="1509"/>
      <c r="R213" s="2650"/>
      <c r="S213" s="2650"/>
      <c r="T213" s="1507"/>
      <c r="U213" s="1495">
        <f t="shared" si="67"/>
        <v>20000000</v>
      </c>
      <c r="V213" s="1495">
        <f t="shared" si="68"/>
        <v>3300000</v>
      </c>
      <c r="W213" s="1495">
        <f t="shared" si="69"/>
        <v>0</v>
      </c>
      <c r="X213" s="1495">
        <f t="shared" si="70"/>
        <v>0</v>
      </c>
      <c r="Y213" s="1495">
        <f t="shared" si="71"/>
        <v>100</v>
      </c>
      <c r="Z213" s="1495">
        <f t="shared" si="72"/>
        <v>0</v>
      </c>
      <c r="AA213" s="1506">
        <f t="shared" si="73"/>
        <v>0</v>
      </c>
      <c r="AB213" s="1505"/>
      <c r="AC213" s="1504">
        <f t="shared" si="75"/>
        <v>0</v>
      </c>
      <c r="AD213" s="1503">
        <f t="shared" si="76"/>
        <v>0</v>
      </c>
      <c r="AE213" s="1503">
        <f t="shared" si="77"/>
        <v>0</v>
      </c>
      <c r="AF213" s="1502">
        <f t="shared" si="78"/>
        <v>0</v>
      </c>
    </row>
    <row r="214" spans="1:32" s="1474" customFormat="1" ht="23.25" customHeight="1">
      <c r="A214" s="1515">
        <v>127</v>
      </c>
      <c r="B214" s="1513" t="s">
        <v>2239</v>
      </c>
      <c r="C214" s="1514" t="s">
        <v>2465</v>
      </c>
      <c r="D214" s="1514">
        <v>12</v>
      </c>
      <c r="E214" s="1513">
        <v>25000000</v>
      </c>
      <c r="F214" s="1512">
        <f t="shared" si="32"/>
        <v>4500000</v>
      </c>
      <c r="G214" s="2141">
        <v>41612</v>
      </c>
      <c r="H214" s="1511">
        <v>0.18</v>
      </c>
      <c r="I214" s="1508">
        <v>12</v>
      </c>
      <c r="J214" s="1508">
        <v>12</v>
      </c>
      <c r="K214" s="1508">
        <v>2083300</v>
      </c>
      <c r="L214" s="1508">
        <f t="shared" si="65"/>
        <v>375000</v>
      </c>
      <c r="M214" s="1510">
        <f>IF(J214&lt;I214,J214*K214,IF(J214&gt;=I214,E214))</f>
        <v>25000000</v>
      </c>
      <c r="N214" s="2401">
        <f>IF(J214&lt;I214,J214*L214,IF(J214&gt;=I214,F214))-375000</f>
        <v>4125000</v>
      </c>
      <c r="O214" s="1509">
        <v>25000000</v>
      </c>
      <c r="P214" s="1509">
        <v>4125000</v>
      </c>
      <c r="Q214" s="1509"/>
      <c r="R214" s="2650"/>
      <c r="S214" s="2650"/>
      <c r="T214" s="1507"/>
      <c r="U214" s="1495">
        <f t="shared" si="67"/>
        <v>25000000</v>
      </c>
      <c r="V214" s="1495">
        <f t="shared" si="68"/>
        <v>4125000</v>
      </c>
      <c r="W214" s="1495">
        <f t="shared" si="69"/>
        <v>0</v>
      </c>
      <c r="X214" s="1495">
        <f t="shared" si="70"/>
        <v>0</v>
      </c>
      <c r="Y214" s="1495">
        <f t="shared" si="71"/>
        <v>100</v>
      </c>
      <c r="Z214" s="1495">
        <f t="shared" si="72"/>
        <v>0</v>
      </c>
      <c r="AA214" s="1506">
        <f t="shared" si="73"/>
        <v>0</v>
      </c>
      <c r="AB214" s="1505"/>
      <c r="AC214" s="1504">
        <f t="shared" si="75"/>
        <v>0</v>
      </c>
      <c r="AD214" s="1503">
        <f t="shared" si="76"/>
        <v>0</v>
      </c>
      <c r="AE214" s="1503">
        <f t="shared" si="77"/>
        <v>0</v>
      </c>
      <c r="AF214" s="1502">
        <f t="shared" si="78"/>
        <v>0</v>
      </c>
    </row>
    <row r="215" spans="1:32" s="1474" customFormat="1" ht="23.25" customHeight="1">
      <c r="A215" s="1515">
        <v>128</v>
      </c>
      <c r="B215" s="1513" t="s">
        <v>2482</v>
      </c>
      <c r="C215" s="1514" t="s">
        <v>2465</v>
      </c>
      <c r="D215" s="1514">
        <v>12</v>
      </c>
      <c r="E215" s="1513">
        <v>30000000</v>
      </c>
      <c r="F215" s="1512">
        <f t="shared" si="32"/>
        <v>5400000</v>
      </c>
      <c r="G215" s="2141">
        <v>41618</v>
      </c>
      <c r="H215" s="1511">
        <v>0.18</v>
      </c>
      <c r="I215" s="1508">
        <v>12</v>
      </c>
      <c r="J215" s="1508">
        <v>12</v>
      </c>
      <c r="K215" s="1508">
        <f>E215/I215</f>
        <v>2500000</v>
      </c>
      <c r="L215" s="1508">
        <f t="shared" si="65"/>
        <v>450000</v>
      </c>
      <c r="M215" s="1510">
        <f t="shared" si="33"/>
        <v>30000000</v>
      </c>
      <c r="N215" s="2401">
        <f>IF(J215&lt;I215,J215*L215,IF(J215&gt;=I215,F215))-450000</f>
        <v>4950000</v>
      </c>
      <c r="O215" s="1509">
        <v>30000000</v>
      </c>
      <c r="P215" s="1509">
        <v>4950000</v>
      </c>
      <c r="Q215" s="1509"/>
      <c r="R215" s="2650"/>
      <c r="S215" s="2650"/>
      <c r="T215" s="1507"/>
      <c r="U215" s="1495">
        <f t="shared" si="67"/>
        <v>30000000</v>
      </c>
      <c r="V215" s="1495">
        <f t="shared" si="68"/>
        <v>4950000</v>
      </c>
      <c r="W215" s="1495">
        <f t="shared" si="69"/>
        <v>0</v>
      </c>
      <c r="X215" s="1495">
        <f t="shared" si="70"/>
        <v>0</v>
      </c>
      <c r="Y215" s="1495">
        <f t="shared" si="71"/>
        <v>100</v>
      </c>
      <c r="Z215" s="1495">
        <f t="shared" si="72"/>
        <v>0</v>
      </c>
      <c r="AA215" s="1506">
        <f t="shared" si="73"/>
        <v>0</v>
      </c>
      <c r="AB215" s="1505"/>
      <c r="AC215" s="1504">
        <f t="shared" si="75"/>
        <v>0</v>
      </c>
      <c r="AD215" s="1503">
        <f t="shared" si="76"/>
        <v>0</v>
      </c>
      <c r="AE215" s="1503">
        <f t="shared" si="77"/>
        <v>0</v>
      </c>
      <c r="AF215" s="1502">
        <f t="shared" si="78"/>
        <v>0</v>
      </c>
    </row>
    <row r="216" spans="1:32" s="1474" customFormat="1" ht="23.25" customHeight="1">
      <c r="A216" s="1515">
        <v>129</v>
      </c>
      <c r="B216" s="1513" t="s">
        <v>1983</v>
      </c>
      <c r="C216" s="1514" t="s">
        <v>2465</v>
      </c>
      <c r="D216" s="1514">
        <v>12</v>
      </c>
      <c r="E216" s="1513">
        <v>26000000</v>
      </c>
      <c r="F216" s="1512">
        <f t="shared" si="32"/>
        <v>4680000</v>
      </c>
      <c r="G216" s="2141">
        <v>41619</v>
      </c>
      <c r="H216" s="1511">
        <v>0.18</v>
      </c>
      <c r="I216" s="1508">
        <v>12</v>
      </c>
      <c r="J216" s="1508">
        <v>12</v>
      </c>
      <c r="K216" s="1508">
        <v>2166700</v>
      </c>
      <c r="L216" s="1508">
        <f t="shared" si="65"/>
        <v>390000</v>
      </c>
      <c r="M216" s="1510">
        <f t="shared" si="33"/>
        <v>26000000</v>
      </c>
      <c r="N216" s="2401">
        <f>IF(J216&lt;I216,J216*L216,IF(J216&gt;=I216,F216))-390000</f>
        <v>4290000</v>
      </c>
      <c r="O216" s="1509">
        <v>26000000</v>
      </c>
      <c r="P216" s="1509">
        <v>4290000</v>
      </c>
      <c r="Q216" s="1509"/>
      <c r="R216" s="2650"/>
      <c r="S216" s="2650"/>
      <c r="T216" s="1507"/>
      <c r="U216" s="1495">
        <f t="shared" si="67"/>
        <v>26000000</v>
      </c>
      <c r="V216" s="1495">
        <f t="shared" si="68"/>
        <v>4290000</v>
      </c>
      <c r="W216" s="1495">
        <f t="shared" si="69"/>
        <v>0</v>
      </c>
      <c r="X216" s="1495">
        <f t="shared" si="70"/>
        <v>0</v>
      </c>
      <c r="Y216" s="1495">
        <f t="shared" si="71"/>
        <v>100</v>
      </c>
      <c r="Z216" s="1495">
        <f t="shared" si="72"/>
        <v>0</v>
      </c>
      <c r="AA216" s="1506">
        <f t="shared" si="73"/>
        <v>0</v>
      </c>
      <c r="AB216" s="1505"/>
      <c r="AC216" s="1504">
        <f t="shared" si="75"/>
        <v>0</v>
      </c>
      <c r="AD216" s="1503">
        <f t="shared" si="76"/>
        <v>0</v>
      </c>
      <c r="AE216" s="1503">
        <f t="shared" si="77"/>
        <v>0</v>
      </c>
      <c r="AF216" s="1502">
        <f t="shared" si="78"/>
        <v>0</v>
      </c>
    </row>
    <row r="217" spans="1:32" s="1474" customFormat="1" ht="23.25" customHeight="1">
      <c r="A217" s="1515">
        <v>130</v>
      </c>
      <c r="B217" s="1513" t="s">
        <v>1959</v>
      </c>
      <c r="C217" s="1514" t="s">
        <v>2465</v>
      </c>
      <c r="D217" s="1514">
        <v>12</v>
      </c>
      <c r="E217" s="1513">
        <v>20000000</v>
      </c>
      <c r="F217" s="1512">
        <f t="shared" si="32"/>
        <v>3600000</v>
      </c>
      <c r="G217" s="2141">
        <v>41619</v>
      </c>
      <c r="H217" s="1511">
        <v>0.18</v>
      </c>
      <c r="I217" s="1508">
        <v>12</v>
      </c>
      <c r="J217" s="1508">
        <v>12</v>
      </c>
      <c r="K217" s="1508">
        <v>1666700</v>
      </c>
      <c r="L217" s="1508">
        <f t="shared" si="65"/>
        <v>300000</v>
      </c>
      <c r="M217" s="1510">
        <f t="shared" si="33"/>
        <v>20000000</v>
      </c>
      <c r="N217" s="1510">
        <f t="shared" si="34"/>
        <v>3600000</v>
      </c>
      <c r="O217" s="1509">
        <v>20000000</v>
      </c>
      <c r="P217" s="1509">
        <v>3600000</v>
      </c>
      <c r="Q217" s="1509"/>
      <c r="R217" s="2650"/>
      <c r="S217" s="2650"/>
      <c r="T217" s="1507"/>
      <c r="U217" s="1495">
        <f t="shared" si="67"/>
        <v>20000000</v>
      </c>
      <c r="V217" s="1495">
        <f t="shared" si="68"/>
        <v>3600000</v>
      </c>
      <c r="W217" s="1495">
        <f t="shared" si="69"/>
        <v>0</v>
      </c>
      <c r="X217" s="1495">
        <f t="shared" si="70"/>
        <v>0</v>
      </c>
      <c r="Y217" s="1495">
        <f t="shared" si="71"/>
        <v>100</v>
      </c>
      <c r="Z217" s="1495">
        <f t="shared" si="72"/>
        <v>0</v>
      </c>
      <c r="AA217" s="1506">
        <f t="shared" si="73"/>
        <v>0</v>
      </c>
      <c r="AB217" s="1505"/>
      <c r="AC217" s="1504">
        <f t="shared" si="75"/>
        <v>0</v>
      </c>
      <c r="AD217" s="1503">
        <f t="shared" si="76"/>
        <v>0</v>
      </c>
      <c r="AE217" s="1503">
        <f t="shared" si="77"/>
        <v>0</v>
      </c>
      <c r="AF217" s="1502">
        <f t="shared" si="78"/>
        <v>0</v>
      </c>
    </row>
    <row r="218" spans="1:32" s="1474" customFormat="1" ht="23.25" customHeight="1">
      <c r="A218" s="1515">
        <v>131</v>
      </c>
      <c r="B218" s="1513" t="s">
        <v>2486</v>
      </c>
      <c r="C218" s="1514" t="s">
        <v>2465</v>
      </c>
      <c r="D218" s="1514">
        <v>12</v>
      </c>
      <c r="E218" s="1513">
        <v>27000000</v>
      </c>
      <c r="F218" s="1512">
        <f t="shared" si="32"/>
        <v>4860000</v>
      </c>
      <c r="G218" s="2141">
        <v>41620</v>
      </c>
      <c r="H218" s="1511">
        <v>0.18</v>
      </c>
      <c r="I218" s="1508">
        <v>12</v>
      </c>
      <c r="J218" s="1508">
        <v>12</v>
      </c>
      <c r="K218" s="1508">
        <f>E218/I218</f>
        <v>2250000</v>
      </c>
      <c r="L218" s="1508">
        <f t="shared" si="65"/>
        <v>405000</v>
      </c>
      <c r="M218" s="1510">
        <f t="shared" si="33"/>
        <v>27000000</v>
      </c>
      <c r="N218" s="2401">
        <f>IF(J218&lt;I218,J218*L218,IF(J218&gt;=I218,F218))-810000</f>
        <v>4050000</v>
      </c>
      <c r="O218" s="1509">
        <v>27000000</v>
      </c>
      <c r="P218" s="1509">
        <v>4050000</v>
      </c>
      <c r="Q218" s="1509"/>
      <c r="R218" s="2650"/>
      <c r="S218" s="2650"/>
      <c r="T218" s="1507"/>
      <c r="U218" s="1495">
        <f t="shared" si="67"/>
        <v>27000000</v>
      </c>
      <c r="V218" s="1495">
        <f t="shared" si="68"/>
        <v>4050000</v>
      </c>
      <c r="W218" s="1495">
        <f t="shared" si="69"/>
        <v>0</v>
      </c>
      <c r="X218" s="1495">
        <f t="shared" si="70"/>
        <v>0</v>
      </c>
      <c r="Y218" s="1495">
        <f t="shared" si="71"/>
        <v>100</v>
      </c>
      <c r="Z218" s="1495">
        <f t="shared" si="72"/>
        <v>0</v>
      </c>
      <c r="AA218" s="1506">
        <f t="shared" si="73"/>
        <v>0</v>
      </c>
      <c r="AB218" s="1505"/>
      <c r="AC218" s="1504">
        <f t="shared" si="75"/>
        <v>0</v>
      </c>
      <c r="AD218" s="1503">
        <f t="shared" si="76"/>
        <v>0</v>
      </c>
      <c r="AE218" s="1503">
        <f t="shared" si="77"/>
        <v>0</v>
      </c>
      <c r="AF218" s="1502">
        <f t="shared" si="78"/>
        <v>0</v>
      </c>
    </row>
    <row r="219" spans="1:32" s="1474" customFormat="1" ht="23.25" customHeight="1">
      <c r="A219" s="1515">
        <v>132</v>
      </c>
      <c r="B219" s="2840" t="s">
        <v>2240</v>
      </c>
      <c r="C219" s="1514" t="s">
        <v>2465</v>
      </c>
      <c r="D219" s="1514">
        <v>12</v>
      </c>
      <c r="E219" s="1513">
        <v>25000000</v>
      </c>
      <c r="F219" s="1512">
        <f t="shared" si="32"/>
        <v>4500000</v>
      </c>
      <c r="G219" s="2141">
        <v>41641</v>
      </c>
      <c r="H219" s="1511">
        <v>0.18</v>
      </c>
      <c r="I219" s="1508">
        <v>12</v>
      </c>
      <c r="J219" s="1508">
        <v>12</v>
      </c>
      <c r="K219" s="1508">
        <v>2083300</v>
      </c>
      <c r="L219" s="1508">
        <f t="shared" si="65"/>
        <v>375000</v>
      </c>
      <c r="M219" s="1510">
        <f t="shared" si="33"/>
        <v>25000000</v>
      </c>
      <c r="N219" s="1510">
        <f t="shared" si="34"/>
        <v>4500000</v>
      </c>
      <c r="O219" s="1509">
        <v>25000000</v>
      </c>
      <c r="P219" s="1509">
        <v>4500000</v>
      </c>
      <c r="Q219" s="1509"/>
      <c r="R219" s="2650"/>
      <c r="S219" s="2650"/>
      <c r="T219" s="1507"/>
      <c r="U219" s="1495">
        <f t="shared" si="67"/>
        <v>25000000</v>
      </c>
      <c r="V219" s="1495">
        <f t="shared" si="68"/>
        <v>4500000</v>
      </c>
      <c r="W219" s="1495">
        <f t="shared" si="69"/>
        <v>0</v>
      </c>
      <c r="X219" s="1495">
        <f t="shared" si="70"/>
        <v>0</v>
      </c>
      <c r="Y219" s="1495">
        <f t="shared" si="71"/>
        <v>100</v>
      </c>
      <c r="Z219" s="1495">
        <f t="shared" si="72"/>
        <v>0</v>
      </c>
      <c r="AA219" s="1506">
        <f t="shared" si="73"/>
        <v>0</v>
      </c>
      <c r="AB219" s="1505"/>
      <c r="AC219" s="1504">
        <f t="shared" si="75"/>
        <v>0</v>
      </c>
      <c r="AD219" s="1503">
        <f t="shared" si="76"/>
        <v>0</v>
      </c>
      <c r="AE219" s="1503">
        <f t="shared" si="77"/>
        <v>0</v>
      </c>
      <c r="AF219" s="1502">
        <f t="shared" si="78"/>
        <v>0</v>
      </c>
    </row>
    <row r="220" spans="1:32" s="1474" customFormat="1" ht="23.25" customHeight="1">
      <c r="A220" s="1515">
        <v>133</v>
      </c>
      <c r="B220" s="2840" t="s">
        <v>1955</v>
      </c>
      <c r="C220" s="1514" t="s">
        <v>2465</v>
      </c>
      <c r="D220" s="1514">
        <v>12</v>
      </c>
      <c r="E220" s="1513">
        <v>25000000</v>
      </c>
      <c r="F220" s="1512">
        <f t="shared" si="32"/>
        <v>4500000</v>
      </c>
      <c r="G220" s="2141">
        <v>41647</v>
      </c>
      <c r="H220" s="1511">
        <v>0.18</v>
      </c>
      <c r="I220" s="1508">
        <v>12</v>
      </c>
      <c r="J220" s="1508">
        <v>12</v>
      </c>
      <c r="K220" s="1508">
        <v>2083300</v>
      </c>
      <c r="L220" s="1508">
        <f t="shared" si="65"/>
        <v>375000</v>
      </c>
      <c r="M220" s="1510">
        <f t="shared" si="33"/>
        <v>25000000</v>
      </c>
      <c r="N220" s="1510">
        <f t="shared" si="34"/>
        <v>4500000</v>
      </c>
      <c r="O220" s="1509">
        <v>25000000</v>
      </c>
      <c r="P220" s="1509">
        <v>4500000</v>
      </c>
      <c r="Q220" s="1509"/>
      <c r="R220" s="2650"/>
      <c r="S220" s="2650"/>
      <c r="T220" s="1507"/>
      <c r="U220" s="1495">
        <f t="shared" si="67"/>
        <v>25000000</v>
      </c>
      <c r="V220" s="1495">
        <f t="shared" si="68"/>
        <v>4500000</v>
      </c>
      <c r="W220" s="1495">
        <f t="shared" si="69"/>
        <v>0</v>
      </c>
      <c r="X220" s="1495">
        <f t="shared" si="70"/>
        <v>0</v>
      </c>
      <c r="Y220" s="1495">
        <f t="shared" si="71"/>
        <v>100</v>
      </c>
      <c r="Z220" s="1495">
        <f t="shared" si="72"/>
        <v>0</v>
      </c>
      <c r="AA220" s="1506">
        <f t="shared" si="73"/>
        <v>0</v>
      </c>
      <c r="AB220" s="1505"/>
      <c r="AC220" s="1504">
        <f t="shared" si="75"/>
        <v>0</v>
      </c>
      <c r="AD220" s="1503">
        <f t="shared" si="76"/>
        <v>0</v>
      </c>
      <c r="AE220" s="1503">
        <f t="shared" si="77"/>
        <v>0</v>
      </c>
      <c r="AF220" s="1502">
        <f t="shared" si="78"/>
        <v>0</v>
      </c>
    </row>
    <row r="221" spans="1:32" s="1474" customFormat="1" ht="23.25" customHeight="1">
      <c r="A221" s="1515">
        <v>134</v>
      </c>
      <c r="B221" s="2840" t="s">
        <v>2352</v>
      </c>
      <c r="C221" s="1514" t="s">
        <v>2465</v>
      </c>
      <c r="D221" s="1514">
        <v>12</v>
      </c>
      <c r="E221" s="1513">
        <v>26000000</v>
      </c>
      <c r="F221" s="1512">
        <f t="shared" si="32"/>
        <v>4680000</v>
      </c>
      <c r="G221" s="2141">
        <v>41647</v>
      </c>
      <c r="H221" s="1511">
        <v>0.18</v>
      </c>
      <c r="I221" s="1508">
        <v>12</v>
      </c>
      <c r="J221" s="1508">
        <v>12</v>
      </c>
      <c r="K221" s="1508">
        <v>2166700</v>
      </c>
      <c r="L221" s="1508">
        <f t="shared" si="65"/>
        <v>390000</v>
      </c>
      <c r="M221" s="1510">
        <f t="shared" si="33"/>
        <v>26000000</v>
      </c>
      <c r="N221" s="1510">
        <f t="shared" si="34"/>
        <v>4680000</v>
      </c>
      <c r="O221" s="1509">
        <v>26000000</v>
      </c>
      <c r="P221" s="1509">
        <v>4680000</v>
      </c>
      <c r="Q221" s="1509"/>
      <c r="R221" s="2650"/>
      <c r="S221" s="2650"/>
      <c r="T221" s="1507"/>
      <c r="U221" s="1495">
        <f t="shared" si="67"/>
        <v>26000000</v>
      </c>
      <c r="V221" s="1495">
        <f t="shared" si="68"/>
        <v>4680000</v>
      </c>
      <c r="W221" s="1495">
        <f t="shared" si="69"/>
        <v>0</v>
      </c>
      <c r="X221" s="1495">
        <f t="shared" si="70"/>
        <v>0</v>
      </c>
      <c r="Y221" s="1495">
        <f t="shared" si="71"/>
        <v>100</v>
      </c>
      <c r="Z221" s="1495">
        <f t="shared" si="72"/>
        <v>0</v>
      </c>
      <c r="AA221" s="1506">
        <f t="shared" si="73"/>
        <v>0</v>
      </c>
      <c r="AB221" s="1505"/>
      <c r="AC221" s="1504">
        <f t="shared" si="75"/>
        <v>0</v>
      </c>
      <c r="AD221" s="1503">
        <f t="shared" si="76"/>
        <v>0</v>
      </c>
      <c r="AE221" s="1503">
        <f t="shared" si="77"/>
        <v>0</v>
      </c>
      <c r="AF221" s="1502">
        <f t="shared" si="78"/>
        <v>0</v>
      </c>
    </row>
    <row r="222" spans="1:32" s="1474" customFormat="1" ht="23.25" customHeight="1">
      <c r="A222" s="1515">
        <v>135</v>
      </c>
      <c r="B222" s="2840" t="s">
        <v>1944</v>
      </c>
      <c r="C222" s="1514" t="s">
        <v>2465</v>
      </c>
      <c r="D222" s="1514">
        <v>12</v>
      </c>
      <c r="E222" s="1513">
        <v>30000000</v>
      </c>
      <c r="F222" s="1512">
        <f t="shared" si="32"/>
        <v>5400000</v>
      </c>
      <c r="G222" s="2141">
        <v>41649</v>
      </c>
      <c r="H222" s="1511">
        <v>0.18</v>
      </c>
      <c r="I222" s="1508">
        <v>12</v>
      </c>
      <c r="J222" s="1508">
        <v>12</v>
      </c>
      <c r="K222" s="1508">
        <f>E222/I222</f>
        <v>2500000</v>
      </c>
      <c r="L222" s="1508">
        <f t="shared" si="65"/>
        <v>450000</v>
      </c>
      <c r="M222" s="1510">
        <f t="shared" si="33"/>
        <v>30000000</v>
      </c>
      <c r="N222" s="1510">
        <f t="shared" si="34"/>
        <v>5400000</v>
      </c>
      <c r="O222" s="1509">
        <v>30000000</v>
      </c>
      <c r="P222" s="1509">
        <v>5400000</v>
      </c>
      <c r="Q222" s="1509"/>
      <c r="R222" s="2650"/>
      <c r="S222" s="2650"/>
      <c r="T222" s="1507"/>
      <c r="U222" s="1495">
        <f t="shared" si="67"/>
        <v>30000000</v>
      </c>
      <c r="V222" s="1495">
        <f t="shared" si="68"/>
        <v>5400000</v>
      </c>
      <c r="W222" s="1495">
        <f t="shared" si="69"/>
        <v>0</v>
      </c>
      <c r="X222" s="1495">
        <f t="shared" si="70"/>
        <v>0</v>
      </c>
      <c r="Y222" s="1495">
        <f t="shared" si="71"/>
        <v>100</v>
      </c>
      <c r="Z222" s="1495">
        <f t="shared" si="72"/>
        <v>0</v>
      </c>
      <c r="AA222" s="1506">
        <f t="shared" si="73"/>
        <v>0</v>
      </c>
      <c r="AB222" s="1505"/>
      <c r="AC222" s="1504">
        <f t="shared" si="75"/>
        <v>0</v>
      </c>
      <c r="AD222" s="1503">
        <f t="shared" si="76"/>
        <v>0</v>
      </c>
      <c r="AE222" s="1503">
        <f t="shared" si="77"/>
        <v>0</v>
      </c>
      <c r="AF222" s="1502">
        <f t="shared" si="78"/>
        <v>0</v>
      </c>
    </row>
    <row r="223" spans="1:32" s="1474" customFormat="1" ht="23.25" customHeight="1">
      <c r="A223" s="1515">
        <v>136</v>
      </c>
      <c r="B223" s="2840" t="s">
        <v>1967</v>
      </c>
      <c r="C223" s="1514" t="s">
        <v>2496</v>
      </c>
      <c r="D223" s="1514">
        <v>12</v>
      </c>
      <c r="E223" s="1513">
        <v>24000000</v>
      </c>
      <c r="F223" s="1512">
        <f t="shared" si="32"/>
        <v>4320000</v>
      </c>
      <c r="G223" s="2141">
        <v>41649</v>
      </c>
      <c r="H223" s="1511">
        <v>0.18</v>
      </c>
      <c r="I223" s="1508">
        <v>12</v>
      </c>
      <c r="J223" s="1508">
        <v>12</v>
      </c>
      <c r="K223" s="1508">
        <f>E223/I223</f>
        <v>2000000</v>
      </c>
      <c r="L223" s="1508">
        <f t="shared" si="65"/>
        <v>360000</v>
      </c>
      <c r="M223" s="1510">
        <f t="shared" si="33"/>
        <v>24000000</v>
      </c>
      <c r="N223" s="2401">
        <f>IF(J223&lt;I223,J223*L223,IF(J223&gt;=I223,F223))-360000</f>
        <v>3960000</v>
      </c>
      <c r="O223" s="1509">
        <v>24000000</v>
      </c>
      <c r="P223" s="1509">
        <v>3960000</v>
      </c>
      <c r="Q223" s="1509"/>
      <c r="R223" s="2650"/>
      <c r="S223" s="2650"/>
      <c r="T223" s="1507"/>
      <c r="U223" s="1495">
        <f t="shared" si="67"/>
        <v>24000000</v>
      </c>
      <c r="V223" s="1495">
        <f t="shared" si="68"/>
        <v>3960000</v>
      </c>
      <c r="W223" s="1495">
        <f t="shared" si="69"/>
        <v>0</v>
      </c>
      <c r="X223" s="1495">
        <f t="shared" si="70"/>
        <v>0</v>
      </c>
      <c r="Y223" s="1495">
        <f t="shared" si="71"/>
        <v>100</v>
      </c>
      <c r="Z223" s="1495">
        <f t="shared" si="72"/>
        <v>0</v>
      </c>
      <c r="AA223" s="1506">
        <f t="shared" si="73"/>
        <v>0</v>
      </c>
      <c r="AB223" s="1505"/>
      <c r="AC223" s="1504">
        <f t="shared" si="75"/>
        <v>0</v>
      </c>
      <c r="AD223" s="1503">
        <f t="shared" si="76"/>
        <v>0</v>
      </c>
      <c r="AE223" s="1503">
        <f t="shared" si="77"/>
        <v>0</v>
      </c>
      <c r="AF223" s="1502">
        <f t="shared" si="78"/>
        <v>0</v>
      </c>
    </row>
    <row r="224" spans="1:32" s="1474" customFormat="1" ht="23.25" customHeight="1">
      <c r="A224" s="1515">
        <v>137</v>
      </c>
      <c r="B224" s="2840" t="s">
        <v>2498</v>
      </c>
      <c r="C224" s="1514" t="s">
        <v>2496</v>
      </c>
      <c r="D224" s="1514">
        <v>12</v>
      </c>
      <c r="E224" s="1513">
        <v>24000000</v>
      </c>
      <c r="F224" s="1512">
        <f t="shared" si="32"/>
        <v>4320000</v>
      </c>
      <c r="G224" s="2141">
        <v>41649</v>
      </c>
      <c r="H224" s="1511">
        <v>0.18</v>
      </c>
      <c r="I224" s="1508">
        <v>12</v>
      </c>
      <c r="J224" s="1508">
        <v>12</v>
      </c>
      <c r="K224" s="1508">
        <f>E224/I224</f>
        <v>2000000</v>
      </c>
      <c r="L224" s="1508">
        <f t="shared" ref="L224:L287" si="79">F224/I224</f>
        <v>360000</v>
      </c>
      <c r="M224" s="1510">
        <f t="shared" si="33"/>
        <v>24000000</v>
      </c>
      <c r="N224" s="1510">
        <f t="shared" si="34"/>
        <v>4320000</v>
      </c>
      <c r="O224" s="1509">
        <v>1640000</v>
      </c>
      <c r="P224" s="1509">
        <v>360000</v>
      </c>
      <c r="Q224" s="1509"/>
      <c r="R224" s="2650"/>
      <c r="S224" s="2650"/>
      <c r="T224" s="1507"/>
      <c r="U224" s="1495">
        <f t="shared" si="67"/>
        <v>1640000</v>
      </c>
      <c r="V224" s="1495">
        <f t="shared" si="68"/>
        <v>360000</v>
      </c>
      <c r="W224" s="1495">
        <f t="shared" si="69"/>
        <v>0</v>
      </c>
      <c r="X224" s="1495">
        <f t="shared" si="70"/>
        <v>22360000</v>
      </c>
      <c r="Y224" s="1495">
        <f t="shared" si="71"/>
        <v>6.833333333333333</v>
      </c>
      <c r="Z224" s="1495">
        <f t="shared" si="72"/>
        <v>22360000</v>
      </c>
      <c r="AA224" s="1506">
        <f t="shared" si="73"/>
        <v>3960000</v>
      </c>
      <c r="AB224" s="1505">
        <v>7</v>
      </c>
      <c r="AC224" s="1504">
        <f t="shared" si="75"/>
        <v>0</v>
      </c>
      <c r="AD224" s="1503">
        <f t="shared" si="76"/>
        <v>0</v>
      </c>
      <c r="AE224" s="1503">
        <f t="shared" si="77"/>
        <v>0</v>
      </c>
      <c r="AF224" s="1502">
        <f t="shared" si="78"/>
        <v>22360000</v>
      </c>
    </row>
    <row r="225" spans="1:32" s="1474" customFormat="1" ht="23.25" customHeight="1">
      <c r="A225" s="1515">
        <v>138</v>
      </c>
      <c r="B225" s="2840" t="s">
        <v>3</v>
      </c>
      <c r="C225" s="1514" t="s">
        <v>2465</v>
      </c>
      <c r="D225" s="1514">
        <v>12</v>
      </c>
      <c r="E225" s="1513">
        <v>20000000</v>
      </c>
      <c r="F225" s="1512">
        <f t="shared" si="32"/>
        <v>3600000</v>
      </c>
      <c r="G225" s="2141">
        <v>41652</v>
      </c>
      <c r="H225" s="1511">
        <v>0.18</v>
      </c>
      <c r="I225" s="1508">
        <v>12</v>
      </c>
      <c r="J225" s="1508">
        <v>12</v>
      </c>
      <c r="K225" s="1508">
        <v>1666700</v>
      </c>
      <c r="L225" s="1508">
        <f t="shared" si="79"/>
        <v>300000</v>
      </c>
      <c r="M225" s="1510">
        <f t="shared" si="33"/>
        <v>20000000</v>
      </c>
      <c r="N225" s="2401">
        <f>IF(J225&lt;I225,J225*L225,IF(J225&gt;=I225,F225))-300000</f>
        <v>3300000</v>
      </c>
      <c r="O225" s="1509">
        <v>20000000</v>
      </c>
      <c r="P225" s="1509">
        <v>3300000</v>
      </c>
      <c r="Q225" s="1509"/>
      <c r="R225" s="2650"/>
      <c r="S225" s="2650"/>
      <c r="T225" s="1507"/>
      <c r="U225" s="1495">
        <f t="shared" si="67"/>
        <v>20000000</v>
      </c>
      <c r="V225" s="1495">
        <f t="shared" si="68"/>
        <v>3300000</v>
      </c>
      <c r="W225" s="1495">
        <f t="shared" si="69"/>
        <v>0</v>
      </c>
      <c r="X225" s="1495">
        <f t="shared" si="70"/>
        <v>0</v>
      </c>
      <c r="Y225" s="1495">
        <f t="shared" si="71"/>
        <v>100</v>
      </c>
      <c r="Z225" s="1495">
        <f t="shared" si="72"/>
        <v>0</v>
      </c>
      <c r="AA225" s="1506">
        <f t="shared" si="73"/>
        <v>0</v>
      </c>
      <c r="AB225" s="1505"/>
      <c r="AC225" s="1504">
        <f t="shared" si="75"/>
        <v>0</v>
      </c>
      <c r="AD225" s="1503">
        <f t="shared" si="76"/>
        <v>0</v>
      </c>
      <c r="AE225" s="1503">
        <f t="shared" si="77"/>
        <v>0</v>
      </c>
      <c r="AF225" s="1502">
        <f t="shared" si="78"/>
        <v>0</v>
      </c>
    </row>
    <row r="226" spans="1:32" s="1474" customFormat="1" ht="23.25" customHeight="1">
      <c r="A226" s="1515">
        <v>139</v>
      </c>
      <c r="B226" s="2840" t="s">
        <v>2120</v>
      </c>
      <c r="C226" s="1514" t="s">
        <v>2465</v>
      </c>
      <c r="D226" s="1514">
        <v>12</v>
      </c>
      <c r="E226" s="1513">
        <v>20000000</v>
      </c>
      <c r="F226" s="1512">
        <f t="shared" si="32"/>
        <v>3600000</v>
      </c>
      <c r="G226" s="2141">
        <v>41652</v>
      </c>
      <c r="H226" s="1511">
        <v>0.18</v>
      </c>
      <c r="I226" s="1508">
        <v>12</v>
      </c>
      <c r="J226" s="1508">
        <v>12</v>
      </c>
      <c r="K226" s="1508">
        <v>1666700</v>
      </c>
      <c r="L226" s="1508">
        <f t="shared" si="79"/>
        <v>300000</v>
      </c>
      <c r="M226" s="1510">
        <f t="shared" si="33"/>
        <v>20000000</v>
      </c>
      <c r="N226" s="2401">
        <f>IF(J226&lt;I226,J226*L226,IF(J226&gt;=I226,F226))-300000</f>
        <v>3300000</v>
      </c>
      <c r="O226" s="1509">
        <v>20000000</v>
      </c>
      <c r="P226" s="1509">
        <v>3300000</v>
      </c>
      <c r="Q226" s="1509"/>
      <c r="R226" s="2650"/>
      <c r="S226" s="2650"/>
      <c r="T226" s="1507"/>
      <c r="U226" s="1495">
        <f t="shared" si="67"/>
        <v>20000000</v>
      </c>
      <c r="V226" s="1495">
        <f t="shared" si="68"/>
        <v>3300000</v>
      </c>
      <c r="W226" s="1495">
        <f t="shared" si="69"/>
        <v>0</v>
      </c>
      <c r="X226" s="1495">
        <f t="shared" si="70"/>
        <v>0</v>
      </c>
      <c r="Y226" s="1495">
        <f t="shared" si="71"/>
        <v>100</v>
      </c>
      <c r="Z226" s="1495">
        <f t="shared" si="72"/>
        <v>0</v>
      </c>
      <c r="AA226" s="1506">
        <f t="shared" si="73"/>
        <v>0</v>
      </c>
      <c r="AB226" s="1505"/>
      <c r="AC226" s="1504">
        <f t="shared" si="75"/>
        <v>0</v>
      </c>
      <c r="AD226" s="1503">
        <f t="shared" si="76"/>
        <v>0</v>
      </c>
      <c r="AE226" s="1503">
        <f t="shared" si="77"/>
        <v>0</v>
      </c>
      <c r="AF226" s="1502">
        <f t="shared" si="78"/>
        <v>0</v>
      </c>
    </row>
    <row r="227" spans="1:32" s="1474" customFormat="1" ht="23.25" customHeight="1">
      <c r="A227" s="1515">
        <v>140</v>
      </c>
      <c r="B227" s="2840" t="s">
        <v>1980</v>
      </c>
      <c r="C227" s="1514" t="s">
        <v>2465</v>
      </c>
      <c r="D227" s="1514">
        <v>12</v>
      </c>
      <c r="E227" s="1513">
        <v>12000000</v>
      </c>
      <c r="F227" s="1512">
        <f t="shared" si="32"/>
        <v>2160000</v>
      </c>
      <c r="G227" s="2141">
        <v>41652</v>
      </c>
      <c r="H227" s="1511">
        <v>0.18</v>
      </c>
      <c r="I227" s="1508">
        <v>10</v>
      </c>
      <c r="J227" s="1508">
        <v>12</v>
      </c>
      <c r="K227" s="1508">
        <f>E227/I227</f>
        <v>1200000</v>
      </c>
      <c r="L227" s="1508">
        <f t="shared" si="79"/>
        <v>216000</v>
      </c>
      <c r="M227" s="1510">
        <f t="shared" si="33"/>
        <v>12000000</v>
      </c>
      <c r="N227" s="1510">
        <f t="shared" si="34"/>
        <v>2160000</v>
      </c>
      <c r="O227" s="1509">
        <v>12000000</v>
      </c>
      <c r="P227" s="1509">
        <v>2160000</v>
      </c>
      <c r="Q227" s="1509"/>
      <c r="R227" s="2650"/>
      <c r="S227" s="2650"/>
      <c r="T227" s="1507"/>
      <c r="U227" s="1495">
        <f t="shared" si="67"/>
        <v>12000000</v>
      </c>
      <c r="V227" s="1495">
        <f t="shared" si="68"/>
        <v>2160000</v>
      </c>
      <c r="W227" s="1495">
        <f t="shared" si="69"/>
        <v>0</v>
      </c>
      <c r="X227" s="1495">
        <f t="shared" si="70"/>
        <v>0</v>
      </c>
      <c r="Y227" s="1495">
        <f t="shared" si="71"/>
        <v>100</v>
      </c>
      <c r="Z227" s="1495">
        <f t="shared" si="72"/>
        <v>0</v>
      </c>
      <c r="AA227" s="1506">
        <f t="shared" si="73"/>
        <v>0</v>
      </c>
      <c r="AB227" s="1505"/>
      <c r="AC227" s="1504">
        <f t="shared" si="75"/>
        <v>0</v>
      </c>
      <c r="AD227" s="1503">
        <f t="shared" si="76"/>
        <v>0</v>
      </c>
      <c r="AE227" s="1503">
        <f t="shared" si="77"/>
        <v>0</v>
      </c>
      <c r="AF227" s="1502">
        <f t="shared" si="78"/>
        <v>0</v>
      </c>
    </row>
    <row r="228" spans="1:32" s="1474" customFormat="1" ht="23.25" customHeight="1">
      <c r="A228" s="1515">
        <v>141</v>
      </c>
      <c r="B228" s="2840" t="s">
        <v>2502</v>
      </c>
      <c r="C228" s="1514" t="s">
        <v>2496</v>
      </c>
      <c r="D228" s="1514">
        <v>12</v>
      </c>
      <c r="E228" s="1513">
        <v>22000000</v>
      </c>
      <c r="F228" s="1512">
        <f t="shared" si="32"/>
        <v>3960000</v>
      </c>
      <c r="G228" s="2141">
        <v>41654</v>
      </c>
      <c r="H228" s="1511">
        <v>0.18</v>
      </c>
      <c r="I228" s="1508">
        <v>12</v>
      </c>
      <c r="J228" s="1508">
        <v>12</v>
      </c>
      <c r="K228" s="1508">
        <v>1833300</v>
      </c>
      <c r="L228" s="1508">
        <f t="shared" si="79"/>
        <v>330000</v>
      </c>
      <c r="M228" s="1510">
        <f t="shared" si="33"/>
        <v>22000000</v>
      </c>
      <c r="N228" s="2401">
        <f>IF(J228&lt;I228,J228*L228,IF(J228&gt;=I228,F228))-330000</f>
        <v>3630000</v>
      </c>
      <c r="O228" s="1509">
        <v>22000000</v>
      </c>
      <c r="P228" s="1509">
        <v>3630000</v>
      </c>
      <c r="Q228" s="1509"/>
      <c r="R228" s="2650"/>
      <c r="S228" s="2650"/>
      <c r="T228" s="1507"/>
      <c r="U228" s="1495">
        <f t="shared" si="67"/>
        <v>22000000</v>
      </c>
      <c r="V228" s="1495">
        <f t="shared" si="68"/>
        <v>3630000</v>
      </c>
      <c r="W228" s="1495">
        <f t="shared" si="69"/>
        <v>0</v>
      </c>
      <c r="X228" s="1495">
        <f t="shared" si="70"/>
        <v>0</v>
      </c>
      <c r="Y228" s="1495">
        <f t="shared" si="71"/>
        <v>100</v>
      </c>
      <c r="Z228" s="1495">
        <f t="shared" si="72"/>
        <v>0</v>
      </c>
      <c r="AA228" s="1506">
        <f t="shared" si="73"/>
        <v>0</v>
      </c>
      <c r="AB228" s="1505"/>
      <c r="AC228" s="1504">
        <f t="shared" si="75"/>
        <v>0</v>
      </c>
      <c r="AD228" s="1503">
        <f t="shared" si="76"/>
        <v>0</v>
      </c>
      <c r="AE228" s="1503">
        <f t="shared" si="77"/>
        <v>0</v>
      </c>
      <c r="AF228" s="1502">
        <f t="shared" si="78"/>
        <v>0</v>
      </c>
    </row>
    <row r="229" spans="1:32" s="1474" customFormat="1" ht="23.25" customHeight="1">
      <c r="A229" s="1515">
        <v>142</v>
      </c>
      <c r="B229" s="2840" t="s">
        <v>1949</v>
      </c>
      <c r="C229" s="1514" t="s">
        <v>2465</v>
      </c>
      <c r="D229" s="1514">
        <v>12</v>
      </c>
      <c r="E229" s="1513">
        <v>30000000</v>
      </c>
      <c r="F229" s="1512">
        <f t="shared" si="32"/>
        <v>5400000</v>
      </c>
      <c r="G229" s="2141">
        <v>41659</v>
      </c>
      <c r="H229" s="1511">
        <v>0.18</v>
      </c>
      <c r="I229" s="1508">
        <v>12</v>
      </c>
      <c r="J229" s="1508">
        <v>12</v>
      </c>
      <c r="K229" s="1508">
        <f>E229/I229</f>
        <v>2500000</v>
      </c>
      <c r="L229" s="1508">
        <f t="shared" si="79"/>
        <v>450000</v>
      </c>
      <c r="M229" s="1510">
        <f t="shared" si="33"/>
        <v>30000000</v>
      </c>
      <c r="N229" s="1510">
        <f t="shared" si="34"/>
        <v>5400000</v>
      </c>
      <c r="O229" s="1509">
        <v>30000000</v>
      </c>
      <c r="P229" s="1509">
        <v>5400000</v>
      </c>
      <c r="Q229" s="1509"/>
      <c r="R229" s="2650"/>
      <c r="S229" s="2650"/>
      <c r="T229" s="1507"/>
      <c r="U229" s="1495">
        <f t="shared" si="67"/>
        <v>30000000</v>
      </c>
      <c r="V229" s="1495">
        <f t="shared" si="68"/>
        <v>5400000</v>
      </c>
      <c r="W229" s="1495">
        <f t="shared" si="69"/>
        <v>0</v>
      </c>
      <c r="X229" s="1495">
        <f t="shared" si="70"/>
        <v>0</v>
      </c>
      <c r="Y229" s="1495">
        <f t="shared" si="71"/>
        <v>100</v>
      </c>
      <c r="Z229" s="1495">
        <f t="shared" si="72"/>
        <v>0</v>
      </c>
      <c r="AA229" s="1506">
        <f t="shared" si="73"/>
        <v>0</v>
      </c>
      <c r="AB229" s="1505"/>
      <c r="AC229" s="1504">
        <f t="shared" si="75"/>
        <v>0</v>
      </c>
      <c r="AD229" s="1503">
        <f t="shared" si="76"/>
        <v>0</v>
      </c>
      <c r="AE229" s="1503">
        <f t="shared" si="77"/>
        <v>0</v>
      </c>
      <c r="AF229" s="1502">
        <f t="shared" si="78"/>
        <v>0</v>
      </c>
    </row>
    <row r="230" spans="1:32" s="1474" customFormat="1" ht="23.25" customHeight="1">
      <c r="A230" s="1515">
        <v>143</v>
      </c>
      <c r="B230" s="2840" t="s">
        <v>1961</v>
      </c>
      <c r="C230" s="1514" t="s">
        <v>2465</v>
      </c>
      <c r="D230" s="1514">
        <v>12</v>
      </c>
      <c r="E230" s="1513">
        <v>20000000</v>
      </c>
      <c r="F230" s="1512">
        <f t="shared" si="32"/>
        <v>3600000</v>
      </c>
      <c r="G230" s="2141">
        <v>41659</v>
      </c>
      <c r="H230" s="1511">
        <v>0.18</v>
      </c>
      <c r="I230" s="1508">
        <v>12</v>
      </c>
      <c r="J230" s="1508">
        <v>12</v>
      </c>
      <c r="K230" s="1508">
        <v>1666700</v>
      </c>
      <c r="L230" s="1508">
        <f t="shared" si="79"/>
        <v>300000</v>
      </c>
      <c r="M230" s="1510">
        <f t="shared" si="33"/>
        <v>20000000</v>
      </c>
      <c r="N230" s="1510">
        <f t="shared" si="34"/>
        <v>3600000</v>
      </c>
      <c r="O230" s="1509">
        <v>20000000</v>
      </c>
      <c r="P230" s="1509">
        <v>3600000</v>
      </c>
      <c r="Q230" s="1509"/>
      <c r="R230" s="2650"/>
      <c r="S230" s="2650"/>
      <c r="T230" s="1507"/>
      <c r="U230" s="1495">
        <f t="shared" si="67"/>
        <v>20000000</v>
      </c>
      <c r="V230" s="1495">
        <f t="shared" si="68"/>
        <v>3600000</v>
      </c>
      <c r="W230" s="1495">
        <f t="shared" si="69"/>
        <v>0</v>
      </c>
      <c r="X230" s="1495">
        <f t="shared" si="70"/>
        <v>0</v>
      </c>
      <c r="Y230" s="1495">
        <f t="shared" si="71"/>
        <v>100</v>
      </c>
      <c r="Z230" s="1495">
        <f t="shared" si="72"/>
        <v>0</v>
      </c>
      <c r="AA230" s="1506">
        <f t="shared" si="73"/>
        <v>0</v>
      </c>
      <c r="AB230" s="1505"/>
      <c r="AC230" s="1504">
        <f t="shared" si="75"/>
        <v>0</v>
      </c>
      <c r="AD230" s="1503">
        <f t="shared" si="76"/>
        <v>0</v>
      </c>
      <c r="AE230" s="1503">
        <f t="shared" si="77"/>
        <v>0</v>
      </c>
      <c r="AF230" s="1502">
        <f t="shared" si="78"/>
        <v>0</v>
      </c>
    </row>
    <row r="231" spans="1:32" s="1474" customFormat="1" ht="23.25" customHeight="1">
      <c r="A231" s="1515">
        <v>144</v>
      </c>
      <c r="B231" s="2840" t="s">
        <v>1966</v>
      </c>
      <c r="C231" s="1514" t="s">
        <v>2508</v>
      </c>
      <c r="D231" s="1514">
        <v>12</v>
      </c>
      <c r="E231" s="1513">
        <v>20000000</v>
      </c>
      <c r="F231" s="1512">
        <f t="shared" si="32"/>
        <v>3600000</v>
      </c>
      <c r="G231" s="2141">
        <v>41676</v>
      </c>
      <c r="H231" s="1511">
        <v>0.18</v>
      </c>
      <c r="I231" s="1508">
        <v>12</v>
      </c>
      <c r="J231" s="1508">
        <v>12</v>
      </c>
      <c r="K231" s="1508">
        <v>1666700</v>
      </c>
      <c r="L231" s="1508">
        <f t="shared" si="79"/>
        <v>300000</v>
      </c>
      <c r="M231" s="1510">
        <f t="shared" si="33"/>
        <v>20000000</v>
      </c>
      <c r="N231" s="1510">
        <f t="shared" si="34"/>
        <v>3600000</v>
      </c>
      <c r="O231" s="1509">
        <v>20000000</v>
      </c>
      <c r="P231" s="1509">
        <v>3600000</v>
      </c>
      <c r="Q231" s="1509"/>
      <c r="R231" s="2650"/>
      <c r="S231" s="2650"/>
      <c r="T231" s="1507"/>
      <c r="U231" s="1495">
        <f t="shared" si="67"/>
        <v>20000000</v>
      </c>
      <c r="V231" s="1495">
        <f t="shared" si="68"/>
        <v>3600000</v>
      </c>
      <c r="W231" s="1495">
        <f t="shared" si="69"/>
        <v>0</v>
      </c>
      <c r="X231" s="1495">
        <f t="shared" si="70"/>
        <v>0</v>
      </c>
      <c r="Y231" s="1495">
        <f t="shared" si="71"/>
        <v>100</v>
      </c>
      <c r="Z231" s="1495">
        <f t="shared" si="72"/>
        <v>0</v>
      </c>
      <c r="AA231" s="1506">
        <f t="shared" si="73"/>
        <v>0</v>
      </c>
      <c r="AB231" s="1505"/>
      <c r="AC231" s="1504">
        <f t="shared" si="75"/>
        <v>0</v>
      </c>
      <c r="AD231" s="1503">
        <f t="shared" si="76"/>
        <v>0</v>
      </c>
      <c r="AE231" s="1503">
        <f t="shared" si="77"/>
        <v>0</v>
      </c>
      <c r="AF231" s="1502">
        <f t="shared" si="78"/>
        <v>0</v>
      </c>
    </row>
    <row r="232" spans="1:32" s="1474" customFormat="1" ht="23.25" customHeight="1">
      <c r="A232" s="1515">
        <v>145</v>
      </c>
      <c r="B232" s="2840" t="s">
        <v>1960</v>
      </c>
      <c r="C232" s="1514" t="s">
        <v>2496</v>
      </c>
      <c r="D232" s="1514">
        <v>10</v>
      </c>
      <c r="E232" s="1513">
        <v>20000000</v>
      </c>
      <c r="F232" s="1512">
        <f t="shared" si="32"/>
        <v>3600000</v>
      </c>
      <c r="G232" s="2141">
        <v>41676</v>
      </c>
      <c r="H232" s="1511">
        <v>0.18</v>
      </c>
      <c r="I232" s="1508">
        <v>12</v>
      </c>
      <c r="J232" s="1508">
        <v>12</v>
      </c>
      <c r="K232" s="1508">
        <v>1666700</v>
      </c>
      <c r="L232" s="1508">
        <f t="shared" si="79"/>
        <v>300000</v>
      </c>
      <c r="M232" s="1510">
        <f t="shared" si="33"/>
        <v>20000000</v>
      </c>
      <c r="N232" s="1510">
        <f t="shared" si="34"/>
        <v>3600000</v>
      </c>
      <c r="O232" s="1509">
        <v>20000000</v>
      </c>
      <c r="P232" s="1509">
        <v>3600000</v>
      </c>
      <c r="Q232" s="1509"/>
      <c r="R232" s="2650"/>
      <c r="S232" s="2650"/>
      <c r="T232" s="1507"/>
      <c r="U232" s="1495">
        <f t="shared" si="67"/>
        <v>20000000</v>
      </c>
      <c r="V232" s="1495">
        <f t="shared" si="68"/>
        <v>3600000</v>
      </c>
      <c r="W232" s="1495">
        <f t="shared" si="69"/>
        <v>0</v>
      </c>
      <c r="X232" s="1495">
        <f t="shared" si="70"/>
        <v>0</v>
      </c>
      <c r="Y232" s="1495">
        <f t="shared" si="71"/>
        <v>100</v>
      </c>
      <c r="Z232" s="1495">
        <f t="shared" si="72"/>
        <v>0</v>
      </c>
      <c r="AA232" s="1506">
        <f t="shared" si="73"/>
        <v>0</v>
      </c>
      <c r="AB232" s="1505"/>
      <c r="AC232" s="1504">
        <f t="shared" si="75"/>
        <v>0</v>
      </c>
      <c r="AD232" s="1503">
        <f t="shared" si="76"/>
        <v>0</v>
      </c>
      <c r="AE232" s="1503">
        <f t="shared" si="77"/>
        <v>0</v>
      </c>
      <c r="AF232" s="1502">
        <f t="shared" si="78"/>
        <v>0</v>
      </c>
    </row>
    <row r="233" spans="1:32" s="1474" customFormat="1" ht="23.25" customHeight="1">
      <c r="A233" s="1515">
        <v>146</v>
      </c>
      <c r="B233" s="2840" t="s">
        <v>1897</v>
      </c>
      <c r="C233" s="1514" t="s">
        <v>2496</v>
      </c>
      <c r="D233" s="1514">
        <v>10</v>
      </c>
      <c r="E233" s="1513">
        <v>40000000</v>
      </c>
      <c r="F233" s="1512">
        <f t="shared" si="32"/>
        <v>7200000</v>
      </c>
      <c r="G233" s="2141">
        <v>41680</v>
      </c>
      <c r="H233" s="1511">
        <v>0.18</v>
      </c>
      <c r="I233" s="1508">
        <v>12</v>
      </c>
      <c r="J233" s="1508">
        <v>12</v>
      </c>
      <c r="K233" s="1508">
        <v>3333300</v>
      </c>
      <c r="L233" s="1508">
        <f t="shared" si="79"/>
        <v>600000</v>
      </c>
      <c r="M233" s="1510">
        <f t="shared" si="33"/>
        <v>40000000</v>
      </c>
      <c r="N233" s="1510">
        <f t="shared" si="34"/>
        <v>7200000</v>
      </c>
      <c r="O233" s="1509">
        <v>40000000</v>
      </c>
      <c r="P233" s="1509">
        <v>7200000</v>
      </c>
      <c r="Q233" s="1509"/>
      <c r="R233" s="2650"/>
      <c r="S233" s="2650"/>
      <c r="T233" s="1507"/>
      <c r="U233" s="1495">
        <f t="shared" si="67"/>
        <v>40000000</v>
      </c>
      <c r="V233" s="1495">
        <f t="shared" si="68"/>
        <v>7200000</v>
      </c>
      <c r="W233" s="1495">
        <f t="shared" si="69"/>
        <v>0</v>
      </c>
      <c r="X233" s="1495">
        <f t="shared" si="70"/>
        <v>0</v>
      </c>
      <c r="Y233" s="1495">
        <f t="shared" si="71"/>
        <v>100</v>
      </c>
      <c r="Z233" s="1495">
        <f t="shared" si="72"/>
        <v>0</v>
      </c>
      <c r="AA233" s="1506">
        <f t="shared" si="73"/>
        <v>0</v>
      </c>
      <c r="AB233" s="1505"/>
      <c r="AC233" s="1504">
        <f t="shared" si="75"/>
        <v>0</v>
      </c>
      <c r="AD233" s="1503">
        <f t="shared" si="76"/>
        <v>0</v>
      </c>
      <c r="AE233" s="1503">
        <f t="shared" si="77"/>
        <v>0</v>
      </c>
      <c r="AF233" s="1502">
        <f t="shared" si="78"/>
        <v>0</v>
      </c>
    </row>
    <row r="234" spans="1:32" s="1474" customFormat="1" ht="23.25" customHeight="1">
      <c r="A234" s="1515">
        <v>147</v>
      </c>
      <c r="B234" s="2840" t="s">
        <v>2509</v>
      </c>
      <c r="C234" s="1514" t="s">
        <v>2496</v>
      </c>
      <c r="D234" s="1514">
        <v>10</v>
      </c>
      <c r="E234" s="1513">
        <v>15000000</v>
      </c>
      <c r="F234" s="1512">
        <f t="shared" si="32"/>
        <v>2700000</v>
      </c>
      <c r="G234" s="2141">
        <v>41680</v>
      </c>
      <c r="H234" s="1511">
        <v>0.18</v>
      </c>
      <c r="I234" s="1508">
        <v>12</v>
      </c>
      <c r="J234" s="1508">
        <v>12</v>
      </c>
      <c r="K234" s="1508">
        <f>E234/I234</f>
        <v>1250000</v>
      </c>
      <c r="L234" s="1508">
        <f t="shared" si="79"/>
        <v>225000</v>
      </c>
      <c r="M234" s="1510">
        <f t="shared" si="33"/>
        <v>15000000</v>
      </c>
      <c r="N234" s="2401">
        <f>IF(J234&lt;I234,J234*L234,IF(J234&gt;=I234,F234))-225000</f>
        <v>2475000</v>
      </c>
      <c r="O234" s="1509">
        <v>15000000</v>
      </c>
      <c r="P234" s="1509">
        <v>2475000</v>
      </c>
      <c r="Q234" s="1509"/>
      <c r="R234" s="2650"/>
      <c r="S234" s="2650"/>
      <c r="T234" s="1507"/>
      <c r="U234" s="1495">
        <f t="shared" si="67"/>
        <v>15000000</v>
      </c>
      <c r="V234" s="1495">
        <f t="shared" si="68"/>
        <v>2475000</v>
      </c>
      <c r="W234" s="1495">
        <f t="shared" si="69"/>
        <v>0</v>
      </c>
      <c r="X234" s="1495">
        <f t="shared" si="70"/>
        <v>0</v>
      </c>
      <c r="Y234" s="1495">
        <f t="shared" si="71"/>
        <v>100</v>
      </c>
      <c r="Z234" s="1495">
        <f t="shared" si="72"/>
        <v>0</v>
      </c>
      <c r="AA234" s="1506">
        <f t="shared" si="73"/>
        <v>0</v>
      </c>
      <c r="AB234" s="1505"/>
      <c r="AC234" s="1504">
        <f t="shared" si="75"/>
        <v>0</v>
      </c>
      <c r="AD234" s="1503">
        <f t="shared" si="76"/>
        <v>0</v>
      </c>
      <c r="AE234" s="1503">
        <f t="shared" si="77"/>
        <v>0</v>
      </c>
      <c r="AF234" s="1502">
        <f t="shared" si="78"/>
        <v>0</v>
      </c>
    </row>
    <row r="235" spans="1:32" s="1474" customFormat="1" ht="23.25" customHeight="1">
      <c r="A235" s="1515">
        <v>148</v>
      </c>
      <c r="B235" s="2840" t="s">
        <v>1946</v>
      </c>
      <c r="C235" s="1514" t="s">
        <v>2496</v>
      </c>
      <c r="D235" s="1514">
        <v>10</v>
      </c>
      <c r="E235" s="1513">
        <v>20000000</v>
      </c>
      <c r="F235" s="1512">
        <f t="shared" si="32"/>
        <v>3600000</v>
      </c>
      <c r="G235" s="2141">
        <v>41687</v>
      </c>
      <c r="H235" s="1511">
        <v>0.18</v>
      </c>
      <c r="I235" s="1508">
        <v>12</v>
      </c>
      <c r="J235" s="1508">
        <v>12</v>
      </c>
      <c r="K235" s="1508">
        <v>1666700</v>
      </c>
      <c r="L235" s="1508">
        <f t="shared" si="79"/>
        <v>300000</v>
      </c>
      <c r="M235" s="1510">
        <f t="shared" si="33"/>
        <v>20000000</v>
      </c>
      <c r="N235" s="1510">
        <f t="shared" si="34"/>
        <v>3600000</v>
      </c>
      <c r="O235" s="1509">
        <v>20000000</v>
      </c>
      <c r="P235" s="1509">
        <v>3600000</v>
      </c>
      <c r="Q235" s="1509"/>
      <c r="R235" s="2650"/>
      <c r="S235" s="2650"/>
      <c r="T235" s="1507"/>
      <c r="U235" s="1495">
        <f t="shared" si="67"/>
        <v>20000000</v>
      </c>
      <c r="V235" s="1495">
        <f t="shared" si="68"/>
        <v>3600000</v>
      </c>
      <c r="W235" s="1495">
        <f t="shared" si="69"/>
        <v>0</v>
      </c>
      <c r="X235" s="1495">
        <f t="shared" si="70"/>
        <v>0</v>
      </c>
      <c r="Y235" s="1495">
        <f t="shared" si="71"/>
        <v>100</v>
      </c>
      <c r="Z235" s="1495">
        <f t="shared" si="72"/>
        <v>0</v>
      </c>
      <c r="AA235" s="1506">
        <f t="shared" si="73"/>
        <v>0</v>
      </c>
      <c r="AB235" s="1505"/>
      <c r="AC235" s="1504">
        <f t="shared" si="75"/>
        <v>0</v>
      </c>
      <c r="AD235" s="1503">
        <f t="shared" si="76"/>
        <v>0</v>
      </c>
      <c r="AE235" s="1503">
        <f t="shared" si="77"/>
        <v>0</v>
      </c>
      <c r="AF235" s="1502">
        <f t="shared" si="78"/>
        <v>0</v>
      </c>
    </row>
    <row r="236" spans="1:32" s="1474" customFormat="1" ht="23.25" customHeight="1">
      <c r="A236" s="1515">
        <v>149</v>
      </c>
      <c r="B236" s="2840" t="s">
        <v>1975</v>
      </c>
      <c r="C236" s="1514" t="s">
        <v>2465</v>
      </c>
      <c r="D236" s="1514">
        <v>10</v>
      </c>
      <c r="E236" s="1513">
        <v>13000000</v>
      </c>
      <c r="F236" s="1512">
        <f t="shared" si="32"/>
        <v>2340000</v>
      </c>
      <c r="G236" s="2141">
        <v>41687</v>
      </c>
      <c r="H236" s="1511">
        <v>0.18</v>
      </c>
      <c r="I236" s="1508">
        <v>12</v>
      </c>
      <c r="J236" s="1508">
        <v>12</v>
      </c>
      <c r="K236" s="1508">
        <v>1083300</v>
      </c>
      <c r="L236" s="1508">
        <f t="shared" si="79"/>
        <v>195000</v>
      </c>
      <c r="M236" s="1510">
        <f t="shared" si="33"/>
        <v>13000000</v>
      </c>
      <c r="N236" s="1510">
        <f t="shared" si="34"/>
        <v>2340000</v>
      </c>
      <c r="O236" s="1509">
        <v>13000000</v>
      </c>
      <c r="P236" s="1509">
        <v>2340000</v>
      </c>
      <c r="Q236" s="1509"/>
      <c r="R236" s="2650"/>
      <c r="S236" s="2650"/>
      <c r="T236" s="1507"/>
      <c r="U236" s="1495">
        <f t="shared" si="67"/>
        <v>13000000</v>
      </c>
      <c r="V236" s="1495">
        <f t="shared" si="68"/>
        <v>2340000</v>
      </c>
      <c r="W236" s="1495">
        <f t="shared" si="69"/>
        <v>0</v>
      </c>
      <c r="X236" s="1495">
        <f t="shared" si="70"/>
        <v>0</v>
      </c>
      <c r="Y236" s="1495">
        <f t="shared" si="71"/>
        <v>100</v>
      </c>
      <c r="Z236" s="1495">
        <f t="shared" si="72"/>
        <v>0</v>
      </c>
      <c r="AA236" s="1506">
        <f t="shared" si="73"/>
        <v>0</v>
      </c>
      <c r="AB236" s="1505"/>
      <c r="AC236" s="1504">
        <f t="shared" si="75"/>
        <v>0</v>
      </c>
      <c r="AD236" s="1503">
        <f t="shared" si="76"/>
        <v>0</v>
      </c>
      <c r="AE236" s="1503">
        <f t="shared" si="77"/>
        <v>0</v>
      </c>
      <c r="AF236" s="1502">
        <f t="shared" si="78"/>
        <v>0</v>
      </c>
    </row>
    <row r="237" spans="1:32" s="1474" customFormat="1" ht="23.25" customHeight="1">
      <c r="A237" s="1515">
        <v>150</v>
      </c>
      <c r="B237" s="2840" t="s">
        <v>1942</v>
      </c>
      <c r="C237" s="1514" t="s">
        <v>2496</v>
      </c>
      <c r="D237" s="1514">
        <v>15</v>
      </c>
      <c r="E237" s="1513">
        <v>25000000</v>
      </c>
      <c r="F237" s="1512">
        <f t="shared" si="32"/>
        <v>4500000</v>
      </c>
      <c r="G237" s="2141">
        <v>41688</v>
      </c>
      <c r="H237" s="1511">
        <v>0.18</v>
      </c>
      <c r="I237" s="1508">
        <v>12</v>
      </c>
      <c r="J237" s="1508">
        <v>12</v>
      </c>
      <c r="K237" s="1508">
        <v>2083300</v>
      </c>
      <c r="L237" s="1508">
        <f t="shared" si="79"/>
        <v>375000</v>
      </c>
      <c r="M237" s="1510">
        <f t="shared" si="33"/>
        <v>25000000</v>
      </c>
      <c r="N237" s="1510">
        <f t="shared" si="34"/>
        <v>4500000</v>
      </c>
      <c r="O237" s="1509">
        <v>25000000</v>
      </c>
      <c r="P237" s="1509">
        <v>4500000</v>
      </c>
      <c r="Q237" s="1509"/>
      <c r="R237" s="2650"/>
      <c r="S237" s="2650"/>
      <c r="T237" s="1507"/>
      <c r="U237" s="1495">
        <f t="shared" si="67"/>
        <v>25000000</v>
      </c>
      <c r="V237" s="1495">
        <f t="shared" si="68"/>
        <v>4500000</v>
      </c>
      <c r="W237" s="1495">
        <f t="shared" si="69"/>
        <v>0</v>
      </c>
      <c r="X237" s="1495">
        <f t="shared" si="70"/>
        <v>0</v>
      </c>
      <c r="Y237" s="1495">
        <f t="shared" si="71"/>
        <v>100</v>
      </c>
      <c r="Z237" s="1495">
        <f t="shared" si="72"/>
        <v>0</v>
      </c>
      <c r="AA237" s="1506">
        <f t="shared" si="73"/>
        <v>0</v>
      </c>
      <c r="AB237" s="1505"/>
      <c r="AC237" s="1504">
        <f t="shared" si="75"/>
        <v>0</v>
      </c>
      <c r="AD237" s="1503">
        <f t="shared" si="76"/>
        <v>0</v>
      </c>
      <c r="AE237" s="1503">
        <f t="shared" si="77"/>
        <v>0</v>
      </c>
      <c r="AF237" s="1502">
        <f t="shared" si="78"/>
        <v>0</v>
      </c>
    </row>
    <row r="238" spans="1:32" s="1474" customFormat="1" ht="23.25" customHeight="1">
      <c r="A238" s="1515">
        <v>151</v>
      </c>
      <c r="B238" s="2840" t="s">
        <v>2261</v>
      </c>
      <c r="C238" s="1514" t="s">
        <v>2496</v>
      </c>
      <c r="D238" s="1514">
        <v>10</v>
      </c>
      <c r="E238" s="1513">
        <v>20000000</v>
      </c>
      <c r="F238" s="1512">
        <f t="shared" si="32"/>
        <v>3600000</v>
      </c>
      <c r="G238" s="2141">
        <v>41710</v>
      </c>
      <c r="H238" s="1511">
        <v>0.18</v>
      </c>
      <c r="I238" s="1508">
        <v>12</v>
      </c>
      <c r="J238" s="1508">
        <v>12</v>
      </c>
      <c r="K238" s="1508">
        <v>1666700</v>
      </c>
      <c r="L238" s="1508">
        <f t="shared" si="79"/>
        <v>300000</v>
      </c>
      <c r="M238" s="1510">
        <f t="shared" si="33"/>
        <v>20000000</v>
      </c>
      <c r="N238" s="1510">
        <f t="shared" si="34"/>
        <v>3600000</v>
      </c>
      <c r="O238" s="1509">
        <v>20000000</v>
      </c>
      <c r="P238" s="1509">
        <v>3600000</v>
      </c>
      <c r="Q238" s="1509"/>
      <c r="R238" s="2650"/>
      <c r="S238" s="2650"/>
      <c r="T238" s="1507"/>
      <c r="U238" s="1495">
        <f t="shared" si="67"/>
        <v>20000000</v>
      </c>
      <c r="V238" s="1495">
        <f t="shared" si="68"/>
        <v>3600000</v>
      </c>
      <c r="W238" s="1495">
        <f t="shared" si="69"/>
        <v>0</v>
      </c>
      <c r="X238" s="1495">
        <f t="shared" si="70"/>
        <v>0</v>
      </c>
      <c r="Y238" s="1495">
        <f t="shared" si="71"/>
        <v>100</v>
      </c>
      <c r="Z238" s="1495">
        <f t="shared" si="72"/>
        <v>0</v>
      </c>
      <c r="AA238" s="1506">
        <f t="shared" si="73"/>
        <v>0</v>
      </c>
      <c r="AB238" s="1505"/>
      <c r="AC238" s="1504">
        <f t="shared" si="75"/>
        <v>0</v>
      </c>
      <c r="AD238" s="1503">
        <f t="shared" si="76"/>
        <v>0</v>
      </c>
      <c r="AE238" s="1503">
        <f t="shared" si="77"/>
        <v>0</v>
      </c>
      <c r="AF238" s="1502">
        <f t="shared" si="78"/>
        <v>0</v>
      </c>
    </row>
    <row r="239" spans="1:32" s="1474" customFormat="1" ht="23.25" customHeight="1">
      <c r="A239" s="1515">
        <v>152</v>
      </c>
      <c r="B239" s="2840" t="s">
        <v>1958</v>
      </c>
      <c r="C239" s="1514" t="s">
        <v>2496</v>
      </c>
      <c r="D239" s="1514">
        <v>10</v>
      </c>
      <c r="E239" s="1513">
        <v>18000000</v>
      </c>
      <c r="F239" s="1512">
        <f t="shared" si="32"/>
        <v>3240000</v>
      </c>
      <c r="G239" s="2141">
        <v>41710</v>
      </c>
      <c r="H239" s="1511">
        <v>0.18</v>
      </c>
      <c r="I239" s="1508">
        <v>12</v>
      </c>
      <c r="J239" s="1508">
        <v>12</v>
      </c>
      <c r="K239" s="1508">
        <f>E239/I239</f>
        <v>1500000</v>
      </c>
      <c r="L239" s="1508">
        <f t="shared" si="79"/>
        <v>270000</v>
      </c>
      <c r="M239" s="1510">
        <f t="shared" si="33"/>
        <v>18000000</v>
      </c>
      <c r="N239" s="1510">
        <f t="shared" si="34"/>
        <v>3240000</v>
      </c>
      <c r="O239" s="1509">
        <v>4330000</v>
      </c>
      <c r="P239" s="1509">
        <v>810000</v>
      </c>
      <c r="Q239" s="1509"/>
      <c r="R239" s="2650"/>
      <c r="S239" s="2650"/>
      <c r="T239" s="1507"/>
      <c r="U239" s="1495">
        <f t="shared" si="67"/>
        <v>4330000</v>
      </c>
      <c r="V239" s="1495">
        <f t="shared" si="68"/>
        <v>810000</v>
      </c>
      <c r="W239" s="1495">
        <f t="shared" si="69"/>
        <v>0</v>
      </c>
      <c r="X239" s="1495">
        <f t="shared" si="70"/>
        <v>13670000</v>
      </c>
      <c r="Y239" s="1495">
        <f t="shared" si="71"/>
        <v>24.055555555555554</v>
      </c>
      <c r="Z239" s="1495">
        <f t="shared" si="72"/>
        <v>13670000</v>
      </c>
      <c r="AA239" s="1506">
        <f t="shared" si="73"/>
        <v>2430000</v>
      </c>
      <c r="AB239" s="1505">
        <v>7</v>
      </c>
      <c r="AC239" s="1504">
        <f t="shared" si="75"/>
        <v>0</v>
      </c>
      <c r="AD239" s="1503">
        <f t="shared" si="76"/>
        <v>0</v>
      </c>
      <c r="AE239" s="1503">
        <f t="shared" si="77"/>
        <v>0</v>
      </c>
      <c r="AF239" s="1502">
        <f t="shared" si="78"/>
        <v>13670000</v>
      </c>
    </row>
    <row r="240" spans="1:32" s="1474" customFormat="1" ht="23.25" customHeight="1">
      <c r="A240" s="1515">
        <v>153</v>
      </c>
      <c r="B240" s="2840" t="s">
        <v>1945</v>
      </c>
      <c r="C240" s="1514" t="s">
        <v>2496</v>
      </c>
      <c r="D240" s="1514">
        <v>10</v>
      </c>
      <c r="E240" s="1513">
        <v>18000000</v>
      </c>
      <c r="F240" s="1512">
        <f t="shared" si="32"/>
        <v>3240000</v>
      </c>
      <c r="G240" s="2141">
        <v>41710</v>
      </c>
      <c r="H240" s="1511">
        <v>0.18</v>
      </c>
      <c r="I240" s="1508">
        <v>12</v>
      </c>
      <c r="J240" s="1508">
        <v>12</v>
      </c>
      <c r="K240" s="1508">
        <f>E240/I240</f>
        <v>1500000</v>
      </c>
      <c r="L240" s="1508">
        <f t="shared" si="79"/>
        <v>270000</v>
      </c>
      <c r="M240" s="1510">
        <f t="shared" si="33"/>
        <v>18000000</v>
      </c>
      <c r="N240" s="1510">
        <f t="shared" si="34"/>
        <v>3240000</v>
      </c>
      <c r="O240" s="1509">
        <v>18000000</v>
      </c>
      <c r="P240" s="1509">
        <v>3240000</v>
      </c>
      <c r="Q240" s="1509"/>
      <c r="R240" s="2650"/>
      <c r="S240" s="2650"/>
      <c r="T240" s="1507"/>
      <c r="U240" s="1495">
        <f t="shared" si="67"/>
        <v>18000000</v>
      </c>
      <c r="V240" s="1495">
        <f t="shared" si="68"/>
        <v>3240000</v>
      </c>
      <c r="W240" s="1495">
        <f t="shared" si="69"/>
        <v>0</v>
      </c>
      <c r="X240" s="1495">
        <f t="shared" si="70"/>
        <v>0</v>
      </c>
      <c r="Y240" s="1495">
        <f t="shared" si="71"/>
        <v>100</v>
      </c>
      <c r="Z240" s="1495">
        <f t="shared" si="72"/>
        <v>0</v>
      </c>
      <c r="AA240" s="1506">
        <f t="shared" si="73"/>
        <v>0</v>
      </c>
      <c r="AB240" s="1505"/>
      <c r="AC240" s="1504">
        <f t="shared" si="75"/>
        <v>0</v>
      </c>
      <c r="AD240" s="1503">
        <f t="shared" si="76"/>
        <v>0</v>
      </c>
      <c r="AE240" s="1503">
        <f t="shared" si="77"/>
        <v>0</v>
      </c>
      <c r="AF240" s="1502">
        <f t="shared" si="78"/>
        <v>0</v>
      </c>
    </row>
    <row r="241" spans="1:32" s="1474" customFormat="1" ht="23.25" customHeight="1">
      <c r="A241" s="1515">
        <v>154</v>
      </c>
      <c r="B241" s="2840" t="s">
        <v>2390</v>
      </c>
      <c r="C241" s="1514" t="s">
        <v>2537</v>
      </c>
      <c r="D241" s="1514">
        <v>10</v>
      </c>
      <c r="E241" s="1513">
        <v>15000000</v>
      </c>
      <c r="F241" s="1512">
        <f t="shared" si="32"/>
        <v>2700000</v>
      </c>
      <c r="G241" s="2141">
        <v>41744</v>
      </c>
      <c r="H241" s="1511">
        <v>0.18</v>
      </c>
      <c r="I241" s="1508">
        <v>12</v>
      </c>
      <c r="J241" s="1508">
        <v>12</v>
      </c>
      <c r="K241" s="1508">
        <f>E241/I241</f>
        <v>1250000</v>
      </c>
      <c r="L241" s="1508">
        <f t="shared" si="79"/>
        <v>225000</v>
      </c>
      <c r="M241" s="1510">
        <f t="shared" si="33"/>
        <v>15000000</v>
      </c>
      <c r="N241" s="1510">
        <f t="shared" si="34"/>
        <v>2700000</v>
      </c>
      <c r="O241" s="1509">
        <v>15000000</v>
      </c>
      <c r="P241" s="1509">
        <v>2700000</v>
      </c>
      <c r="Q241" s="1509"/>
      <c r="R241" s="2650"/>
      <c r="S241" s="2650"/>
      <c r="T241" s="1507"/>
      <c r="U241" s="1495">
        <f t="shared" si="67"/>
        <v>15000000</v>
      </c>
      <c r="V241" s="1495">
        <f t="shared" si="68"/>
        <v>2700000</v>
      </c>
      <c r="W241" s="1495">
        <f t="shared" si="69"/>
        <v>0</v>
      </c>
      <c r="X241" s="1495">
        <f t="shared" si="70"/>
        <v>0</v>
      </c>
      <c r="Y241" s="1495">
        <f t="shared" si="71"/>
        <v>100</v>
      </c>
      <c r="Z241" s="1495">
        <f t="shared" si="72"/>
        <v>0</v>
      </c>
      <c r="AA241" s="1506">
        <f t="shared" si="73"/>
        <v>0</v>
      </c>
      <c r="AB241" s="1505"/>
      <c r="AC241" s="1504">
        <f t="shared" si="75"/>
        <v>0</v>
      </c>
      <c r="AD241" s="1503">
        <f t="shared" si="76"/>
        <v>0</v>
      </c>
      <c r="AE241" s="1503">
        <f t="shared" si="77"/>
        <v>0</v>
      </c>
      <c r="AF241" s="1502">
        <f t="shared" si="78"/>
        <v>0</v>
      </c>
    </row>
    <row r="242" spans="1:32" s="1474" customFormat="1" ht="23.25" customHeight="1">
      <c r="A242" s="1515">
        <v>155</v>
      </c>
      <c r="B242" s="2840" t="s">
        <v>1898</v>
      </c>
      <c r="C242" s="1514" t="s">
        <v>2537</v>
      </c>
      <c r="D242" s="1514">
        <v>10</v>
      </c>
      <c r="E242" s="1513">
        <v>30000000</v>
      </c>
      <c r="F242" s="1512">
        <f t="shared" si="32"/>
        <v>5400000</v>
      </c>
      <c r="G242" s="2141">
        <v>41744</v>
      </c>
      <c r="H242" s="1511">
        <v>0.18</v>
      </c>
      <c r="I242" s="1508">
        <v>12</v>
      </c>
      <c r="J242" s="1508">
        <v>12</v>
      </c>
      <c r="K242" s="1508">
        <f>E242/I242</f>
        <v>2500000</v>
      </c>
      <c r="L242" s="1508">
        <f t="shared" si="79"/>
        <v>450000</v>
      </c>
      <c r="M242" s="1510">
        <f t="shared" si="33"/>
        <v>30000000</v>
      </c>
      <c r="N242" s="2401">
        <f>IF(J242&lt;I242,J242*L242,IF(J242&gt;=I242,F242))-450000</f>
        <v>4950000</v>
      </c>
      <c r="O242" s="1509">
        <v>30000000</v>
      </c>
      <c r="P242" s="1509">
        <v>4950000</v>
      </c>
      <c r="Q242" s="1509"/>
      <c r="R242" s="2650"/>
      <c r="S242" s="2650"/>
      <c r="T242" s="1507"/>
      <c r="U242" s="1495">
        <f t="shared" si="67"/>
        <v>30000000</v>
      </c>
      <c r="V242" s="1495">
        <f t="shared" si="68"/>
        <v>4950000</v>
      </c>
      <c r="W242" s="1495">
        <f t="shared" si="69"/>
        <v>0</v>
      </c>
      <c r="X242" s="1495">
        <f t="shared" si="70"/>
        <v>0</v>
      </c>
      <c r="Y242" s="1495">
        <f t="shared" si="71"/>
        <v>100</v>
      </c>
      <c r="Z242" s="1495">
        <f t="shared" si="72"/>
        <v>0</v>
      </c>
      <c r="AA242" s="1506">
        <f t="shared" si="73"/>
        <v>0</v>
      </c>
      <c r="AB242" s="1505"/>
      <c r="AC242" s="1504">
        <f t="shared" si="75"/>
        <v>0</v>
      </c>
      <c r="AD242" s="1503">
        <f t="shared" si="76"/>
        <v>0</v>
      </c>
      <c r="AE242" s="1503">
        <f t="shared" si="77"/>
        <v>0</v>
      </c>
      <c r="AF242" s="1502">
        <f t="shared" si="78"/>
        <v>0</v>
      </c>
    </row>
    <row r="243" spans="1:32" s="1474" customFormat="1" ht="23.25" customHeight="1">
      <c r="A243" s="1515">
        <v>156</v>
      </c>
      <c r="B243" s="2840" t="s">
        <v>2391</v>
      </c>
      <c r="C243" s="1514" t="s">
        <v>2537</v>
      </c>
      <c r="D243" s="1514">
        <v>10</v>
      </c>
      <c r="E243" s="1513">
        <v>10000000</v>
      </c>
      <c r="F243" s="1512">
        <f t="shared" si="32"/>
        <v>1800000</v>
      </c>
      <c r="G243" s="2141">
        <v>41744</v>
      </c>
      <c r="H243" s="1511">
        <v>0.18</v>
      </c>
      <c r="I243" s="1508">
        <v>12</v>
      </c>
      <c r="J243" s="1508">
        <v>12</v>
      </c>
      <c r="K243" s="1508">
        <v>833300</v>
      </c>
      <c r="L243" s="1508">
        <f t="shared" si="79"/>
        <v>150000</v>
      </c>
      <c r="M243" s="1510">
        <f t="shared" si="33"/>
        <v>10000000</v>
      </c>
      <c r="N243" s="1510">
        <f t="shared" si="34"/>
        <v>1800000</v>
      </c>
      <c r="O243" s="1509">
        <v>3333200</v>
      </c>
      <c r="P243" s="1509">
        <v>606700</v>
      </c>
      <c r="Q243" s="1509"/>
      <c r="R243" s="2650"/>
      <c r="S243" s="2650"/>
      <c r="T243" s="1507"/>
      <c r="U243" s="1495">
        <f t="shared" si="67"/>
        <v>3333200</v>
      </c>
      <c r="V243" s="1495">
        <f t="shared" si="68"/>
        <v>606700</v>
      </c>
      <c r="W243" s="1495">
        <f t="shared" si="69"/>
        <v>0</v>
      </c>
      <c r="X243" s="1495">
        <f t="shared" si="70"/>
        <v>6666800</v>
      </c>
      <c r="Y243" s="1495">
        <f t="shared" si="71"/>
        <v>33.332000000000001</v>
      </c>
      <c r="Z243" s="1495">
        <f t="shared" si="72"/>
        <v>6666800</v>
      </c>
      <c r="AA243" s="1506">
        <f t="shared" si="73"/>
        <v>1193300</v>
      </c>
      <c r="AB243" s="1505">
        <v>7</v>
      </c>
      <c r="AC243" s="1504">
        <f t="shared" si="75"/>
        <v>0</v>
      </c>
      <c r="AD243" s="1503">
        <f t="shared" si="76"/>
        <v>0</v>
      </c>
      <c r="AE243" s="1503">
        <f t="shared" si="77"/>
        <v>0</v>
      </c>
      <c r="AF243" s="1502">
        <f t="shared" si="78"/>
        <v>6666800</v>
      </c>
    </row>
    <row r="244" spans="1:32" s="1474" customFormat="1" ht="23.25" customHeight="1">
      <c r="A244" s="1515">
        <v>157</v>
      </c>
      <c r="B244" s="2840" t="s">
        <v>2401</v>
      </c>
      <c r="C244" s="1514" t="s">
        <v>2537</v>
      </c>
      <c r="D244" s="1514">
        <v>10</v>
      </c>
      <c r="E244" s="1513">
        <v>25000000</v>
      </c>
      <c r="F244" s="1512">
        <f t="shared" si="32"/>
        <v>4500000</v>
      </c>
      <c r="G244" s="2141">
        <v>41744</v>
      </c>
      <c r="H244" s="1511">
        <v>0.18</v>
      </c>
      <c r="I244" s="1508">
        <v>12</v>
      </c>
      <c r="J244" s="1508">
        <v>12</v>
      </c>
      <c r="K244" s="1508">
        <v>2083300</v>
      </c>
      <c r="L244" s="1508">
        <f t="shared" si="79"/>
        <v>375000</v>
      </c>
      <c r="M244" s="1510">
        <f t="shared" si="33"/>
        <v>25000000</v>
      </c>
      <c r="N244" s="1510">
        <f t="shared" si="34"/>
        <v>4500000</v>
      </c>
      <c r="O244" s="1509">
        <v>25000000</v>
      </c>
      <c r="P244" s="1509">
        <v>4500000</v>
      </c>
      <c r="Q244" s="1509"/>
      <c r="R244" s="2650"/>
      <c r="S244" s="2650"/>
      <c r="T244" s="1507"/>
      <c r="U244" s="1495">
        <f t="shared" si="67"/>
        <v>25000000</v>
      </c>
      <c r="V244" s="1495">
        <f t="shared" si="68"/>
        <v>4500000</v>
      </c>
      <c r="W244" s="1495">
        <f t="shared" si="69"/>
        <v>0</v>
      </c>
      <c r="X244" s="1495">
        <f t="shared" si="70"/>
        <v>0</v>
      </c>
      <c r="Y244" s="1495">
        <f t="shared" si="71"/>
        <v>100</v>
      </c>
      <c r="Z244" s="1495">
        <f t="shared" si="72"/>
        <v>0</v>
      </c>
      <c r="AA244" s="1506">
        <f t="shared" si="73"/>
        <v>0</v>
      </c>
      <c r="AB244" s="1505"/>
      <c r="AC244" s="1504">
        <f t="shared" si="75"/>
        <v>0</v>
      </c>
      <c r="AD244" s="1503">
        <f t="shared" si="76"/>
        <v>0</v>
      </c>
      <c r="AE244" s="1503">
        <f t="shared" si="77"/>
        <v>0</v>
      </c>
      <c r="AF244" s="1502">
        <f t="shared" si="78"/>
        <v>0</v>
      </c>
    </row>
    <row r="245" spans="1:32" s="1474" customFormat="1" ht="23.25" customHeight="1">
      <c r="A245" s="1515">
        <v>158</v>
      </c>
      <c r="B245" s="2840" t="s">
        <v>2538</v>
      </c>
      <c r="C245" s="1514" t="s">
        <v>2537</v>
      </c>
      <c r="D245" s="1514">
        <v>7</v>
      </c>
      <c r="E245" s="1513">
        <v>8000000</v>
      </c>
      <c r="F245" s="1512">
        <f t="shared" si="32"/>
        <v>1440000</v>
      </c>
      <c r="G245" s="2141">
        <v>41751</v>
      </c>
      <c r="H245" s="1511">
        <v>0.18</v>
      </c>
      <c r="I245" s="1508">
        <v>12</v>
      </c>
      <c r="J245" s="1508">
        <v>12</v>
      </c>
      <c r="K245" s="1508">
        <v>666700</v>
      </c>
      <c r="L245" s="1508">
        <f t="shared" si="79"/>
        <v>120000</v>
      </c>
      <c r="M245" s="1510">
        <f t="shared" si="33"/>
        <v>8000000</v>
      </c>
      <c r="N245" s="1510">
        <f t="shared" si="34"/>
        <v>1440000</v>
      </c>
      <c r="O245" s="1509">
        <v>8000000</v>
      </c>
      <c r="P245" s="1509">
        <v>1440000</v>
      </c>
      <c r="Q245" s="1509"/>
      <c r="R245" s="2650"/>
      <c r="S245" s="2650"/>
      <c r="T245" s="1507"/>
      <c r="U245" s="1495">
        <f t="shared" si="67"/>
        <v>8000000</v>
      </c>
      <c r="V245" s="1495">
        <f t="shared" si="68"/>
        <v>1440000</v>
      </c>
      <c r="W245" s="1495">
        <f t="shared" si="69"/>
        <v>0</v>
      </c>
      <c r="X245" s="1495">
        <f t="shared" si="70"/>
        <v>0</v>
      </c>
      <c r="Y245" s="1495">
        <f t="shared" si="71"/>
        <v>100</v>
      </c>
      <c r="Z245" s="1495">
        <f t="shared" si="72"/>
        <v>0</v>
      </c>
      <c r="AA245" s="1506">
        <f t="shared" si="73"/>
        <v>0</v>
      </c>
      <c r="AB245" s="1505"/>
      <c r="AC245" s="1504">
        <f t="shared" si="75"/>
        <v>0</v>
      </c>
      <c r="AD245" s="1503">
        <f t="shared" si="76"/>
        <v>0</v>
      </c>
      <c r="AE245" s="1503">
        <f t="shared" si="77"/>
        <v>0</v>
      </c>
      <c r="AF245" s="1502">
        <f t="shared" si="78"/>
        <v>0</v>
      </c>
    </row>
    <row r="246" spans="1:32" s="1474" customFormat="1" ht="23.25" customHeight="1">
      <c r="A246" s="1515">
        <v>159</v>
      </c>
      <c r="B246" s="2840" t="s">
        <v>1984</v>
      </c>
      <c r="C246" s="1514" t="s">
        <v>2537</v>
      </c>
      <c r="D246" s="1514">
        <v>10</v>
      </c>
      <c r="E246" s="1513">
        <v>20000000</v>
      </c>
      <c r="F246" s="1512">
        <f t="shared" si="32"/>
        <v>3600000</v>
      </c>
      <c r="G246" s="2141">
        <v>41764</v>
      </c>
      <c r="H246" s="1511">
        <v>0.18</v>
      </c>
      <c r="I246" s="1508">
        <v>12</v>
      </c>
      <c r="J246" s="1508">
        <v>12</v>
      </c>
      <c r="K246" s="1508">
        <v>1666700</v>
      </c>
      <c r="L246" s="1508">
        <f t="shared" si="79"/>
        <v>300000</v>
      </c>
      <c r="M246" s="1510">
        <f>ROUND(IF(J246&lt;I246,J246*K246,IF(J246&gt;=I246,E246)),-2)</f>
        <v>20000000</v>
      </c>
      <c r="N246" s="2401">
        <f>IF(J246&lt;I246,J246*L246,IF(J246&gt;=I246,F246))-300000</f>
        <v>3300000</v>
      </c>
      <c r="O246" s="1509">
        <v>20000000</v>
      </c>
      <c r="P246" s="1509">
        <v>3300000</v>
      </c>
      <c r="Q246" s="1509"/>
      <c r="R246" s="2650"/>
      <c r="S246" s="2650"/>
      <c r="T246" s="1507"/>
      <c r="U246" s="1495">
        <f t="shared" si="67"/>
        <v>20000000</v>
      </c>
      <c r="V246" s="1495">
        <f t="shared" si="68"/>
        <v>3300000</v>
      </c>
      <c r="W246" s="1495">
        <f t="shared" si="69"/>
        <v>0</v>
      </c>
      <c r="X246" s="1495">
        <f t="shared" si="70"/>
        <v>0</v>
      </c>
      <c r="Y246" s="1495">
        <f t="shared" si="71"/>
        <v>100</v>
      </c>
      <c r="Z246" s="1495">
        <f t="shared" si="72"/>
        <v>0</v>
      </c>
      <c r="AA246" s="1506">
        <f t="shared" si="73"/>
        <v>0</v>
      </c>
      <c r="AB246" s="1505"/>
      <c r="AC246" s="1504">
        <f t="shared" si="75"/>
        <v>0</v>
      </c>
      <c r="AD246" s="1503">
        <f t="shared" si="76"/>
        <v>0</v>
      </c>
      <c r="AE246" s="1503">
        <f t="shared" si="77"/>
        <v>0</v>
      </c>
      <c r="AF246" s="1502">
        <f t="shared" si="78"/>
        <v>0</v>
      </c>
    </row>
    <row r="247" spans="1:32" s="1474" customFormat="1" ht="23.25" customHeight="1">
      <c r="A247" s="1515">
        <v>160</v>
      </c>
      <c r="B247" s="2840" t="s">
        <v>1976</v>
      </c>
      <c r="C247" s="1514" t="s">
        <v>2537</v>
      </c>
      <c r="D247" s="1514">
        <v>12</v>
      </c>
      <c r="E247" s="1513">
        <v>27500000</v>
      </c>
      <c r="F247" s="1512">
        <f t="shared" si="32"/>
        <v>4950000</v>
      </c>
      <c r="G247" s="2141">
        <v>41764</v>
      </c>
      <c r="H247" s="1511">
        <v>0.18</v>
      </c>
      <c r="I247" s="1508">
        <v>12</v>
      </c>
      <c r="J247" s="1508">
        <v>12</v>
      </c>
      <c r="K247" s="1508">
        <v>2291700</v>
      </c>
      <c r="L247" s="1508">
        <f t="shared" si="79"/>
        <v>412500</v>
      </c>
      <c r="M247" s="1510">
        <f t="shared" si="33"/>
        <v>27500000</v>
      </c>
      <c r="N247" s="2401">
        <f>IF(J247&lt;I247,J247*L247,IF(J247&gt;=I247,F247))-412500</f>
        <v>4537500</v>
      </c>
      <c r="O247" s="1509">
        <v>27500000</v>
      </c>
      <c r="P247" s="1509">
        <v>4537500</v>
      </c>
      <c r="Q247" s="1509"/>
      <c r="R247" s="2688"/>
      <c r="S247" s="2650"/>
      <c r="T247" s="1507"/>
      <c r="U247" s="1495">
        <f t="shared" si="67"/>
        <v>27500000</v>
      </c>
      <c r="V247" s="1495">
        <f t="shared" si="68"/>
        <v>4537500</v>
      </c>
      <c r="W247" s="1495">
        <f t="shared" si="69"/>
        <v>0</v>
      </c>
      <c r="X247" s="1495">
        <f t="shared" si="70"/>
        <v>0</v>
      </c>
      <c r="Y247" s="1495">
        <f t="shared" si="71"/>
        <v>100</v>
      </c>
      <c r="Z247" s="1495">
        <f t="shared" si="72"/>
        <v>0</v>
      </c>
      <c r="AA247" s="1506">
        <f t="shared" si="73"/>
        <v>0</v>
      </c>
      <c r="AB247" s="1505"/>
      <c r="AC247" s="1504">
        <f t="shared" si="75"/>
        <v>0</v>
      </c>
      <c r="AD247" s="1503">
        <f t="shared" si="76"/>
        <v>0</v>
      </c>
      <c r="AE247" s="1503">
        <f t="shared" si="77"/>
        <v>0</v>
      </c>
      <c r="AF247" s="1502">
        <f t="shared" si="78"/>
        <v>0</v>
      </c>
    </row>
    <row r="248" spans="1:32" s="1474" customFormat="1" ht="23.25" customHeight="1">
      <c r="A248" s="1515">
        <v>161</v>
      </c>
      <c r="B248" s="2840" t="s">
        <v>2194</v>
      </c>
      <c r="C248" s="1514" t="s">
        <v>2537</v>
      </c>
      <c r="D248" s="1514">
        <v>12</v>
      </c>
      <c r="E248" s="1513">
        <v>33300000</v>
      </c>
      <c r="F248" s="1512">
        <f t="shared" si="32"/>
        <v>5994000</v>
      </c>
      <c r="G248" s="2141">
        <v>41771</v>
      </c>
      <c r="H248" s="1511">
        <v>0.18</v>
      </c>
      <c r="I248" s="1508">
        <v>12</v>
      </c>
      <c r="J248" s="1508">
        <v>12</v>
      </c>
      <c r="K248" s="1508">
        <f>E248/I248</f>
        <v>2775000</v>
      </c>
      <c r="L248" s="1508">
        <f t="shared" si="79"/>
        <v>499500</v>
      </c>
      <c r="M248" s="1510">
        <f t="shared" si="33"/>
        <v>33300000</v>
      </c>
      <c r="N248" s="2401">
        <f>IF(J248&lt;I248,J248*L248,IF(J248&gt;=I248,F248))-499500</f>
        <v>5494500</v>
      </c>
      <c r="O248" s="1509">
        <v>33300000</v>
      </c>
      <c r="P248" s="1509">
        <v>5494500</v>
      </c>
      <c r="Q248" s="1509"/>
      <c r="R248" s="2650"/>
      <c r="S248" s="2650"/>
      <c r="T248" s="1507"/>
      <c r="U248" s="1495">
        <f t="shared" si="67"/>
        <v>33300000</v>
      </c>
      <c r="V248" s="1495">
        <f t="shared" si="68"/>
        <v>5494500</v>
      </c>
      <c r="W248" s="1495">
        <f t="shared" si="69"/>
        <v>0</v>
      </c>
      <c r="X248" s="1495">
        <f t="shared" si="70"/>
        <v>0</v>
      </c>
      <c r="Y248" s="1495">
        <f t="shared" si="71"/>
        <v>100</v>
      </c>
      <c r="Z248" s="1495">
        <f t="shared" si="72"/>
        <v>0</v>
      </c>
      <c r="AA248" s="1506">
        <f t="shared" si="73"/>
        <v>0</v>
      </c>
      <c r="AB248" s="1505"/>
      <c r="AC248" s="1504">
        <f t="shared" si="75"/>
        <v>0</v>
      </c>
      <c r="AD248" s="1503">
        <f t="shared" si="76"/>
        <v>0</v>
      </c>
      <c r="AE248" s="1503">
        <f t="shared" si="77"/>
        <v>0</v>
      </c>
      <c r="AF248" s="1502">
        <f t="shared" si="78"/>
        <v>0</v>
      </c>
    </row>
    <row r="249" spans="1:32" s="1474" customFormat="1" ht="23.25" customHeight="1">
      <c r="A249" s="1515">
        <v>162</v>
      </c>
      <c r="B249" s="2840" t="s">
        <v>2547</v>
      </c>
      <c r="C249" s="1514" t="s">
        <v>2537</v>
      </c>
      <c r="D249" s="1514">
        <v>10</v>
      </c>
      <c r="E249" s="1513">
        <v>26000000</v>
      </c>
      <c r="F249" s="1512">
        <f t="shared" si="32"/>
        <v>4680000</v>
      </c>
      <c r="G249" s="2141">
        <v>41775</v>
      </c>
      <c r="H249" s="1511">
        <v>0.18</v>
      </c>
      <c r="I249" s="1508">
        <v>12</v>
      </c>
      <c r="J249" s="1508">
        <v>12</v>
      </c>
      <c r="K249" s="1508">
        <v>2166700</v>
      </c>
      <c r="L249" s="1508">
        <f t="shared" si="79"/>
        <v>390000</v>
      </c>
      <c r="M249" s="1510">
        <f t="shared" si="33"/>
        <v>26000000</v>
      </c>
      <c r="N249" s="2401">
        <f>IF(J249&lt;I249,J249*L249,IF(J249&gt;=I249,F249))-390000</f>
        <v>4290000</v>
      </c>
      <c r="O249" s="1509">
        <v>26000000</v>
      </c>
      <c r="P249" s="1509">
        <v>4290000</v>
      </c>
      <c r="Q249" s="1509"/>
      <c r="R249" s="2650"/>
      <c r="S249" s="2650"/>
      <c r="T249" s="1507"/>
      <c r="U249" s="1495">
        <f t="shared" si="67"/>
        <v>26000000</v>
      </c>
      <c r="V249" s="1495">
        <f t="shared" si="68"/>
        <v>4290000</v>
      </c>
      <c r="W249" s="1495">
        <f t="shared" si="69"/>
        <v>0</v>
      </c>
      <c r="X249" s="1495">
        <f t="shared" si="70"/>
        <v>0</v>
      </c>
      <c r="Y249" s="1495">
        <f t="shared" si="71"/>
        <v>100</v>
      </c>
      <c r="Z249" s="1495">
        <f t="shared" si="72"/>
        <v>0</v>
      </c>
      <c r="AA249" s="1506">
        <f t="shared" si="73"/>
        <v>0</v>
      </c>
      <c r="AB249" s="1505"/>
      <c r="AC249" s="1504">
        <f t="shared" si="75"/>
        <v>0</v>
      </c>
      <c r="AD249" s="1503">
        <f t="shared" si="76"/>
        <v>0</v>
      </c>
      <c r="AE249" s="1503">
        <f t="shared" si="77"/>
        <v>0</v>
      </c>
      <c r="AF249" s="1502">
        <f t="shared" si="78"/>
        <v>0</v>
      </c>
    </row>
    <row r="250" spans="1:32" s="1474" customFormat="1" ht="23.25" customHeight="1">
      <c r="A250" s="1515">
        <v>163</v>
      </c>
      <c r="B250" s="2840" t="s">
        <v>2317</v>
      </c>
      <c r="C250" s="1514" t="s">
        <v>2563</v>
      </c>
      <c r="D250" s="1514">
        <v>10</v>
      </c>
      <c r="E250" s="1513">
        <v>15000000</v>
      </c>
      <c r="F250" s="1512">
        <f t="shared" si="32"/>
        <v>2700000</v>
      </c>
      <c r="G250" s="3175" t="s">
        <v>2688</v>
      </c>
      <c r="H250" s="1511">
        <v>0.18</v>
      </c>
      <c r="I250" s="1508">
        <v>12</v>
      </c>
      <c r="J250" s="1508">
        <v>12</v>
      </c>
      <c r="K250" s="1508">
        <f>E250/I250</f>
        <v>1250000</v>
      </c>
      <c r="L250" s="1508">
        <f t="shared" si="79"/>
        <v>225000</v>
      </c>
      <c r="M250" s="1510">
        <f t="shared" si="33"/>
        <v>15000000</v>
      </c>
      <c r="N250" s="1510">
        <f t="shared" si="34"/>
        <v>2700000</v>
      </c>
      <c r="O250" s="1509">
        <v>15000000</v>
      </c>
      <c r="P250" s="1509">
        <v>2700000</v>
      </c>
      <c r="Q250" s="1509"/>
      <c r="R250" s="2650"/>
      <c r="S250" s="2650"/>
      <c r="T250" s="1507"/>
      <c r="U250" s="1495">
        <f t="shared" si="67"/>
        <v>15000000</v>
      </c>
      <c r="V250" s="1495">
        <f t="shared" si="68"/>
        <v>2700000</v>
      </c>
      <c r="W250" s="1495">
        <f t="shared" si="69"/>
        <v>0</v>
      </c>
      <c r="X250" s="1495">
        <f t="shared" si="70"/>
        <v>0</v>
      </c>
      <c r="Y250" s="1495">
        <f t="shared" si="71"/>
        <v>100</v>
      </c>
      <c r="Z250" s="1495">
        <f t="shared" si="72"/>
        <v>0</v>
      </c>
      <c r="AA250" s="1506">
        <f t="shared" si="73"/>
        <v>0</v>
      </c>
      <c r="AB250" s="1505"/>
      <c r="AC250" s="1504">
        <f t="shared" si="75"/>
        <v>0</v>
      </c>
      <c r="AD250" s="1503">
        <f t="shared" si="76"/>
        <v>0</v>
      </c>
      <c r="AE250" s="1503">
        <f t="shared" si="77"/>
        <v>0</v>
      </c>
      <c r="AF250" s="1502">
        <f t="shared" si="78"/>
        <v>0</v>
      </c>
    </row>
    <row r="251" spans="1:32" s="1474" customFormat="1" ht="23.25" customHeight="1">
      <c r="A251" s="1515">
        <v>164</v>
      </c>
      <c r="B251" s="2840" t="s">
        <v>2260</v>
      </c>
      <c r="C251" s="1514" t="s">
        <v>2496</v>
      </c>
      <c r="D251" s="1514">
        <v>10</v>
      </c>
      <c r="E251" s="1513">
        <v>20000000</v>
      </c>
      <c r="F251" s="1512">
        <f t="shared" si="32"/>
        <v>3600000</v>
      </c>
      <c r="G251" s="2141">
        <v>41865</v>
      </c>
      <c r="H251" s="1511">
        <v>0.18</v>
      </c>
      <c r="I251" s="1508">
        <v>12</v>
      </c>
      <c r="J251" s="1508">
        <v>12</v>
      </c>
      <c r="K251" s="1508">
        <v>1666700</v>
      </c>
      <c r="L251" s="1508">
        <f t="shared" si="79"/>
        <v>300000</v>
      </c>
      <c r="M251" s="1510">
        <f t="shared" si="33"/>
        <v>20000000</v>
      </c>
      <c r="N251" s="1510">
        <f>IF(J251&lt;I251,J251*L251,IF(J251&gt;=I251,F251))-1*L251</f>
        <v>3300000</v>
      </c>
      <c r="O251" s="1509">
        <v>20000000</v>
      </c>
      <c r="P251" s="1509">
        <v>3300000</v>
      </c>
      <c r="Q251" s="1509"/>
      <c r="R251" s="1509"/>
      <c r="S251" s="1509"/>
      <c r="T251" s="1507"/>
      <c r="U251" s="1495">
        <f t="shared" si="67"/>
        <v>20000000</v>
      </c>
      <c r="V251" s="1495">
        <f t="shared" si="68"/>
        <v>3300000</v>
      </c>
      <c r="W251" s="1495">
        <f t="shared" si="69"/>
        <v>0</v>
      </c>
      <c r="X251" s="1495">
        <f t="shared" si="70"/>
        <v>0</v>
      </c>
      <c r="Y251" s="1495">
        <f t="shared" si="71"/>
        <v>100</v>
      </c>
      <c r="Z251" s="1495">
        <f t="shared" si="72"/>
        <v>0</v>
      </c>
      <c r="AA251" s="1506">
        <f t="shared" si="73"/>
        <v>0</v>
      </c>
      <c r="AB251" s="1505"/>
      <c r="AC251" s="1504">
        <f t="shared" si="75"/>
        <v>0</v>
      </c>
      <c r="AD251" s="1503">
        <f t="shared" si="76"/>
        <v>0</v>
      </c>
      <c r="AE251" s="1503">
        <f t="shared" si="77"/>
        <v>0</v>
      </c>
      <c r="AF251" s="1502">
        <f t="shared" si="78"/>
        <v>0</v>
      </c>
    </row>
    <row r="252" spans="1:32" s="1474" customFormat="1" ht="23.25" customHeight="1">
      <c r="A252" s="1515">
        <v>165</v>
      </c>
      <c r="B252" s="2840" t="s">
        <v>2316</v>
      </c>
      <c r="C252" s="1514" t="s">
        <v>2563</v>
      </c>
      <c r="D252" s="1514">
        <v>7</v>
      </c>
      <c r="E252" s="1513">
        <v>9000000</v>
      </c>
      <c r="F252" s="1512">
        <f t="shared" si="32"/>
        <v>1620000</v>
      </c>
      <c r="G252" s="2141">
        <v>41904</v>
      </c>
      <c r="H252" s="1511">
        <v>0.18</v>
      </c>
      <c r="I252" s="1508">
        <v>12</v>
      </c>
      <c r="J252" s="1508">
        <v>12</v>
      </c>
      <c r="K252" s="1508">
        <f t="shared" ref="K252:K274" si="80">E252/I252</f>
        <v>750000</v>
      </c>
      <c r="L252" s="1508">
        <f t="shared" si="79"/>
        <v>135000</v>
      </c>
      <c r="M252" s="1510">
        <f t="shared" si="33"/>
        <v>9000000</v>
      </c>
      <c r="N252" s="1510">
        <f t="shared" ref="N252" si="81">IF(J252&lt;I252,J252*L252,IF(J252&gt;=I252,F252))-1*L252</f>
        <v>1485000</v>
      </c>
      <c r="O252" s="1509">
        <v>9000000</v>
      </c>
      <c r="P252" s="1509">
        <v>1485000</v>
      </c>
      <c r="Q252" s="1509"/>
      <c r="R252" s="1509"/>
      <c r="S252" s="1509"/>
      <c r="T252" s="1507"/>
      <c r="U252" s="1495">
        <f t="shared" si="67"/>
        <v>9000000</v>
      </c>
      <c r="V252" s="1495">
        <f t="shared" si="68"/>
        <v>1485000</v>
      </c>
      <c r="W252" s="1495">
        <f t="shared" si="69"/>
        <v>0</v>
      </c>
      <c r="X252" s="1495">
        <f t="shared" si="70"/>
        <v>0</v>
      </c>
      <c r="Y252" s="1495">
        <f t="shared" si="71"/>
        <v>100</v>
      </c>
      <c r="Z252" s="1495">
        <f t="shared" si="72"/>
        <v>0</v>
      </c>
      <c r="AA252" s="1506">
        <f t="shared" si="73"/>
        <v>0</v>
      </c>
      <c r="AB252" s="1505"/>
      <c r="AC252" s="1504">
        <f t="shared" si="75"/>
        <v>0</v>
      </c>
      <c r="AD252" s="1503">
        <f t="shared" si="76"/>
        <v>0</v>
      </c>
      <c r="AE252" s="1503">
        <f t="shared" si="77"/>
        <v>0</v>
      </c>
      <c r="AF252" s="1502">
        <f t="shared" si="78"/>
        <v>0</v>
      </c>
    </row>
    <row r="253" spans="1:32" s="1474" customFormat="1" ht="23.25" customHeight="1">
      <c r="A253" s="1515">
        <v>166</v>
      </c>
      <c r="B253" s="2840" t="s">
        <v>1934</v>
      </c>
      <c r="C253" s="1514" t="s">
        <v>2582</v>
      </c>
      <c r="D253" s="1514">
        <v>10</v>
      </c>
      <c r="E253" s="1513">
        <v>30000000</v>
      </c>
      <c r="F253" s="1512">
        <f t="shared" si="32"/>
        <v>5400000</v>
      </c>
      <c r="G253" s="2141">
        <v>41923</v>
      </c>
      <c r="H253" s="1511">
        <v>0.18</v>
      </c>
      <c r="I253" s="1508">
        <v>12</v>
      </c>
      <c r="J253" s="1508">
        <v>12</v>
      </c>
      <c r="K253" s="1508">
        <f t="shared" si="80"/>
        <v>2500000</v>
      </c>
      <c r="L253" s="1508">
        <f t="shared" si="79"/>
        <v>450000</v>
      </c>
      <c r="M253" s="1510">
        <f t="shared" si="33"/>
        <v>30000000</v>
      </c>
      <c r="N253" s="1510">
        <f>IF(J253&lt;I253,J253*L253,IF(J253&gt;=I253,F253))-1*L253</f>
        <v>4950000</v>
      </c>
      <c r="O253" s="1509">
        <v>30000000</v>
      </c>
      <c r="P253" s="1509">
        <v>4950000</v>
      </c>
      <c r="Q253" s="1509"/>
      <c r="R253" s="1509"/>
      <c r="S253" s="1509"/>
      <c r="T253" s="1507"/>
      <c r="U253" s="1495">
        <f t="shared" si="67"/>
        <v>30000000</v>
      </c>
      <c r="V253" s="1495">
        <f t="shared" si="68"/>
        <v>4950000</v>
      </c>
      <c r="W253" s="1495">
        <f t="shared" si="69"/>
        <v>0</v>
      </c>
      <c r="X253" s="1495">
        <f t="shared" si="70"/>
        <v>0</v>
      </c>
      <c r="Y253" s="1495">
        <f t="shared" si="71"/>
        <v>100</v>
      </c>
      <c r="Z253" s="1495">
        <f t="shared" si="72"/>
        <v>0</v>
      </c>
      <c r="AA253" s="1506">
        <f t="shared" si="73"/>
        <v>0</v>
      </c>
      <c r="AB253" s="1505"/>
      <c r="AC253" s="1504">
        <f t="shared" si="75"/>
        <v>0</v>
      </c>
      <c r="AD253" s="1503">
        <f t="shared" si="76"/>
        <v>0</v>
      </c>
      <c r="AE253" s="1503">
        <f t="shared" si="77"/>
        <v>0</v>
      </c>
      <c r="AF253" s="1502">
        <f t="shared" si="78"/>
        <v>0</v>
      </c>
    </row>
    <row r="254" spans="1:32" s="1474" customFormat="1" ht="23.25" customHeight="1">
      <c r="A254" s="1515">
        <v>167</v>
      </c>
      <c r="B254" s="2840" t="s">
        <v>2239</v>
      </c>
      <c r="C254" s="1514" t="s">
        <v>2582</v>
      </c>
      <c r="D254" s="1514">
        <v>12</v>
      </c>
      <c r="E254" s="1513">
        <v>32000000</v>
      </c>
      <c r="F254" s="1512">
        <f t="shared" si="32"/>
        <v>5760000</v>
      </c>
      <c r="G254" s="2141">
        <v>41923</v>
      </c>
      <c r="H254" s="1511">
        <v>0.18</v>
      </c>
      <c r="I254" s="1508">
        <v>12</v>
      </c>
      <c r="J254" s="1508">
        <v>12</v>
      </c>
      <c r="K254" s="1508">
        <v>2666700</v>
      </c>
      <c r="L254" s="1508">
        <f t="shared" si="79"/>
        <v>480000</v>
      </c>
      <c r="M254" s="1510">
        <f t="shared" si="33"/>
        <v>32000000</v>
      </c>
      <c r="N254" s="1510">
        <f t="shared" ref="N254:N257" si="82">IF(J254&lt;I254,J254*L254,IF(J254&gt;=I254,F254))-1*L254</f>
        <v>5280000</v>
      </c>
      <c r="O254" s="1509">
        <v>32000000</v>
      </c>
      <c r="P254" s="1509">
        <v>5280000</v>
      </c>
      <c r="Q254" s="1509"/>
      <c r="R254" s="1509"/>
      <c r="S254" s="1509"/>
      <c r="T254" s="1507"/>
      <c r="U254" s="1495">
        <f t="shared" si="67"/>
        <v>32000000</v>
      </c>
      <c r="V254" s="1495">
        <f t="shared" si="68"/>
        <v>5280000</v>
      </c>
      <c r="W254" s="1495">
        <f t="shared" si="69"/>
        <v>0</v>
      </c>
      <c r="X254" s="1495">
        <f t="shared" si="70"/>
        <v>0</v>
      </c>
      <c r="Y254" s="1495">
        <f t="shared" si="71"/>
        <v>100</v>
      </c>
      <c r="Z254" s="1495">
        <f t="shared" si="72"/>
        <v>0</v>
      </c>
      <c r="AA254" s="1506">
        <f t="shared" si="73"/>
        <v>0</v>
      </c>
      <c r="AB254" s="1505"/>
      <c r="AC254" s="1504">
        <f t="shared" si="75"/>
        <v>0</v>
      </c>
      <c r="AD254" s="1503">
        <f t="shared" si="76"/>
        <v>0</v>
      </c>
      <c r="AE254" s="1503">
        <f t="shared" si="77"/>
        <v>0</v>
      </c>
      <c r="AF254" s="1502">
        <f t="shared" si="78"/>
        <v>0</v>
      </c>
    </row>
    <row r="255" spans="1:32" s="1474" customFormat="1" ht="23.25" customHeight="1">
      <c r="A255" s="1515">
        <v>168</v>
      </c>
      <c r="B255" s="2840" t="s">
        <v>2601</v>
      </c>
      <c r="C255" s="1514" t="s">
        <v>2582</v>
      </c>
      <c r="D255" s="1514">
        <v>12</v>
      </c>
      <c r="E255" s="1513">
        <v>40000000</v>
      </c>
      <c r="F255" s="1512">
        <f t="shared" si="32"/>
        <v>7200000</v>
      </c>
      <c r="G255" s="2141">
        <v>41961</v>
      </c>
      <c r="H255" s="1511">
        <v>0.18</v>
      </c>
      <c r="I255" s="1508">
        <v>12</v>
      </c>
      <c r="J255" s="1508">
        <v>12</v>
      </c>
      <c r="K255" s="1508">
        <v>3333300</v>
      </c>
      <c r="L255" s="1508">
        <f t="shared" si="79"/>
        <v>600000</v>
      </c>
      <c r="M255" s="1510">
        <f t="shared" si="33"/>
        <v>40000000</v>
      </c>
      <c r="N255" s="1510">
        <f t="shared" si="82"/>
        <v>6600000</v>
      </c>
      <c r="O255" s="1509">
        <v>40000000</v>
      </c>
      <c r="P255" s="1509">
        <v>6600000</v>
      </c>
      <c r="Q255" s="1509"/>
      <c r="R255" s="1509"/>
      <c r="S255" s="1509"/>
      <c r="T255" s="1507"/>
      <c r="U255" s="1495">
        <f t="shared" si="67"/>
        <v>40000000</v>
      </c>
      <c r="V255" s="1495">
        <f t="shared" si="68"/>
        <v>6600000</v>
      </c>
      <c r="W255" s="1495">
        <f t="shared" si="69"/>
        <v>0</v>
      </c>
      <c r="X255" s="1495">
        <f t="shared" si="70"/>
        <v>0</v>
      </c>
      <c r="Y255" s="1495">
        <f t="shared" si="71"/>
        <v>100</v>
      </c>
      <c r="Z255" s="1495">
        <f t="shared" si="72"/>
        <v>0</v>
      </c>
      <c r="AA255" s="1506">
        <f t="shared" si="73"/>
        <v>0</v>
      </c>
      <c r="AB255" s="1505"/>
      <c r="AC255" s="1504">
        <f t="shared" si="75"/>
        <v>0</v>
      </c>
      <c r="AD255" s="1503">
        <f t="shared" si="76"/>
        <v>0</v>
      </c>
      <c r="AE255" s="1503">
        <f t="shared" si="77"/>
        <v>0</v>
      </c>
      <c r="AF255" s="1502">
        <f t="shared" si="78"/>
        <v>0</v>
      </c>
    </row>
    <row r="256" spans="1:32" s="1474" customFormat="1" ht="23.25" customHeight="1">
      <c r="A256" s="1515">
        <v>169</v>
      </c>
      <c r="B256" s="2840" t="s">
        <v>1983</v>
      </c>
      <c r="C256" s="1514" t="s">
        <v>2582</v>
      </c>
      <c r="D256" s="1514">
        <v>10</v>
      </c>
      <c r="E256" s="1513">
        <v>32000000</v>
      </c>
      <c r="F256" s="1512">
        <f t="shared" si="32"/>
        <v>5760000</v>
      </c>
      <c r="G256" s="2141">
        <v>41954</v>
      </c>
      <c r="H256" s="1511">
        <v>0.18</v>
      </c>
      <c r="I256" s="1508">
        <v>12</v>
      </c>
      <c r="J256" s="1508">
        <v>12</v>
      </c>
      <c r="K256" s="1508">
        <v>2666700</v>
      </c>
      <c r="L256" s="1508">
        <f t="shared" si="79"/>
        <v>480000</v>
      </c>
      <c r="M256" s="1510">
        <f t="shared" si="33"/>
        <v>32000000</v>
      </c>
      <c r="N256" s="1510">
        <f t="shared" si="82"/>
        <v>5280000</v>
      </c>
      <c r="O256" s="1509">
        <v>32000000</v>
      </c>
      <c r="P256" s="1509">
        <v>5280000</v>
      </c>
      <c r="Q256" s="1509"/>
      <c r="R256" s="1509"/>
      <c r="S256" s="1509"/>
      <c r="T256" s="1507"/>
      <c r="U256" s="1495">
        <f t="shared" si="67"/>
        <v>32000000</v>
      </c>
      <c r="V256" s="1495">
        <f t="shared" si="68"/>
        <v>5280000</v>
      </c>
      <c r="W256" s="1495">
        <f t="shared" si="69"/>
        <v>0</v>
      </c>
      <c r="X256" s="1495">
        <f t="shared" si="70"/>
        <v>0</v>
      </c>
      <c r="Y256" s="1495">
        <f t="shared" si="71"/>
        <v>100</v>
      </c>
      <c r="Z256" s="1495">
        <f t="shared" si="72"/>
        <v>0</v>
      </c>
      <c r="AA256" s="1506">
        <f t="shared" si="73"/>
        <v>0</v>
      </c>
      <c r="AB256" s="1505"/>
      <c r="AC256" s="1504">
        <f t="shared" si="75"/>
        <v>0</v>
      </c>
      <c r="AD256" s="1503">
        <f t="shared" si="76"/>
        <v>0</v>
      </c>
      <c r="AE256" s="1503">
        <f t="shared" si="77"/>
        <v>0</v>
      </c>
      <c r="AF256" s="1502">
        <f t="shared" si="78"/>
        <v>0</v>
      </c>
    </row>
    <row r="257" spans="1:32" s="1474" customFormat="1" ht="23.25" customHeight="1">
      <c r="A257" s="1515">
        <v>170</v>
      </c>
      <c r="B257" s="2840" t="s">
        <v>1962</v>
      </c>
      <c r="C257" s="1514" t="s">
        <v>2582</v>
      </c>
      <c r="D257" s="1514">
        <v>10</v>
      </c>
      <c r="E257" s="1513">
        <v>27500000</v>
      </c>
      <c r="F257" s="1512">
        <f t="shared" si="32"/>
        <v>4950000</v>
      </c>
      <c r="G257" s="2141">
        <v>41954</v>
      </c>
      <c r="H257" s="1511">
        <v>0.18</v>
      </c>
      <c r="I257" s="1508">
        <v>12</v>
      </c>
      <c r="J257" s="1508">
        <v>12</v>
      </c>
      <c r="K257" s="1508">
        <v>2291700</v>
      </c>
      <c r="L257" s="1508">
        <f t="shared" si="79"/>
        <v>412500</v>
      </c>
      <c r="M257" s="1510">
        <f t="shared" si="33"/>
        <v>27500000</v>
      </c>
      <c r="N257" s="1510">
        <f t="shared" si="82"/>
        <v>4537500</v>
      </c>
      <c r="O257" s="1509">
        <v>27500000</v>
      </c>
      <c r="P257" s="1509">
        <v>4537500</v>
      </c>
      <c r="Q257" s="1509"/>
      <c r="R257" s="1509"/>
      <c r="S257" s="1509"/>
      <c r="T257" s="1507"/>
      <c r="U257" s="1495">
        <f t="shared" si="67"/>
        <v>27500000</v>
      </c>
      <c r="V257" s="1495">
        <f t="shared" si="68"/>
        <v>4537500</v>
      </c>
      <c r="W257" s="1495">
        <f t="shared" si="69"/>
        <v>0</v>
      </c>
      <c r="X257" s="1495">
        <f t="shared" si="70"/>
        <v>0</v>
      </c>
      <c r="Y257" s="1495">
        <f t="shared" si="71"/>
        <v>100</v>
      </c>
      <c r="Z257" s="1495">
        <f t="shared" si="72"/>
        <v>0</v>
      </c>
      <c r="AA257" s="1506">
        <f t="shared" si="73"/>
        <v>0</v>
      </c>
      <c r="AB257" s="1505"/>
      <c r="AC257" s="1504">
        <f t="shared" si="75"/>
        <v>0</v>
      </c>
      <c r="AD257" s="1503">
        <f t="shared" ref="AD257:AD320" si="83">IF(AND(AB257&gt;=3,AB257&lt;=4),X257,0)</f>
        <v>0</v>
      </c>
      <c r="AE257" s="1503">
        <f t="shared" ref="AE257:AE320" si="84">IF(AND(AB257&gt;=5,AB257&lt;=6),X257,0)</f>
        <v>0</v>
      </c>
      <c r="AF257" s="1502">
        <f t="shared" ref="AF257:AF320" si="85">IF(AB257&gt;6,X257,0)</f>
        <v>0</v>
      </c>
    </row>
    <row r="258" spans="1:32" s="1474" customFormat="1" ht="23.25" customHeight="1">
      <c r="A258" s="1515">
        <v>171</v>
      </c>
      <c r="B258" s="2840" t="s">
        <v>1947</v>
      </c>
      <c r="C258" s="1514" t="s">
        <v>2582</v>
      </c>
      <c r="D258" s="1514">
        <v>10</v>
      </c>
      <c r="E258" s="1513">
        <v>22000000</v>
      </c>
      <c r="F258" s="1512">
        <f t="shared" si="32"/>
        <v>3960000</v>
      </c>
      <c r="G258" s="2141">
        <v>41954</v>
      </c>
      <c r="H258" s="1511">
        <v>0.18</v>
      </c>
      <c r="I258" s="1508">
        <v>10</v>
      </c>
      <c r="J258" s="1508">
        <v>12</v>
      </c>
      <c r="K258" s="1508">
        <f t="shared" si="80"/>
        <v>2200000</v>
      </c>
      <c r="L258" s="1508">
        <f t="shared" si="79"/>
        <v>396000</v>
      </c>
      <c r="M258" s="1510">
        <f t="shared" si="33"/>
        <v>22000000</v>
      </c>
      <c r="N258" s="1510">
        <f t="shared" si="34"/>
        <v>3960000</v>
      </c>
      <c r="O258" s="1509">
        <v>22000000</v>
      </c>
      <c r="P258" s="1509">
        <v>3960000</v>
      </c>
      <c r="Q258" s="1509"/>
      <c r="R258" s="1509"/>
      <c r="S258" s="1509"/>
      <c r="T258" s="1507"/>
      <c r="U258" s="1495">
        <f t="shared" si="67"/>
        <v>22000000</v>
      </c>
      <c r="V258" s="1495">
        <f t="shared" si="68"/>
        <v>3960000</v>
      </c>
      <c r="W258" s="1495">
        <f t="shared" si="69"/>
        <v>0</v>
      </c>
      <c r="X258" s="1495">
        <f t="shared" si="70"/>
        <v>0</v>
      </c>
      <c r="Y258" s="1495">
        <f t="shared" si="71"/>
        <v>100</v>
      </c>
      <c r="Z258" s="1495">
        <f t="shared" si="72"/>
        <v>0</v>
      </c>
      <c r="AA258" s="1506">
        <f t="shared" si="73"/>
        <v>0</v>
      </c>
      <c r="AB258" s="1505"/>
      <c r="AC258" s="1504">
        <f t="shared" si="75"/>
        <v>0</v>
      </c>
      <c r="AD258" s="1503">
        <f t="shared" si="83"/>
        <v>0</v>
      </c>
      <c r="AE258" s="1503">
        <f t="shared" si="84"/>
        <v>0</v>
      </c>
      <c r="AF258" s="1502">
        <f t="shared" si="85"/>
        <v>0</v>
      </c>
    </row>
    <row r="259" spans="1:32" s="1474" customFormat="1" ht="23.25" customHeight="1">
      <c r="A259" s="1515">
        <v>172</v>
      </c>
      <c r="B259" s="2840" t="s">
        <v>1967</v>
      </c>
      <c r="C259" s="1514" t="s">
        <v>2615</v>
      </c>
      <c r="D259" s="1514">
        <v>10</v>
      </c>
      <c r="E259" s="1513">
        <v>30000000</v>
      </c>
      <c r="F259" s="1512">
        <f t="shared" si="32"/>
        <v>5400000</v>
      </c>
      <c r="G259" s="2141">
        <v>41991</v>
      </c>
      <c r="H259" s="1511">
        <v>0.18</v>
      </c>
      <c r="I259" s="1508">
        <v>12</v>
      </c>
      <c r="J259" s="1508">
        <v>12</v>
      </c>
      <c r="K259" s="1508">
        <f t="shared" si="80"/>
        <v>2500000</v>
      </c>
      <c r="L259" s="1508">
        <f t="shared" si="79"/>
        <v>450000</v>
      </c>
      <c r="M259" s="1510">
        <f t="shared" si="33"/>
        <v>30000000</v>
      </c>
      <c r="N259" s="1510">
        <f t="shared" si="34"/>
        <v>5400000</v>
      </c>
      <c r="O259" s="1509">
        <v>26020000</v>
      </c>
      <c r="P259" s="1509">
        <v>4950000</v>
      </c>
      <c r="Q259" s="1509"/>
      <c r="R259" s="2837"/>
      <c r="S259" s="2837"/>
      <c r="T259" s="1507"/>
      <c r="U259" s="1495">
        <f t="shared" si="67"/>
        <v>26020000</v>
      </c>
      <c r="V259" s="1495">
        <f t="shared" si="68"/>
        <v>4950000</v>
      </c>
      <c r="W259" s="1495">
        <f t="shared" si="69"/>
        <v>0</v>
      </c>
      <c r="X259" s="1495">
        <f t="shared" si="70"/>
        <v>3980000</v>
      </c>
      <c r="Y259" s="1495">
        <f t="shared" si="71"/>
        <v>86.733333333333334</v>
      </c>
      <c r="Z259" s="1495">
        <f t="shared" si="72"/>
        <v>3980000</v>
      </c>
      <c r="AA259" s="1506">
        <f t="shared" si="73"/>
        <v>450000</v>
      </c>
      <c r="AB259" s="1505">
        <v>2</v>
      </c>
      <c r="AC259" s="1504">
        <f t="shared" si="75"/>
        <v>3980000</v>
      </c>
      <c r="AD259" s="1503">
        <f t="shared" si="83"/>
        <v>0</v>
      </c>
      <c r="AE259" s="1503">
        <f t="shared" si="84"/>
        <v>0</v>
      </c>
      <c r="AF259" s="1502">
        <f t="shared" si="85"/>
        <v>0</v>
      </c>
    </row>
    <row r="260" spans="1:32" s="1474" customFormat="1" ht="23.25" customHeight="1">
      <c r="A260" s="1515">
        <v>173</v>
      </c>
      <c r="B260" s="2840" t="s">
        <v>1959</v>
      </c>
      <c r="C260" s="1514" t="s">
        <v>2615</v>
      </c>
      <c r="D260" s="1514">
        <v>12</v>
      </c>
      <c r="E260" s="1513">
        <v>25000000</v>
      </c>
      <c r="F260" s="1512">
        <f t="shared" si="32"/>
        <v>4500000</v>
      </c>
      <c r="G260" s="2141">
        <v>41984</v>
      </c>
      <c r="H260" s="1511">
        <v>0.18</v>
      </c>
      <c r="I260" s="1508">
        <v>12</v>
      </c>
      <c r="J260" s="1508">
        <v>12</v>
      </c>
      <c r="K260" s="1508">
        <v>2083300</v>
      </c>
      <c r="L260" s="1508">
        <f t="shared" si="79"/>
        <v>375000</v>
      </c>
      <c r="M260" s="1510">
        <f t="shared" si="33"/>
        <v>25000000</v>
      </c>
      <c r="N260" s="1510">
        <f>IF(J260&lt;I260,J260*L260,IF(J260&gt;=I260,F260))-1*L260</f>
        <v>4125000</v>
      </c>
      <c r="O260" s="1509">
        <v>25000000</v>
      </c>
      <c r="P260" s="1509">
        <v>4125000</v>
      </c>
      <c r="Q260" s="1509"/>
      <c r="R260" s="1509"/>
      <c r="S260" s="1509"/>
      <c r="T260" s="1507"/>
      <c r="U260" s="1495">
        <f t="shared" si="67"/>
        <v>25000000</v>
      </c>
      <c r="V260" s="1495">
        <f t="shared" si="68"/>
        <v>4125000</v>
      </c>
      <c r="W260" s="1495">
        <f t="shared" si="69"/>
        <v>0</v>
      </c>
      <c r="X260" s="1495">
        <f t="shared" si="70"/>
        <v>0</v>
      </c>
      <c r="Y260" s="1495">
        <f t="shared" si="71"/>
        <v>100</v>
      </c>
      <c r="Z260" s="1495">
        <f t="shared" si="72"/>
        <v>0</v>
      </c>
      <c r="AA260" s="1506">
        <f t="shared" si="73"/>
        <v>0</v>
      </c>
      <c r="AB260" s="1505"/>
      <c r="AC260" s="1504">
        <f t="shared" si="75"/>
        <v>0</v>
      </c>
      <c r="AD260" s="1503">
        <f t="shared" si="83"/>
        <v>0</v>
      </c>
      <c r="AE260" s="1503">
        <f t="shared" si="84"/>
        <v>0</v>
      </c>
      <c r="AF260" s="1502">
        <f t="shared" si="85"/>
        <v>0</v>
      </c>
    </row>
    <row r="261" spans="1:32" s="1474" customFormat="1" ht="23.25" customHeight="1">
      <c r="A261" s="1515">
        <v>174</v>
      </c>
      <c r="B261" s="2840" t="s">
        <v>2619</v>
      </c>
      <c r="C261" s="1514" t="s">
        <v>2615</v>
      </c>
      <c r="D261" s="1514">
        <v>12</v>
      </c>
      <c r="E261" s="1513">
        <v>32000000</v>
      </c>
      <c r="F261" s="1512">
        <f t="shared" si="32"/>
        <v>5760000</v>
      </c>
      <c r="G261" s="2141">
        <v>41988</v>
      </c>
      <c r="H261" s="1511">
        <v>0.18</v>
      </c>
      <c r="I261" s="1508">
        <v>12</v>
      </c>
      <c r="J261" s="1508">
        <v>12</v>
      </c>
      <c r="K261" s="1508">
        <v>2666700</v>
      </c>
      <c r="L261" s="1508">
        <f t="shared" si="79"/>
        <v>480000</v>
      </c>
      <c r="M261" s="1510">
        <f t="shared" si="33"/>
        <v>32000000</v>
      </c>
      <c r="N261" s="1510">
        <f>IF(J261&lt;I261,J261*L261,IF(J261&gt;=I261,F261))-2*L261</f>
        <v>4800000</v>
      </c>
      <c r="O261" s="1509">
        <v>32000000</v>
      </c>
      <c r="P261" s="1509">
        <v>4800000</v>
      </c>
      <c r="Q261" s="1509"/>
      <c r="R261" s="1509"/>
      <c r="S261" s="1509"/>
      <c r="T261" s="1507"/>
      <c r="U261" s="1495">
        <f t="shared" si="67"/>
        <v>32000000</v>
      </c>
      <c r="V261" s="1495">
        <f t="shared" si="68"/>
        <v>4800000</v>
      </c>
      <c r="W261" s="1495">
        <f t="shared" si="69"/>
        <v>0</v>
      </c>
      <c r="X261" s="1495">
        <f t="shared" si="70"/>
        <v>0</v>
      </c>
      <c r="Y261" s="1495">
        <f t="shared" si="71"/>
        <v>100</v>
      </c>
      <c r="Z261" s="1495">
        <f t="shared" si="72"/>
        <v>0</v>
      </c>
      <c r="AA261" s="1506">
        <f t="shared" si="73"/>
        <v>0</v>
      </c>
      <c r="AB261" s="1505"/>
      <c r="AC261" s="1504">
        <f t="shared" si="75"/>
        <v>0</v>
      </c>
      <c r="AD261" s="1503">
        <f t="shared" si="83"/>
        <v>0</v>
      </c>
      <c r="AE261" s="1503">
        <f t="shared" si="84"/>
        <v>0</v>
      </c>
      <c r="AF261" s="1502">
        <f t="shared" si="85"/>
        <v>0</v>
      </c>
    </row>
    <row r="262" spans="1:32" s="1474" customFormat="1" ht="23.25" customHeight="1">
      <c r="A262" s="1515">
        <v>175</v>
      </c>
      <c r="B262" s="2840" t="s">
        <v>1911</v>
      </c>
      <c r="C262" s="1514" t="s">
        <v>2615</v>
      </c>
      <c r="D262" s="1514">
        <v>10</v>
      </c>
      <c r="E262" s="1513">
        <v>30000000</v>
      </c>
      <c r="F262" s="1512">
        <f t="shared" si="32"/>
        <v>5400000</v>
      </c>
      <c r="G262" s="2141">
        <v>41991</v>
      </c>
      <c r="H262" s="1511">
        <v>0.18</v>
      </c>
      <c r="I262" s="1508">
        <v>12</v>
      </c>
      <c r="J262" s="1508">
        <v>12</v>
      </c>
      <c r="K262" s="1508">
        <f t="shared" si="80"/>
        <v>2500000</v>
      </c>
      <c r="L262" s="1508">
        <f t="shared" si="79"/>
        <v>450000</v>
      </c>
      <c r="M262" s="1510">
        <f t="shared" si="33"/>
        <v>30000000</v>
      </c>
      <c r="N262" s="1510">
        <f>IF(J262&lt;I262,J262*L262,IF(J262&gt;=I262,F262))-1*L262</f>
        <v>4950000</v>
      </c>
      <c r="O262" s="1509">
        <v>30000000</v>
      </c>
      <c r="P262" s="1509">
        <v>4950000</v>
      </c>
      <c r="Q262" s="1509"/>
      <c r="R262" s="1509"/>
      <c r="S262" s="1509"/>
      <c r="T262" s="1507"/>
      <c r="U262" s="1495">
        <f t="shared" si="67"/>
        <v>30000000</v>
      </c>
      <c r="V262" s="1495">
        <f t="shared" si="68"/>
        <v>4950000</v>
      </c>
      <c r="W262" s="1495">
        <f t="shared" si="69"/>
        <v>0</v>
      </c>
      <c r="X262" s="1495">
        <f t="shared" si="70"/>
        <v>0</v>
      </c>
      <c r="Y262" s="1495">
        <f t="shared" si="71"/>
        <v>100</v>
      </c>
      <c r="Z262" s="1495">
        <f t="shared" si="72"/>
        <v>0</v>
      </c>
      <c r="AA262" s="1506">
        <f t="shared" si="73"/>
        <v>0</v>
      </c>
      <c r="AB262" s="1505"/>
      <c r="AC262" s="1504">
        <f t="shared" si="75"/>
        <v>0</v>
      </c>
      <c r="AD262" s="1503">
        <f t="shared" si="83"/>
        <v>0</v>
      </c>
      <c r="AE262" s="1503">
        <f t="shared" si="84"/>
        <v>0</v>
      </c>
      <c r="AF262" s="1502">
        <f t="shared" si="85"/>
        <v>0</v>
      </c>
    </row>
    <row r="263" spans="1:32" s="1474" customFormat="1" ht="23.25" customHeight="1">
      <c r="A263" s="1515">
        <v>176</v>
      </c>
      <c r="B263" s="2840" t="s">
        <v>1961</v>
      </c>
      <c r="C263" s="1514" t="s">
        <v>2615</v>
      </c>
      <c r="D263" s="1514">
        <v>10</v>
      </c>
      <c r="E263" s="1513">
        <v>26000000</v>
      </c>
      <c r="F263" s="1512">
        <f t="shared" si="32"/>
        <v>4680000</v>
      </c>
      <c r="G263" s="2141">
        <v>42044</v>
      </c>
      <c r="H263" s="1511">
        <v>0.18</v>
      </c>
      <c r="I263" s="1508">
        <v>12</v>
      </c>
      <c r="J263" s="1508">
        <v>12</v>
      </c>
      <c r="K263" s="1508">
        <v>2166700</v>
      </c>
      <c r="L263" s="1508">
        <f t="shared" si="79"/>
        <v>390000</v>
      </c>
      <c r="M263" s="1510">
        <f t="shared" si="33"/>
        <v>26000000</v>
      </c>
      <c r="N263" s="1510">
        <f>IF(J263&lt;I263,J263*L263,IF(J263&gt;=I263,F263))-1*L263</f>
        <v>4290000</v>
      </c>
      <c r="O263" s="1509">
        <v>26000000</v>
      </c>
      <c r="P263" s="1509">
        <v>4290000</v>
      </c>
      <c r="Q263" s="1509"/>
      <c r="R263" s="2837"/>
      <c r="S263" s="2837"/>
      <c r="T263" s="1507"/>
      <c r="U263" s="1495">
        <f t="shared" si="67"/>
        <v>26000000</v>
      </c>
      <c r="V263" s="1495">
        <f t="shared" si="68"/>
        <v>4290000</v>
      </c>
      <c r="W263" s="1495">
        <f t="shared" si="69"/>
        <v>0</v>
      </c>
      <c r="X263" s="1495">
        <f t="shared" si="70"/>
        <v>0</v>
      </c>
      <c r="Y263" s="1495">
        <f t="shared" si="71"/>
        <v>100</v>
      </c>
      <c r="Z263" s="1495">
        <f t="shared" si="72"/>
        <v>0</v>
      </c>
      <c r="AA263" s="1506">
        <f t="shared" si="73"/>
        <v>0</v>
      </c>
      <c r="AB263" s="1505"/>
      <c r="AC263" s="1504">
        <f t="shared" si="75"/>
        <v>0</v>
      </c>
      <c r="AD263" s="1503">
        <f t="shared" si="83"/>
        <v>0</v>
      </c>
      <c r="AE263" s="1503">
        <f t="shared" si="84"/>
        <v>0</v>
      </c>
      <c r="AF263" s="1502">
        <f t="shared" si="85"/>
        <v>0</v>
      </c>
    </row>
    <row r="264" spans="1:32" s="1474" customFormat="1" ht="23.25" customHeight="1">
      <c r="A264" s="1515">
        <v>177</v>
      </c>
      <c r="B264" s="2840" t="s">
        <v>3</v>
      </c>
      <c r="C264" s="1514" t="s">
        <v>2615</v>
      </c>
      <c r="D264" s="1514">
        <v>10</v>
      </c>
      <c r="E264" s="1513">
        <v>27500000</v>
      </c>
      <c r="F264" s="1512">
        <f t="shared" si="32"/>
        <v>4950000</v>
      </c>
      <c r="G264" s="2141">
        <v>42044</v>
      </c>
      <c r="H264" s="1511">
        <v>0.18</v>
      </c>
      <c r="I264" s="1508">
        <v>12</v>
      </c>
      <c r="J264" s="1508">
        <v>12</v>
      </c>
      <c r="K264" s="1508">
        <v>2291700</v>
      </c>
      <c r="L264" s="1508">
        <f t="shared" si="79"/>
        <v>412500</v>
      </c>
      <c r="M264" s="1510">
        <f t="shared" si="33"/>
        <v>27500000</v>
      </c>
      <c r="N264" s="1510">
        <f>IF(J264&lt;I264,J264*L264,IF(J264&gt;=I264,F264))-1*L264</f>
        <v>4537500</v>
      </c>
      <c r="O264" s="1509">
        <v>27500000</v>
      </c>
      <c r="P264" s="1509">
        <v>4537500</v>
      </c>
      <c r="Q264" s="1509"/>
      <c r="R264" s="2837"/>
      <c r="S264" s="2837"/>
      <c r="T264" s="1507"/>
      <c r="U264" s="1495">
        <f t="shared" si="67"/>
        <v>27500000</v>
      </c>
      <c r="V264" s="1495">
        <f t="shared" si="68"/>
        <v>4537500</v>
      </c>
      <c r="W264" s="1495">
        <f t="shared" si="69"/>
        <v>0</v>
      </c>
      <c r="X264" s="1495">
        <f t="shared" si="70"/>
        <v>0</v>
      </c>
      <c r="Y264" s="1495">
        <f t="shared" si="71"/>
        <v>100</v>
      </c>
      <c r="Z264" s="1495">
        <f t="shared" si="72"/>
        <v>0</v>
      </c>
      <c r="AA264" s="1506">
        <f t="shared" si="73"/>
        <v>0</v>
      </c>
      <c r="AB264" s="1505"/>
      <c r="AC264" s="1504">
        <f t="shared" si="75"/>
        <v>0</v>
      </c>
      <c r="AD264" s="1503">
        <f t="shared" si="83"/>
        <v>0</v>
      </c>
      <c r="AE264" s="1503">
        <f t="shared" si="84"/>
        <v>0</v>
      </c>
      <c r="AF264" s="1502">
        <f t="shared" si="85"/>
        <v>0</v>
      </c>
    </row>
    <row r="265" spans="1:32" s="1474" customFormat="1" ht="23.25" customHeight="1">
      <c r="A265" s="1515">
        <v>178</v>
      </c>
      <c r="B265" s="2840" t="s">
        <v>2352</v>
      </c>
      <c r="C265" s="1514" t="s">
        <v>2615</v>
      </c>
      <c r="D265" s="1514">
        <v>12</v>
      </c>
      <c r="E265" s="1513">
        <v>35000000</v>
      </c>
      <c r="F265" s="1512">
        <f t="shared" si="32"/>
        <v>6300000</v>
      </c>
      <c r="G265" s="2141">
        <v>42044</v>
      </c>
      <c r="H265" s="1511">
        <v>0.18</v>
      </c>
      <c r="I265" s="1508">
        <v>12</v>
      </c>
      <c r="J265" s="1508">
        <v>12</v>
      </c>
      <c r="K265" s="1508">
        <v>2916700</v>
      </c>
      <c r="L265" s="1508">
        <f t="shared" si="79"/>
        <v>525000</v>
      </c>
      <c r="M265" s="1510">
        <f t="shared" si="33"/>
        <v>35000000</v>
      </c>
      <c r="N265" s="1510">
        <f t="shared" si="34"/>
        <v>6300000</v>
      </c>
      <c r="O265" s="1509">
        <v>32083700</v>
      </c>
      <c r="P265" s="1509">
        <v>5775000</v>
      </c>
      <c r="Q265" s="1509"/>
      <c r="R265" s="2837">
        <v>2916300</v>
      </c>
      <c r="S265" s="2837">
        <v>525000</v>
      </c>
      <c r="T265" s="1507"/>
      <c r="U265" s="1495">
        <f t="shared" si="67"/>
        <v>35000000</v>
      </c>
      <c r="V265" s="1495">
        <f t="shared" si="68"/>
        <v>6300000</v>
      </c>
      <c r="W265" s="1495">
        <f t="shared" si="69"/>
        <v>0</v>
      </c>
      <c r="X265" s="1495">
        <f t="shared" si="70"/>
        <v>0</v>
      </c>
      <c r="Y265" s="1495">
        <f t="shared" si="71"/>
        <v>100</v>
      </c>
      <c r="Z265" s="1495">
        <f t="shared" si="72"/>
        <v>0</v>
      </c>
      <c r="AA265" s="1506">
        <f t="shared" si="73"/>
        <v>0</v>
      </c>
      <c r="AB265" s="1505"/>
      <c r="AC265" s="1504">
        <f t="shared" si="75"/>
        <v>0</v>
      </c>
      <c r="AD265" s="1503">
        <f t="shared" si="83"/>
        <v>0</v>
      </c>
      <c r="AE265" s="1503">
        <f t="shared" si="84"/>
        <v>0</v>
      </c>
      <c r="AF265" s="1502">
        <f t="shared" si="85"/>
        <v>0</v>
      </c>
    </row>
    <row r="266" spans="1:32" s="1474" customFormat="1" ht="23.25" customHeight="1">
      <c r="A266" s="1515">
        <v>179</v>
      </c>
      <c r="B266" s="2840" t="s">
        <v>2241</v>
      </c>
      <c r="C266" s="1514" t="s">
        <v>2615</v>
      </c>
      <c r="D266" s="1514">
        <v>12</v>
      </c>
      <c r="E266" s="1513">
        <v>35000000</v>
      </c>
      <c r="F266" s="1512">
        <f t="shared" si="32"/>
        <v>6300000</v>
      </c>
      <c r="G266" s="2141">
        <v>42044</v>
      </c>
      <c r="H266" s="1511">
        <v>0.18</v>
      </c>
      <c r="I266" s="1508">
        <v>12</v>
      </c>
      <c r="J266" s="1508">
        <v>12</v>
      </c>
      <c r="K266" s="1508">
        <v>2916700</v>
      </c>
      <c r="L266" s="1508">
        <f t="shared" si="79"/>
        <v>525000</v>
      </c>
      <c r="M266" s="1510">
        <f t="shared" si="33"/>
        <v>35000000</v>
      </c>
      <c r="N266" s="1510">
        <f t="shared" si="34"/>
        <v>6300000</v>
      </c>
      <c r="O266" s="1509">
        <v>32083700</v>
      </c>
      <c r="P266" s="1509">
        <v>5775000</v>
      </c>
      <c r="Q266" s="1509"/>
      <c r="R266" s="2837">
        <v>2916300</v>
      </c>
      <c r="S266" s="2837">
        <v>525000</v>
      </c>
      <c r="T266" s="1507"/>
      <c r="U266" s="1495">
        <f t="shared" si="67"/>
        <v>35000000</v>
      </c>
      <c r="V266" s="1495">
        <f t="shared" si="68"/>
        <v>6300000</v>
      </c>
      <c r="W266" s="1495">
        <f t="shared" si="69"/>
        <v>0</v>
      </c>
      <c r="X266" s="1495">
        <f t="shared" si="70"/>
        <v>0</v>
      </c>
      <c r="Y266" s="1495">
        <f t="shared" si="71"/>
        <v>100</v>
      </c>
      <c r="Z266" s="1495">
        <f t="shared" si="72"/>
        <v>0</v>
      </c>
      <c r="AA266" s="1506">
        <f t="shared" si="73"/>
        <v>0</v>
      </c>
      <c r="AB266" s="1505"/>
      <c r="AC266" s="1504">
        <f t="shared" si="75"/>
        <v>0</v>
      </c>
      <c r="AD266" s="1503">
        <f t="shared" si="83"/>
        <v>0</v>
      </c>
      <c r="AE266" s="1503">
        <f t="shared" si="84"/>
        <v>0</v>
      </c>
      <c r="AF266" s="1502">
        <f t="shared" si="85"/>
        <v>0</v>
      </c>
    </row>
    <row r="267" spans="1:32" s="1474" customFormat="1" ht="23.25" customHeight="1">
      <c r="A267" s="1515">
        <v>180</v>
      </c>
      <c r="B267" s="2840" t="s">
        <v>1944</v>
      </c>
      <c r="C267" s="1514" t="s">
        <v>2615</v>
      </c>
      <c r="D267" s="1514">
        <v>12</v>
      </c>
      <c r="E267" s="1513">
        <v>40000000</v>
      </c>
      <c r="F267" s="1512">
        <f t="shared" si="32"/>
        <v>7200000</v>
      </c>
      <c r="G267" s="2141">
        <v>42044</v>
      </c>
      <c r="H267" s="1511">
        <v>0.18</v>
      </c>
      <c r="I267" s="1508">
        <v>12</v>
      </c>
      <c r="J267" s="1508">
        <v>12</v>
      </c>
      <c r="K267" s="1508">
        <v>3333300</v>
      </c>
      <c r="L267" s="1508">
        <f t="shared" si="79"/>
        <v>600000</v>
      </c>
      <c r="M267" s="1510">
        <f t="shared" si="33"/>
        <v>40000000</v>
      </c>
      <c r="N267" s="1510">
        <f t="shared" si="34"/>
        <v>7200000</v>
      </c>
      <c r="O267" s="1509">
        <v>36666300</v>
      </c>
      <c r="P267" s="1509">
        <v>6600000</v>
      </c>
      <c r="Q267" s="1509"/>
      <c r="R267" s="2837">
        <v>3333700</v>
      </c>
      <c r="S267" s="2837">
        <v>600000</v>
      </c>
      <c r="T267" s="1507"/>
      <c r="U267" s="1495">
        <f t="shared" si="67"/>
        <v>40000000</v>
      </c>
      <c r="V267" s="1495">
        <f t="shared" si="68"/>
        <v>7200000</v>
      </c>
      <c r="W267" s="1495">
        <f t="shared" si="69"/>
        <v>0</v>
      </c>
      <c r="X267" s="1495">
        <f t="shared" si="70"/>
        <v>0</v>
      </c>
      <c r="Y267" s="1495">
        <f t="shared" si="71"/>
        <v>100</v>
      </c>
      <c r="Z267" s="1495">
        <f t="shared" si="72"/>
        <v>0</v>
      </c>
      <c r="AA267" s="1506">
        <f t="shared" si="73"/>
        <v>0</v>
      </c>
      <c r="AB267" s="1505"/>
      <c r="AC267" s="1504">
        <f t="shared" si="75"/>
        <v>0</v>
      </c>
      <c r="AD267" s="1503">
        <f t="shared" si="83"/>
        <v>0</v>
      </c>
      <c r="AE267" s="1503">
        <f t="shared" si="84"/>
        <v>0</v>
      </c>
      <c r="AF267" s="1502">
        <f t="shared" si="85"/>
        <v>0</v>
      </c>
    </row>
    <row r="268" spans="1:32" s="1474" customFormat="1" ht="23.25" customHeight="1">
      <c r="A268" s="1515">
        <v>181</v>
      </c>
      <c r="B268" s="2840" t="s">
        <v>2120</v>
      </c>
      <c r="C268" s="1514" t="s">
        <v>2615</v>
      </c>
      <c r="D268" s="1514">
        <v>10</v>
      </c>
      <c r="E268" s="1513">
        <v>27500000</v>
      </c>
      <c r="F268" s="1512">
        <f t="shared" si="32"/>
        <v>4950000</v>
      </c>
      <c r="G268" s="2141">
        <v>42044</v>
      </c>
      <c r="H268" s="1511">
        <v>0.18</v>
      </c>
      <c r="I268" s="1508">
        <v>12</v>
      </c>
      <c r="J268" s="1508">
        <v>12</v>
      </c>
      <c r="K268" s="1508">
        <v>2291700</v>
      </c>
      <c r="L268" s="1508">
        <f t="shared" si="79"/>
        <v>412500</v>
      </c>
      <c r="M268" s="1510">
        <f t="shared" si="33"/>
        <v>27500000</v>
      </c>
      <c r="N268" s="1510">
        <f>IF(J268&lt;I268,J268*L268,IF(J268&gt;=I268,F268))-1*L268</f>
        <v>4537500</v>
      </c>
      <c r="O268" s="1509">
        <v>27500000</v>
      </c>
      <c r="P268" s="1509">
        <v>4537500</v>
      </c>
      <c r="Q268" s="1509"/>
      <c r="R268" s="2837"/>
      <c r="S268" s="2837"/>
      <c r="T268" s="1507"/>
      <c r="U268" s="1495">
        <f t="shared" si="67"/>
        <v>27500000</v>
      </c>
      <c r="V268" s="1495">
        <f t="shared" si="68"/>
        <v>4537500</v>
      </c>
      <c r="W268" s="1495">
        <f t="shared" si="69"/>
        <v>0</v>
      </c>
      <c r="X268" s="1495">
        <f t="shared" si="70"/>
        <v>0</v>
      </c>
      <c r="Y268" s="1495">
        <f t="shared" si="71"/>
        <v>100</v>
      </c>
      <c r="Z268" s="1495">
        <f t="shared" si="72"/>
        <v>0</v>
      </c>
      <c r="AA268" s="1506">
        <f t="shared" si="73"/>
        <v>0</v>
      </c>
      <c r="AB268" s="1505">
        <v>3</v>
      </c>
      <c r="AC268" s="1504">
        <f t="shared" si="75"/>
        <v>0</v>
      </c>
      <c r="AD268" s="1503">
        <f t="shared" si="83"/>
        <v>0</v>
      </c>
      <c r="AE268" s="1503">
        <f t="shared" si="84"/>
        <v>0</v>
      </c>
      <c r="AF268" s="1502">
        <f t="shared" si="85"/>
        <v>0</v>
      </c>
    </row>
    <row r="269" spans="1:32" s="1474" customFormat="1" ht="23.25" customHeight="1">
      <c r="A269" s="1515">
        <v>182</v>
      </c>
      <c r="B269" s="2840" t="s">
        <v>1949</v>
      </c>
      <c r="C269" s="1514" t="s">
        <v>2615</v>
      </c>
      <c r="D269" s="1514">
        <v>15</v>
      </c>
      <c r="E269" s="1513">
        <v>40000000</v>
      </c>
      <c r="F269" s="1512">
        <f t="shared" si="32"/>
        <v>7200000</v>
      </c>
      <c r="G269" s="2141">
        <v>42044</v>
      </c>
      <c r="H269" s="1511">
        <v>0.18</v>
      </c>
      <c r="I269" s="1508">
        <v>12</v>
      </c>
      <c r="J269" s="1508">
        <v>12</v>
      </c>
      <c r="K269" s="1508">
        <v>3333300</v>
      </c>
      <c r="L269" s="1508">
        <f t="shared" si="79"/>
        <v>600000</v>
      </c>
      <c r="M269" s="1510">
        <f t="shared" si="33"/>
        <v>40000000</v>
      </c>
      <c r="N269" s="1510">
        <f t="shared" si="34"/>
        <v>7200000</v>
      </c>
      <c r="O269" s="1509">
        <v>36666300</v>
      </c>
      <c r="P269" s="1509">
        <v>6600000</v>
      </c>
      <c r="Q269" s="1509"/>
      <c r="R269" s="2837">
        <v>3333700</v>
      </c>
      <c r="S269" s="2837">
        <v>600000</v>
      </c>
      <c r="T269" s="1507"/>
      <c r="U269" s="1495">
        <f t="shared" si="67"/>
        <v>40000000</v>
      </c>
      <c r="V269" s="1495">
        <f t="shared" si="68"/>
        <v>7200000</v>
      </c>
      <c r="W269" s="1495">
        <f t="shared" si="69"/>
        <v>0</v>
      </c>
      <c r="X269" s="1495">
        <f t="shared" si="70"/>
        <v>0</v>
      </c>
      <c r="Y269" s="1495">
        <f t="shared" si="71"/>
        <v>100</v>
      </c>
      <c r="Z269" s="1495">
        <f t="shared" si="72"/>
        <v>0</v>
      </c>
      <c r="AA269" s="1506">
        <f t="shared" si="73"/>
        <v>0</v>
      </c>
      <c r="AB269" s="1505">
        <v>1</v>
      </c>
      <c r="AC269" s="1504">
        <f t="shared" si="75"/>
        <v>0</v>
      </c>
      <c r="AD269" s="1503">
        <f t="shared" si="83"/>
        <v>0</v>
      </c>
      <c r="AE269" s="1503">
        <f t="shared" si="84"/>
        <v>0</v>
      </c>
      <c r="AF269" s="1502">
        <f t="shared" si="85"/>
        <v>0</v>
      </c>
    </row>
    <row r="270" spans="1:32" s="1474" customFormat="1" ht="23.25" customHeight="1">
      <c r="A270" s="1515">
        <v>183</v>
      </c>
      <c r="B270" s="2840" t="s">
        <v>2509</v>
      </c>
      <c r="C270" s="1514" t="s">
        <v>2615</v>
      </c>
      <c r="D270" s="1514">
        <v>10</v>
      </c>
      <c r="E270" s="1513">
        <v>20000000</v>
      </c>
      <c r="F270" s="1512">
        <f t="shared" si="32"/>
        <v>3600000</v>
      </c>
      <c r="G270" s="2141">
        <v>42044</v>
      </c>
      <c r="H270" s="1511">
        <v>0.18</v>
      </c>
      <c r="I270" s="1508">
        <v>12</v>
      </c>
      <c r="J270" s="1508">
        <v>12</v>
      </c>
      <c r="K270" s="1508">
        <v>1666700</v>
      </c>
      <c r="L270" s="1508">
        <f t="shared" si="79"/>
        <v>300000</v>
      </c>
      <c r="M270" s="1510">
        <f t="shared" si="33"/>
        <v>20000000</v>
      </c>
      <c r="N270" s="1510">
        <f t="shared" si="34"/>
        <v>3600000</v>
      </c>
      <c r="O270" s="1509">
        <v>18333700</v>
      </c>
      <c r="P270" s="1509">
        <v>3300000</v>
      </c>
      <c r="Q270" s="1509"/>
      <c r="R270" s="2837"/>
      <c r="S270" s="2837"/>
      <c r="T270" s="1507"/>
      <c r="U270" s="1495">
        <f t="shared" si="67"/>
        <v>18333700</v>
      </c>
      <c r="V270" s="1495">
        <f t="shared" si="68"/>
        <v>3300000</v>
      </c>
      <c r="W270" s="1495">
        <f t="shared" si="69"/>
        <v>0</v>
      </c>
      <c r="X270" s="1495">
        <f t="shared" si="70"/>
        <v>1666300</v>
      </c>
      <c r="Y270" s="1495">
        <f t="shared" si="71"/>
        <v>91.668499999999995</v>
      </c>
      <c r="Z270" s="1495">
        <f t="shared" si="72"/>
        <v>1666300</v>
      </c>
      <c r="AA270" s="1506">
        <f t="shared" si="73"/>
        <v>300000</v>
      </c>
      <c r="AB270" s="1505"/>
      <c r="AC270" s="1504">
        <f t="shared" si="75"/>
        <v>0</v>
      </c>
      <c r="AD270" s="1503">
        <f t="shared" si="83"/>
        <v>0</v>
      </c>
      <c r="AE270" s="1503">
        <f t="shared" si="84"/>
        <v>0</v>
      </c>
      <c r="AF270" s="1502">
        <f t="shared" si="85"/>
        <v>0</v>
      </c>
    </row>
    <row r="271" spans="1:32" s="1474" customFormat="1" ht="23.25" customHeight="1">
      <c r="A271" s="1515">
        <v>184</v>
      </c>
      <c r="B271" s="2840" t="s">
        <v>1960</v>
      </c>
      <c r="C271" s="1514" t="s">
        <v>2615</v>
      </c>
      <c r="D271" s="1514">
        <v>12</v>
      </c>
      <c r="E271" s="1513">
        <v>25000000</v>
      </c>
      <c r="F271" s="1512">
        <f t="shared" si="32"/>
        <v>4500000</v>
      </c>
      <c r="G271" s="2141">
        <v>42053</v>
      </c>
      <c r="H271" s="1511">
        <v>0.18</v>
      </c>
      <c r="I271" s="1508">
        <v>12</v>
      </c>
      <c r="J271" s="1508">
        <v>12</v>
      </c>
      <c r="K271" s="1508">
        <v>2083300</v>
      </c>
      <c r="L271" s="1508">
        <f t="shared" si="79"/>
        <v>375000</v>
      </c>
      <c r="M271" s="1510">
        <f t="shared" si="33"/>
        <v>25000000</v>
      </c>
      <c r="N271" s="1510">
        <f>IF(J271&lt;I271,J271*L271,IF(J271&gt;=I271,F271))-1*L271</f>
        <v>4125000</v>
      </c>
      <c r="O271" s="1509">
        <v>25000000</v>
      </c>
      <c r="P271" s="1509">
        <v>4125000</v>
      </c>
      <c r="Q271" s="1509"/>
      <c r="R271" s="2837"/>
      <c r="S271" s="2837"/>
      <c r="T271" s="1507"/>
      <c r="U271" s="1495">
        <f t="shared" si="67"/>
        <v>25000000</v>
      </c>
      <c r="V271" s="1495">
        <f t="shared" si="68"/>
        <v>4125000</v>
      </c>
      <c r="W271" s="1495">
        <f t="shared" si="69"/>
        <v>0</v>
      </c>
      <c r="X271" s="1495">
        <f t="shared" si="70"/>
        <v>0</v>
      </c>
      <c r="Y271" s="1495">
        <f t="shared" si="71"/>
        <v>100</v>
      </c>
      <c r="Z271" s="1495">
        <f t="shared" si="72"/>
        <v>0</v>
      </c>
      <c r="AA271" s="1506">
        <f t="shared" si="73"/>
        <v>0</v>
      </c>
      <c r="AB271" s="1505"/>
      <c r="AC271" s="1504">
        <f t="shared" si="75"/>
        <v>0</v>
      </c>
      <c r="AD271" s="1503">
        <f t="shared" si="83"/>
        <v>0</v>
      </c>
      <c r="AE271" s="1503">
        <f t="shared" si="84"/>
        <v>0</v>
      </c>
      <c r="AF271" s="1502">
        <f t="shared" si="85"/>
        <v>0</v>
      </c>
    </row>
    <row r="272" spans="1:32" s="1474" customFormat="1" ht="23.25" customHeight="1">
      <c r="A272" s="1515">
        <v>185</v>
      </c>
      <c r="B272" s="2840" t="s">
        <v>2365</v>
      </c>
      <c r="C272" s="1514" t="s">
        <v>2615</v>
      </c>
      <c r="D272" s="1514">
        <v>12</v>
      </c>
      <c r="E272" s="1513">
        <v>24000000</v>
      </c>
      <c r="F272" s="1512">
        <f t="shared" si="32"/>
        <v>4320000</v>
      </c>
      <c r="G272" s="2141">
        <v>42053</v>
      </c>
      <c r="H272" s="1511">
        <v>0.18</v>
      </c>
      <c r="I272" s="1508">
        <v>12</v>
      </c>
      <c r="J272" s="1508">
        <v>12</v>
      </c>
      <c r="K272" s="1508">
        <f t="shared" si="80"/>
        <v>2000000</v>
      </c>
      <c r="L272" s="1508">
        <f t="shared" si="79"/>
        <v>360000</v>
      </c>
      <c r="M272" s="1510">
        <f t="shared" si="33"/>
        <v>24000000</v>
      </c>
      <c r="N272" s="1510">
        <f t="shared" si="34"/>
        <v>4320000</v>
      </c>
      <c r="O272" s="1509">
        <v>22000000</v>
      </c>
      <c r="P272" s="1509">
        <v>3960000</v>
      </c>
      <c r="Q272" s="1509"/>
      <c r="R272" s="2837">
        <v>2000000</v>
      </c>
      <c r="S272" s="2837">
        <v>360000</v>
      </c>
      <c r="T272" s="1507"/>
      <c r="U272" s="1495">
        <f t="shared" si="67"/>
        <v>24000000</v>
      </c>
      <c r="V272" s="1495">
        <f t="shared" si="68"/>
        <v>4320000</v>
      </c>
      <c r="W272" s="1495">
        <f t="shared" si="69"/>
        <v>0</v>
      </c>
      <c r="X272" s="1495">
        <f t="shared" si="70"/>
        <v>0</v>
      </c>
      <c r="Y272" s="1495">
        <f t="shared" si="71"/>
        <v>100</v>
      </c>
      <c r="Z272" s="1495">
        <f t="shared" si="72"/>
        <v>0</v>
      </c>
      <c r="AA272" s="1506">
        <f t="shared" si="73"/>
        <v>0</v>
      </c>
      <c r="AB272" s="1505"/>
      <c r="AC272" s="1504">
        <f t="shared" si="75"/>
        <v>0</v>
      </c>
      <c r="AD272" s="1503">
        <f t="shared" si="83"/>
        <v>0</v>
      </c>
      <c r="AE272" s="1503">
        <f t="shared" si="84"/>
        <v>0</v>
      </c>
      <c r="AF272" s="1502">
        <f t="shared" si="85"/>
        <v>0</v>
      </c>
    </row>
    <row r="273" spans="1:32" s="1474" customFormat="1" ht="23.25" customHeight="1">
      <c r="A273" s="1515">
        <v>186</v>
      </c>
      <c r="B273" s="2840" t="s">
        <v>2650</v>
      </c>
      <c r="C273" s="1514" t="s">
        <v>2615</v>
      </c>
      <c r="D273" s="1514">
        <v>12</v>
      </c>
      <c r="E273" s="1513">
        <v>33000000</v>
      </c>
      <c r="F273" s="1512">
        <f t="shared" si="32"/>
        <v>5940000</v>
      </c>
      <c r="G273" s="2141">
        <v>42073</v>
      </c>
      <c r="H273" s="1511">
        <v>0.18</v>
      </c>
      <c r="I273" s="1508">
        <v>12</v>
      </c>
      <c r="J273" s="1508">
        <v>11</v>
      </c>
      <c r="K273" s="1508">
        <f t="shared" si="80"/>
        <v>2750000</v>
      </c>
      <c r="L273" s="1508">
        <f t="shared" si="79"/>
        <v>495000</v>
      </c>
      <c r="M273" s="1510">
        <f t="shared" si="33"/>
        <v>30250000</v>
      </c>
      <c r="N273" s="1510">
        <f t="shared" si="34"/>
        <v>5445000</v>
      </c>
      <c r="O273" s="1509">
        <v>27500000</v>
      </c>
      <c r="P273" s="1509">
        <v>4950000</v>
      </c>
      <c r="Q273" s="1509"/>
      <c r="R273" s="2837">
        <v>2750000</v>
      </c>
      <c r="S273" s="2837">
        <v>495000</v>
      </c>
      <c r="T273" s="1507"/>
      <c r="U273" s="1495">
        <f t="shared" si="67"/>
        <v>30250000</v>
      </c>
      <c r="V273" s="1495">
        <f t="shared" si="68"/>
        <v>5445000</v>
      </c>
      <c r="W273" s="1495">
        <f t="shared" si="69"/>
        <v>0</v>
      </c>
      <c r="X273" s="1495">
        <f t="shared" si="70"/>
        <v>2750000</v>
      </c>
      <c r="Y273" s="1495">
        <f t="shared" si="71"/>
        <v>100</v>
      </c>
      <c r="Z273" s="1495">
        <f t="shared" si="72"/>
        <v>0</v>
      </c>
      <c r="AA273" s="1506">
        <f t="shared" si="73"/>
        <v>0</v>
      </c>
      <c r="AB273" s="1505"/>
      <c r="AC273" s="1504">
        <f t="shared" si="75"/>
        <v>0</v>
      </c>
      <c r="AD273" s="1503">
        <f t="shared" si="83"/>
        <v>0</v>
      </c>
      <c r="AE273" s="1503">
        <f t="shared" si="84"/>
        <v>0</v>
      </c>
      <c r="AF273" s="1502">
        <f t="shared" si="85"/>
        <v>0</v>
      </c>
    </row>
    <row r="274" spans="1:32" s="1474" customFormat="1" ht="23.25" customHeight="1">
      <c r="A274" s="1515">
        <v>187</v>
      </c>
      <c r="B274" s="2840" t="s">
        <v>2651</v>
      </c>
      <c r="C274" s="1514" t="s">
        <v>2658</v>
      </c>
      <c r="D274" s="1514">
        <v>12</v>
      </c>
      <c r="E274" s="1513">
        <v>18000000</v>
      </c>
      <c r="F274" s="1512">
        <f t="shared" si="32"/>
        <v>3240000</v>
      </c>
      <c r="G274" s="2141">
        <v>42073</v>
      </c>
      <c r="H274" s="1511">
        <v>0.18</v>
      </c>
      <c r="I274" s="1508">
        <v>12</v>
      </c>
      <c r="J274" s="1508">
        <v>11</v>
      </c>
      <c r="K274" s="1508">
        <f t="shared" si="80"/>
        <v>1500000</v>
      </c>
      <c r="L274" s="1508">
        <f t="shared" si="79"/>
        <v>270000</v>
      </c>
      <c r="M274" s="1510">
        <f t="shared" si="33"/>
        <v>16500000</v>
      </c>
      <c r="N274" s="1510">
        <f t="shared" si="34"/>
        <v>2970000</v>
      </c>
      <c r="O274" s="1509">
        <v>12082000</v>
      </c>
      <c r="P274" s="1509">
        <v>2430000</v>
      </c>
      <c r="Q274" s="1509"/>
      <c r="R274" s="2837">
        <v>810000</v>
      </c>
      <c r="S274" s="2837">
        <v>0</v>
      </c>
      <c r="T274" s="1507"/>
      <c r="U274" s="1495">
        <f t="shared" si="67"/>
        <v>12892000</v>
      </c>
      <c r="V274" s="1495">
        <f t="shared" si="68"/>
        <v>2430000</v>
      </c>
      <c r="W274" s="1495">
        <f t="shared" si="69"/>
        <v>0</v>
      </c>
      <c r="X274" s="1495">
        <f t="shared" si="70"/>
        <v>5108000</v>
      </c>
      <c r="Y274" s="1495">
        <f t="shared" si="71"/>
        <v>78.133333333333326</v>
      </c>
      <c r="Z274" s="1495">
        <f t="shared" si="72"/>
        <v>3608000</v>
      </c>
      <c r="AA274" s="1506">
        <f t="shared" si="73"/>
        <v>540000</v>
      </c>
      <c r="AB274" s="1505">
        <v>2</v>
      </c>
      <c r="AC274" s="1504">
        <f t="shared" si="75"/>
        <v>5108000</v>
      </c>
      <c r="AD274" s="1503">
        <f t="shared" si="83"/>
        <v>0</v>
      </c>
      <c r="AE274" s="1503">
        <f t="shared" si="84"/>
        <v>0</v>
      </c>
      <c r="AF274" s="1502">
        <f t="shared" si="85"/>
        <v>0</v>
      </c>
    </row>
    <row r="275" spans="1:32" s="1474" customFormat="1" ht="23.25" customHeight="1">
      <c r="A275" s="1515">
        <v>188</v>
      </c>
      <c r="B275" s="2840" t="s">
        <v>1897</v>
      </c>
      <c r="C275" s="1514" t="s">
        <v>2615</v>
      </c>
      <c r="D275" s="1514">
        <v>12</v>
      </c>
      <c r="E275" s="1513">
        <v>50000000</v>
      </c>
      <c r="F275" s="1512">
        <f t="shared" si="32"/>
        <v>9000000</v>
      </c>
      <c r="G275" s="2141">
        <v>42073</v>
      </c>
      <c r="H275" s="1511">
        <v>0.18</v>
      </c>
      <c r="I275" s="1508">
        <v>12</v>
      </c>
      <c r="J275" s="1508">
        <v>11</v>
      </c>
      <c r="K275" s="1508">
        <v>4166700</v>
      </c>
      <c r="L275" s="1508">
        <f t="shared" si="79"/>
        <v>750000</v>
      </c>
      <c r="M275" s="1510">
        <f t="shared" si="33"/>
        <v>45833700</v>
      </c>
      <c r="N275" s="1510">
        <f t="shared" si="34"/>
        <v>8250000</v>
      </c>
      <c r="O275" s="1509">
        <v>41667000</v>
      </c>
      <c r="P275" s="1509">
        <v>7500000</v>
      </c>
      <c r="Q275" s="1509"/>
      <c r="R275" s="2837">
        <v>4166700</v>
      </c>
      <c r="S275" s="2837">
        <v>750000</v>
      </c>
      <c r="T275" s="1507"/>
      <c r="U275" s="1495">
        <f t="shared" si="67"/>
        <v>45833700</v>
      </c>
      <c r="V275" s="1495">
        <f t="shared" si="68"/>
        <v>8250000</v>
      </c>
      <c r="W275" s="1495">
        <f t="shared" si="69"/>
        <v>0</v>
      </c>
      <c r="X275" s="1495">
        <f t="shared" si="70"/>
        <v>4166300</v>
      </c>
      <c r="Y275" s="1495">
        <f t="shared" si="71"/>
        <v>100</v>
      </c>
      <c r="Z275" s="1495">
        <f t="shared" si="72"/>
        <v>0</v>
      </c>
      <c r="AA275" s="1506">
        <f t="shared" si="73"/>
        <v>0</v>
      </c>
      <c r="AB275" s="1505"/>
      <c r="AC275" s="1504">
        <f t="shared" si="75"/>
        <v>0</v>
      </c>
      <c r="AD275" s="1503">
        <f t="shared" si="83"/>
        <v>0</v>
      </c>
      <c r="AE275" s="1503">
        <f t="shared" si="84"/>
        <v>0</v>
      </c>
      <c r="AF275" s="1502">
        <f t="shared" si="85"/>
        <v>0</v>
      </c>
    </row>
    <row r="276" spans="1:32" s="1474" customFormat="1" ht="23.25" customHeight="1">
      <c r="A276" s="1515">
        <v>189</v>
      </c>
      <c r="B276" s="2840" t="s">
        <v>1966</v>
      </c>
      <c r="C276" s="1514" t="s">
        <v>2615</v>
      </c>
      <c r="D276" s="1514">
        <v>12</v>
      </c>
      <c r="E276" s="1513">
        <v>27500000</v>
      </c>
      <c r="F276" s="1512">
        <f t="shared" si="32"/>
        <v>4950000</v>
      </c>
      <c r="G276" s="2141">
        <v>42074</v>
      </c>
      <c r="H276" s="1511">
        <v>0.18</v>
      </c>
      <c r="I276" s="1508">
        <v>12</v>
      </c>
      <c r="J276" s="1508">
        <v>11</v>
      </c>
      <c r="K276" s="1508">
        <v>2291700</v>
      </c>
      <c r="L276" s="1508">
        <f t="shared" si="79"/>
        <v>412500</v>
      </c>
      <c r="M276" s="1510">
        <f t="shared" si="33"/>
        <v>25208700</v>
      </c>
      <c r="N276" s="1510">
        <f t="shared" si="34"/>
        <v>4537500</v>
      </c>
      <c r="O276" s="1509">
        <v>22917000</v>
      </c>
      <c r="P276" s="1509">
        <v>4125000</v>
      </c>
      <c r="Q276" s="1509"/>
      <c r="R276" s="2837"/>
      <c r="S276" s="2837"/>
      <c r="T276" s="1507"/>
      <c r="U276" s="1495">
        <f t="shared" si="67"/>
        <v>22917000</v>
      </c>
      <c r="V276" s="1495">
        <f t="shared" si="68"/>
        <v>4125000</v>
      </c>
      <c r="W276" s="1495">
        <f t="shared" si="69"/>
        <v>0</v>
      </c>
      <c r="X276" s="1495">
        <f t="shared" si="70"/>
        <v>4583000</v>
      </c>
      <c r="Y276" s="1495">
        <f t="shared" si="71"/>
        <v>90.909090909090907</v>
      </c>
      <c r="Z276" s="1495">
        <f t="shared" si="72"/>
        <v>2291700</v>
      </c>
      <c r="AA276" s="1506">
        <f t="shared" si="73"/>
        <v>412500</v>
      </c>
      <c r="AB276" s="1505">
        <v>2</v>
      </c>
      <c r="AC276" s="1504">
        <f t="shared" si="75"/>
        <v>4583000</v>
      </c>
      <c r="AD276" s="1503">
        <f t="shared" si="83"/>
        <v>0</v>
      </c>
      <c r="AE276" s="1503">
        <f t="shared" si="84"/>
        <v>0</v>
      </c>
      <c r="AF276" s="1502">
        <f t="shared" si="85"/>
        <v>0</v>
      </c>
    </row>
    <row r="277" spans="1:32" s="1474" customFormat="1" ht="23.25" customHeight="1">
      <c r="A277" s="1515">
        <v>190</v>
      </c>
      <c r="B277" s="2840" t="s">
        <v>1984</v>
      </c>
      <c r="C277" s="1514" t="s">
        <v>2615</v>
      </c>
      <c r="D277" s="1514">
        <v>10</v>
      </c>
      <c r="E277" s="1513">
        <v>26000000</v>
      </c>
      <c r="F277" s="1512">
        <f t="shared" si="32"/>
        <v>4680000</v>
      </c>
      <c r="G277" s="2141">
        <v>42101</v>
      </c>
      <c r="H277" s="1511">
        <v>0.18</v>
      </c>
      <c r="I277" s="1508">
        <v>12</v>
      </c>
      <c r="J277" s="1508">
        <v>10</v>
      </c>
      <c r="K277" s="1508">
        <v>2166700</v>
      </c>
      <c r="L277" s="1508">
        <f t="shared" si="79"/>
        <v>390000</v>
      </c>
      <c r="M277" s="1510">
        <f t="shared" si="33"/>
        <v>21667000</v>
      </c>
      <c r="N277" s="1510">
        <f t="shared" si="34"/>
        <v>3900000</v>
      </c>
      <c r="O277" s="1509">
        <v>19500300</v>
      </c>
      <c r="P277" s="1509">
        <v>3510000</v>
      </c>
      <c r="Q277" s="1509"/>
      <c r="R277" s="2837">
        <v>2166700</v>
      </c>
      <c r="S277" s="2837">
        <v>390000</v>
      </c>
      <c r="T277" s="1507"/>
      <c r="U277" s="1495">
        <f t="shared" si="67"/>
        <v>21667000</v>
      </c>
      <c r="V277" s="1495">
        <f t="shared" si="68"/>
        <v>3900000</v>
      </c>
      <c r="W277" s="1495">
        <f t="shared" si="69"/>
        <v>0</v>
      </c>
      <c r="X277" s="1495">
        <f t="shared" si="70"/>
        <v>4333000</v>
      </c>
      <c r="Y277" s="1495">
        <f t="shared" si="71"/>
        <v>100</v>
      </c>
      <c r="Z277" s="1495">
        <f t="shared" si="72"/>
        <v>0</v>
      </c>
      <c r="AA277" s="1506">
        <f t="shared" si="73"/>
        <v>0</v>
      </c>
      <c r="AB277" s="1505"/>
      <c r="AC277" s="1504">
        <f t="shared" si="75"/>
        <v>0</v>
      </c>
      <c r="AD277" s="1503">
        <f t="shared" si="83"/>
        <v>0</v>
      </c>
      <c r="AE277" s="1503">
        <f t="shared" si="84"/>
        <v>0</v>
      </c>
      <c r="AF277" s="1502">
        <f t="shared" si="85"/>
        <v>0</v>
      </c>
    </row>
    <row r="278" spans="1:32" s="1474" customFormat="1" ht="23.25" customHeight="1">
      <c r="A278" s="1515">
        <v>191</v>
      </c>
      <c r="B278" s="2840" t="s">
        <v>2659</v>
      </c>
      <c r="C278" s="1514" t="s">
        <v>2658</v>
      </c>
      <c r="D278" s="1514">
        <v>10</v>
      </c>
      <c r="E278" s="1513">
        <v>7000000</v>
      </c>
      <c r="F278" s="1512">
        <f t="shared" si="32"/>
        <v>1260000</v>
      </c>
      <c r="G278" s="2141">
        <v>42101</v>
      </c>
      <c r="H278" s="1511">
        <v>0.18</v>
      </c>
      <c r="I278" s="1508">
        <v>12</v>
      </c>
      <c r="J278" s="1508">
        <v>10</v>
      </c>
      <c r="K278" s="1508">
        <v>583300</v>
      </c>
      <c r="L278" s="1508">
        <f t="shared" si="79"/>
        <v>105000</v>
      </c>
      <c r="M278" s="1510">
        <f t="shared" si="33"/>
        <v>5833000</v>
      </c>
      <c r="N278" s="1510">
        <f t="shared" si="34"/>
        <v>1050000</v>
      </c>
      <c r="O278" s="1509">
        <v>5249700</v>
      </c>
      <c r="P278" s="1509">
        <v>945000</v>
      </c>
      <c r="Q278" s="1509"/>
      <c r="R278" s="2837">
        <v>583300</v>
      </c>
      <c r="S278" s="2837">
        <v>105000</v>
      </c>
      <c r="T278" s="1507"/>
      <c r="U278" s="1495">
        <f t="shared" si="67"/>
        <v>5833000</v>
      </c>
      <c r="V278" s="1495">
        <f t="shared" si="68"/>
        <v>1050000</v>
      </c>
      <c r="W278" s="1495">
        <f t="shared" si="69"/>
        <v>0</v>
      </c>
      <c r="X278" s="1495">
        <f t="shared" si="70"/>
        <v>1167000</v>
      </c>
      <c r="Y278" s="1495">
        <f t="shared" si="71"/>
        <v>100</v>
      </c>
      <c r="Z278" s="1495">
        <f t="shared" si="72"/>
        <v>0</v>
      </c>
      <c r="AA278" s="1506">
        <f t="shared" si="73"/>
        <v>0</v>
      </c>
      <c r="AB278" s="1505"/>
      <c r="AC278" s="1504">
        <f t="shared" si="75"/>
        <v>0</v>
      </c>
      <c r="AD278" s="1503">
        <f t="shared" si="83"/>
        <v>0</v>
      </c>
      <c r="AE278" s="1503">
        <f t="shared" si="84"/>
        <v>0</v>
      </c>
      <c r="AF278" s="1502">
        <f t="shared" si="85"/>
        <v>0</v>
      </c>
    </row>
    <row r="279" spans="1:32" s="1474" customFormat="1" ht="23.25" customHeight="1">
      <c r="A279" s="1515">
        <v>192</v>
      </c>
      <c r="B279" s="2840" t="s">
        <v>1945</v>
      </c>
      <c r="C279" s="1514" t="s">
        <v>2615</v>
      </c>
      <c r="D279" s="1514">
        <v>12</v>
      </c>
      <c r="E279" s="1513">
        <v>25000000</v>
      </c>
      <c r="F279" s="1512">
        <f t="shared" si="32"/>
        <v>4500000</v>
      </c>
      <c r="G279" s="2141">
        <v>42101</v>
      </c>
      <c r="H279" s="1511">
        <v>0.18</v>
      </c>
      <c r="I279" s="1508">
        <v>12</v>
      </c>
      <c r="J279" s="1508">
        <v>10</v>
      </c>
      <c r="K279" s="1508">
        <v>2083300</v>
      </c>
      <c r="L279" s="1508">
        <f t="shared" si="79"/>
        <v>375000</v>
      </c>
      <c r="M279" s="1510">
        <f t="shared" si="33"/>
        <v>20833000</v>
      </c>
      <c r="N279" s="1510">
        <f t="shared" si="34"/>
        <v>3750000</v>
      </c>
      <c r="O279" s="1509">
        <v>18749700</v>
      </c>
      <c r="P279" s="1509">
        <v>3375000</v>
      </c>
      <c r="Q279" s="1509"/>
      <c r="R279" s="2837">
        <v>2083300</v>
      </c>
      <c r="S279" s="2837">
        <v>375000</v>
      </c>
      <c r="T279" s="1507"/>
      <c r="U279" s="1495">
        <f t="shared" si="67"/>
        <v>20833000</v>
      </c>
      <c r="V279" s="1495">
        <f t="shared" si="68"/>
        <v>3750000</v>
      </c>
      <c r="W279" s="1495">
        <f t="shared" si="69"/>
        <v>0</v>
      </c>
      <c r="X279" s="1495">
        <f t="shared" si="70"/>
        <v>4167000</v>
      </c>
      <c r="Y279" s="1495">
        <f t="shared" si="71"/>
        <v>100</v>
      </c>
      <c r="Z279" s="1495">
        <f t="shared" si="72"/>
        <v>0</v>
      </c>
      <c r="AA279" s="1506">
        <f t="shared" si="73"/>
        <v>0</v>
      </c>
      <c r="AB279" s="1505"/>
      <c r="AC279" s="1504">
        <f t="shared" si="75"/>
        <v>0</v>
      </c>
      <c r="AD279" s="1503">
        <f t="shared" si="83"/>
        <v>0</v>
      </c>
      <c r="AE279" s="1503">
        <f t="shared" si="84"/>
        <v>0</v>
      </c>
      <c r="AF279" s="1502">
        <f t="shared" si="85"/>
        <v>0</v>
      </c>
    </row>
    <row r="280" spans="1:32" s="1474" customFormat="1" ht="23.25" customHeight="1">
      <c r="A280" s="1515">
        <v>193</v>
      </c>
      <c r="B280" s="2840" t="s">
        <v>2261</v>
      </c>
      <c r="C280" s="1514" t="s">
        <v>2615</v>
      </c>
      <c r="D280" s="1514">
        <v>12</v>
      </c>
      <c r="E280" s="1513">
        <v>25000000</v>
      </c>
      <c r="F280" s="1512">
        <f t="shared" si="32"/>
        <v>4500000</v>
      </c>
      <c r="G280" s="2141">
        <v>42101</v>
      </c>
      <c r="H280" s="1511">
        <v>0.18</v>
      </c>
      <c r="I280" s="1508">
        <v>12</v>
      </c>
      <c r="J280" s="1508">
        <v>10</v>
      </c>
      <c r="K280" s="1508">
        <v>2083300</v>
      </c>
      <c r="L280" s="1508">
        <f t="shared" si="79"/>
        <v>375000</v>
      </c>
      <c r="M280" s="1510">
        <f t="shared" si="33"/>
        <v>20833000</v>
      </c>
      <c r="N280" s="1510">
        <f t="shared" si="34"/>
        <v>3750000</v>
      </c>
      <c r="O280" s="1509">
        <v>18749700</v>
      </c>
      <c r="P280" s="1509">
        <v>3375000</v>
      </c>
      <c r="Q280" s="1509"/>
      <c r="R280" s="2837">
        <v>2083300</v>
      </c>
      <c r="S280" s="2837">
        <v>375000</v>
      </c>
      <c r="T280" s="1507"/>
      <c r="U280" s="1495">
        <f t="shared" si="67"/>
        <v>20833000</v>
      </c>
      <c r="V280" s="1495">
        <f t="shared" si="68"/>
        <v>3750000</v>
      </c>
      <c r="W280" s="1495">
        <f t="shared" si="69"/>
        <v>0</v>
      </c>
      <c r="X280" s="1495">
        <f t="shared" si="70"/>
        <v>4167000</v>
      </c>
      <c r="Y280" s="1495">
        <f t="shared" si="71"/>
        <v>100</v>
      </c>
      <c r="Z280" s="1495">
        <f t="shared" si="72"/>
        <v>0</v>
      </c>
      <c r="AA280" s="1506">
        <f t="shared" si="73"/>
        <v>0</v>
      </c>
      <c r="AB280" s="1505"/>
      <c r="AC280" s="1504">
        <f t="shared" si="75"/>
        <v>0</v>
      </c>
      <c r="AD280" s="1503">
        <f t="shared" si="83"/>
        <v>0</v>
      </c>
      <c r="AE280" s="1503">
        <f t="shared" si="84"/>
        <v>0</v>
      </c>
      <c r="AF280" s="1502">
        <f t="shared" si="85"/>
        <v>0</v>
      </c>
    </row>
    <row r="281" spans="1:32" s="1474" customFormat="1" ht="23.25" customHeight="1">
      <c r="A281" s="1515">
        <v>194</v>
      </c>
      <c r="B281" s="2840" t="s">
        <v>2400</v>
      </c>
      <c r="C281" s="1514" t="s">
        <v>2615</v>
      </c>
      <c r="D281" s="1514">
        <v>12</v>
      </c>
      <c r="E281" s="1513">
        <v>35000000</v>
      </c>
      <c r="F281" s="1512">
        <f t="shared" si="32"/>
        <v>6300000</v>
      </c>
      <c r="G281" s="2141">
        <v>42101</v>
      </c>
      <c r="H281" s="1511">
        <v>0.18</v>
      </c>
      <c r="I281" s="1508">
        <v>12</v>
      </c>
      <c r="J281" s="1508">
        <v>10</v>
      </c>
      <c r="K281" s="1508">
        <v>2916700</v>
      </c>
      <c r="L281" s="1508">
        <f t="shared" si="79"/>
        <v>525000</v>
      </c>
      <c r="M281" s="1510">
        <f t="shared" si="33"/>
        <v>29167000</v>
      </c>
      <c r="N281" s="1510">
        <f t="shared" si="34"/>
        <v>5250000</v>
      </c>
      <c r="O281" s="1509">
        <v>26250300</v>
      </c>
      <c r="P281" s="1509">
        <v>4725000</v>
      </c>
      <c r="Q281" s="1509"/>
      <c r="R281" s="2837">
        <v>2916700</v>
      </c>
      <c r="S281" s="2837">
        <v>525000</v>
      </c>
      <c r="T281" s="1507"/>
      <c r="U281" s="1495">
        <f t="shared" si="67"/>
        <v>29167000</v>
      </c>
      <c r="V281" s="1495">
        <f t="shared" si="68"/>
        <v>5250000</v>
      </c>
      <c r="W281" s="1495">
        <f t="shared" si="69"/>
        <v>0</v>
      </c>
      <c r="X281" s="1495">
        <f t="shared" si="70"/>
        <v>5833000</v>
      </c>
      <c r="Y281" s="1495">
        <f t="shared" si="71"/>
        <v>100</v>
      </c>
      <c r="Z281" s="1495">
        <f t="shared" si="72"/>
        <v>0</v>
      </c>
      <c r="AA281" s="1506">
        <f t="shared" si="73"/>
        <v>0</v>
      </c>
      <c r="AB281" s="1505"/>
      <c r="AC281" s="1504">
        <f t="shared" si="75"/>
        <v>0</v>
      </c>
      <c r="AD281" s="1503">
        <f t="shared" si="83"/>
        <v>0</v>
      </c>
      <c r="AE281" s="1503">
        <f t="shared" si="84"/>
        <v>0</v>
      </c>
      <c r="AF281" s="1502">
        <f t="shared" si="85"/>
        <v>0</v>
      </c>
    </row>
    <row r="282" spans="1:32" s="1474" customFormat="1" ht="23.25" customHeight="1">
      <c r="A282" s="1515">
        <v>195</v>
      </c>
      <c r="B282" s="2840" t="s">
        <v>2401</v>
      </c>
      <c r="C282" s="1514" t="s">
        <v>2615</v>
      </c>
      <c r="D282" s="1514">
        <v>12</v>
      </c>
      <c r="E282" s="1513">
        <v>30000000</v>
      </c>
      <c r="F282" s="1512">
        <f t="shared" si="32"/>
        <v>5400000</v>
      </c>
      <c r="G282" s="2141">
        <v>42114</v>
      </c>
      <c r="H282" s="1511">
        <v>0.18</v>
      </c>
      <c r="I282" s="1508">
        <v>12</v>
      </c>
      <c r="J282" s="1508">
        <v>10</v>
      </c>
      <c r="K282" s="1508">
        <f t="shared" ref="K282:K289" si="86">E282/I282</f>
        <v>2500000</v>
      </c>
      <c r="L282" s="1508">
        <f t="shared" si="79"/>
        <v>450000</v>
      </c>
      <c r="M282" s="1510">
        <f t="shared" si="33"/>
        <v>25000000</v>
      </c>
      <c r="N282" s="1510">
        <f t="shared" si="34"/>
        <v>4500000</v>
      </c>
      <c r="O282" s="1509">
        <v>22500000</v>
      </c>
      <c r="P282" s="1509">
        <v>4050000</v>
      </c>
      <c r="Q282" s="1509"/>
      <c r="R282" s="2837">
        <v>2500000</v>
      </c>
      <c r="S282" s="2837">
        <v>450000</v>
      </c>
      <c r="T282" s="1507"/>
      <c r="U282" s="1495">
        <f t="shared" si="67"/>
        <v>25000000</v>
      </c>
      <c r="V282" s="1495">
        <f t="shared" si="68"/>
        <v>4500000</v>
      </c>
      <c r="W282" s="1495">
        <f t="shared" si="69"/>
        <v>0</v>
      </c>
      <c r="X282" s="1495">
        <f t="shared" si="70"/>
        <v>5000000</v>
      </c>
      <c r="Y282" s="1495">
        <f t="shared" si="71"/>
        <v>100</v>
      </c>
      <c r="Z282" s="1495">
        <f t="shared" si="72"/>
        <v>0</v>
      </c>
      <c r="AA282" s="1506">
        <f t="shared" si="73"/>
        <v>0</v>
      </c>
      <c r="AB282" s="1505"/>
      <c r="AC282" s="1504">
        <f t="shared" si="75"/>
        <v>0</v>
      </c>
      <c r="AD282" s="1503">
        <f t="shared" si="83"/>
        <v>0</v>
      </c>
      <c r="AE282" s="1503">
        <f t="shared" si="84"/>
        <v>0</v>
      </c>
      <c r="AF282" s="1502">
        <f t="shared" si="85"/>
        <v>0</v>
      </c>
    </row>
    <row r="283" spans="1:32" s="1474" customFormat="1" ht="23.25" customHeight="1">
      <c r="A283" s="1515">
        <v>196</v>
      </c>
      <c r="B283" s="2840" t="s">
        <v>2662</v>
      </c>
      <c r="C283" s="1514" t="s">
        <v>2615</v>
      </c>
      <c r="D283" s="1514">
        <v>12</v>
      </c>
      <c r="E283" s="1513">
        <v>25000000</v>
      </c>
      <c r="F283" s="1512">
        <f t="shared" si="32"/>
        <v>4500000</v>
      </c>
      <c r="G283" s="2141">
        <v>42114</v>
      </c>
      <c r="H283" s="1511">
        <v>0.18</v>
      </c>
      <c r="I283" s="1508">
        <v>12</v>
      </c>
      <c r="J283" s="1508">
        <v>10</v>
      </c>
      <c r="K283" s="1508">
        <v>2083300</v>
      </c>
      <c r="L283" s="1508">
        <f t="shared" si="79"/>
        <v>375000</v>
      </c>
      <c r="M283" s="1510">
        <f t="shared" si="33"/>
        <v>20833000</v>
      </c>
      <c r="N283" s="1510">
        <f t="shared" si="34"/>
        <v>3750000</v>
      </c>
      <c r="O283" s="1509">
        <v>18749700</v>
      </c>
      <c r="P283" s="1509">
        <v>3375000</v>
      </c>
      <c r="Q283" s="1509"/>
      <c r="R283" s="2837">
        <v>2083300</v>
      </c>
      <c r="S283" s="2837">
        <v>375000</v>
      </c>
      <c r="T283" s="1507"/>
      <c r="U283" s="1495">
        <f t="shared" si="67"/>
        <v>20833000</v>
      </c>
      <c r="V283" s="1495">
        <f t="shared" si="68"/>
        <v>3750000</v>
      </c>
      <c r="W283" s="1495">
        <f t="shared" si="69"/>
        <v>0</v>
      </c>
      <c r="X283" s="1495">
        <f t="shared" si="70"/>
        <v>4167000</v>
      </c>
      <c r="Y283" s="1495">
        <f t="shared" si="71"/>
        <v>100</v>
      </c>
      <c r="Z283" s="1495">
        <f t="shared" si="72"/>
        <v>0</v>
      </c>
      <c r="AA283" s="1506">
        <f t="shared" si="73"/>
        <v>0</v>
      </c>
      <c r="AB283" s="1505"/>
      <c r="AC283" s="1504">
        <f t="shared" si="75"/>
        <v>0</v>
      </c>
      <c r="AD283" s="1503">
        <f t="shared" si="83"/>
        <v>0</v>
      </c>
      <c r="AE283" s="1503">
        <f t="shared" si="84"/>
        <v>0</v>
      </c>
      <c r="AF283" s="1502">
        <f t="shared" si="85"/>
        <v>0</v>
      </c>
    </row>
    <row r="284" spans="1:32" s="1474" customFormat="1" ht="23.25" customHeight="1">
      <c r="A284" s="1515">
        <v>197</v>
      </c>
      <c r="B284" s="2840" t="s">
        <v>1976</v>
      </c>
      <c r="C284" s="1514" t="s">
        <v>2615</v>
      </c>
      <c r="D284" s="1514">
        <v>12</v>
      </c>
      <c r="E284" s="1513">
        <v>33000000</v>
      </c>
      <c r="F284" s="1512">
        <f t="shared" si="32"/>
        <v>5940000</v>
      </c>
      <c r="G284" s="2141">
        <v>42114</v>
      </c>
      <c r="H284" s="1511">
        <v>0.18</v>
      </c>
      <c r="I284" s="1508">
        <v>12</v>
      </c>
      <c r="J284" s="1508">
        <v>10</v>
      </c>
      <c r="K284" s="1508">
        <f t="shared" si="86"/>
        <v>2750000</v>
      </c>
      <c r="L284" s="1508">
        <f t="shared" si="79"/>
        <v>495000</v>
      </c>
      <c r="M284" s="1510">
        <f t="shared" si="33"/>
        <v>27500000</v>
      </c>
      <c r="N284" s="1510">
        <f t="shared" si="34"/>
        <v>4950000</v>
      </c>
      <c r="O284" s="1509">
        <v>24750000</v>
      </c>
      <c r="P284" s="1509">
        <v>4455000</v>
      </c>
      <c r="Q284" s="1509"/>
      <c r="R284" s="2837">
        <v>2750000</v>
      </c>
      <c r="S284" s="2837">
        <v>495000</v>
      </c>
      <c r="T284" s="1507"/>
      <c r="U284" s="1495">
        <f t="shared" si="67"/>
        <v>27500000</v>
      </c>
      <c r="V284" s="1495">
        <f t="shared" si="68"/>
        <v>4950000</v>
      </c>
      <c r="W284" s="1495">
        <f t="shared" si="69"/>
        <v>0</v>
      </c>
      <c r="X284" s="1495">
        <f t="shared" si="70"/>
        <v>5500000</v>
      </c>
      <c r="Y284" s="1495">
        <f t="shared" si="71"/>
        <v>100</v>
      </c>
      <c r="Z284" s="1495">
        <f t="shared" si="72"/>
        <v>0</v>
      </c>
      <c r="AA284" s="1506">
        <f t="shared" si="73"/>
        <v>0</v>
      </c>
      <c r="AB284" s="1505"/>
      <c r="AC284" s="1504">
        <f t="shared" si="75"/>
        <v>0</v>
      </c>
      <c r="AD284" s="1503">
        <f t="shared" si="83"/>
        <v>0</v>
      </c>
      <c r="AE284" s="1503">
        <f t="shared" si="84"/>
        <v>0</v>
      </c>
      <c r="AF284" s="1502">
        <f t="shared" si="85"/>
        <v>0</v>
      </c>
    </row>
    <row r="285" spans="1:32" s="1474" customFormat="1" ht="23.25" customHeight="1">
      <c r="A285" s="1515">
        <v>198</v>
      </c>
      <c r="B285" s="2840" t="s">
        <v>2390</v>
      </c>
      <c r="C285" s="1514" t="s">
        <v>2658</v>
      </c>
      <c r="D285" s="1514">
        <v>10</v>
      </c>
      <c r="E285" s="1513">
        <v>18100000</v>
      </c>
      <c r="F285" s="1512">
        <f t="shared" si="32"/>
        <v>3258000</v>
      </c>
      <c r="G285" s="2141">
        <v>42132</v>
      </c>
      <c r="H285" s="1511">
        <v>0.18</v>
      </c>
      <c r="I285" s="1508">
        <v>12</v>
      </c>
      <c r="J285" s="1508">
        <v>9</v>
      </c>
      <c r="K285" s="1508">
        <v>1508300</v>
      </c>
      <c r="L285" s="1508">
        <f t="shared" si="79"/>
        <v>271500</v>
      </c>
      <c r="M285" s="1510">
        <f t="shared" si="33"/>
        <v>13574700</v>
      </c>
      <c r="N285" s="1510">
        <f t="shared" si="34"/>
        <v>2443500</v>
      </c>
      <c r="O285" s="1509">
        <v>12066400</v>
      </c>
      <c r="P285" s="1509">
        <v>2172000</v>
      </c>
      <c r="Q285" s="1509"/>
      <c r="R285" s="2837">
        <v>1508300</v>
      </c>
      <c r="S285" s="2837">
        <v>271500</v>
      </c>
      <c r="T285" s="1507"/>
      <c r="U285" s="1495">
        <f t="shared" si="67"/>
        <v>13574700</v>
      </c>
      <c r="V285" s="1495">
        <f t="shared" si="68"/>
        <v>2443500</v>
      </c>
      <c r="W285" s="1495">
        <f t="shared" si="69"/>
        <v>0</v>
      </c>
      <c r="X285" s="1495">
        <f t="shared" si="70"/>
        <v>4525300</v>
      </c>
      <c r="Y285" s="1495">
        <f t="shared" si="71"/>
        <v>100</v>
      </c>
      <c r="Z285" s="1495">
        <f t="shared" si="72"/>
        <v>0</v>
      </c>
      <c r="AA285" s="1506">
        <f t="shared" si="73"/>
        <v>0</v>
      </c>
      <c r="AB285" s="1505"/>
      <c r="AC285" s="1504">
        <f t="shared" si="75"/>
        <v>0</v>
      </c>
      <c r="AD285" s="1503">
        <f t="shared" si="83"/>
        <v>0</v>
      </c>
      <c r="AE285" s="1503">
        <f t="shared" si="84"/>
        <v>0</v>
      </c>
      <c r="AF285" s="1502">
        <f t="shared" si="85"/>
        <v>0</v>
      </c>
    </row>
    <row r="286" spans="1:32" s="1474" customFormat="1" ht="23.25" customHeight="1">
      <c r="A286" s="1515">
        <v>199</v>
      </c>
      <c r="B286" s="2840" t="s">
        <v>2664</v>
      </c>
      <c r="C286" s="1514" t="s">
        <v>2658</v>
      </c>
      <c r="D286" s="1514">
        <v>10</v>
      </c>
      <c r="E286" s="1513">
        <v>18100000</v>
      </c>
      <c r="F286" s="1512">
        <f t="shared" si="32"/>
        <v>3258000</v>
      </c>
      <c r="G286" s="2141">
        <v>42132</v>
      </c>
      <c r="H286" s="1511">
        <v>0.18</v>
      </c>
      <c r="I286" s="1508">
        <v>12</v>
      </c>
      <c r="J286" s="1508">
        <v>9</v>
      </c>
      <c r="K286" s="1508">
        <v>1508300</v>
      </c>
      <c r="L286" s="1508">
        <f t="shared" si="79"/>
        <v>271500</v>
      </c>
      <c r="M286" s="1510">
        <f t="shared" si="33"/>
        <v>13574700</v>
      </c>
      <c r="N286" s="1510">
        <f t="shared" si="34"/>
        <v>2443500</v>
      </c>
      <c r="O286" s="1509">
        <v>12066400</v>
      </c>
      <c r="P286" s="1509">
        <v>2172000</v>
      </c>
      <c r="Q286" s="1509"/>
      <c r="R286" s="2837">
        <v>1508300</v>
      </c>
      <c r="S286" s="2837">
        <v>271500</v>
      </c>
      <c r="T286" s="1507"/>
      <c r="U286" s="1495">
        <f t="shared" si="67"/>
        <v>13574700</v>
      </c>
      <c r="V286" s="1495">
        <f t="shared" si="68"/>
        <v>2443500</v>
      </c>
      <c r="W286" s="1495">
        <f t="shared" si="69"/>
        <v>0</v>
      </c>
      <c r="X286" s="1495">
        <f t="shared" si="70"/>
        <v>4525300</v>
      </c>
      <c r="Y286" s="1495">
        <f t="shared" si="71"/>
        <v>100</v>
      </c>
      <c r="Z286" s="1495">
        <f t="shared" si="72"/>
        <v>0</v>
      </c>
      <c r="AA286" s="1506">
        <f t="shared" si="73"/>
        <v>0</v>
      </c>
      <c r="AB286" s="1505"/>
      <c r="AC286" s="1504">
        <f t="shared" si="75"/>
        <v>0</v>
      </c>
      <c r="AD286" s="1503">
        <f t="shared" si="83"/>
        <v>0</v>
      </c>
      <c r="AE286" s="1503">
        <f t="shared" si="84"/>
        <v>0</v>
      </c>
      <c r="AF286" s="1502">
        <f t="shared" si="85"/>
        <v>0</v>
      </c>
    </row>
    <row r="287" spans="1:32" s="1474" customFormat="1" ht="23.25" customHeight="1">
      <c r="A287" s="1515">
        <v>200</v>
      </c>
      <c r="B287" s="2840" t="s">
        <v>2538</v>
      </c>
      <c r="C287" s="1514" t="s">
        <v>2658</v>
      </c>
      <c r="D287" s="1514">
        <v>12</v>
      </c>
      <c r="E287" s="1513">
        <v>12000000</v>
      </c>
      <c r="F287" s="1512">
        <f t="shared" si="32"/>
        <v>2160000</v>
      </c>
      <c r="G287" s="2141">
        <v>42132</v>
      </c>
      <c r="H287" s="1511">
        <v>0.18</v>
      </c>
      <c r="I287" s="1508">
        <v>12</v>
      </c>
      <c r="J287" s="1508">
        <v>9</v>
      </c>
      <c r="K287" s="1508">
        <f t="shared" si="86"/>
        <v>1000000</v>
      </c>
      <c r="L287" s="1508">
        <f t="shared" si="79"/>
        <v>180000</v>
      </c>
      <c r="M287" s="1510">
        <f t="shared" si="33"/>
        <v>9000000</v>
      </c>
      <c r="N287" s="1510">
        <f t="shared" si="34"/>
        <v>1620000</v>
      </c>
      <c r="O287" s="1509">
        <v>8000000</v>
      </c>
      <c r="P287" s="1509">
        <v>1440000</v>
      </c>
      <c r="Q287" s="1509"/>
      <c r="R287" s="2837">
        <v>1000000</v>
      </c>
      <c r="S287" s="2837">
        <v>180000</v>
      </c>
      <c r="T287" s="1507"/>
      <c r="U287" s="1495">
        <f t="shared" si="67"/>
        <v>9000000</v>
      </c>
      <c r="V287" s="1495">
        <f t="shared" si="68"/>
        <v>1620000</v>
      </c>
      <c r="W287" s="1495">
        <f t="shared" si="69"/>
        <v>0</v>
      </c>
      <c r="X287" s="1495">
        <f t="shared" si="70"/>
        <v>3000000</v>
      </c>
      <c r="Y287" s="1495">
        <f t="shared" si="71"/>
        <v>100</v>
      </c>
      <c r="Z287" s="1495">
        <f t="shared" si="72"/>
        <v>0</v>
      </c>
      <c r="AA287" s="1506">
        <f t="shared" si="73"/>
        <v>0</v>
      </c>
      <c r="AB287" s="1505"/>
      <c r="AC287" s="1504">
        <f t="shared" si="75"/>
        <v>0</v>
      </c>
      <c r="AD287" s="1503">
        <f t="shared" si="83"/>
        <v>0</v>
      </c>
      <c r="AE287" s="1503">
        <f t="shared" si="84"/>
        <v>0</v>
      </c>
      <c r="AF287" s="1502">
        <f t="shared" si="85"/>
        <v>0</v>
      </c>
    </row>
    <row r="288" spans="1:32" s="1474" customFormat="1" ht="23.25" customHeight="1">
      <c r="A288" s="1515">
        <v>201</v>
      </c>
      <c r="B288" s="2840" t="s">
        <v>2665</v>
      </c>
      <c r="C288" s="1514" t="s">
        <v>2658</v>
      </c>
      <c r="D288" s="1514">
        <v>12</v>
      </c>
      <c r="E288" s="1513">
        <v>30000000</v>
      </c>
      <c r="F288" s="1512">
        <f t="shared" si="32"/>
        <v>5400000</v>
      </c>
      <c r="G288" s="2141">
        <v>42132</v>
      </c>
      <c r="H288" s="1511">
        <v>0.18</v>
      </c>
      <c r="I288" s="1508">
        <v>12</v>
      </c>
      <c r="J288" s="1508">
        <v>9</v>
      </c>
      <c r="K288" s="1508">
        <f t="shared" si="86"/>
        <v>2500000</v>
      </c>
      <c r="L288" s="1508">
        <f t="shared" ref="L288:L292" si="87">F288/I288</f>
        <v>450000</v>
      </c>
      <c r="M288" s="1510">
        <f t="shared" si="33"/>
        <v>22500000</v>
      </c>
      <c r="N288" s="1510">
        <f t="shared" si="34"/>
        <v>4050000</v>
      </c>
      <c r="O288" s="1509">
        <v>20000000</v>
      </c>
      <c r="P288" s="1509">
        <v>3600000</v>
      </c>
      <c r="Q288" s="1509"/>
      <c r="R288" s="2837">
        <v>2500000</v>
      </c>
      <c r="S288" s="2837">
        <v>450000</v>
      </c>
      <c r="T288" s="1507"/>
      <c r="U288" s="1495">
        <f t="shared" si="67"/>
        <v>22500000</v>
      </c>
      <c r="V288" s="1495">
        <f t="shared" si="68"/>
        <v>4050000</v>
      </c>
      <c r="W288" s="1495">
        <f t="shared" si="69"/>
        <v>0</v>
      </c>
      <c r="X288" s="1495">
        <f t="shared" si="70"/>
        <v>7500000</v>
      </c>
      <c r="Y288" s="1495">
        <f t="shared" si="71"/>
        <v>100</v>
      </c>
      <c r="Z288" s="1495">
        <f t="shared" si="72"/>
        <v>0</v>
      </c>
      <c r="AA288" s="1506">
        <f t="shared" si="73"/>
        <v>0</v>
      </c>
      <c r="AB288" s="1505"/>
      <c r="AC288" s="1504">
        <f t="shared" si="75"/>
        <v>0</v>
      </c>
      <c r="AD288" s="1503">
        <f t="shared" si="83"/>
        <v>0</v>
      </c>
      <c r="AE288" s="1503">
        <f t="shared" si="84"/>
        <v>0</v>
      </c>
      <c r="AF288" s="1502">
        <f t="shared" si="85"/>
        <v>0</v>
      </c>
    </row>
    <row r="289" spans="1:32" s="1474" customFormat="1" ht="23.25" customHeight="1">
      <c r="A289" s="1515">
        <v>202</v>
      </c>
      <c r="B289" s="2840" t="s">
        <v>2194</v>
      </c>
      <c r="C289" s="1514" t="s">
        <v>2658</v>
      </c>
      <c r="D289" s="1514">
        <v>12</v>
      </c>
      <c r="E289" s="1513">
        <v>39000000</v>
      </c>
      <c r="F289" s="1512">
        <f t="shared" si="32"/>
        <v>7020000</v>
      </c>
      <c r="G289" s="2141">
        <v>42136</v>
      </c>
      <c r="H289" s="1511">
        <v>0.18</v>
      </c>
      <c r="I289" s="1508">
        <v>12</v>
      </c>
      <c r="J289" s="1508">
        <v>9</v>
      </c>
      <c r="K289" s="1508">
        <f t="shared" si="86"/>
        <v>3250000</v>
      </c>
      <c r="L289" s="1508">
        <f t="shared" si="87"/>
        <v>585000</v>
      </c>
      <c r="M289" s="1510">
        <f t="shared" si="33"/>
        <v>29250000</v>
      </c>
      <c r="N289" s="1510">
        <f t="shared" si="34"/>
        <v>5265000</v>
      </c>
      <c r="O289" s="1509">
        <v>26000000</v>
      </c>
      <c r="P289" s="1509">
        <v>4680000</v>
      </c>
      <c r="Q289" s="1509"/>
      <c r="R289" s="2837">
        <v>3250000</v>
      </c>
      <c r="S289" s="2837">
        <v>585000</v>
      </c>
      <c r="T289" s="1507"/>
      <c r="U289" s="1495">
        <f t="shared" si="67"/>
        <v>29250000</v>
      </c>
      <c r="V289" s="1495">
        <f t="shared" si="68"/>
        <v>5265000</v>
      </c>
      <c r="W289" s="1495">
        <f t="shared" si="69"/>
        <v>0</v>
      </c>
      <c r="X289" s="1495">
        <f t="shared" si="70"/>
        <v>9750000</v>
      </c>
      <c r="Y289" s="1495">
        <f t="shared" si="71"/>
        <v>100</v>
      </c>
      <c r="Z289" s="1495">
        <f t="shared" si="72"/>
        <v>0</v>
      </c>
      <c r="AA289" s="1506">
        <f t="shared" si="73"/>
        <v>0</v>
      </c>
      <c r="AB289" s="1505"/>
      <c r="AC289" s="1504">
        <f t="shared" si="75"/>
        <v>0</v>
      </c>
      <c r="AD289" s="1503">
        <f t="shared" si="83"/>
        <v>0</v>
      </c>
      <c r="AE289" s="1503">
        <f t="shared" si="84"/>
        <v>0</v>
      </c>
      <c r="AF289" s="1502">
        <f t="shared" si="85"/>
        <v>0</v>
      </c>
    </row>
    <row r="290" spans="1:32" s="1474" customFormat="1" ht="23.25" customHeight="1">
      <c r="A290" s="1515">
        <v>203</v>
      </c>
      <c r="B290" s="2840" t="s">
        <v>2317</v>
      </c>
      <c r="C290" s="1514" t="s">
        <v>2685</v>
      </c>
      <c r="D290" s="1514">
        <v>12</v>
      </c>
      <c r="E290" s="1513">
        <v>19000000</v>
      </c>
      <c r="F290" s="1512">
        <f t="shared" si="32"/>
        <v>3420000</v>
      </c>
      <c r="G290" s="2141">
        <v>42199</v>
      </c>
      <c r="H290" s="1511">
        <v>0.18</v>
      </c>
      <c r="I290" s="1508">
        <v>12</v>
      </c>
      <c r="J290" s="1508">
        <v>7</v>
      </c>
      <c r="K290" s="1508">
        <v>1583300</v>
      </c>
      <c r="L290" s="1508">
        <f t="shared" si="87"/>
        <v>285000</v>
      </c>
      <c r="M290" s="1510">
        <f t="shared" si="33"/>
        <v>11083100</v>
      </c>
      <c r="N290" s="1510">
        <f t="shared" si="34"/>
        <v>1995000</v>
      </c>
      <c r="O290" s="1509">
        <v>9499800</v>
      </c>
      <c r="P290" s="1509">
        <v>1710000</v>
      </c>
      <c r="Q290" s="1509"/>
      <c r="R290" s="2837">
        <v>1583300</v>
      </c>
      <c r="S290" s="2837">
        <v>285000</v>
      </c>
      <c r="T290" s="1507"/>
      <c r="U290" s="1495">
        <f t="shared" si="67"/>
        <v>11083100</v>
      </c>
      <c r="V290" s="1495">
        <f t="shared" si="68"/>
        <v>1995000</v>
      </c>
      <c r="W290" s="1495">
        <f t="shared" si="69"/>
        <v>0</v>
      </c>
      <c r="X290" s="1495">
        <f t="shared" si="70"/>
        <v>7916900</v>
      </c>
      <c r="Y290" s="1495">
        <f t="shared" si="71"/>
        <v>100</v>
      </c>
      <c r="Z290" s="1495">
        <f t="shared" si="72"/>
        <v>0</v>
      </c>
      <c r="AA290" s="1506">
        <f t="shared" si="73"/>
        <v>0</v>
      </c>
      <c r="AB290" s="1505"/>
      <c r="AC290" s="1504">
        <f t="shared" si="75"/>
        <v>0</v>
      </c>
      <c r="AD290" s="1503">
        <f t="shared" si="83"/>
        <v>0</v>
      </c>
      <c r="AE290" s="1503">
        <f t="shared" si="84"/>
        <v>0</v>
      </c>
      <c r="AF290" s="1502">
        <f t="shared" si="85"/>
        <v>0</v>
      </c>
    </row>
    <row r="291" spans="1:32" s="1474" customFormat="1" ht="23.25" customHeight="1">
      <c r="A291" s="1515">
        <v>204</v>
      </c>
      <c r="B291" s="2840" t="s">
        <v>2260</v>
      </c>
      <c r="C291" s="1514" t="s">
        <v>2687</v>
      </c>
      <c r="D291" s="1514">
        <v>12</v>
      </c>
      <c r="E291" s="1513">
        <v>25000000</v>
      </c>
      <c r="F291" s="1512">
        <f t="shared" si="32"/>
        <v>4500000</v>
      </c>
      <c r="G291" s="2141">
        <v>42223</v>
      </c>
      <c r="H291" s="1511">
        <v>0.18</v>
      </c>
      <c r="I291" s="1508">
        <v>12</v>
      </c>
      <c r="J291" s="1508">
        <v>6</v>
      </c>
      <c r="K291" s="1508">
        <v>2083300</v>
      </c>
      <c r="L291" s="1508">
        <f t="shared" si="87"/>
        <v>375000</v>
      </c>
      <c r="M291" s="1510">
        <f t="shared" si="33"/>
        <v>12499800</v>
      </c>
      <c r="N291" s="1510">
        <f t="shared" si="34"/>
        <v>2250000</v>
      </c>
      <c r="O291" s="1509">
        <v>10416500</v>
      </c>
      <c r="P291" s="1509">
        <v>1875000</v>
      </c>
      <c r="Q291" s="1509"/>
      <c r="R291" s="2837">
        <v>2083300</v>
      </c>
      <c r="S291" s="2837">
        <v>375000</v>
      </c>
      <c r="T291" s="1507"/>
      <c r="U291" s="1495">
        <f t="shared" si="67"/>
        <v>12499800</v>
      </c>
      <c r="V291" s="1495">
        <f t="shared" si="68"/>
        <v>2250000</v>
      </c>
      <c r="W291" s="1495">
        <f t="shared" si="69"/>
        <v>0</v>
      </c>
      <c r="X291" s="1495">
        <f t="shared" si="70"/>
        <v>12500200</v>
      </c>
      <c r="Y291" s="1495">
        <f t="shared" si="71"/>
        <v>100</v>
      </c>
      <c r="Z291" s="1495">
        <f t="shared" si="72"/>
        <v>0</v>
      </c>
      <c r="AA291" s="1506">
        <f t="shared" si="73"/>
        <v>0</v>
      </c>
      <c r="AB291" s="1505"/>
      <c r="AC291" s="1504">
        <f t="shared" si="75"/>
        <v>0</v>
      </c>
      <c r="AD291" s="1503">
        <f t="shared" si="83"/>
        <v>0</v>
      </c>
      <c r="AE291" s="1503">
        <f t="shared" si="84"/>
        <v>0</v>
      </c>
      <c r="AF291" s="1502">
        <f t="shared" si="85"/>
        <v>0</v>
      </c>
    </row>
    <row r="292" spans="1:32" s="1474" customFormat="1" ht="23.25" customHeight="1">
      <c r="A292" s="1515">
        <v>205</v>
      </c>
      <c r="B292" s="2840" t="s">
        <v>2316</v>
      </c>
      <c r="C292" s="1514" t="s">
        <v>2670</v>
      </c>
      <c r="D292" s="1514">
        <v>7</v>
      </c>
      <c r="E292" s="1513">
        <v>13000000</v>
      </c>
      <c r="F292" s="1512">
        <f t="shared" si="32"/>
        <v>2340000</v>
      </c>
      <c r="G292" s="2141">
        <v>42262</v>
      </c>
      <c r="H292" s="1511">
        <v>0.18</v>
      </c>
      <c r="I292" s="1508">
        <v>12</v>
      </c>
      <c r="J292" s="1508">
        <v>5</v>
      </c>
      <c r="K292" s="1508">
        <f>E292/I292-33</f>
        <v>1083300.3333333333</v>
      </c>
      <c r="L292" s="1508">
        <f t="shared" si="87"/>
        <v>195000</v>
      </c>
      <c r="M292" s="1510">
        <f t="shared" si="33"/>
        <v>5416501.666666666</v>
      </c>
      <c r="N292" s="1510">
        <f t="shared" si="34"/>
        <v>975000</v>
      </c>
      <c r="O292" s="1509">
        <v>4333200</v>
      </c>
      <c r="P292" s="1509">
        <v>780000</v>
      </c>
      <c r="Q292" s="1509"/>
      <c r="R292" s="2837">
        <v>1083300</v>
      </c>
      <c r="S292" s="2837">
        <v>195000</v>
      </c>
      <c r="T292" s="1507"/>
      <c r="U292" s="1495">
        <f t="shared" si="67"/>
        <v>5416500</v>
      </c>
      <c r="V292" s="1495">
        <f t="shared" si="68"/>
        <v>975000</v>
      </c>
      <c r="W292" s="1495">
        <f t="shared" si="69"/>
        <v>0</v>
      </c>
      <c r="X292" s="1495">
        <f t="shared" si="70"/>
        <v>7583500</v>
      </c>
      <c r="Y292" s="1495">
        <f t="shared" si="71"/>
        <v>99.999969229831933</v>
      </c>
      <c r="Z292" s="1495">
        <f t="shared" si="72"/>
        <v>1.666666666045785</v>
      </c>
      <c r="AA292" s="1506">
        <f t="shared" si="73"/>
        <v>0</v>
      </c>
      <c r="AB292" s="1505"/>
      <c r="AC292" s="1504">
        <f t="shared" si="75"/>
        <v>0</v>
      </c>
      <c r="AD292" s="1503">
        <f t="shared" si="83"/>
        <v>0</v>
      </c>
      <c r="AE292" s="1503">
        <f t="shared" si="84"/>
        <v>0</v>
      </c>
      <c r="AF292" s="1502">
        <f t="shared" si="85"/>
        <v>0</v>
      </c>
    </row>
    <row r="293" spans="1:32" s="1474" customFormat="1" ht="23.25" customHeight="1">
      <c r="A293" s="1515">
        <v>206</v>
      </c>
      <c r="B293" s="2840" t="s">
        <v>1947</v>
      </c>
      <c r="C293" s="1514" t="s">
        <v>2670</v>
      </c>
      <c r="D293" s="1514">
        <v>11</v>
      </c>
      <c r="E293" s="1513">
        <v>28000000</v>
      </c>
      <c r="F293" s="1512">
        <f t="shared" si="32"/>
        <v>5040000</v>
      </c>
      <c r="G293" s="2141">
        <v>42263</v>
      </c>
      <c r="H293" s="1511">
        <v>0.18</v>
      </c>
      <c r="I293" s="1508">
        <v>10</v>
      </c>
      <c r="J293" s="1508">
        <v>5</v>
      </c>
      <c r="K293" s="1508">
        <f>ROUND(E293/I293,-2)</f>
        <v>2800000</v>
      </c>
      <c r="L293" s="1508">
        <f>F293/I293</f>
        <v>504000</v>
      </c>
      <c r="M293" s="1510">
        <f t="shared" si="33"/>
        <v>14000000</v>
      </c>
      <c r="N293" s="1510">
        <f t="shared" si="34"/>
        <v>2520000</v>
      </c>
      <c r="O293" s="1509">
        <v>11200000</v>
      </c>
      <c r="P293" s="1509">
        <v>2016000</v>
      </c>
      <c r="Q293" s="1509"/>
      <c r="R293" s="2837">
        <v>2800000</v>
      </c>
      <c r="S293" s="2837">
        <v>504000</v>
      </c>
      <c r="T293" s="1507"/>
      <c r="U293" s="1495">
        <f t="shared" si="67"/>
        <v>14000000</v>
      </c>
      <c r="V293" s="1495">
        <f t="shared" si="68"/>
        <v>2520000</v>
      </c>
      <c r="W293" s="1495">
        <f t="shared" si="69"/>
        <v>0</v>
      </c>
      <c r="X293" s="1495">
        <f t="shared" si="70"/>
        <v>14000000</v>
      </c>
      <c r="Y293" s="1495">
        <f t="shared" si="71"/>
        <v>100</v>
      </c>
      <c r="Z293" s="1495">
        <f t="shared" si="72"/>
        <v>0</v>
      </c>
      <c r="AA293" s="1506">
        <f t="shared" si="73"/>
        <v>0</v>
      </c>
      <c r="AB293" s="1505"/>
      <c r="AC293" s="1504">
        <f t="shared" si="75"/>
        <v>0</v>
      </c>
      <c r="AD293" s="1503">
        <f t="shared" si="83"/>
        <v>0</v>
      </c>
      <c r="AE293" s="1503">
        <f t="shared" si="84"/>
        <v>0</v>
      </c>
      <c r="AF293" s="1502">
        <f t="shared" si="85"/>
        <v>0</v>
      </c>
    </row>
    <row r="294" spans="1:32" s="1474" customFormat="1" ht="23.25" customHeight="1">
      <c r="A294" s="1515">
        <v>207</v>
      </c>
      <c r="B294" s="2840" t="s">
        <v>2589</v>
      </c>
      <c r="C294" s="1514" t="s">
        <v>2689</v>
      </c>
      <c r="D294" s="1514">
        <v>8</v>
      </c>
      <c r="E294" s="1513">
        <v>12000000</v>
      </c>
      <c r="F294" s="1512">
        <f t="shared" si="32"/>
        <v>2160000</v>
      </c>
      <c r="G294" s="2141">
        <v>42290</v>
      </c>
      <c r="H294" s="1511">
        <v>0.18</v>
      </c>
      <c r="I294" s="1508">
        <v>12</v>
      </c>
      <c r="J294" s="1508">
        <v>4</v>
      </c>
      <c r="K294" s="1508">
        <f t="shared" ref="K294:K297" si="88">ROUND(E294/I294,-2)</f>
        <v>1000000</v>
      </c>
      <c r="L294" s="1508">
        <f>F294/I294</f>
        <v>180000</v>
      </c>
      <c r="M294" s="1510">
        <f t="shared" si="33"/>
        <v>4000000</v>
      </c>
      <c r="N294" s="1510">
        <f t="shared" si="34"/>
        <v>720000</v>
      </c>
      <c r="O294" s="1509">
        <v>3000000</v>
      </c>
      <c r="P294" s="1509">
        <v>540000</v>
      </c>
      <c r="Q294" s="1509"/>
      <c r="R294" s="2837">
        <v>1000000</v>
      </c>
      <c r="S294" s="2837">
        <v>180000</v>
      </c>
      <c r="T294" s="1507"/>
      <c r="U294" s="1495">
        <f t="shared" si="67"/>
        <v>4000000</v>
      </c>
      <c r="V294" s="1495">
        <f t="shared" si="68"/>
        <v>720000</v>
      </c>
      <c r="W294" s="1495">
        <f t="shared" si="69"/>
        <v>0</v>
      </c>
      <c r="X294" s="1495">
        <f t="shared" si="70"/>
        <v>8000000</v>
      </c>
      <c r="Y294" s="1495">
        <f t="shared" si="71"/>
        <v>100</v>
      </c>
      <c r="Z294" s="1495">
        <f t="shared" si="72"/>
        <v>0</v>
      </c>
      <c r="AA294" s="1506">
        <f t="shared" si="73"/>
        <v>0</v>
      </c>
      <c r="AB294" s="1505"/>
      <c r="AC294" s="1504">
        <f t="shared" si="75"/>
        <v>0</v>
      </c>
      <c r="AD294" s="1503">
        <f t="shared" si="83"/>
        <v>0</v>
      </c>
      <c r="AE294" s="1503">
        <f t="shared" si="84"/>
        <v>0</v>
      </c>
      <c r="AF294" s="1502">
        <f t="shared" si="85"/>
        <v>0</v>
      </c>
    </row>
    <row r="295" spans="1:32" s="1474" customFormat="1" ht="23.25" customHeight="1">
      <c r="A295" s="1515">
        <v>208</v>
      </c>
      <c r="B295" s="2840" t="s">
        <v>1948</v>
      </c>
      <c r="C295" s="1514" t="s">
        <v>2689</v>
      </c>
      <c r="D295" s="1514">
        <v>15</v>
      </c>
      <c r="E295" s="1513">
        <v>40000000</v>
      </c>
      <c r="F295" s="1512">
        <f t="shared" si="32"/>
        <v>7200000</v>
      </c>
      <c r="G295" s="2141">
        <v>42290</v>
      </c>
      <c r="H295" s="1511">
        <v>0.18</v>
      </c>
      <c r="I295" s="1508">
        <v>12</v>
      </c>
      <c r="J295" s="1508">
        <v>4</v>
      </c>
      <c r="K295" s="1508">
        <f t="shared" si="88"/>
        <v>3333300</v>
      </c>
      <c r="L295" s="1508">
        <f>F295/I295</f>
        <v>600000</v>
      </c>
      <c r="M295" s="1510">
        <f t="shared" si="33"/>
        <v>13333200</v>
      </c>
      <c r="N295" s="1510">
        <f t="shared" si="34"/>
        <v>2400000</v>
      </c>
      <c r="O295" s="1509">
        <v>9999900</v>
      </c>
      <c r="P295" s="1509">
        <v>1800000</v>
      </c>
      <c r="Q295" s="1509"/>
      <c r="R295" s="2837">
        <v>3333300</v>
      </c>
      <c r="S295" s="2837">
        <v>600000</v>
      </c>
      <c r="T295" s="1507"/>
      <c r="U295" s="1495">
        <f t="shared" si="67"/>
        <v>13333200</v>
      </c>
      <c r="V295" s="1495">
        <f t="shared" si="68"/>
        <v>2400000</v>
      </c>
      <c r="W295" s="1495">
        <f t="shared" si="69"/>
        <v>0</v>
      </c>
      <c r="X295" s="1495">
        <f t="shared" si="70"/>
        <v>26666800</v>
      </c>
      <c r="Y295" s="1495">
        <f t="shared" si="71"/>
        <v>100</v>
      </c>
      <c r="Z295" s="1495">
        <f t="shared" si="72"/>
        <v>0</v>
      </c>
      <c r="AA295" s="1506">
        <f t="shared" si="73"/>
        <v>0</v>
      </c>
      <c r="AB295" s="1505"/>
      <c r="AC295" s="1504">
        <f t="shared" si="75"/>
        <v>0</v>
      </c>
      <c r="AD295" s="1503">
        <f t="shared" si="83"/>
        <v>0</v>
      </c>
      <c r="AE295" s="1503">
        <f t="shared" si="84"/>
        <v>0</v>
      </c>
      <c r="AF295" s="1502">
        <f t="shared" si="85"/>
        <v>0</v>
      </c>
    </row>
    <row r="296" spans="1:32" s="1474" customFormat="1" ht="23.25" customHeight="1">
      <c r="A296" s="1515">
        <v>209</v>
      </c>
      <c r="B296" s="2840" t="s">
        <v>1963</v>
      </c>
      <c r="C296" s="1514" t="s">
        <v>2689</v>
      </c>
      <c r="D296" s="1514">
        <v>16</v>
      </c>
      <c r="E296" s="1513">
        <v>35000000</v>
      </c>
      <c r="F296" s="1512">
        <f t="shared" si="32"/>
        <v>6300000</v>
      </c>
      <c r="G296" s="2141">
        <v>42293</v>
      </c>
      <c r="H296" s="1511">
        <v>0.18</v>
      </c>
      <c r="I296" s="1508">
        <v>12</v>
      </c>
      <c r="J296" s="1508">
        <v>4</v>
      </c>
      <c r="K296" s="1508">
        <f t="shared" si="88"/>
        <v>2916700</v>
      </c>
      <c r="L296" s="1508">
        <f>F296/I296</f>
        <v>525000</v>
      </c>
      <c r="M296" s="1510">
        <f t="shared" si="33"/>
        <v>11666800</v>
      </c>
      <c r="N296" s="1510">
        <f t="shared" si="34"/>
        <v>2100000</v>
      </c>
      <c r="O296" s="1509">
        <v>8750100</v>
      </c>
      <c r="P296" s="1509">
        <v>1575000</v>
      </c>
      <c r="Q296" s="1509"/>
      <c r="R296" s="2837">
        <v>2916700</v>
      </c>
      <c r="S296" s="2837">
        <v>525000</v>
      </c>
      <c r="T296" s="1507"/>
      <c r="U296" s="1495">
        <f t="shared" si="67"/>
        <v>11666800</v>
      </c>
      <c r="V296" s="1495">
        <f t="shared" si="68"/>
        <v>2100000</v>
      </c>
      <c r="W296" s="1495">
        <f t="shared" si="69"/>
        <v>0</v>
      </c>
      <c r="X296" s="1495">
        <f t="shared" si="70"/>
        <v>23333200</v>
      </c>
      <c r="Y296" s="1495">
        <f t="shared" si="71"/>
        <v>100</v>
      </c>
      <c r="Z296" s="1495">
        <f t="shared" si="72"/>
        <v>0</v>
      </c>
      <c r="AA296" s="1506">
        <f t="shared" si="73"/>
        <v>0</v>
      </c>
      <c r="AB296" s="1505"/>
      <c r="AC296" s="1504">
        <f t="shared" si="75"/>
        <v>0</v>
      </c>
      <c r="AD296" s="1503">
        <f t="shared" si="83"/>
        <v>0</v>
      </c>
      <c r="AE296" s="1503">
        <f t="shared" si="84"/>
        <v>0</v>
      </c>
      <c r="AF296" s="1502">
        <f t="shared" si="85"/>
        <v>0</v>
      </c>
    </row>
    <row r="297" spans="1:32" s="1474" customFormat="1" ht="23.25" customHeight="1">
      <c r="A297" s="1515">
        <v>210</v>
      </c>
      <c r="B297" s="2840" t="s">
        <v>2708</v>
      </c>
      <c r="C297" s="1514" t="s">
        <v>2689</v>
      </c>
      <c r="D297" s="1514">
        <v>17</v>
      </c>
      <c r="E297" s="1513">
        <v>50000000</v>
      </c>
      <c r="F297" s="1512">
        <f t="shared" si="32"/>
        <v>9000000</v>
      </c>
      <c r="G297" s="2141">
        <v>42293</v>
      </c>
      <c r="H297" s="1511">
        <v>0.18</v>
      </c>
      <c r="I297" s="1508">
        <v>12</v>
      </c>
      <c r="J297" s="1508">
        <v>4</v>
      </c>
      <c r="K297" s="1508">
        <f t="shared" si="88"/>
        <v>4166700</v>
      </c>
      <c r="L297" s="1508">
        <f>F297/I297</f>
        <v>750000</v>
      </c>
      <c r="M297" s="1510">
        <f t="shared" si="33"/>
        <v>16666800</v>
      </c>
      <c r="N297" s="1510">
        <f t="shared" si="34"/>
        <v>3000000</v>
      </c>
      <c r="O297" s="1509">
        <v>12500100</v>
      </c>
      <c r="P297" s="1509">
        <v>2250000</v>
      </c>
      <c r="Q297" s="1509"/>
      <c r="R297" s="2837">
        <v>4166700</v>
      </c>
      <c r="S297" s="2837">
        <v>750000</v>
      </c>
      <c r="T297" s="1507"/>
      <c r="U297" s="1495">
        <f t="shared" si="67"/>
        <v>16666800</v>
      </c>
      <c r="V297" s="1495">
        <f t="shared" si="68"/>
        <v>3000000</v>
      </c>
      <c r="W297" s="1495">
        <f t="shared" si="69"/>
        <v>0</v>
      </c>
      <c r="X297" s="1495">
        <f t="shared" si="70"/>
        <v>33333200</v>
      </c>
      <c r="Y297" s="1495">
        <f t="shared" si="71"/>
        <v>100</v>
      </c>
      <c r="Z297" s="1495">
        <f t="shared" si="72"/>
        <v>0</v>
      </c>
      <c r="AA297" s="1506">
        <f t="shared" si="73"/>
        <v>0</v>
      </c>
      <c r="AB297" s="1505"/>
      <c r="AC297" s="1504">
        <f t="shared" si="75"/>
        <v>0</v>
      </c>
      <c r="AD297" s="1503">
        <f t="shared" si="83"/>
        <v>0</v>
      </c>
      <c r="AE297" s="1503">
        <f t="shared" si="84"/>
        <v>0</v>
      </c>
      <c r="AF297" s="1502">
        <f t="shared" si="85"/>
        <v>0</v>
      </c>
    </row>
    <row r="298" spans="1:32" s="1474" customFormat="1" ht="23.25" customHeight="1">
      <c r="A298" s="1515">
        <v>211</v>
      </c>
      <c r="B298" s="2840" t="s">
        <v>1962</v>
      </c>
      <c r="C298" s="1514" t="s">
        <v>2714</v>
      </c>
      <c r="D298" s="1514">
        <v>14</v>
      </c>
      <c r="E298" s="1513">
        <v>35000000</v>
      </c>
      <c r="F298" s="1512">
        <f t="shared" si="32"/>
        <v>6300000</v>
      </c>
      <c r="G298" s="2141">
        <v>42313</v>
      </c>
      <c r="H298" s="1511">
        <v>0.18</v>
      </c>
      <c r="I298" s="1508">
        <v>12</v>
      </c>
      <c r="J298" s="1508">
        <v>3</v>
      </c>
      <c r="K298" s="1508">
        <f t="shared" ref="K298:K319" si="89">ROUND(E298/I298,-2)</f>
        <v>2916700</v>
      </c>
      <c r="L298" s="1508">
        <f t="shared" ref="L298:L319" si="90">F298/I298</f>
        <v>525000</v>
      </c>
      <c r="M298" s="1510">
        <f t="shared" si="33"/>
        <v>8750100</v>
      </c>
      <c r="N298" s="1510">
        <f t="shared" si="34"/>
        <v>1575000</v>
      </c>
      <c r="O298" s="1509">
        <v>5833400</v>
      </c>
      <c r="P298" s="1509">
        <v>1050000</v>
      </c>
      <c r="Q298" s="1509"/>
      <c r="R298" s="2837">
        <v>2916700</v>
      </c>
      <c r="S298" s="2837">
        <v>525000</v>
      </c>
      <c r="T298" s="1507"/>
      <c r="U298" s="1495">
        <f t="shared" si="67"/>
        <v>8750100</v>
      </c>
      <c r="V298" s="1495">
        <f t="shared" si="68"/>
        <v>1575000</v>
      </c>
      <c r="W298" s="1495">
        <f t="shared" si="69"/>
        <v>0</v>
      </c>
      <c r="X298" s="1495">
        <f t="shared" si="70"/>
        <v>26249900</v>
      </c>
      <c r="Y298" s="1495">
        <f t="shared" si="71"/>
        <v>100</v>
      </c>
      <c r="Z298" s="1495">
        <f t="shared" si="72"/>
        <v>0</v>
      </c>
      <c r="AA298" s="1506">
        <f t="shared" si="73"/>
        <v>0</v>
      </c>
      <c r="AB298" s="1505"/>
      <c r="AC298" s="1504">
        <f t="shared" si="75"/>
        <v>0</v>
      </c>
      <c r="AD298" s="1503">
        <f t="shared" si="83"/>
        <v>0</v>
      </c>
      <c r="AE298" s="1503">
        <f t="shared" si="84"/>
        <v>0</v>
      </c>
      <c r="AF298" s="1502">
        <f t="shared" si="85"/>
        <v>0</v>
      </c>
    </row>
    <row r="299" spans="1:32" s="1474" customFormat="1" ht="23.25" customHeight="1">
      <c r="A299" s="1515">
        <v>212</v>
      </c>
      <c r="B299" s="2840" t="s">
        <v>1934</v>
      </c>
      <c r="C299" s="1514" t="s">
        <v>2714</v>
      </c>
      <c r="D299" s="1514">
        <v>12</v>
      </c>
      <c r="E299" s="1513">
        <v>32000000</v>
      </c>
      <c r="F299" s="1512">
        <f t="shared" si="32"/>
        <v>5760000</v>
      </c>
      <c r="G299" s="2141">
        <v>42313</v>
      </c>
      <c r="H299" s="1511">
        <v>0.18</v>
      </c>
      <c r="I299" s="1508">
        <v>12</v>
      </c>
      <c r="J299" s="1508">
        <v>3</v>
      </c>
      <c r="K299" s="1508">
        <f t="shared" si="89"/>
        <v>2666700</v>
      </c>
      <c r="L299" s="1508">
        <f t="shared" si="90"/>
        <v>480000</v>
      </c>
      <c r="M299" s="1510">
        <f t="shared" si="33"/>
        <v>8000100</v>
      </c>
      <c r="N299" s="1510">
        <f t="shared" si="34"/>
        <v>1440000</v>
      </c>
      <c r="O299" s="1509">
        <v>5333400</v>
      </c>
      <c r="P299" s="1509">
        <v>960000</v>
      </c>
      <c r="Q299" s="1509"/>
      <c r="R299" s="2837">
        <v>2666700</v>
      </c>
      <c r="S299" s="2837">
        <v>480000</v>
      </c>
      <c r="T299" s="1507"/>
      <c r="U299" s="1495">
        <f t="shared" si="67"/>
        <v>8000100</v>
      </c>
      <c r="V299" s="1495">
        <f t="shared" si="68"/>
        <v>1440000</v>
      </c>
      <c r="W299" s="1495">
        <f t="shared" si="69"/>
        <v>0</v>
      </c>
      <c r="X299" s="1495">
        <f t="shared" si="70"/>
        <v>23999900</v>
      </c>
      <c r="Y299" s="1495">
        <f t="shared" si="71"/>
        <v>100</v>
      </c>
      <c r="Z299" s="1495">
        <f t="shared" si="72"/>
        <v>0</v>
      </c>
      <c r="AA299" s="1506">
        <f t="shared" si="73"/>
        <v>0</v>
      </c>
      <c r="AB299" s="1505"/>
      <c r="AC299" s="1504">
        <f t="shared" si="75"/>
        <v>0</v>
      </c>
      <c r="AD299" s="1503">
        <f t="shared" si="83"/>
        <v>0</v>
      </c>
      <c r="AE299" s="1503">
        <f t="shared" si="84"/>
        <v>0</v>
      </c>
      <c r="AF299" s="1502">
        <f t="shared" si="85"/>
        <v>0</v>
      </c>
    </row>
    <row r="300" spans="1:32" s="1474" customFormat="1" ht="23.25" customHeight="1">
      <c r="A300" s="1515">
        <v>213</v>
      </c>
      <c r="B300" s="2840" t="s">
        <v>1911</v>
      </c>
      <c r="C300" s="1514" t="s">
        <v>2714</v>
      </c>
      <c r="D300" s="1514">
        <v>10</v>
      </c>
      <c r="E300" s="1513">
        <v>37000000</v>
      </c>
      <c r="F300" s="1512">
        <f t="shared" si="32"/>
        <v>6660000</v>
      </c>
      <c r="G300" s="2141">
        <v>42320</v>
      </c>
      <c r="H300" s="1511">
        <v>0.18</v>
      </c>
      <c r="I300" s="1508">
        <v>12</v>
      </c>
      <c r="J300" s="1508">
        <v>3</v>
      </c>
      <c r="K300" s="1508">
        <f t="shared" si="89"/>
        <v>3083300</v>
      </c>
      <c r="L300" s="1508">
        <f t="shared" si="90"/>
        <v>555000</v>
      </c>
      <c r="M300" s="1510">
        <f t="shared" ref="M300:M302" si="91">IF(J300&lt;I300,J300*K300,IF(J300&gt;=I300,E300))</f>
        <v>9249900</v>
      </c>
      <c r="N300" s="1510">
        <f t="shared" ref="N300:N302" si="92">IF(J300&lt;I300,J300*L300,IF(J300&gt;=I300,F300))</f>
        <v>1665000</v>
      </c>
      <c r="O300" s="1509">
        <v>6166600</v>
      </c>
      <c r="P300" s="1509">
        <v>1110000</v>
      </c>
      <c r="Q300" s="1509"/>
      <c r="R300" s="2837">
        <v>3083300</v>
      </c>
      <c r="S300" s="2837">
        <v>555000</v>
      </c>
      <c r="T300" s="1507"/>
      <c r="U300" s="1495">
        <f t="shared" ref="U300:U303" si="93">SUM(O300+R300)</f>
        <v>9249900</v>
      </c>
      <c r="V300" s="1495">
        <f t="shared" ref="V300:V303" si="94">SUM(P300+S300)</f>
        <v>1665000</v>
      </c>
      <c r="W300" s="1495">
        <f t="shared" ref="W300:W303" si="95">SUM(Q300+T300)</f>
        <v>0</v>
      </c>
      <c r="X300" s="1495">
        <f t="shared" ref="X300:X303" si="96">SUM(E300-U300)</f>
        <v>27750100</v>
      </c>
      <c r="Y300" s="1495">
        <f t="shared" ref="Y300:Y303" si="97">SUM(U300/M300)*100</f>
        <v>100</v>
      </c>
      <c r="Z300" s="1495">
        <f t="shared" ref="Z300:Z303" si="98">SUM(M300-U300)</f>
        <v>0</v>
      </c>
      <c r="AA300" s="1506">
        <f t="shared" ref="AA300:AA303" si="99">SUM(N300-V300)</f>
        <v>0</v>
      </c>
      <c r="AB300" s="1505"/>
      <c r="AC300" s="1504">
        <f t="shared" ref="AC300:AC302" si="100">IF(AND(AB300&gt;0,AB300&lt;=2),X300,0)</f>
        <v>0</v>
      </c>
      <c r="AD300" s="1503">
        <f t="shared" ref="AD300:AD302" si="101">IF(AND(AB300&gt;=3,AB300&lt;=4),X300,0)</f>
        <v>0</v>
      </c>
      <c r="AE300" s="1503">
        <f t="shared" ref="AE300:AE302" si="102">IF(AND(AB300&gt;=5,AB300&lt;=6),X300,0)</f>
        <v>0</v>
      </c>
      <c r="AF300" s="1502">
        <f t="shared" ref="AF300:AF302" si="103">IF(AB300&gt;6,X300,0)</f>
        <v>0</v>
      </c>
    </row>
    <row r="301" spans="1:32" s="1474" customFormat="1" ht="23.25" customHeight="1">
      <c r="A301" s="1515">
        <v>214</v>
      </c>
      <c r="B301" s="2840" t="s">
        <v>2588</v>
      </c>
      <c r="C301" s="1514" t="s">
        <v>2689</v>
      </c>
      <c r="D301" s="1514">
        <v>8</v>
      </c>
      <c r="E301" s="1513">
        <v>12000000</v>
      </c>
      <c r="F301" s="1512">
        <f t="shared" si="32"/>
        <v>2160000</v>
      </c>
      <c r="G301" s="2141">
        <v>42320</v>
      </c>
      <c r="H301" s="1511">
        <v>0.18</v>
      </c>
      <c r="I301" s="1508">
        <v>12</v>
      </c>
      <c r="J301" s="1508">
        <v>3</v>
      </c>
      <c r="K301" s="1508">
        <f t="shared" si="89"/>
        <v>1000000</v>
      </c>
      <c r="L301" s="1508">
        <f t="shared" si="90"/>
        <v>180000</v>
      </c>
      <c r="M301" s="1510">
        <f t="shared" si="91"/>
        <v>3000000</v>
      </c>
      <c r="N301" s="1510">
        <f t="shared" si="92"/>
        <v>540000</v>
      </c>
      <c r="O301" s="1509">
        <v>2000000</v>
      </c>
      <c r="P301" s="1509">
        <v>360000</v>
      </c>
      <c r="Q301" s="1509"/>
      <c r="R301" s="2837">
        <v>1000000</v>
      </c>
      <c r="S301" s="2837">
        <v>180000</v>
      </c>
      <c r="T301" s="1507"/>
      <c r="U301" s="1495">
        <f t="shared" si="93"/>
        <v>3000000</v>
      </c>
      <c r="V301" s="1495">
        <f t="shared" si="94"/>
        <v>540000</v>
      </c>
      <c r="W301" s="1495">
        <f t="shared" si="95"/>
        <v>0</v>
      </c>
      <c r="X301" s="1495">
        <f t="shared" si="96"/>
        <v>9000000</v>
      </c>
      <c r="Y301" s="1495">
        <f t="shared" si="97"/>
        <v>100</v>
      </c>
      <c r="Z301" s="1495">
        <f t="shared" si="98"/>
        <v>0</v>
      </c>
      <c r="AA301" s="1506">
        <f t="shared" si="99"/>
        <v>0</v>
      </c>
      <c r="AB301" s="1505"/>
      <c r="AC301" s="1504">
        <f t="shared" si="100"/>
        <v>0</v>
      </c>
      <c r="AD301" s="1503">
        <f t="shared" si="101"/>
        <v>0</v>
      </c>
      <c r="AE301" s="1503">
        <f t="shared" si="102"/>
        <v>0</v>
      </c>
      <c r="AF301" s="1502">
        <f t="shared" si="103"/>
        <v>0</v>
      </c>
    </row>
    <row r="302" spans="1:32" s="1474" customFormat="1" ht="23.25" customHeight="1">
      <c r="A302" s="1515">
        <v>215</v>
      </c>
      <c r="B302" s="2840" t="s">
        <v>1959</v>
      </c>
      <c r="C302" s="1514" t="s">
        <v>2714</v>
      </c>
      <c r="D302" s="1514">
        <v>13</v>
      </c>
      <c r="E302" s="1513">
        <v>30000000</v>
      </c>
      <c r="F302" s="1512">
        <f t="shared" si="32"/>
        <v>5400000</v>
      </c>
      <c r="G302" s="2141">
        <v>42325</v>
      </c>
      <c r="H302" s="1511">
        <v>0.18</v>
      </c>
      <c r="I302" s="1508">
        <v>12</v>
      </c>
      <c r="J302" s="1508">
        <v>3</v>
      </c>
      <c r="K302" s="1508">
        <f t="shared" si="89"/>
        <v>2500000</v>
      </c>
      <c r="L302" s="1508">
        <f t="shared" si="90"/>
        <v>450000</v>
      </c>
      <c r="M302" s="1510">
        <f t="shared" si="91"/>
        <v>7500000</v>
      </c>
      <c r="N302" s="1510">
        <f t="shared" si="92"/>
        <v>1350000</v>
      </c>
      <c r="O302" s="1509">
        <v>5000000</v>
      </c>
      <c r="P302" s="1509">
        <v>900000</v>
      </c>
      <c r="Q302" s="1509"/>
      <c r="R302" s="2837">
        <v>2500000</v>
      </c>
      <c r="S302" s="2837">
        <v>450000</v>
      </c>
      <c r="T302" s="1507"/>
      <c r="U302" s="1495">
        <f t="shared" si="93"/>
        <v>7500000</v>
      </c>
      <c r="V302" s="1495">
        <f t="shared" si="94"/>
        <v>1350000</v>
      </c>
      <c r="W302" s="1495">
        <f t="shared" si="95"/>
        <v>0</v>
      </c>
      <c r="X302" s="1495">
        <f t="shared" si="96"/>
        <v>22500000</v>
      </c>
      <c r="Y302" s="1495">
        <f t="shared" si="97"/>
        <v>100</v>
      </c>
      <c r="Z302" s="1495">
        <f t="shared" si="98"/>
        <v>0</v>
      </c>
      <c r="AA302" s="1506">
        <f t="shared" si="99"/>
        <v>0</v>
      </c>
      <c r="AB302" s="1505"/>
      <c r="AC302" s="1504">
        <f t="shared" si="100"/>
        <v>0</v>
      </c>
      <c r="AD302" s="1503">
        <f t="shared" si="101"/>
        <v>0</v>
      </c>
      <c r="AE302" s="1503">
        <f t="shared" si="102"/>
        <v>0</v>
      </c>
      <c r="AF302" s="1502">
        <f t="shared" si="103"/>
        <v>0</v>
      </c>
    </row>
    <row r="303" spans="1:32" s="1474" customFormat="1" ht="23.25" customHeight="1">
      <c r="A303" s="1515">
        <v>216</v>
      </c>
      <c r="B303" s="2840" t="s">
        <v>2713</v>
      </c>
      <c r="C303" s="1514" t="s">
        <v>2689</v>
      </c>
      <c r="D303" s="1514">
        <v>12</v>
      </c>
      <c r="E303" s="1513">
        <v>8400000</v>
      </c>
      <c r="F303" s="1512">
        <f t="shared" si="32"/>
        <v>1512000</v>
      </c>
      <c r="G303" s="2141">
        <v>42325</v>
      </c>
      <c r="H303" s="1511">
        <v>0.18</v>
      </c>
      <c r="I303" s="1508">
        <v>12</v>
      </c>
      <c r="J303" s="1508">
        <v>3</v>
      </c>
      <c r="K303" s="1508">
        <f t="shared" si="89"/>
        <v>700000</v>
      </c>
      <c r="L303" s="1508">
        <f t="shared" si="90"/>
        <v>126000</v>
      </c>
      <c r="M303" s="1510">
        <f t="shared" si="33"/>
        <v>2100000</v>
      </c>
      <c r="N303" s="1510">
        <f t="shared" si="34"/>
        <v>378000</v>
      </c>
      <c r="O303" s="1509">
        <v>1400000</v>
      </c>
      <c r="P303" s="1509">
        <v>252000</v>
      </c>
      <c r="Q303" s="1509"/>
      <c r="R303" s="2837">
        <v>700000</v>
      </c>
      <c r="S303" s="2837">
        <v>126000</v>
      </c>
      <c r="T303" s="1507"/>
      <c r="U303" s="1495">
        <f t="shared" si="93"/>
        <v>2100000</v>
      </c>
      <c r="V303" s="1495">
        <f t="shared" si="94"/>
        <v>378000</v>
      </c>
      <c r="W303" s="1495">
        <f t="shared" si="95"/>
        <v>0</v>
      </c>
      <c r="X303" s="1495">
        <f t="shared" si="96"/>
        <v>6300000</v>
      </c>
      <c r="Y303" s="1495">
        <f t="shared" si="97"/>
        <v>100</v>
      </c>
      <c r="Z303" s="1495">
        <f t="shared" si="98"/>
        <v>0</v>
      </c>
      <c r="AA303" s="1506">
        <f t="shared" si="99"/>
        <v>0</v>
      </c>
      <c r="AB303" s="1505"/>
      <c r="AC303" s="1504">
        <f t="shared" si="75"/>
        <v>0</v>
      </c>
      <c r="AD303" s="1503">
        <f t="shared" si="83"/>
        <v>0</v>
      </c>
      <c r="AE303" s="1503">
        <f t="shared" si="84"/>
        <v>0</v>
      </c>
      <c r="AF303" s="1502">
        <f t="shared" si="85"/>
        <v>0</v>
      </c>
    </row>
    <row r="304" spans="1:32" s="1474" customFormat="1" ht="23.25" customHeight="1">
      <c r="A304" s="1515">
        <v>217</v>
      </c>
      <c r="B304" s="1513" t="s">
        <v>2486</v>
      </c>
      <c r="C304" s="1514" t="s">
        <v>2714</v>
      </c>
      <c r="D304" s="1514">
        <v>10</v>
      </c>
      <c r="E304" s="1513">
        <v>36000000</v>
      </c>
      <c r="F304" s="1512">
        <f t="shared" si="32"/>
        <v>6480000</v>
      </c>
      <c r="G304" s="2141">
        <v>42377</v>
      </c>
      <c r="H304" s="1511">
        <v>0.18</v>
      </c>
      <c r="I304" s="1508">
        <v>12</v>
      </c>
      <c r="J304" s="1508">
        <v>1</v>
      </c>
      <c r="K304" s="1508">
        <f t="shared" si="89"/>
        <v>3000000</v>
      </c>
      <c r="L304" s="1508">
        <f t="shared" si="90"/>
        <v>540000</v>
      </c>
      <c r="M304" s="1510">
        <f t="shared" si="33"/>
        <v>3000000</v>
      </c>
      <c r="N304" s="1510">
        <f t="shared" si="34"/>
        <v>540000</v>
      </c>
      <c r="O304" s="1509"/>
      <c r="P304" s="1509"/>
      <c r="Q304" s="1509"/>
      <c r="R304" s="2837">
        <v>3000000</v>
      </c>
      <c r="S304" s="2837">
        <v>540000</v>
      </c>
      <c r="T304" s="1507"/>
      <c r="U304" s="1495">
        <f t="shared" si="67"/>
        <v>3000000</v>
      </c>
      <c r="V304" s="1495">
        <f t="shared" si="68"/>
        <v>540000</v>
      </c>
      <c r="W304" s="1495">
        <f t="shared" si="69"/>
        <v>0</v>
      </c>
      <c r="X304" s="1495">
        <f t="shared" si="70"/>
        <v>33000000</v>
      </c>
      <c r="Y304" s="1495">
        <f t="shared" si="71"/>
        <v>100</v>
      </c>
      <c r="Z304" s="1495">
        <f t="shared" si="72"/>
        <v>0</v>
      </c>
      <c r="AA304" s="1506">
        <f t="shared" si="73"/>
        <v>0</v>
      </c>
      <c r="AB304" s="1505"/>
      <c r="AC304" s="1504">
        <f t="shared" si="75"/>
        <v>0</v>
      </c>
      <c r="AD304" s="1503">
        <f t="shared" si="83"/>
        <v>0</v>
      </c>
      <c r="AE304" s="1503">
        <f t="shared" si="84"/>
        <v>0</v>
      </c>
      <c r="AF304" s="1502">
        <f t="shared" si="85"/>
        <v>0</v>
      </c>
    </row>
    <row r="305" spans="1:32" s="1474" customFormat="1" ht="23.25" customHeight="1">
      <c r="A305" s="1515">
        <v>218</v>
      </c>
      <c r="B305" s="1513" t="s">
        <v>3</v>
      </c>
      <c r="C305" s="1514" t="s">
        <v>2714</v>
      </c>
      <c r="D305" s="1514">
        <v>10</v>
      </c>
      <c r="E305" s="1513">
        <v>27500000</v>
      </c>
      <c r="F305" s="1512">
        <f t="shared" si="32"/>
        <v>4950000</v>
      </c>
      <c r="G305" s="2141">
        <v>42383</v>
      </c>
      <c r="H305" s="1511">
        <v>0.18</v>
      </c>
      <c r="I305" s="1508">
        <v>12</v>
      </c>
      <c r="J305" s="1508">
        <v>1</v>
      </c>
      <c r="K305" s="1508">
        <f t="shared" si="89"/>
        <v>2291700</v>
      </c>
      <c r="L305" s="1508">
        <f t="shared" si="90"/>
        <v>412500</v>
      </c>
      <c r="M305" s="1510">
        <f t="shared" si="33"/>
        <v>2291700</v>
      </c>
      <c r="N305" s="1510">
        <f t="shared" si="34"/>
        <v>412500</v>
      </c>
      <c r="O305" s="1509"/>
      <c r="P305" s="1509"/>
      <c r="Q305" s="1509"/>
      <c r="R305" s="2837">
        <v>2291700</v>
      </c>
      <c r="S305" s="2837">
        <v>412500</v>
      </c>
      <c r="T305" s="1507"/>
      <c r="U305" s="1495">
        <f t="shared" si="67"/>
        <v>2291700</v>
      </c>
      <c r="V305" s="1495">
        <f t="shared" si="68"/>
        <v>412500</v>
      </c>
      <c r="W305" s="1495">
        <f t="shared" si="69"/>
        <v>0</v>
      </c>
      <c r="X305" s="1495">
        <f t="shared" si="70"/>
        <v>25208300</v>
      </c>
      <c r="Y305" s="1495">
        <f t="shared" si="71"/>
        <v>100</v>
      </c>
      <c r="Z305" s="1495">
        <f t="shared" si="72"/>
        <v>0</v>
      </c>
      <c r="AA305" s="1506">
        <f t="shared" si="73"/>
        <v>0</v>
      </c>
      <c r="AB305" s="1505"/>
      <c r="AC305" s="1504">
        <f t="shared" si="75"/>
        <v>0</v>
      </c>
      <c r="AD305" s="1503">
        <f t="shared" si="83"/>
        <v>0</v>
      </c>
      <c r="AE305" s="1503">
        <f t="shared" si="84"/>
        <v>0</v>
      </c>
      <c r="AF305" s="1502">
        <f t="shared" si="85"/>
        <v>0</v>
      </c>
    </row>
    <row r="306" spans="1:32" s="1474" customFormat="1" ht="23.25" customHeight="1">
      <c r="A306" s="1515">
        <v>219</v>
      </c>
      <c r="B306" s="1513" t="s">
        <v>2120</v>
      </c>
      <c r="C306" s="1514" t="s">
        <v>2714</v>
      </c>
      <c r="D306" s="1514">
        <v>13</v>
      </c>
      <c r="E306" s="1513">
        <v>27500000</v>
      </c>
      <c r="F306" s="1512">
        <f t="shared" si="32"/>
        <v>4950000</v>
      </c>
      <c r="G306" s="2141">
        <v>42383</v>
      </c>
      <c r="H306" s="1511">
        <v>0.18</v>
      </c>
      <c r="I306" s="1508">
        <v>12</v>
      </c>
      <c r="J306" s="1508">
        <v>1</v>
      </c>
      <c r="K306" s="1508">
        <f t="shared" ref="K306:K312" si="104">ROUND(E306/I306,-2)</f>
        <v>2291700</v>
      </c>
      <c r="L306" s="1508">
        <f t="shared" ref="L306:L312" si="105">F306/I306</f>
        <v>412500</v>
      </c>
      <c r="M306" s="1510">
        <f t="shared" ref="M306:M312" si="106">IF(J306&lt;I306,J306*K306,IF(J306&gt;=I306,E306))</f>
        <v>2291700</v>
      </c>
      <c r="N306" s="1510">
        <f t="shared" ref="N306:N312" si="107">IF(J306&lt;I306,J306*L306,IF(J306&gt;=I306,F306))</f>
        <v>412500</v>
      </c>
      <c r="O306" s="1509"/>
      <c r="P306" s="1509"/>
      <c r="Q306" s="1509"/>
      <c r="R306" s="2837">
        <v>2291700</v>
      </c>
      <c r="S306" s="2837">
        <v>412500</v>
      </c>
      <c r="T306" s="1507"/>
      <c r="U306" s="1495">
        <f t="shared" ref="U306:U312" si="108">SUM(O306+R306)</f>
        <v>2291700</v>
      </c>
      <c r="V306" s="1495">
        <f t="shared" ref="V306:V312" si="109">SUM(P306+S306)</f>
        <v>412500</v>
      </c>
      <c r="W306" s="1495">
        <f t="shared" ref="W306:W312" si="110">SUM(Q306+T306)</f>
        <v>0</v>
      </c>
      <c r="X306" s="1495">
        <f t="shared" ref="X306:X312" si="111">SUM(E306-U306)</f>
        <v>25208300</v>
      </c>
      <c r="Y306" s="1495">
        <f t="shared" ref="Y306:Y312" si="112">SUM(U306/M306)*100</f>
        <v>100</v>
      </c>
      <c r="Z306" s="1495">
        <f t="shared" ref="Z306:Z312" si="113">SUM(M306-U306)</f>
        <v>0</v>
      </c>
      <c r="AA306" s="1506">
        <f t="shared" ref="AA306:AA312" si="114">SUM(N306-V306)</f>
        <v>0</v>
      </c>
      <c r="AB306" s="1505"/>
      <c r="AC306" s="1504">
        <f t="shared" ref="AC306:AC312" si="115">IF(AND(AB306&gt;0,AB306&lt;=2),X306,0)</f>
        <v>0</v>
      </c>
      <c r="AD306" s="1503">
        <f t="shared" ref="AD306:AD312" si="116">IF(AND(AB306&gt;=3,AB306&lt;=4),X306,0)</f>
        <v>0</v>
      </c>
      <c r="AE306" s="1503">
        <f t="shared" ref="AE306:AE312" si="117">IF(AND(AB306&gt;=5,AB306&lt;=6),X306,0)</f>
        <v>0</v>
      </c>
      <c r="AF306" s="1502">
        <f t="shared" ref="AF306:AF312" si="118">IF(AB306&gt;6,X306,0)</f>
        <v>0</v>
      </c>
    </row>
    <row r="307" spans="1:32" s="1474" customFormat="1" ht="23.25" customHeight="1">
      <c r="A307" s="1515">
        <v>220</v>
      </c>
      <c r="B307" s="1513" t="s">
        <v>1960</v>
      </c>
      <c r="C307" s="1514" t="s">
        <v>2714</v>
      </c>
      <c r="D307" s="1514">
        <v>11</v>
      </c>
      <c r="E307" s="1513">
        <v>30000000</v>
      </c>
      <c r="F307" s="1512">
        <f t="shared" si="32"/>
        <v>5400000</v>
      </c>
      <c r="G307" s="2141">
        <v>42389</v>
      </c>
      <c r="H307" s="1511">
        <v>0.18</v>
      </c>
      <c r="I307" s="1508">
        <v>12</v>
      </c>
      <c r="J307" s="1508">
        <v>1</v>
      </c>
      <c r="K307" s="1508">
        <f t="shared" si="104"/>
        <v>2500000</v>
      </c>
      <c r="L307" s="1508">
        <f t="shared" si="105"/>
        <v>450000</v>
      </c>
      <c r="M307" s="1510">
        <f t="shared" si="106"/>
        <v>2500000</v>
      </c>
      <c r="N307" s="1510">
        <f t="shared" si="107"/>
        <v>450000</v>
      </c>
      <c r="O307" s="1509"/>
      <c r="P307" s="1509"/>
      <c r="Q307" s="1509"/>
      <c r="R307" s="2837">
        <v>2500000</v>
      </c>
      <c r="S307" s="2837">
        <v>450000</v>
      </c>
      <c r="T307" s="1507"/>
      <c r="U307" s="1495">
        <f t="shared" si="108"/>
        <v>2500000</v>
      </c>
      <c r="V307" s="1495">
        <f t="shared" si="109"/>
        <v>450000</v>
      </c>
      <c r="W307" s="1495">
        <f t="shared" si="110"/>
        <v>0</v>
      </c>
      <c r="X307" s="1495">
        <f t="shared" si="111"/>
        <v>27500000</v>
      </c>
      <c r="Y307" s="1495">
        <f t="shared" si="112"/>
        <v>100</v>
      </c>
      <c r="Z307" s="1495">
        <f t="shared" si="113"/>
        <v>0</v>
      </c>
      <c r="AA307" s="1506">
        <f t="shared" si="114"/>
        <v>0</v>
      </c>
      <c r="AB307" s="1505"/>
      <c r="AC307" s="1504">
        <f t="shared" si="115"/>
        <v>0</v>
      </c>
      <c r="AD307" s="1503">
        <f t="shared" si="116"/>
        <v>0</v>
      </c>
      <c r="AE307" s="1503">
        <f t="shared" si="117"/>
        <v>0</v>
      </c>
      <c r="AF307" s="1502">
        <f t="shared" si="118"/>
        <v>0</v>
      </c>
    </row>
    <row r="308" spans="1:32" s="1474" customFormat="1" ht="23.25" customHeight="1">
      <c r="A308" s="1515">
        <v>221</v>
      </c>
      <c r="B308" s="1513" t="s">
        <v>1961</v>
      </c>
      <c r="C308" s="1514" t="s">
        <v>2714</v>
      </c>
      <c r="D308" s="1514">
        <v>10</v>
      </c>
      <c r="E308" s="1513">
        <v>30000000</v>
      </c>
      <c r="F308" s="1512">
        <f t="shared" si="32"/>
        <v>5400000</v>
      </c>
      <c r="G308" s="2141">
        <v>42403</v>
      </c>
      <c r="H308" s="1511">
        <v>0.18</v>
      </c>
      <c r="I308" s="1508">
        <v>12</v>
      </c>
      <c r="J308" s="1508"/>
      <c r="K308" s="1508">
        <f t="shared" si="104"/>
        <v>2500000</v>
      </c>
      <c r="L308" s="1508">
        <f t="shared" si="105"/>
        <v>450000</v>
      </c>
      <c r="M308" s="1510">
        <f t="shared" si="106"/>
        <v>0</v>
      </c>
      <c r="N308" s="1510">
        <f t="shared" si="107"/>
        <v>0</v>
      </c>
      <c r="O308" s="1509"/>
      <c r="P308" s="1509"/>
      <c r="Q308" s="1509"/>
      <c r="R308" s="2650"/>
      <c r="S308" s="2650"/>
      <c r="T308" s="1507"/>
      <c r="U308" s="1495">
        <f t="shared" si="108"/>
        <v>0</v>
      </c>
      <c r="V308" s="1495">
        <f t="shared" si="109"/>
        <v>0</v>
      </c>
      <c r="W308" s="1495">
        <f t="shared" si="110"/>
        <v>0</v>
      </c>
      <c r="X308" s="1495">
        <f t="shared" si="111"/>
        <v>30000000</v>
      </c>
      <c r="Y308" s="1495" t="e">
        <f t="shared" si="112"/>
        <v>#DIV/0!</v>
      </c>
      <c r="Z308" s="1495">
        <f t="shared" si="113"/>
        <v>0</v>
      </c>
      <c r="AA308" s="1506">
        <f t="shared" si="114"/>
        <v>0</v>
      </c>
      <c r="AB308" s="1505"/>
      <c r="AC308" s="1504">
        <f t="shared" si="115"/>
        <v>0</v>
      </c>
      <c r="AD308" s="1503">
        <f t="shared" si="116"/>
        <v>0</v>
      </c>
      <c r="AE308" s="1503">
        <f t="shared" si="117"/>
        <v>0</v>
      </c>
      <c r="AF308" s="1502">
        <f t="shared" si="118"/>
        <v>0</v>
      </c>
    </row>
    <row r="309" spans="1:32" s="1474" customFormat="1" ht="23.25" customHeight="1">
      <c r="A309" s="1515">
        <v>222</v>
      </c>
      <c r="B309" s="1513" t="s">
        <v>2352</v>
      </c>
      <c r="C309" s="1514" t="s">
        <v>2714</v>
      </c>
      <c r="D309" s="1514">
        <v>15</v>
      </c>
      <c r="E309" s="1513">
        <v>40000000</v>
      </c>
      <c r="F309" s="1512">
        <f t="shared" si="32"/>
        <v>7200000</v>
      </c>
      <c r="G309" s="2141">
        <v>42416</v>
      </c>
      <c r="H309" s="1511">
        <v>0.18</v>
      </c>
      <c r="I309" s="1508">
        <v>12</v>
      </c>
      <c r="J309" s="1508"/>
      <c r="K309" s="1508">
        <f t="shared" si="104"/>
        <v>3333300</v>
      </c>
      <c r="L309" s="1508">
        <f t="shared" si="105"/>
        <v>600000</v>
      </c>
      <c r="M309" s="1510">
        <f t="shared" si="106"/>
        <v>0</v>
      </c>
      <c r="N309" s="1510">
        <f t="shared" si="107"/>
        <v>0</v>
      </c>
      <c r="O309" s="1509"/>
      <c r="P309" s="1509"/>
      <c r="Q309" s="1509"/>
      <c r="R309" s="2650"/>
      <c r="S309" s="2650"/>
      <c r="T309" s="1507"/>
      <c r="U309" s="1495">
        <f t="shared" si="108"/>
        <v>0</v>
      </c>
      <c r="V309" s="1495">
        <f t="shared" si="109"/>
        <v>0</v>
      </c>
      <c r="W309" s="1495">
        <f t="shared" si="110"/>
        <v>0</v>
      </c>
      <c r="X309" s="1495">
        <f t="shared" si="111"/>
        <v>40000000</v>
      </c>
      <c r="Y309" s="1495" t="e">
        <f t="shared" si="112"/>
        <v>#DIV/0!</v>
      </c>
      <c r="Z309" s="1495">
        <f t="shared" si="113"/>
        <v>0</v>
      </c>
      <c r="AA309" s="1506">
        <f t="shared" si="114"/>
        <v>0</v>
      </c>
      <c r="AB309" s="1505"/>
      <c r="AC309" s="1504">
        <f t="shared" si="115"/>
        <v>0</v>
      </c>
      <c r="AD309" s="1503">
        <f t="shared" si="116"/>
        <v>0</v>
      </c>
      <c r="AE309" s="1503">
        <f t="shared" si="117"/>
        <v>0</v>
      </c>
      <c r="AF309" s="1502">
        <f t="shared" si="118"/>
        <v>0</v>
      </c>
    </row>
    <row r="310" spans="1:32" s="1474" customFormat="1" ht="23.25" customHeight="1">
      <c r="A310" s="1515">
        <v>223</v>
      </c>
      <c r="B310" s="1513" t="s">
        <v>1955</v>
      </c>
      <c r="C310" s="1514" t="s">
        <v>2714</v>
      </c>
      <c r="D310" s="1514">
        <v>13</v>
      </c>
      <c r="E310" s="1513">
        <v>40000000</v>
      </c>
      <c r="F310" s="1512">
        <f t="shared" si="32"/>
        <v>7200000</v>
      </c>
      <c r="G310" s="2141">
        <v>42416</v>
      </c>
      <c r="H310" s="1511">
        <v>0.18</v>
      </c>
      <c r="I310" s="1508">
        <v>12</v>
      </c>
      <c r="J310" s="1508"/>
      <c r="K310" s="1508">
        <f t="shared" si="104"/>
        <v>3333300</v>
      </c>
      <c r="L310" s="1508">
        <f t="shared" si="105"/>
        <v>600000</v>
      </c>
      <c r="M310" s="1510">
        <f t="shared" si="106"/>
        <v>0</v>
      </c>
      <c r="N310" s="1510">
        <f t="shared" si="107"/>
        <v>0</v>
      </c>
      <c r="O310" s="1509"/>
      <c r="P310" s="1509"/>
      <c r="Q310" s="1509"/>
      <c r="R310" s="2650"/>
      <c r="S310" s="2650"/>
      <c r="T310" s="1507"/>
      <c r="U310" s="1495">
        <f t="shared" si="108"/>
        <v>0</v>
      </c>
      <c r="V310" s="1495">
        <f t="shared" si="109"/>
        <v>0</v>
      </c>
      <c r="W310" s="1495">
        <f t="shared" si="110"/>
        <v>0</v>
      </c>
      <c r="X310" s="1495">
        <f t="shared" si="111"/>
        <v>40000000</v>
      </c>
      <c r="Y310" s="1495" t="e">
        <f t="shared" si="112"/>
        <v>#DIV/0!</v>
      </c>
      <c r="Z310" s="1495">
        <f t="shared" si="113"/>
        <v>0</v>
      </c>
      <c r="AA310" s="1506">
        <f t="shared" si="114"/>
        <v>0</v>
      </c>
      <c r="AB310" s="1505"/>
      <c r="AC310" s="1504">
        <f t="shared" si="115"/>
        <v>0</v>
      </c>
      <c r="AD310" s="1503">
        <f t="shared" si="116"/>
        <v>0</v>
      </c>
      <c r="AE310" s="1503">
        <f t="shared" si="117"/>
        <v>0</v>
      </c>
      <c r="AF310" s="1502">
        <f t="shared" si="118"/>
        <v>0</v>
      </c>
    </row>
    <row r="311" spans="1:32" s="1474" customFormat="1" ht="23.25" customHeight="1">
      <c r="A311" s="1515">
        <v>224</v>
      </c>
      <c r="B311" s="1513" t="s">
        <v>1944</v>
      </c>
      <c r="C311" s="1514" t="s">
        <v>2714</v>
      </c>
      <c r="D311" s="1514">
        <v>14</v>
      </c>
      <c r="E311" s="1513">
        <v>45000000</v>
      </c>
      <c r="F311" s="1512">
        <f t="shared" si="32"/>
        <v>8100000</v>
      </c>
      <c r="G311" s="2141">
        <v>42417</v>
      </c>
      <c r="H311" s="1511">
        <v>0.18</v>
      </c>
      <c r="I311" s="1508">
        <v>12</v>
      </c>
      <c r="J311" s="1508"/>
      <c r="K311" s="1508">
        <f t="shared" si="104"/>
        <v>3750000</v>
      </c>
      <c r="L311" s="1508">
        <f t="shared" si="105"/>
        <v>675000</v>
      </c>
      <c r="M311" s="1510">
        <f t="shared" si="106"/>
        <v>0</v>
      </c>
      <c r="N311" s="1510">
        <f t="shared" si="107"/>
        <v>0</v>
      </c>
      <c r="O311" s="1509"/>
      <c r="P311" s="1509"/>
      <c r="Q311" s="1509"/>
      <c r="R311" s="2650"/>
      <c r="S311" s="2650"/>
      <c r="T311" s="1507"/>
      <c r="U311" s="1495">
        <f t="shared" si="108"/>
        <v>0</v>
      </c>
      <c r="V311" s="1495">
        <f t="shared" si="109"/>
        <v>0</v>
      </c>
      <c r="W311" s="1495">
        <f t="shared" si="110"/>
        <v>0</v>
      </c>
      <c r="X311" s="1495">
        <f t="shared" si="111"/>
        <v>45000000</v>
      </c>
      <c r="Y311" s="1495" t="e">
        <f t="shared" si="112"/>
        <v>#DIV/0!</v>
      </c>
      <c r="Z311" s="1495">
        <f t="shared" si="113"/>
        <v>0</v>
      </c>
      <c r="AA311" s="1506">
        <f t="shared" si="114"/>
        <v>0</v>
      </c>
      <c r="AB311" s="1505"/>
      <c r="AC311" s="1504">
        <f t="shared" si="115"/>
        <v>0</v>
      </c>
      <c r="AD311" s="1503">
        <f t="shared" si="116"/>
        <v>0</v>
      </c>
      <c r="AE311" s="1503">
        <f t="shared" si="117"/>
        <v>0</v>
      </c>
      <c r="AF311" s="1502">
        <f t="shared" si="118"/>
        <v>0</v>
      </c>
    </row>
    <row r="312" spans="1:32" s="1474" customFormat="1" ht="23.25" customHeight="1">
      <c r="A312" s="1515">
        <v>225</v>
      </c>
      <c r="B312" s="1513" t="s">
        <v>2365</v>
      </c>
      <c r="C312" s="1514" t="s">
        <v>2714</v>
      </c>
      <c r="D312" s="1514">
        <v>10</v>
      </c>
      <c r="E312" s="1513">
        <v>30000000</v>
      </c>
      <c r="F312" s="1512">
        <f t="shared" si="32"/>
        <v>5400000</v>
      </c>
      <c r="G312" s="2141">
        <v>42417</v>
      </c>
      <c r="H312" s="1511">
        <v>0.18</v>
      </c>
      <c r="I312" s="1508">
        <v>12</v>
      </c>
      <c r="J312" s="1508"/>
      <c r="K312" s="1508">
        <f t="shared" si="104"/>
        <v>2500000</v>
      </c>
      <c r="L312" s="1508">
        <f t="shared" si="105"/>
        <v>450000</v>
      </c>
      <c r="M312" s="1510">
        <f t="shared" si="106"/>
        <v>0</v>
      </c>
      <c r="N312" s="1510">
        <f t="shared" si="107"/>
        <v>0</v>
      </c>
      <c r="O312" s="1509"/>
      <c r="P312" s="1509"/>
      <c r="Q312" s="1509"/>
      <c r="R312" s="2650"/>
      <c r="S312" s="2650"/>
      <c r="T312" s="1507"/>
      <c r="U312" s="1495">
        <f t="shared" si="108"/>
        <v>0</v>
      </c>
      <c r="V312" s="1495">
        <f t="shared" si="109"/>
        <v>0</v>
      </c>
      <c r="W312" s="1495">
        <f t="shared" si="110"/>
        <v>0</v>
      </c>
      <c r="X312" s="1495">
        <f t="shared" si="111"/>
        <v>30000000</v>
      </c>
      <c r="Y312" s="1495" t="e">
        <f t="shared" si="112"/>
        <v>#DIV/0!</v>
      </c>
      <c r="Z312" s="1495">
        <f t="shared" si="113"/>
        <v>0</v>
      </c>
      <c r="AA312" s="1506">
        <f t="shared" si="114"/>
        <v>0</v>
      </c>
      <c r="AB312" s="1505"/>
      <c r="AC312" s="1504">
        <f t="shared" si="115"/>
        <v>0</v>
      </c>
      <c r="AD312" s="1503">
        <f t="shared" si="116"/>
        <v>0</v>
      </c>
      <c r="AE312" s="1503">
        <f t="shared" si="117"/>
        <v>0</v>
      </c>
      <c r="AF312" s="1502">
        <f t="shared" si="118"/>
        <v>0</v>
      </c>
    </row>
    <row r="313" spans="1:32" s="1474" customFormat="1" ht="23.25" customHeight="1">
      <c r="A313" s="1515">
        <v>226</v>
      </c>
      <c r="B313" s="1513" t="s">
        <v>1949</v>
      </c>
      <c r="C313" s="1514" t="s">
        <v>2954</v>
      </c>
      <c r="D313" s="1514">
        <v>13</v>
      </c>
      <c r="E313" s="1513">
        <v>35000000</v>
      </c>
      <c r="F313" s="1512">
        <f t="shared" si="32"/>
        <v>6300000</v>
      </c>
      <c r="G313" s="2141">
        <v>42422</v>
      </c>
      <c r="H313" s="1511">
        <v>0.18</v>
      </c>
      <c r="I313" s="1508">
        <v>12</v>
      </c>
      <c r="J313" s="1508"/>
      <c r="K313" s="1508">
        <f t="shared" ref="K313:K318" si="119">ROUND(E313/I313,-2)</f>
        <v>2916700</v>
      </c>
      <c r="L313" s="1508">
        <f t="shared" ref="L313:L318" si="120">F313/I313</f>
        <v>525000</v>
      </c>
      <c r="M313" s="1510">
        <f t="shared" ref="M313:M318" si="121">IF(J313&lt;I313,J313*K313,IF(J313&gt;=I313,E313))</f>
        <v>0</v>
      </c>
      <c r="N313" s="1510">
        <f t="shared" ref="N313:N318" si="122">IF(J313&lt;I313,J313*L313,IF(J313&gt;=I313,F313))</f>
        <v>0</v>
      </c>
      <c r="O313" s="1509"/>
      <c r="P313" s="1509"/>
      <c r="Q313" s="1509"/>
      <c r="R313" s="2650"/>
      <c r="S313" s="2650"/>
      <c r="T313" s="1507"/>
      <c r="U313" s="1495">
        <f t="shared" ref="U313:U319" si="123">SUM(O313+R313)</f>
        <v>0</v>
      </c>
      <c r="V313" s="1495">
        <f t="shared" ref="V313:V319" si="124">SUM(P313+S313)</f>
        <v>0</v>
      </c>
      <c r="W313" s="1495">
        <f t="shared" ref="W313:W319" si="125">SUM(Q313+T313)</f>
        <v>0</v>
      </c>
      <c r="X313" s="1495">
        <f t="shared" ref="X313:X319" si="126">SUM(E313-U313)</f>
        <v>35000000</v>
      </c>
      <c r="Y313" s="1495" t="e">
        <f t="shared" ref="Y313:Y319" si="127">SUM(U313/M313)*100</f>
        <v>#DIV/0!</v>
      </c>
      <c r="Z313" s="1495">
        <f t="shared" ref="Z313:Z319" si="128">SUM(M313-U313)</f>
        <v>0</v>
      </c>
      <c r="AA313" s="1506">
        <f t="shared" ref="AA313:AA319" si="129">SUM(N313-V313)</f>
        <v>0</v>
      </c>
      <c r="AB313" s="1505"/>
      <c r="AC313" s="1504">
        <f t="shared" ref="AC313:AC319" si="130">IF(AND(AB313&gt;0,AB313&lt;=2),X313,0)</f>
        <v>0</v>
      </c>
      <c r="AD313" s="1503">
        <f t="shared" ref="AD313:AD319" si="131">IF(AND(AB313&gt;=3,AB313&lt;=4),X313,0)</f>
        <v>0</v>
      </c>
      <c r="AE313" s="1503">
        <f t="shared" ref="AE313:AE319" si="132">IF(AND(AB313&gt;=5,AB313&lt;=6),X313,0)</f>
        <v>0</v>
      </c>
      <c r="AF313" s="1502">
        <f t="shared" ref="AF313:AF319" si="133">IF(AB313&gt;6,X313,0)</f>
        <v>0</v>
      </c>
    </row>
    <row r="314" spans="1:32" s="1474" customFormat="1" ht="23.25" customHeight="1">
      <c r="A314" s="1515"/>
      <c r="B314" s="1513"/>
      <c r="C314" s="1514"/>
      <c r="D314" s="1514"/>
      <c r="E314" s="1513"/>
      <c r="F314" s="1512"/>
      <c r="G314" s="2141"/>
      <c r="H314" s="1511"/>
      <c r="I314" s="1508"/>
      <c r="J314" s="1508"/>
      <c r="K314" s="1508" t="e">
        <f t="shared" si="119"/>
        <v>#DIV/0!</v>
      </c>
      <c r="L314" s="1508" t="e">
        <f t="shared" si="120"/>
        <v>#DIV/0!</v>
      </c>
      <c r="M314" s="1510">
        <f t="shared" si="121"/>
        <v>0</v>
      </c>
      <c r="N314" s="1510">
        <f t="shared" si="122"/>
        <v>0</v>
      </c>
      <c r="O314" s="1509"/>
      <c r="P314" s="1509"/>
      <c r="Q314" s="1509"/>
      <c r="R314" s="2650"/>
      <c r="S314" s="2650"/>
      <c r="T314" s="1507"/>
      <c r="U314" s="1495">
        <f t="shared" si="123"/>
        <v>0</v>
      </c>
      <c r="V314" s="1495">
        <f t="shared" si="124"/>
        <v>0</v>
      </c>
      <c r="W314" s="1495">
        <f t="shared" si="125"/>
        <v>0</v>
      </c>
      <c r="X314" s="1495">
        <f t="shared" si="126"/>
        <v>0</v>
      </c>
      <c r="Y314" s="1495" t="e">
        <f t="shared" si="127"/>
        <v>#DIV/0!</v>
      </c>
      <c r="Z314" s="1495">
        <f t="shared" si="128"/>
        <v>0</v>
      </c>
      <c r="AA314" s="1506">
        <f t="shared" si="129"/>
        <v>0</v>
      </c>
      <c r="AB314" s="1505"/>
      <c r="AC314" s="1504">
        <f t="shared" si="130"/>
        <v>0</v>
      </c>
      <c r="AD314" s="1503">
        <f t="shared" si="131"/>
        <v>0</v>
      </c>
      <c r="AE314" s="1503">
        <f t="shared" si="132"/>
        <v>0</v>
      </c>
      <c r="AF314" s="1502">
        <f t="shared" si="133"/>
        <v>0</v>
      </c>
    </row>
    <row r="315" spans="1:32" s="1474" customFormat="1" ht="23.25" customHeight="1">
      <c r="A315" s="1515"/>
      <c r="B315" s="1513"/>
      <c r="C315" s="1514"/>
      <c r="D315" s="1514"/>
      <c r="E315" s="1513"/>
      <c r="F315" s="1512"/>
      <c r="G315" s="2141"/>
      <c r="H315" s="1511"/>
      <c r="I315" s="1508"/>
      <c r="J315" s="1508"/>
      <c r="K315" s="1508" t="e">
        <f t="shared" si="119"/>
        <v>#DIV/0!</v>
      </c>
      <c r="L315" s="1508" t="e">
        <f t="shared" si="120"/>
        <v>#DIV/0!</v>
      </c>
      <c r="M315" s="1510">
        <f t="shared" si="121"/>
        <v>0</v>
      </c>
      <c r="N315" s="1510">
        <f t="shared" si="122"/>
        <v>0</v>
      </c>
      <c r="O315" s="1509"/>
      <c r="P315" s="1509"/>
      <c r="Q315" s="1509"/>
      <c r="R315" s="2650"/>
      <c r="S315" s="2650"/>
      <c r="T315" s="1507"/>
      <c r="U315" s="1495">
        <f t="shared" si="123"/>
        <v>0</v>
      </c>
      <c r="V315" s="1495">
        <f t="shared" si="124"/>
        <v>0</v>
      </c>
      <c r="W315" s="1495">
        <f t="shared" si="125"/>
        <v>0</v>
      </c>
      <c r="X315" s="1495">
        <f t="shared" si="126"/>
        <v>0</v>
      </c>
      <c r="Y315" s="1495" t="e">
        <f t="shared" si="127"/>
        <v>#DIV/0!</v>
      </c>
      <c r="Z315" s="1495">
        <f t="shared" si="128"/>
        <v>0</v>
      </c>
      <c r="AA315" s="1506">
        <f t="shared" si="129"/>
        <v>0</v>
      </c>
      <c r="AB315" s="1505"/>
      <c r="AC315" s="1504">
        <f t="shared" si="130"/>
        <v>0</v>
      </c>
      <c r="AD315" s="1503">
        <f t="shared" si="131"/>
        <v>0</v>
      </c>
      <c r="AE315" s="1503">
        <f t="shared" si="132"/>
        <v>0</v>
      </c>
      <c r="AF315" s="1502">
        <f t="shared" si="133"/>
        <v>0</v>
      </c>
    </row>
    <row r="316" spans="1:32" s="1474" customFormat="1" ht="23.25" customHeight="1">
      <c r="A316" s="1515"/>
      <c r="B316" s="1513"/>
      <c r="C316" s="1514"/>
      <c r="D316" s="1514"/>
      <c r="E316" s="1513"/>
      <c r="F316" s="1512"/>
      <c r="G316" s="2141"/>
      <c r="H316" s="1511"/>
      <c r="I316" s="1508"/>
      <c r="J316" s="1508"/>
      <c r="K316" s="1508" t="e">
        <f t="shared" si="119"/>
        <v>#DIV/0!</v>
      </c>
      <c r="L316" s="1508" t="e">
        <f t="shared" si="120"/>
        <v>#DIV/0!</v>
      </c>
      <c r="M316" s="1510">
        <f t="shared" si="121"/>
        <v>0</v>
      </c>
      <c r="N316" s="1510">
        <f t="shared" si="122"/>
        <v>0</v>
      </c>
      <c r="O316" s="1509"/>
      <c r="P316" s="1509"/>
      <c r="Q316" s="1509"/>
      <c r="R316" s="2650"/>
      <c r="S316" s="2650"/>
      <c r="T316" s="1507"/>
      <c r="U316" s="1495">
        <f t="shared" si="123"/>
        <v>0</v>
      </c>
      <c r="V316" s="1495">
        <f t="shared" si="124"/>
        <v>0</v>
      </c>
      <c r="W316" s="1495">
        <f t="shared" si="125"/>
        <v>0</v>
      </c>
      <c r="X316" s="1495">
        <f t="shared" si="126"/>
        <v>0</v>
      </c>
      <c r="Y316" s="1495" t="e">
        <f t="shared" si="127"/>
        <v>#DIV/0!</v>
      </c>
      <c r="Z316" s="1495">
        <f t="shared" si="128"/>
        <v>0</v>
      </c>
      <c r="AA316" s="1506">
        <f t="shared" si="129"/>
        <v>0</v>
      </c>
      <c r="AB316" s="1505"/>
      <c r="AC316" s="1504">
        <f t="shared" si="130"/>
        <v>0</v>
      </c>
      <c r="AD316" s="1503">
        <f t="shared" si="131"/>
        <v>0</v>
      </c>
      <c r="AE316" s="1503">
        <f t="shared" si="132"/>
        <v>0</v>
      </c>
      <c r="AF316" s="1502">
        <f t="shared" si="133"/>
        <v>0</v>
      </c>
    </row>
    <row r="317" spans="1:32" s="1474" customFormat="1" ht="23.25" customHeight="1">
      <c r="A317" s="1515"/>
      <c r="B317" s="1513"/>
      <c r="C317" s="1514"/>
      <c r="D317" s="1514"/>
      <c r="E317" s="1513"/>
      <c r="F317" s="1512"/>
      <c r="G317" s="2141"/>
      <c r="H317" s="1511"/>
      <c r="I317" s="1508"/>
      <c r="J317" s="1508"/>
      <c r="K317" s="1508" t="e">
        <f t="shared" si="119"/>
        <v>#DIV/0!</v>
      </c>
      <c r="L317" s="1508" t="e">
        <f t="shared" si="120"/>
        <v>#DIV/0!</v>
      </c>
      <c r="M317" s="1510">
        <f t="shared" si="121"/>
        <v>0</v>
      </c>
      <c r="N317" s="1510">
        <f t="shared" si="122"/>
        <v>0</v>
      </c>
      <c r="O317" s="1509"/>
      <c r="P317" s="1509"/>
      <c r="Q317" s="1509"/>
      <c r="R317" s="2650"/>
      <c r="S317" s="2650"/>
      <c r="T317" s="1507"/>
      <c r="U317" s="1495">
        <f t="shared" si="123"/>
        <v>0</v>
      </c>
      <c r="V317" s="1495">
        <f t="shared" si="124"/>
        <v>0</v>
      </c>
      <c r="W317" s="1495">
        <f t="shared" si="125"/>
        <v>0</v>
      </c>
      <c r="X317" s="1495">
        <f t="shared" si="126"/>
        <v>0</v>
      </c>
      <c r="Y317" s="1495" t="e">
        <f t="shared" si="127"/>
        <v>#DIV/0!</v>
      </c>
      <c r="Z317" s="1495">
        <f t="shared" si="128"/>
        <v>0</v>
      </c>
      <c r="AA317" s="1506">
        <f t="shared" si="129"/>
        <v>0</v>
      </c>
      <c r="AB317" s="1505"/>
      <c r="AC317" s="1504">
        <f t="shared" si="130"/>
        <v>0</v>
      </c>
      <c r="AD317" s="1503">
        <f t="shared" si="131"/>
        <v>0</v>
      </c>
      <c r="AE317" s="1503">
        <f t="shared" si="132"/>
        <v>0</v>
      </c>
      <c r="AF317" s="1502">
        <f t="shared" si="133"/>
        <v>0</v>
      </c>
    </row>
    <row r="318" spans="1:32" s="1474" customFormat="1" ht="23.25" customHeight="1">
      <c r="A318" s="1515"/>
      <c r="B318" s="1513"/>
      <c r="C318" s="1514"/>
      <c r="D318" s="1514"/>
      <c r="E318" s="1513"/>
      <c r="F318" s="1512"/>
      <c r="G318" s="2141"/>
      <c r="H318" s="1511"/>
      <c r="I318" s="1508"/>
      <c r="J318" s="1508"/>
      <c r="K318" s="1508" t="e">
        <f t="shared" si="119"/>
        <v>#DIV/0!</v>
      </c>
      <c r="L318" s="1508" t="e">
        <f t="shared" si="120"/>
        <v>#DIV/0!</v>
      </c>
      <c r="M318" s="1510">
        <f t="shared" si="121"/>
        <v>0</v>
      </c>
      <c r="N318" s="1510">
        <f t="shared" si="122"/>
        <v>0</v>
      </c>
      <c r="O318" s="1509"/>
      <c r="P318" s="1509"/>
      <c r="Q318" s="1509"/>
      <c r="R318" s="2650"/>
      <c r="S318" s="2650"/>
      <c r="T318" s="1507"/>
      <c r="U318" s="1495">
        <f t="shared" si="123"/>
        <v>0</v>
      </c>
      <c r="V318" s="1495">
        <f t="shared" si="124"/>
        <v>0</v>
      </c>
      <c r="W318" s="1495">
        <f t="shared" si="125"/>
        <v>0</v>
      </c>
      <c r="X318" s="1495">
        <f t="shared" si="126"/>
        <v>0</v>
      </c>
      <c r="Y318" s="1495" t="e">
        <f t="shared" si="127"/>
        <v>#DIV/0!</v>
      </c>
      <c r="Z318" s="1495">
        <f t="shared" si="128"/>
        <v>0</v>
      </c>
      <c r="AA318" s="1506">
        <f t="shared" si="129"/>
        <v>0</v>
      </c>
      <c r="AB318" s="1505"/>
      <c r="AC318" s="1504">
        <f t="shared" si="130"/>
        <v>0</v>
      </c>
      <c r="AD318" s="1503">
        <f t="shared" si="131"/>
        <v>0</v>
      </c>
      <c r="AE318" s="1503">
        <f t="shared" si="132"/>
        <v>0</v>
      </c>
      <c r="AF318" s="1502">
        <f t="shared" si="133"/>
        <v>0</v>
      </c>
    </row>
    <row r="319" spans="1:32" s="1474" customFormat="1" ht="23.25" customHeight="1">
      <c r="A319" s="1515"/>
      <c r="B319" s="1513"/>
      <c r="C319" s="1514"/>
      <c r="D319" s="1514"/>
      <c r="E319" s="1513"/>
      <c r="F319" s="1512">
        <f t="shared" si="32"/>
        <v>0</v>
      </c>
      <c r="G319" s="1508"/>
      <c r="H319" s="1511"/>
      <c r="I319" s="1508"/>
      <c r="J319" s="1508"/>
      <c r="K319" s="1508" t="e">
        <f t="shared" si="89"/>
        <v>#DIV/0!</v>
      </c>
      <c r="L319" s="1508" t="e">
        <f t="shared" si="90"/>
        <v>#DIV/0!</v>
      </c>
      <c r="M319" s="1510">
        <f t="shared" si="33"/>
        <v>0</v>
      </c>
      <c r="N319" s="1510">
        <f t="shared" si="34"/>
        <v>0</v>
      </c>
      <c r="O319" s="1509"/>
      <c r="P319" s="1509"/>
      <c r="Q319" s="1509"/>
      <c r="R319" s="1508"/>
      <c r="S319" s="1508"/>
      <c r="T319" s="1507"/>
      <c r="U319" s="1495">
        <f t="shared" si="123"/>
        <v>0</v>
      </c>
      <c r="V319" s="1495">
        <f t="shared" si="124"/>
        <v>0</v>
      </c>
      <c r="W319" s="1495">
        <f t="shared" si="125"/>
        <v>0</v>
      </c>
      <c r="X319" s="1495">
        <f t="shared" si="126"/>
        <v>0</v>
      </c>
      <c r="Y319" s="1495" t="e">
        <f t="shared" si="127"/>
        <v>#DIV/0!</v>
      </c>
      <c r="Z319" s="1495">
        <f t="shared" si="128"/>
        <v>0</v>
      </c>
      <c r="AA319" s="1506">
        <f t="shared" si="129"/>
        <v>0</v>
      </c>
      <c r="AB319" s="1505"/>
      <c r="AC319" s="1504">
        <f t="shared" si="130"/>
        <v>0</v>
      </c>
      <c r="AD319" s="1503">
        <f t="shared" si="131"/>
        <v>0</v>
      </c>
      <c r="AE319" s="1503">
        <f t="shared" si="132"/>
        <v>0</v>
      </c>
      <c r="AF319" s="1502">
        <f t="shared" si="133"/>
        <v>0</v>
      </c>
    </row>
    <row r="320" spans="1:32" s="1474" customFormat="1" ht="23.25" customHeight="1" thickBot="1">
      <c r="A320" s="1501"/>
      <c r="B320" s="1496"/>
      <c r="C320" s="1499"/>
      <c r="D320" s="1499"/>
      <c r="E320" s="1496"/>
      <c r="F320" s="1512">
        <f t="shared" si="32"/>
        <v>0</v>
      </c>
      <c r="G320" s="1499"/>
      <c r="H320" s="1500"/>
      <c r="I320" s="1499"/>
      <c r="J320" s="1499"/>
      <c r="K320" s="1499"/>
      <c r="L320" s="1499"/>
      <c r="M320" s="1510">
        <f t="shared" si="33"/>
        <v>0</v>
      </c>
      <c r="N320" s="1510">
        <f t="shared" si="34"/>
        <v>0</v>
      </c>
      <c r="O320" s="1497"/>
      <c r="P320" s="1497"/>
      <c r="Q320" s="1497"/>
      <c r="R320" s="1508"/>
      <c r="S320" s="1508"/>
      <c r="T320" s="1496"/>
      <c r="U320" s="1495">
        <f t="shared" si="67"/>
        <v>0</v>
      </c>
      <c r="V320" s="1495">
        <f t="shared" si="68"/>
        <v>0</v>
      </c>
      <c r="W320" s="1495">
        <f t="shared" si="69"/>
        <v>0</v>
      </c>
      <c r="X320" s="1495">
        <f t="shared" si="70"/>
        <v>0</v>
      </c>
      <c r="Y320" s="1495" t="e">
        <f t="shared" si="71"/>
        <v>#DIV/0!</v>
      </c>
      <c r="Z320" s="1495">
        <f t="shared" si="72"/>
        <v>0</v>
      </c>
      <c r="AA320" s="1506">
        <f t="shared" si="73"/>
        <v>0</v>
      </c>
      <c r="AB320" s="1492"/>
      <c r="AC320" s="1504">
        <f t="shared" si="75"/>
        <v>0</v>
      </c>
      <c r="AD320" s="1503">
        <f t="shared" si="83"/>
        <v>0</v>
      </c>
      <c r="AE320" s="1503">
        <f t="shared" si="84"/>
        <v>0</v>
      </c>
      <c r="AF320" s="1502">
        <f t="shared" si="85"/>
        <v>0</v>
      </c>
    </row>
    <row r="321" spans="1:32" s="1474" customFormat="1" ht="11.25" customHeight="1" thickTop="1" thickBot="1">
      <c r="A321" s="1488"/>
      <c r="B321" s="1486"/>
      <c r="C321" s="1487"/>
      <c r="D321" s="1487"/>
      <c r="E321" s="1486"/>
      <c r="F321" s="1486"/>
      <c r="G321" s="1486"/>
      <c r="H321" s="1486"/>
      <c r="I321" s="1486"/>
      <c r="J321" s="1486"/>
      <c r="K321" s="1486"/>
      <c r="L321" s="1486"/>
      <c r="M321" s="1486"/>
      <c r="N321" s="1486"/>
      <c r="O321" s="1486"/>
      <c r="P321" s="1486"/>
      <c r="Q321" s="1486"/>
      <c r="R321" s="1486"/>
      <c r="S321" s="1486"/>
      <c r="T321" s="1486"/>
      <c r="U321" s="1486"/>
      <c r="V321" s="1486"/>
      <c r="W321" s="1486"/>
      <c r="X321" s="1486"/>
      <c r="Y321" s="1486"/>
      <c r="Z321" s="1486"/>
      <c r="AA321" s="1485"/>
      <c r="AB321" s="1484"/>
      <c r="AC321" s="1483"/>
      <c r="AD321" s="1483"/>
      <c r="AE321" s="1483"/>
      <c r="AF321" s="1482"/>
    </row>
    <row r="322" spans="1:32" s="1474" customFormat="1" ht="33" customHeight="1" thickTop="1" thickBot="1">
      <c r="A322" s="3410" t="s">
        <v>934</v>
      </c>
      <c r="B322" s="3410"/>
      <c r="C322" s="3410"/>
      <c r="D322" s="1480">
        <f>SUM(D88:D320)</f>
        <v>1318</v>
      </c>
      <c r="E322" s="1480">
        <f>SUM(E88:E320)</f>
        <v>4464900000</v>
      </c>
      <c r="F322" s="1480">
        <f>SUM(F88:F320)</f>
        <v>803682000</v>
      </c>
      <c r="G322" s="1481"/>
      <c r="H322" s="1481"/>
      <c r="I322" s="1481"/>
      <c r="J322" s="1481"/>
      <c r="K322" s="1481"/>
      <c r="L322" s="1481"/>
      <c r="M322" s="1480">
        <f t="shared" ref="M322:X322" si="134">SUM(M88:M320)</f>
        <v>3810507501.6666665</v>
      </c>
      <c r="N322" s="1480">
        <f t="shared" si="134"/>
        <v>665667000</v>
      </c>
      <c r="O322" s="1480">
        <f t="shared" si="134"/>
        <v>3632403900</v>
      </c>
      <c r="P322" s="1480">
        <f t="shared" si="134"/>
        <v>633905700</v>
      </c>
      <c r="Q322" s="1480">
        <f t="shared" si="134"/>
        <v>0</v>
      </c>
      <c r="R322" s="1480">
        <f t="shared" si="134"/>
        <v>91076600</v>
      </c>
      <c r="S322" s="1480">
        <f t="shared" si="134"/>
        <v>16248000</v>
      </c>
      <c r="T322" s="1480">
        <f t="shared" si="134"/>
        <v>0</v>
      </c>
      <c r="U322" s="1480">
        <f t="shared" si="134"/>
        <v>3723480500</v>
      </c>
      <c r="V322" s="1480">
        <f t="shared" si="134"/>
        <v>650153700</v>
      </c>
      <c r="W322" s="1480">
        <f t="shared" si="134"/>
        <v>0</v>
      </c>
      <c r="X322" s="1480">
        <f t="shared" si="134"/>
        <v>741419500</v>
      </c>
      <c r="Y322" s="1480">
        <f>SUM(U322/M322)*100</f>
        <v>97.716130945061735</v>
      </c>
      <c r="Z322" s="1480">
        <f>SUM(Z88:Z320)</f>
        <v>87027001.666666672</v>
      </c>
      <c r="AA322" s="1479">
        <f>SUM(AA88:AA320)</f>
        <v>14463300</v>
      </c>
      <c r="AB322" s="1478"/>
      <c r="AC322" s="1477">
        <f>SUM(AC88:AC320)</f>
        <v>13671000</v>
      </c>
      <c r="AD322" s="1476">
        <f>SUM(AD88:AD320)</f>
        <v>0</v>
      </c>
      <c r="AE322" s="1476">
        <f>SUM(AE88:AE320)</f>
        <v>0</v>
      </c>
      <c r="AF322" s="1475">
        <f>SUM(AF88:AF320)</f>
        <v>75481000</v>
      </c>
    </row>
    <row r="323" spans="1:32" s="1461" customFormat="1" ht="20.25" thickTop="1" thickBot="1">
      <c r="A323" s="3410" t="s">
        <v>1464</v>
      </c>
      <c r="B323" s="3410"/>
      <c r="C323" s="3410"/>
      <c r="D323" s="1473">
        <f>COUNT(D88:D320)</f>
        <v>117</v>
      </c>
      <c r="G323" s="1462"/>
      <c r="H323" s="1462"/>
      <c r="I323" s="1462"/>
      <c r="J323" s="1462"/>
      <c r="K323" s="1472"/>
      <c r="L323" s="1472"/>
      <c r="M323" s="2146"/>
      <c r="N323" s="2146"/>
      <c r="O323" s="2146"/>
      <c r="P323" s="2146"/>
      <c r="Q323" s="2146"/>
      <c r="R323" s="2146"/>
      <c r="S323" s="2146"/>
      <c r="T323" s="2146"/>
      <c r="U323" s="2146"/>
      <c r="V323" s="2146"/>
      <c r="W323" s="2146"/>
      <c r="X323" s="2146"/>
      <c r="AB323" s="1462"/>
    </row>
    <row r="324" spans="1:32" s="1461" customFormat="1" ht="18.75" thickTop="1">
      <c r="A324" s="1465"/>
      <c r="B324" s="1465"/>
      <c r="C324" s="1466"/>
      <c r="D324" s="1466"/>
      <c r="E324" s="3410" t="s">
        <v>1463</v>
      </c>
      <c r="F324" s="3410"/>
      <c r="G324" s="3410"/>
      <c r="H324" s="3410"/>
      <c r="I324" s="3410"/>
      <c r="J324" s="3410"/>
      <c r="K324" s="3410"/>
      <c r="L324" s="3410"/>
      <c r="M324" s="3410"/>
      <c r="N324" s="3410"/>
      <c r="O324" s="1471"/>
      <c r="P324" s="1471"/>
      <c r="Q324" s="1471"/>
      <c r="R324" s="1471"/>
      <c r="S324" s="1471"/>
      <c r="T324" s="1471"/>
      <c r="U324" s="1471"/>
      <c r="V324" s="3410" t="s">
        <v>1462</v>
      </c>
      <c r="W324" s="3410"/>
      <c r="X324" s="3410"/>
      <c r="Y324" s="3410"/>
      <c r="Z324" s="1465"/>
      <c r="AA324" s="1465"/>
      <c r="AB324" s="1462"/>
    </row>
    <row r="325" spans="1:32" s="1461" customFormat="1" ht="57" customHeight="1">
      <c r="A325" s="1468"/>
      <c r="B325" s="1468"/>
      <c r="C325" s="1470"/>
      <c r="D325" s="1470"/>
      <c r="E325" s="1468"/>
      <c r="F325" s="1468"/>
      <c r="G325" s="1470"/>
      <c r="H325" s="1470"/>
      <c r="I325" s="1470"/>
      <c r="J325" s="1470"/>
      <c r="K325" s="1469"/>
      <c r="L325" s="1469"/>
      <c r="M325" s="1468"/>
      <c r="N325" s="1468"/>
      <c r="O325" s="1468"/>
      <c r="P325" s="1468"/>
      <c r="Q325" s="1468"/>
      <c r="R325" s="1468"/>
      <c r="S325" s="1468"/>
      <c r="T325" s="1468"/>
      <c r="U325" s="1468"/>
      <c r="V325" s="1468"/>
      <c r="W325" s="1468"/>
      <c r="X325" s="1468"/>
      <c r="Y325" s="1468"/>
      <c r="Z325" s="1468"/>
      <c r="AA325" s="1468"/>
      <c r="AB325" s="1462"/>
    </row>
    <row r="326" spans="1:32" s="1461" customFormat="1" ht="18">
      <c r="A326" s="1465"/>
      <c r="B326" s="1465"/>
      <c r="C326" s="1466"/>
      <c r="D326" s="1466"/>
      <c r="E326" s="3410" t="str">
        <f>E74</f>
        <v>Endang Taryana</v>
      </c>
      <c r="F326" s="3410"/>
      <c r="G326" s="3410"/>
      <c r="H326" s="3410"/>
      <c r="I326" s="3410"/>
      <c r="J326" s="3410"/>
      <c r="K326" s="3410"/>
      <c r="L326" s="3410"/>
      <c r="M326" s="3410"/>
      <c r="N326" s="3410"/>
      <c r="O326" s="1467" t="s">
        <v>1461</v>
      </c>
      <c r="P326" s="3410"/>
      <c r="Q326" s="3410"/>
      <c r="R326" s="3410"/>
      <c r="S326" s="1465"/>
      <c r="T326" s="1465"/>
      <c r="U326" s="1465"/>
      <c r="V326" s="3410" t="str">
        <f>V74</f>
        <v>Arin Yustini, SE</v>
      </c>
      <c r="W326" s="3410"/>
      <c r="X326" s="3410"/>
      <c r="Y326" s="3410"/>
      <c r="Z326" s="1465"/>
      <c r="AA326" s="1465"/>
      <c r="AB326" s="1462"/>
    </row>
    <row r="327" spans="1:32" ht="18">
      <c r="A327" s="1465"/>
      <c r="B327" s="1465"/>
      <c r="C327" s="1466"/>
      <c r="D327" s="1466"/>
      <c r="E327" s="3410" t="s">
        <v>23</v>
      </c>
      <c r="F327" s="3410"/>
      <c r="G327" s="3410"/>
      <c r="H327" s="3410"/>
      <c r="I327" s="3410"/>
      <c r="J327" s="3410"/>
      <c r="K327" s="3410"/>
      <c r="L327" s="3410"/>
      <c r="M327" s="3410"/>
      <c r="N327" s="3410"/>
      <c r="O327" s="1465"/>
      <c r="P327" s="3410"/>
      <c r="Q327" s="3410"/>
      <c r="R327" s="3410"/>
      <c r="S327" s="1465"/>
      <c r="T327" s="1465"/>
      <c r="U327" s="1465"/>
      <c r="V327" s="3410" t="s">
        <v>24</v>
      </c>
      <c r="W327" s="3410"/>
      <c r="X327" s="3410"/>
      <c r="Y327" s="3410"/>
      <c r="Z327" s="1465"/>
      <c r="AA327" s="1465"/>
      <c r="AE327" s="1461"/>
      <c r="AF327" s="1461"/>
    </row>
  </sheetData>
  <protectedRanges>
    <protectedRange sqref="M13:R68 Z13:Z68 A88:E127 A139:E140 A128:C138 E128:E138 A141:C149 E141:E149 G13:J68 S127 A13:E68 M88:R320 Z88:Z320 G88:J320 A150:E320" name="Range1_1"/>
    <protectedRange sqref="D128:D135" name="Range1_1_1"/>
    <protectedRange sqref="D136:D138" name="Range1_1_2"/>
    <protectedRange sqref="D141:D149" name="Range1_1_3"/>
  </protectedRanges>
  <mergeCells count="74">
    <mergeCell ref="E327:N327"/>
    <mergeCell ref="K85:L85"/>
    <mergeCell ref="E85:F85"/>
    <mergeCell ref="G85:G86"/>
    <mergeCell ref="E326:N326"/>
    <mergeCell ref="E324:N32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72:N72"/>
    <mergeCell ref="V72:Y72"/>
    <mergeCell ref="K10:L10"/>
    <mergeCell ref="H10:H12"/>
    <mergeCell ref="A71:C71"/>
    <mergeCell ref="B10:C10"/>
    <mergeCell ref="D10:D12"/>
    <mergeCell ref="E10:F10"/>
    <mergeCell ref="G10:G11"/>
    <mergeCell ref="Y10:Y11"/>
    <mergeCell ref="A70:C70"/>
    <mergeCell ref="V324:Y324"/>
    <mergeCell ref="U85:W85"/>
    <mergeCell ref="E74:N74"/>
    <mergeCell ref="A77:AA77"/>
    <mergeCell ref="E75:N75"/>
    <mergeCell ref="P75:R75"/>
    <mergeCell ref="R85:T85"/>
    <mergeCell ref="A323:C323"/>
    <mergeCell ref="A81:C81"/>
    <mergeCell ref="A82:C82"/>
    <mergeCell ref="A83:C83"/>
    <mergeCell ref="H85:H87"/>
    <mergeCell ref="V327:Y327"/>
    <mergeCell ref="Z85:AA85"/>
    <mergeCell ref="P74:R74"/>
    <mergeCell ref="V74:Y74"/>
    <mergeCell ref="V326:Y326"/>
    <mergeCell ref="P326:R326"/>
    <mergeCell ref="P327:R327"/>
    <mergeCell ref="V75:Y75"/>
    <mergeCell ref="A76:AA76"/>
    <mergeCell ref="A322:C322"/>
    <mergeCell ref="A78:AA78"/>
    <mergeCell ref="A80:C80"/>
    <mergeCell ref="A79:AA79"/>
    <mergeCell ref="A85:A86"/>
    <mergeCell ref="B85:C85"/>
    <mergeCell ref="D85:D87"/>
    <mergeCell ref="AB85:AB86"/>
    <mergeCell ref="K86:K87"/>
    <mergeCell ref="L86:L87"/>
    <mergeCell ref="I85:I87"/>
    <mergeCell ref="J85:J87"/>
    <mergeCell ref="X85:X86"/>
    <mergeCell ref="M85:N85"/>
    <mergeCell ref="Y85:Y86"/>
    <mergeCell ref="O85:Q85"/>
  </mergeCells>
  <pageMargins left="0.15748031496062992" right="0.15748031496062992" top="0.23622047244094491" bottom="0.23622047244094491" header="0.51181102362204722" footer="0.51181102362204722"/>
  <pageSetup paperSize="5" scale="38" orientation="landscape" r:id="rId1"/>
  <headerFooter alignWithMargins="0"/>
  <rowBreaks count="1" manualBreakCount="1">
    <brk id="75" max="24" man="1"/>
  </rowBreaks>
  <drawing r:id="rId2"/>
  <legacyDrawing r:id="rId3"/>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220"/>
  <sheetViews>
    <sheetView topLeftCell="A10" zoomScale="62" zoomScaleNormal="62" workbookViewId="0">
      <pane xSplit="4" ySplit="3" topLeftCell="E199" activePane="bottomRight" state="frozen"/>
      <selection activeCell="A10" sqref="A10"/>
      <selection pane="topRight" activeCell="E10" sqref="E10"/>
      <selection pane="bottomLeft" activeCell="A13" sqref="A13"/>
      <selection pane="bottomRight" activeCell="E204" sqref="E204:E205"/>
    </sheetView>
  </sheetViews>
  <sheetFormatPr defaultColWidth="9.140625" defaultRowHeight="15.75"/>
  <cols>
    <col min="1" max="1" width="10.28515625" style="1460" customWidth="1"/>
    <col min="2" max="2" width="20.85546875" style="1460" customWidth="1"/>
    <col min="3" max="3" width="12.5703125" style="1464" bestFit="1" customWidth="1"/>
    <col min="4" max="4" width="7.7109375" style="1464" customWidth="1"/>
    <col min="5" max="6" width="20.5703125" style="1461" customWidth="1"/>
    <col min="7" max="7" width="15" style="1464" customWidth="1"/>
    <col min="8" max="8" width="7.140625" style="1464" customWidth="1"/>
    <col min="9" max="9" width="5.85546875" style="1464" customWidth="1"/>
    <col min="10" max="10" width="5.5703125" style="1464" customWidth="1"/>
    <col min="11" max="11" width="16.140625" style="1463" bestFit="1" customWidth="1"/>
    <col min="12" max="12" width="12.140625" style="1463" customWidth="1"/>
    <col min="13" max="13" width="19.140625" style="1461" customWidth="1"/>
    <col min="14" max="14" width="17.140625" style="1461" customWidth="1"/>
    <col min="15" max="15" width="19" style="1461" customWidth="1"/>
    <col min="16" max="16" width="17.7109375" style="1461" customWidth="1"/>
    <col min="17" max="17" width="7.5703125" style="1461" customWidth="1"/>
    <col min="18" max="18" width="18.140625" style="1461" customWidth="1"/>
    <col min="19" max="19" width="17.140625" style="1461" customWidth="1"/>
    <col min="20" max="20" width="8.42578125" style="1461" customWidth="1"/>
    <col min="21" max="21" width="20" style="1461" customWidth="1"/>
    <col min="22" max="22" width="15.42578125" style="1461" bestFit="1" customWidth="1"/>
    <col min="23" max="23" width="8.140625" style="1461" customWidth="1"/>
    <col min="24" max="24" width="17.28515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525" t="s">
        <v>0</v>
      </c>
      <c r="B1" s="3525"/>
      <c r="C1" s="3525"/>
      <c r="D1" s="3525"/>
      <c r="E1" s="3525"/>
      <c r="F1" s="3525"/>
      <c r="G1" s="3525"/>
      <c r="H1" s="3525"/>
      <c r="I1" s="3525"/>
      <c r="J1" s="3525"/>
      <c r="K1" s="3525"/>
      <c r="L1" s="3525"/>
      <c r="M1" s="3525"/>
      <c r="N1" s="3525"/>
      <c r="O1" s="3525"/>
      <c r="P1" s="3525"/>
      <c r="Q1" s="3525"/>
      <c r="R1" s="3525"/>
      <c r="S1" s="3525"/>
      <c r="T1" s="3525"/>
      <c r="U1" s="3525"/>
      <c r="V1" s="3525"/>
      <c r="W1" s="3525"/>
      <c r="X1" s="3525"/>
      <c r="Y1" s="3525"/>
      <c r="Z1" s="3525"/>
      <c r="AA1" s="3525"/>
      <c r="AB1" s="1562"/>
      <c r="AC1" s="1560"/>
      <c r="AD1" s="1560"/>
      <c r="AE1" s="1560"/>
      <c r="AF1" s="1560"/>
    </row>
    <row r="2" spans="1:32" s="1559" customFormat="1" ht="24.75" customHeight="1">
      <c r="A2" s="3525" t="str">
        <f>'LPP-SPP'!A2:W2</f>
        <v>LAPORAN PERKEMBANGAN PINJAMAN  SPP</v>
      </c>
      <c r="B2" s="3525"/>
      <c r="C2" s="3525"/>
      <c r="D2" s="3525"/>
      <c r="E2" s="3525"/>
      <c r="F2" s="3525"/>
      <c r="G2" s="3525"/>
      <c r="H2" s="3525"/>
      <c r="I2" s="3525"/>
      <c r="J2" s="3525"/>
      <c r="K2" s="3525"/>
      <c r="L2" s="3525"/>
      <c r="M2" s="3525"/>
      <c r="N2" s="3525"/>
      <c r="O2" s="3525"/>
      <c r="P2" s="3525"/>
      <c r="Q2" s="3525"/>
      <c r="R2" s="3525"/>
      <c r="S2" s="3525"/>
      <c r="T2" s="3525"/>
      <c r="U2" s="3525"/>
      <c r="V2" s="3525"/>
      <c r="W2" s="3525"/>
      <c r="X2" s="3525"/>
      <c r="Y2" s="3525"/>
      <c r="Z2" s="3525"/>
      <c r="AA2" s="3525"/>
      <c r="AB2" s="1562"/>
      <c r="AC2" s="1560"/>
      <c r="AD2" s="1560"/>
      <c r="AE2" s="1560"/>
      <c r="AF2" s="1560"/>
    </row>
    <row r="3" spans="1:32" s="1559" customFormat="1" ht="34.5">
      <c r="A3" s="3525" t="s">
        <v>1506</v>
      </c>
      <c r="B3" s="3525"/>
      <c r="C3" s="3525"/>
      <c r="D3" s="3525"/>
      <c r="E3" s="3525"/>
      <c r="F3" s="3525"/>
      <c r="G3" s="3525"/>
      <c r="H3" s="3525"/>
      <c r="I3" s="3525"/>
      <c r="J3" s="3525"/>
      <c r="K3" s="3525"/>
      <c r="L3" s="3525"/>
      <c r="M3" s="3525"/>
      <c r="N3" s="3525"/>
      <c r="O3" s="3525"/>
      <c r="P3" s="3525"/>
      <c r="Q3" s="3525"/>
      <c r="R3" s="3525"/>
      <c r="S3" s="3525"/>
      <c r="T3" s="3525"/>
      <c r="U3" s="3525"/>
      <c r="V3" s="3525"/>
      <c r="W3" s="3525"/>
      <c r="X3" s="3525"/>
      <c r="Y3" s="3525"/>
      <c r="Z3" s="3525"/>
      <c r="AA3" s="3525"/>
      <c r="AB3" s="1561"/>
      <c r="AC3" s="1560"/>
      <c r="AD3" s="1560"/>
      <c r="AE3" s="1560"/>
      <c r="AF3" s="1560"/>
    </row>
    <row r="4" spans="1:32" s="1542" customFormat="1" ht="24.75" customHeight="1">
      <c r="A4" s="3525" t="str">
        <f>'LPP-SPP'!A4</f>
        <v>Per - Februari 2016 2016</v>
      </c>
      <c r="B4" s="3525"/>
      <c r="C4" s="3525"/>
      <c r="D4" s="3525"/>
      <c r="E4" s="3525"/>
      <c r="F4" s="3525"/>
      <c r="G4" s="3525"/>
      <c r="H4" s="3525"/>
      <c r="I4" s="3525"/>
      <c r="J4" s="3525"/>
      <c r="K4" s="3525"/>
      <c r="L4" s="3525"/>
      <c r="M4" s="3525"/>
      <c r="N4" s="3525"/>
      <c r="O4" s="3525"/>
      <c r="P4" s="3525"/>
      <c r="Q4" s="3525"/>
      <c r="R4" s="3525"/>
      <c r="S4" s="3525"/>
      <c r="T4" s="3525"/>
      <c r="U4" s="3525"/>
      <c r="V4" s="3525"/>
      <c r="W4" s="3525"/>
      <c r="X4" s="3525"/>
      <c r="Y4" s="3525"/>
      <c r="Z4" s="3525"/>
      <c r="AA4" s="3525"/>
      <c r="AB4" s="1556"/>
      <c r="AC4" s="1555"/>
      <c r="AD4" s="1555"/>
      <c r="AE4" s="1555"/>
      <c r="AF4" s="1555"/>
    </row>
    <row r="5" spans="1:32" s="1542" customFormat="1" ht="24.75" customHeight="1">
      <c r="A5" s="3744" t="s">
        <v>1503</v>
      </c>
      <c r="B5" s="3744"/>
      <c r="C5" s="3744"/>
      <c r="D5" s="1553"/>
      <c r="E5" s="1558" t="str">
        <f>":  "&amp;DT!I5</f>
        <v>:  DARMAREJA</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744" t="s">
        <v>1502</v>
      </c>
      <c r="B6" s="3744"/>
      <c r="C6" s="3744"/>
      <c r="D6" s="1553"/>
      <c r="E6" s="1552" t="str">
        <f>'LPP-SPP'!F6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744" t="s">
        <v>1501</v>
      </c>
      <c r="B7" s="3744"/>
      <c r="C7" s="3744"/>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744" t="s">
        <v>1500</v>
      </c>
      <c r="B8" s="3744"/>
      <c r="C8" s="3744"/>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3" t="s">
        <v>36</v>
      </c>
      <c r="B10" s="3413" t="s">
        <v>1499</v>
      </c>
      <c r="C10" s="3413"/>
      <c r="D10" s="3413" t="s">
        <v>1498</v>
      </c>
      <c r="E10" s="3413" t="s">
        <v>1497</v>
      </c>
      <c r="F10" s="3413"/>
      <c r="G10" s="3413" t="s">
        <v>1496</v>
      </c>
      <c r="H10" s="3413" t="s">
        <v>1495</v>
      </c>
      <c r="I10" s="3413" t="s">
        <v>1494</v>
      </c>
      <c r="J10" s="3413" t="s">
        <v>1493</v>
      </c>
      <c r="K10" s="3413" t="s">
        <v>1492</v>
      </c>
      <c r="L10" s="3413"/>
      <c r="M10" s="3413" t="s">
        <v>1491</v>
      </c>
      <c r="N10" s="3413"/>
      <c r="O10" s="3413" t="s">
        <v>1490</v>
      </c>
      <c r="P10" s="3413"/>
      <c r="Q10" s="3413"/>
      <c r="R10" s="3413" t="s">
        <v>1489</v>
      </c>
      <c r="S10" s="3413"/>
      <c r="T10" s="3413"/>
      <c r="U10" s="3413" t="s">
        <v>1488</v>
      </c>
      <c r="V10" s="3413"/>
      <c r="W10" s="3413"/>
      <c r="X10" s="3413" t="s">
        <v>1487</v>
      </c>
      <c r="Y10" s="3413" t="s">
        <v>1486</v>
      </c>
      <c r="Z10" s="3413" t="s">
        <v>1485</v>
      </c>
      <c r="AA10" s="3413"/>
      <c r="AB10" s="3410" t="s">
        <v>1484</v>
      </c>
      <c r="AC10" s="1541" t="s">
        <v>1483</v>
      </c>
      <c r="AD10" s="1540" t="s">
        <v>1482</v>
      </c>
      <c r="AE10" s="1540" t="s">
        <v>1481</v>
      </c>
      <c r="AF10" s="1539" t="s">
        <v>1480</v>
      </c>
    </row>
    <row r="11" spans="1:32" ht="31.5" customHeight="1">
      <c r="A11" s="3413"/>
      <c r="B11" s="1536" t="s">
        <v>1479</v>
      </c>
      <c r="C11" s="1536" t="s">
        <v>1478</v>
      </c>
      <c r="D11" s="3413"/>
      <c r="E11" s="1537" t="s">
        <v>16</v>
      </c>
      <c r="F11" s="1537" t="s">
        <v>1476</v>
      </c>
      <c r="G11" s="3413"/>
      <c r="H11" s="3413"/>
      <c r="I11" s="3413"/>
      <c r="J11" s="3413"/>
      <c r="K11" s="3413" t="s">
        <v>16</v>
      </c>
      <c r="L11" s="3413" t="s">
        <v>1476</v>
      </c>
      <c r="M11" s="1537" t="s">
        <v>16</v>
      </c>
      <c r="N11" s="1537" t="s">
        <v>1476</v>
      </c>
      <c r="O11" s="1537" t="s">
        <v>16</v>
      </c>
      <c r="P11" s="1537" t="s">
        <v>1476</v>
      </c>
      <c r="Q11" s="1537" t="s">
        <v>1477</v>
      </c>
      <c r="R11" s="1537" t="s">
        <v>16</v>
      </c>
      <c r="S11" s="1537" t="s">
        <v>1476</v>
      </c>
      <c r="T11" s="1537" t="s">
        <v>1477</v>
      </c>
      <c r="U11" s="1537" t="s">
        <v>16</v>
      </c>
      <c r="V11" s="1537" t="s">
        <v>1476</v>
      </c>
      <c r="W11" s="1537" t="s">
        <v>1477</v>
      </c>
      <c r="X11" s="3413"/>
      <c r="Y11" s="3413"/>
      <c r="Z11" s="1537" t="s">
        <v>16</v>
      </c>
      <c r="AA11" s="2162" t="s">
        <v>1476</v>
      </c>
      <c r="AB11" s="3410"/>
      <c r="AC11" s="1531" t="s">
        <v>1475</v>
      </c>
      <c r="AD11" s="1530" t="s">
        <v>1474</v>
      </c>
      <c r="AE11" s="1530" t="s">
        <v>1473</v>
      </c>
      <c r="AF11" s="1529" t="s">
        <v>1472</v>
      </c>
    </row>
    <row r="12" spans="1:32" s="1528" customFormat="1" ht="14.25" customHeight="1" thickBot="1">
      <c r="A12" s="2162">
        <v>1</v>
      </c>
      <c r="B12" s="2162">
        <v>2</v>
      </c>
      <c r="C12" s="2162">
        <v>3</v>
      </c>
      <c r="D12" s="3413"/>
      <c r="E12" s="2162">
        <v>4</v>
      </c>
      <c r="F12" s="2162">
        <v>5</v>
      </c>
      <c r="G12" s="2162">
        <v>6</v>
      </c>
      <c r="H12" s="3413"/>
      <c r="I12" s="3413"/>
      <c r="J12" s="3413"/>
      <c r="K12" s="3413"/>
      <c r="L12" s="3413"/>
      <c r="M12" s="2162">
        <v>7</v>
      </c>
      <c r="N12" s="2162">
        <v>8</v>
      </c>
      <c r="O12" s="2162">
        <v>9</v>
      </c>
      <c r="P12" s="2162">
        <v>10</v>
      </c>
      <c r="Q12" s="2162">
        <v>11</v>
      </c>
      <c r="R12" s="2162">
        <v>12</v>
      </c>
      <c r="S12" s="2162">
        <v>13</v>
      </c>
      <c r="T12" s="2162">
        <v>14</v>
      </c>
      <c r="U12" s="2162" t="s">
        <v>1471</v>
      </c>
      <c r="V12" s="2162" t="s">
        <v>1470</v>
      </c>
      <c r="W12" s="2162" t="s">
        <v>1469</v>
      </c>
      <c r="X12" s="2162" t="s">
        <v>1468</v>
      </c>
      <c r="Y12" s="2162" t="s">
        <v>1467</v>
      </c>
      <c r="Z12" s="2162" t="s">
        <v>1466</v>
      </c>
      <c r="AA12" s="2162" t="s">
        <v>1465</v>
      </c>
      <c r="AB12">
        <v>22</v>
      </c>
      <c r="AC12" s="1518">
        <v>23</v>
      </c>
      <c r="AD12" s="1517">
        <v>24</v>
      </c>
      <c r="AE12" s="1517">
        <v>25</v>
      </c>
      <c r="AF12" s="1516">
        <v>26</v>
      </c>
    </row>
    <row r="13" spans="1:32" s="1474" customFormat="1" ht="23.25" customHeight="1">
      <c r="A13" s="1515">
        <v>1</v>
      </c>
      <c r="B13" s="1513" t="s">
        <v>1986</v>
      </c>
      <c r="C13" s="1514" t="s">
        <v>1916</v>
      </c>
      <c r="D13" s="1514"/>
      <c r="E13" s="1513">
        <v>7000000</v>
      </c>
      <c r="F13" s="1512">
        <f t="shared" ref="F13:F46" si="0">E13*H13</f>
        <v>1260000</v>
      </c>
      <c r="G13" s="1508" t="s">
        <v>1921</v>
      </c>
      <c r="H13" s="1511">
        <v>0.18</v>
      </c>
      <c r="I13" s="1508">
        <v>12</v>
      </c>
      <c r="J13" s="1569">
        <v>12</v>
      </c>
      <c r="K13" s="1508">
        <v>583300</v>
      </c>
      <c r="L13" s="1508">
        <v>105000</v>
      </c>
      <c r="M13" s="1567">
        <f t="shared" ref="M13:M46" si="1">IF(J13&lt;I13,J13*K13,IF(J13&gt;=I13,E13))</f>
        <v>7000000</v>
      </c>
      <c r="N13" s="1510">
        <f t="shared" ref="N13:N46" si="2">IF(J13&lt;I13,J13*L13,IF(J13&gt;=I13,F13))</f>
        <v>1260000</v>
      </c>
      <c r="O13" s="1509">
        <v>7000000</v>
      </c>
      <c r="P13" s="1509">
        <v>1260000</v>
      </c>
      <c r="Q13" s="1509"/>
      <c r="R13" s="1508"/>
      <c r="S13" s="1508"/>
      <c r="T13" s="1507"/>
      <c r="U13" s="1495">
        <f t="shared" ref="U13:U46" si="3">SUM(O13+R13)</f>
        <v>7000000</v>
      </c>
      <c r="V13" s="1495">
        <f t="shared" ref="V13:V46" si="4">SUM(P13+S13)</f>
        <v>1260000</v>
      </c>
      <c r="W13" s="1495">
        <f t="shared" ref="W13:W46" si="5">SUM(Q13+T13)</f>
        <v>0</v>
      </c>
      <c r="X13" s="1495">
        <f t="shared" ref="X13:X46" si="6">SUM(E13-U13)</f>
        <v>0</v>
      </c>
      <c r="Y13" s="1495">
        <f t="shared" ref="Y13:Y46" si="7">SUM(U13/M13)*100</f>
        <v>100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f>A13+1</f>
        <v>2</v>
      </c>
      <c r="B14" s="1513" t="s">
        <v>1911</v>
      </c>
      <c r="C14" s="1514" t="s">
        <v>1916</v>
      </c>
      <c r="D14" s="1514"/>
      <c r="E14" s="1513">
        <v>7000000</v>
      </c>
      <c r="F14" s="1512">
        <f t="shared" si="0"/>
        <v>1260000</v>
      </c>
      <c r="G14" s="1508" t="s">
        <v>1921</v>
      </c>
      <c r="H14" s="1511">
        <v>0.18</v>
      </c>
      <c r="I14" s="1508">
        <v>12</v>
      </c>
      <c r="J14" s="1508">
        <v>12</v>
      </c>
      <c r="K14" s="1508">
        <v>583300</v>
      </c>
      <c r="L14" s="1508">
        <v>105000</v>
      </c>
      <c r="M14" s="1510">
        <f t="shared" si="1"/>
        <v>7000000</v>
      </c>
      <c r="N14" s="1510">
        <f t="shared" si="2"/>
        <v>1260000</v>
      </c>
      <c r="O14" s="1509">
        <v>7000000</v>
      </c>
      <c r="P14" s="1509">
        <v>1260000</v>
      </c>
      <c r="Q14" s="1509"/>
      <c r="R14" s="1508"/>
      <c r="S14" s="1508"/>
      <c r="T14" s="1507"/>
      <c r="U14" s="1495">
        <f t="shared" si="3"/>
        <v>7000000</v>
      </c>
      <c r="V14" s="1495">
        <f t="shared" si="4"/>
        <v>1260000</v>
      </c>
      <c r="W14" s="1495">
        <f t="shared" si="5"/>
        <v>0</v>
      </c>
      <c r="X14" s="1495">
        <f t="shared" si="6"/>
        <v>0</v>
      </c>
      <c r="Y14" s="1495">
        <f t="shared" si="7"/>
        <v>100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f t="shared" ref="A15:A40" si="14">A14+1</f>
        <v>3</v>
      </c>
      <c r="B15" s="1513" t="s">
        <v>1987</v>
      </c>
      <c r="C15" s="1514" t="s">
        <v>1916</v>
      </c>
      <c r="D15" s="1514"/>
      <c r="E15" s="1513">
        <v>6500000</v>
      </c>
      <c r="F15" s="1512">
        <f t="shared" si="0"/>
        <v>1170000</v>
      </c>
      <c r="G15" s="1508" t="s">
        <v>1921</v>
      </c>
      <c r="H15" s="1511">
        <v>0.18</v>
      </c>
      <c r="I15" s="1508">
        <v>12</v>
      </c>
      <c r="J15" s="1508">
        <v>12</v>
      </c>
      <c r="K15" s="1508">
        <v>541700</v>
      </c>
      <c r="L15" s="1508">
        <v>97500</v>
      </c>
      <c r="M15" s="1510">
        <f t="shared" si="1"/>
        <v>6500000</v>
      </c>
      <c r="N15" s="1510">
        <f t="shared" si="2"/>
        <v>1170000</v>
      </c>
      <c r="O15" s="1509">
        <v>6500000</v>
      </c>
      <c r="P15" s="1509">
        <v>1170000</v>
      </c>
      <c r="Q15" s="1509"/>
      <c r="R15" s="1508"/>
      <c r="S15" s="1508"/>
      <c r="T15" s="1507"/>
      <c r="U15" s="1495">
        <f t="shared" si="3"/>
        <v>6500000</v>
      </c>
      <c r="V15" s="1495">
        <f t="shared" si="4"/>
        <v>1170000</v>
      </c>
      <c r="W15" s="1495">
        <f t="shared" si="5"/>
        <v>0</v>
      </c>
      <c r="X15" s="1495">
        <f t="shared" si="6"/>
        <v>0</v>
      </c>
      <c r="Y15" s="1495">
        <f t="shared" si="7"/>
        <v>100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f t="shared" si="14"/>
        <v>4</v>
      </c>
      <c r="B16" s="1513" t="s">
        <v>1988</v>
      </c>
      <c r="C16" s="1514" t="s">
        <v>1916</v>
      </c>
      <c r="D16" s="1514"/>
      <c r="E16" s="1513">
        <v>7000000</v>
      </c>
      <c r="F16" s="1512">
        <f t="shared" si="0"/>
        <v>1260000</v>
      </c>
      <c r="G16" s="1508" t="s">
        <v>1921</v>
      </c>
      <c r="H16" s="1511">
        <v>0.18</v>
      </c>
      <c r="I16" s="1508">
        <v>12</v>
      </c>
      <c r="J16" s="1508">
        <v>12</v>
      </c>
      <c r="K16" s="1508">
        <v>583300</v>
      </c>
      <c r="L16" s="1508">
        <v>105000</v>
      </c>
      <c r="M16" s="1510">
        <f t="shared" si="1"/>
        <v>7000000</v>
      </c>
      <c r="N16" s="1510">
        <f t="shared" si="2"/>
        <v>1260000</v>
      </c>
      <c r="O16" s="1509">
        <v>7000000</v>
      </c>
      <c r="P16" s="1509">
        <v>1260000</v>
      </c>
      <c r="Q16" s="1509"/>
      <c r="R16" s="1508"/>
      <c r="S16" s="1508"/>
      <c r="T16" s="1507"/>
      <c r="U16" s="1495">
        <f t="shared" si="3"/>
        <v>7000000</v>
      </c>
      <c r="V16" s="1495">
        <f t="shared" si="4"/>
        <v>1260000</v>
      </c>
      <c r="W16" s="1495">
        <f t="shared" si="5"/>
        <v>0</v>
      </c>
      <c r="X16" s="1495">
        <f t="shared" si="6"/>
        <v>0</v>
      </c>
      <c r="Y16" s="1495">
        <f t="shared" si="7"/>
        <v>100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f t="shared" si="14"/>
        <v>5</v>
      </c>
      <c r="B17" s="1513" t="s">
        <v>1989</v>
      </c>
      <c r="C17" s="1514" t="s">
        <v>1916</v>
      </c>
      <c r="D17" s="1514"/>
      <c r="E17" s="1513">
        <v>6500000</v>
      </c>
      <c r="F17" s="1512">
        <f t="shared" si="0"/>
        <v>1170000</v>
      </c>
      <c r="G17" s="1508" t="s">
        <v>1921</v>
      </c>
      <c r="H17" s="1511">
        <v>0.18</v>
      </c>
      <c r="I17" s="1508">
        <v>12</v>
      </c>
      <c r="J17" s="1508">
        <v>12</v>
      </c>
      <c r="K17" s="1508">
        <v>541700</v>
      </c>
      <c r="L17" s="1508">
        <v>97500</v>
      </c>
      <c r="M17" s="1510">
        <f t="shared" si="1"/>
        <v>6500000</v>
      </c>
      <c r="N17" s="1510">
        <f t="shared" si="2"/>
        <v>1170000</v>
      </c>
      <c r="O17" s="1509">
        <v>6500000</v>
      </c>
      <c r="P17" s="1509">
        <v>1170000</v>
      </c>
      <c r="Q17" s="1509"/>
      <c r="R17" s="1508"/>
      <c r="S17" s="1508"/>
      <c r="T17" s="1507"/>
      <c r="U17" s="1495">
        <f t="shared" si="3"/>
        <v>6500000</v>
      </c>
      <c r="V17" s="1495">
        <f t="shared" si="4"/>
        <v>1170000</v>
      </c>
      <c r="W17" s="1495">
        <f t="shared" si="5"/>
        <v>0</v>
      </c>
      <c r="X17" s="1495">
        <f t="shared" si="6"/>
        <v>0</v>
      </c>
      <c r="Y17" s="1495">
        <f t="shared" si="7"/>
        <v>100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f t="shared" si="14"/>
        <v>6</v>
      </c>
      <c r="B18" s="1513" t="s">
        <v>1990</v>
      </c>
      <c r="C18" s="1514" t="s">
        <v>1916</v>
      </c>
      <c r="D18" s="1514"/>
      <c r="E18" s="1513">
        <v>7000000</v>
      </c>
      <c r="F18" s="1512">
        <f t="shared" si="0"/>
        <v>1260000</v>
      </c>
      <c r="G18" s="1508" t="s">
        <v>1921</v>
      </c>
      <c r="H18" s="1511">
        <v>0.18</v>
      </c>
      <c r="I18" s="1508">
        <v>12</v>
      </c>
      <c r="J18" s="1508">
        <v>12</v>
      </c>
      <c r="K18" s="1508">
        <v>583300</v>
      </c>
      <c r="L18" s="1508">
        <v>105000</v>
      </c>
      <c r="M18" s="1510">
        <f t="shared" si="1"/>
        <v>7000000</v>
      </c>
      <c r="N18" s="1510">
        <f t="shared" si="2"/>
        <v>1260000</v>
      </c>
      <c r="O18" s="1509">
        <v>7000000</v>
      </c>
      <c r="P18" s="1509">
        <v>1260000</v>
      </c>
      <c r="Q18" s="1509"/>
      <c r="R18" s="1508"/>
      <c r="S18" s="1508"/>
      <c r="T18" s="1507"/>
      <c r="U18" s="1495">
        <f t="shared" si="3"/>
        <v>7000000</v>
      </c>
      <c r="V18" s="1495">
        <f t="shared" si="4"/>
        <v>1260000</v>
      </c>
      <c r="W18" s="1495">
        <f t="shared" si="5"/>
        <v>0</v>
      </c>
      <c r="X18" s="1495">
        <f t="shared" si="6"/>
        <v>0</v>
      </c>
      <c r="Y18" s="1495">
        <f t="shared" si="7"/>
        <v>100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f t="shared" si="14"/>
        <v>7</v>
      </c>
      <c r="B19" s="1513" t="s">
        <v>1991</v>
      </c>
      <c r="C19" s="1514" t="s">
        <v>1916</v>
      </c>
      <c r="D19" s="1514"/>
      <c r="E19" s="1513">
        <v>7000000</v>
      </c>
      <c r="F19" s="1512">
        <f t="shared" si="0"/>
        <v>1260000</v>
      </c>
      <c r="G19" s="1508" t="s">
        <v>1922</v>
      </c>
      <c r="H19" s="1511">
        <v>0.18</v>
      </c>
      <c r="I19" s="1508">
        <v>12</v>
      </c>
      <c r="J19" s="1508">
        <v>12</v>
      </c>
      <c r="K19" s="1508">
        <v>583300</v>
      </c>
      <c r="L19" s="1508">
        <v>105000</v>
      </c>
      <c r="M19" s="1510">
        <f t="shared" si="1"/>
        <v>7000000</v>
      </c>
      <c r="N19" s="1510">
        <f t="shared" si="2"/>
        <v>1260000</v>
      </c>
      <c r="O19" s="1509">
        <v>7000000</v>
      </c>
      <c r="P19" s="1509">
        <v>1260000</v>
      </c>
      <c r="Q19" s="1509"/>
      <c r="R19" s="1508"/>
      <c r="S19" s="1508"/>
      <c r="T19" s="1507"/>
      <c r="U19" s="1495">
        <f t="shared" si="3"/>
        <v>7000000</v>
      </c>
      <c r="V19" s="1495">
        <f t="shared" si="4"/>
        <v>1260000</v>
      </c>
      <c r="W19" s="1495">
        <f t="shared" si="5"/>
        <v>0</v>
      </c>
      <c r="X19" s="1495">
        <f t="shared" si="6"/>
        <v>0</v>
      </c>
      <c r="Y19" s="1495">
        <f t="shared" si="7"/>
        <v>100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f t="shared" si="14"/>
        <v>8</v>
      </c>
      <c r="B20" s="1513" t="s">
        <v>1941</v>
      </c>
      <c r="C20" s="1514" t="s">
        <v>1919</v>
      </c>
      <c r="D20" s="1514"/>
      <c r="E20" s="1513">
        <v>7000000</v>
      </c>
      <c r="F20" s="1512">
        <f t="shared" si="0"/>
        <v>1260000</v>
      </c>
      <c r="G20" s="1508" t="s">
        <v>2004</v>
      </c>
      <c r="H20" s="1511">
        <v>0.18</v>
      </c>
      <c r="I20" s="1508">
        <v>12</v>
      </c>
      <c r="J20" s="1508">
        <v>12</v>
      </c>
      <c r="K20" s="1508">
        <v>583300</v>
      </c>
      <c r="L20" s="1508">
        <v>105000</v>
      </c>
      <c r="M20" s="1510">
        <f t="shared" si="1"/>
        <v>7000000</v>
      </c>
      <c r="N20" s="1510">
        <f t="shared" si="2"/>
        <v>1260000</v>
      </c>
      <c r="O20" s="1509">
        <v>7000000</v>
      </c>
      <c r="P20" s="1509">
        <v>1260000</v>
      </c>
      <c r="Q20" s="1509"/>
      <c r="R20" s="1508"/>
      <c r="S20" s="1508"/>
      <c r="T20" s="1507"/>
      <c r="U20" s="1495">
        <f t="shared" si="3"/>
        <v>7000000</v>
      </c>
      <c r="V20" s="1495">
        <f t="shared" si="4"/>
        <v>1260000</v>
      </c>
      <c r="W20" s="1495">
        <f t="shared" si="5"/>
        <v>0</v>
      </c>
      <c r="X20" s="1495">
        <f t="shared" si="6"/>
        <v>0</v>
      </c>
      <c r="Y20" s="1495">
        <f t="shared" si="7"/>
        <v>100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f t="shared" si="14"/>
        <v>9</v>
      </c>
      <c r="B21" s="1513" t="s">
        <v>1992</v>
      </c>
      <c r="C21" s="1514" t="s">
        <v>1919</v>
      </c>
      <c r="D21" s="1514"/>
      <c r="E21" s="1513">
        <v>9000000</v>
      </c>
      <c r="F21" s="1512">
        <f t="shared" si="0"/>
        <v>1620000</v>
      </c>
      <c r="G21" s="1508" t="s">
        <v>2004</v>
      </c>
      <c r="H21" s="1511">
        <v>0.18</v>
      </c>
      <c r="I21" s="1508">
        <v>12</v>
      </c>
      <c r="J21" s="1508">
        <v>12</v>
      </c>
      <c r="K21" s="1508">
        <v>750000</v>
      </c>
      <c r="L21" s="1508">
        <v>135000</v>
      </c>
      <c r="M21" s="1510">
        <f t="shared" si="1"/>
        <v>9000000</v>
      </c>
      <c r="N21" s="1510">
        <f t="shared" si="2"/>
        <v>1620000</v>
      </c>
      <c r="O21" s="1509">
        <v>9000000</v>
      </c>
      <c r="P21" s="1509">
        <v>1620000</v>
      </c>
      <c r="Q21" s="1509"/>
      <c r="R21" s="1508"/>
      <c r="S21" s="1508"/>
      <c r="T21" s="1507"/>
      <c r="U21" s="1495">
        <f t="shared" si="3"/>
        <v>9000000</v>
      </c>
      <c r="V21" s="1495">
        <f t="shared" si="4"/>
        <v>1620000</v>
      </c>
      <c r="W21" s="1495">
        <f t="shared" si="5"/>
        <v>0</v>
      </c>
      <c r="X21" s="1495">
        <f t="shared" si="6"/>
        <v>0</v>
      </c>
      <c r="Y21" s="1495">
        <f t="shared" si="7"/>
        <v>100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f t="shared" si="14"/>
        <v>10</v>
      </c>
      <c r="B22" s="1513" t="s">
        <v>1993</v>
      </c>
      <c r="C22" s="1514" t="s">
        <v>1919</v>
      </c>
      <c r="D22" s="1514"/>
      <c r="E22" s="1513">
        <v>8500000</v>
      </c>
      <c r="F22" s="1512">
        <f t="shared" si="0"/>
        <v>1530000</v>
      </c>
      <c r="G22" s="1508" t="s">
        <v>2004</v>
      </c>
      <c r="H22" s="1511">
        <v>0.18</v>
      </c>
      <c r="I22" s="1508">
        <v>12</v>
      </c>
      <c r="J22" s="1508">
        <v>12</v>
      </c>
      <c r="K22" s="1508">
        <v>708300</v>
      </c>
      <c r="L22" s="1508">
        <v>127500</v>
      </c>
      <c r="M22" s="1510">
        <f t="shared" si="1"/>
        <v>8500000</v>
      </c>
      <c r="N22" s="1510">
        <f t="shared" si="2"/>
        <v>1530000</v>
      </c>
      <c r="O22" s="1509">
        <v>8500000</v>
      </c>
      <c r="P22" s="1509">
        <v>1530000</v>
      </c>
      <c r="Q22" s="1509"/>
      <c r="R22" s="1508"/>
      <c r="S22" s="1508"/>
      <c r="T22" s="1507"/>
      <c r="U22" s="1495">
        <f t="shared" si="3"/>
        <v>8500000</v>
      </c>
      <c r="V22" s="1495">
        <f t="shared" si="4"/>
        <v>1530000</v>
      </c>
      <c r="W22" s="1495">
        <f t="shared" si="5"/>
        <v>0</v>
      </c>
      <c r="X22" s="1495">
        <f t="shared" si="6"/>
        <v>0</v>
      </c>
      <c r="Y22" s="1495">
        <f t="shared" si="7"/>
        <v>100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f t="shared" si="14"/>
        <v>11</v>
      </c>
      <c r="B23" s="1513" t="s">
        <v>1994</v>
      </c>
      <c r="C23" s="1514" t="s">
        <v>1919</v>
      </c>
      <c r="D23" s="1514"/>
      <c r="E23" s="1513">
        <v>8000000</v>
      </c>
      <c r="F23" s="1512">
        <f t="shared" si="0"/>
        <v>1440000</v>
      </c>
      <c r="G23" s="1508" t="s">
        <v>2004</v>
      </c>
      <c r="H23" s="1511">
        <v>0.18</v>
      </c>
      <c r="I23" s="1508">
        <v>12</v>
      </c>
      <c r="J23" s="1508">
        <v>12</v>
      </c>
      <c r="K23" s="1508">
        <v>666700</v>
      </c>
      <c r="L23" s="1508">
        <v>120000</v>
      </c>
      <c r="M23" s="1510">
        <f t="shared" si="1"/>
        <v>8000000</v>
      </c>
      <c r="N23" s="1510">
        <f t="shared" si="2"/>
        <v>1440000</v>
      </c>
      <c r="O23" s="1509">
        <v>8000000</v>
      </c>
      <c r="P23" s="1509">
        <v>1440000</v>
      </c>
      <c r="Q23" s="1509"/>
      <c r="R23" s="1508"/>
      <c r="S23" s="1508"/>
      <c r="T23" s="1507"/>
      <c r="U23" s="1495">
        <f t="shared" si="3"/>
        <v>8000000</v>
      </c>
      <c r="V23" s="1495">
        <f t="shared" si="4"/>
        <v>1440000</v>
      </c>
      <c r="W23" s="1495">
        <f t="shared" si="5"/>
        <v>0</v>
      </c>
      <c r="X23" s="1495">
        <f t="shared" si="6"/>
        <v>0</v>
      </c>
      <c r="Y23" s="1495">
        <f t="shared" si="7"/>
        <v>100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f t="shared" si="14"/>
        <v>12</v>
      </c>
      <c r="B24" s="1513" t="s">
        <v>1995</v>
      </c>
      <c r="C24" s="1514" t="s">
        <v>1996</v>
      </c>
      <c r="D24" s="1514"/>
      <c r="E24" s="1513">
        <v>12000000</v>
      </c>
      <c r="F24" s="1512">
        <f t="shared" si="0"/>
        <v>2160000</v>
      </c>
      <c r="G24" s="2141">
        <v>40485</v>
      </c>
      <c r="H24" s="1511">
        <v>0.18</v>
      </c>
      <c r="I24" s="1508">
        <v>12</v>
      </c>
      <c r="J24" s="1508">
        <v>12</v>
      </c>
      <c r="K24" s="1508">
        <v>1000000</v>
      </c>
      <c r="L24" s="1508">
        <v>180000</v>
      </c>
      <c r="M24" s="1510">
        <f t="shared" si="1"/>
        <v>12000000</v>
      </c>
      <c r="N24" s="1510">
        <f t="shared" si="2"/>
        <v>2160000</v>
      </c>
      <c r="O24" s="1509">
        <v>12000000</v>
      </c>
      <c r="P24" s="1509">
        <v>2160000</v>
      </c>
      <c r="Q24" s="1509"/>
      <c r="R24" s="1508"/>
      <c r="S24" s="1508"/>
      <c r="T24" s="1507"/>
      <c r="U24" s="1495">
        <f t="shared" si="3"/>
        <v>12000000</v>
      </c>
      <c r="V24" s="1495">
        <f t="shared" si="4"/>
        <v>2160000</v>
      </c>
      <c r="W24" s="1495">
        <f t="shared" si="5"/>
        <v>0</v>
      </c>
      <c r="X24" s="1495">
        <f t="shared" si="6"/>
        <v>0</v>
      </c>
      <c r="Y24" s="1495">
        <f t="shared" si="7"/>
        <v>100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f t="shared" si="14"/>
        <v>13</v>
      </c>
      <c r="B25" s="1513" t="s">
        <v>1997</v>
      </c>
      <c r="C25" s="1514" t="s">
        <v>1996</v>
      </c>
      <c r="D25" s="1514"/>
      <c r="E25" s="1513">
        <v>12000000</v>
      </c>
      <c r="F25" s="1512">
        <f t="shared" si="0"/>
        <v>2160000</v>
      </c>
      <c r="G25" s="2141">
        <v>40485</v>
      </c>
      <c r="H25" s="1511">
        <v>0.18</v>
      </c>
      <c r="I25" s="1508">
        <v>12</v>
      </c>
      <c r="J25" s="1508">
        <v>12</v>
      </c>
      <c r="K25" s="1508">
        <v>1000000</v>
      </c>
      <c r="L25" s="1508">
        <v>180000</v>
      </c>
      <c r="M25" s="1510">
        <f t="shared" si="1"/>
        <v>12000000</v>
      </c>
      <c r="N25" s="2401">
        <f>IF(J25&lt;I25,J25*L25,IF(J25&gt;=I25,F25))-180000</f>
        <v>1980000</v>
      </c>
      <c r="O25" s="1509">
        <v>12000000</v>
      </c>
      <c r="P25" s="1509">
        <v>1980000</v>
      </c>
      <c r="Q25" s="1509"/>
      <c r="R25" s="1508"/>
      <c r="S25" s="1508"/>
      <c r="T25" s="1507"/>
      <c r="U25" s="1495">
        <f t="shared" si="3"/>
        <v>12000000</v>
      </c>
      <c r="V25" s="1495">
        <f t="shared" si="4"/>
        <v>1980000</v>
      </c>
      <c r="W25" s="1495">
        <f t="shared" si="5"/>
        <v>0</v>
      </c>
      <c r="X25" s="1495">
        <f t="shared" si="6"/>
        <v>0</v>
      </c>
      <c r="Y25" s="1495">
        <f t="shared" si="7"/>
        <v>100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f t="shared" si="14"/>
        <v>14</v>
      </c>
      <c r="B26" s="1513" t="s">
        <v>1998</v>
      </c>
      <c r="C26" s="1514" t="s">
        <v>1996</v>
      </c>
      <c r="D26" s="1514"/>
      <c r="E26" s="1513">
        <v>12000000</v>
      </c>
      <c r="F26" s="1512">
        <f t="shared" si="0"/>
        <v>2160000</v>
      </c>
      <c r="G26" s="2141">
        <v>40485</v>
      </c>
      <c r="H26" s="1511">
        <v>0.18</v>
      </c>
      <c r="I26" s="1508">
        <v>12</v>
      </c>
      <c r="J26" s="1508">
        <v>12</v>
      </c>
      <c r="K26" s="1508">
        <v>1000000</v>
      </c>
      <c r="L26" s="1508">
        <v>180000</v>
      </c>
      <c r="M26" s="1510">
        <f t="shared" si="1"/>
        <v>12000000</v>
      </c>
      <c r="N26" s="2401">
        <f>IF(J26&lt;I26,J26*L26,IF(J26&gt;=I26,F26))-180000</f>
        <v>1980000</v>
      </c>
      <c r="O26" s="1509">
        <v>12000000</v>
      </c>
      <c r="P26" s="1509">
        <v>1980000</v>
      </c>
      <c r="Q26" s="1509"/>
      <c r="R26" s="1508"/>
      <c r="S26" s="1508"/>
      <c r="T26" s="1507"/>
      <c r="U26" s="1495">
        <f t="shared" si="3"/>
        <v>12000000</v>
      </c>
      <c r="V26" s="1495">
        <f t="shared" si="4"/>
        <v>1980000</v>
      </c>
      <c r="W26" s="1495">
        <f t="shared" si="5"/>
        <v>0</v>
      </c>
      <c r="X26" s="1495">
        <f t="shared" si="6"/>
        <v>0</v>
      </c>
      <c r="Y26" s="1495">
        <f t="shared" si="7"/>
        <v>100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f t="shared" si="14"/>
        <v>15</v>
      </c>
      <c r="B27" s="1513" t="s">
        <v>1999</v>
      </c>
      <c r="C27" s="1514" t="s">
        <v>1996</v>
      </c>
      <c r="D27" s="1514"/>
      <c r="E27" s="1513">
        <v>10000000</v>
      </c>
      <c r="F27" s="1512">
        <f t="shared" si="0"/>
        <v>1800000</v>
      </c>
      <c r="G27" s="2141">
        <v>40485</v>
      </c>
      <c r="H27" s="1511">
        <v>0.18</v>
      </c>
      <c r="I27" s="1508">
        <v>12</v>
      </c>
      <c r="J27" s="1508">
        <v>12</v>
      </c>
      <c r="K27" s="1508">
        <v>833300</v>
      </c>
      <c r="L27" s="1508">
        <v>150000</v>
      </c>
      <c r="M27" s="1510">
        <f t="shared" si="1"/>
        <v>10000000</v>
      </c>
      <c r="N27" s="1510">
        <f t="shared" si="2"/>
        <v>1800000</v>
      </c>
      <c r="O27" s="1509">
        <v>10000000</v>
      </c>
      <c r="P27" s="1509">
        <v>1800000</v>
      </c>
      <c r="Q27" s="1509"/>
      <c r="R27" s="1508"/>
      <c r="S27" s="1508"/>
      <c r="T27" s="1507"/>
      <c r="U27" s="1495">
        <f t="shared" si="3"/>
        <v>10000000</v>
      </c>
      <c r="V27" s="1495">
        <f t="shared" si="4"/>
        <v>1800000</v>
      </c>
      <c r="W27" s="1495">
        <f t="shared" si="5"/>
        <v>0</v>
      </c>
      <c r="X27" s="1495">
        <f t="shared" si="6"/>
        <v>0</v>
      </c>
      <c r="Y27" s="1495">
        <f t="shared" si="7"/>
        <v>100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f t="shared" si="14"/>
        <v>16</v>
      </c>
      <c r="B28" s="1513" t="s">
        <v>2000</v>
      </c>
      <c r="C28" s="1514" t="s">
        <v>1996</v>
      </c>
      <c r="D28" s="1514"/>
      <c r="E28" s="1513">
        <v>6000000</v>
      </c>
      <c r="F28" s="1512">
        <f t="shared" si="0"/>
        <v>1080000</v>
      </c>
      <c r="G28" s="2141">
        <v>40485</v>
      </c>
      <c r="H28" s="1511">
        <v>0.18</v>
      </c>
      <c r="I28" s="1508">
        <v>12</v>
      </c>
      <c r="J28" s="1508">
        <v>12</v>
      </c>
      <c r="K28" s="1508">
        <v>500000</v>
      </c>
      <c r="L28" s="2404">
        <v>90000</v>
      </c>
      <c r="M28" s="1510">
        <f t="shared" si="1"/>
        <v>6000000</v>
      </c>
      <c r="N28" s="2401">
        <f>IF(J28&lt;I28,J28*L28,IF(J28&gt;=I28,F28))-90000</f>
        <v>990000</v>
      </c>
      <c r="O28" s="1509">
        <v>6000000</v>
      </c>
      <c r="P28" s="1509">
        <v>990000</v>
      </c>
      <c r="Q28" s="1509"/>
      <c r="R28" s="1508"/>
      <c r="S28" s="1508"/>
      <c r="T28" s="1507"/>
      <c r="U28" s="1495">
        <f t="shared" si="3"/>
        <v>6000000</v>
      </c>
      <c r="V28" s="1495">
        <f t="shared" si="4"/>
        <v>990000</v>
      </c>
      <c r="W28" s="1495">
        <f t="shared" si="5"/>
        <v>0</v>
      </c>
      <c r="X28" s="1495">
        <f t="shared" si="6"/>
        <v>0</v>
      </c>
      <c r="Y28" s="1495">
        <f t="shared" si="7"/>
        <v>100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f t="shared" si="14"/>
        <v>17</v>
      </c>
      <c r="B29" s="1513" t="s">
        <v>2001</v>
      </c>
      <c r="C29" s="1514" t="s">
        <v>1996</v>
      </c>
      <c r="D29" s="1514"/>
      <c r="E29" s="1513">
        <v>8000000</v>
      </c>
      <c r="F29" s="1512">
        <f t="shared" si="0"/>
        <v>1440000</v>
      </c>
      <c r="G29" s="2141">
        <v>40485</v>
      </c>
      <c r="H29" s="1511">
        <v>0.18</v>
      </c>
      <c r="I29" s="1508">
        <v>12</v>
      </c>
      <c r="J29" s="1508">
        <v>12</v>
      </c>
      <c r="K29" s="1508">
        <v>666700</v>
      </c>
      <c r="L29" s="2404">
        <v>120000</v>
      </c>
      <c r="M29" s="1510">
        <f t="shared" si="1"/>
        <v>8000000</v>
      </c>
      <c r="N29" s="2401">
        <f>IF(J29&lt;I29,J29*L29,IF(J29&gt;=I29,F29))-120000</f>
        <v>1320000</v>
      </c>
      <c r="O29" s="1509">
        <v>8000000</v>
      </c>
      <c r="P29" s="1509">
        <v>1320000</v>
      </c>
      <c r="Q29" s="1509"/>
      <c r="R29" s="1508"/>
      <c r="S29" s="1508"/>
      <c r="T29" s="1507"/>
      <c r="U29" s="1495">
        <f t="shared" si="3"/>
        <v>8000000</v>
      </c>
      <c r="V29" s="1495">
        <f t="shared" si="4"/>
        <v>1320000</v>
      </c>
      <c r="W29" s="1495">
        <f t="shared" si="5"/>
        <v>0</v>
      </c>
      <c r="X29" s="1495">
        <f t="shared" si="6"/>
        <v>0</v>
      </c>
      <c r="Y29" s="1495">
        <f t="shared" si="7"/>
        <v>100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f t="shared" si="14"/>
        <v>18</v>
      </c>
      <c r="B30" s="1513" t="s">
        <v>1956</v>
      </c>
      <c r="C30" s="1514" t="s">
        <v>2002</v>
      </c>
      <c r="D30" s="1514"/>
      <c r="E30" s="1513">
        <v>7000000</v>
      </c>
      <c r="F30" s="1512">
        <f t="shared" si="0"/>
        <v>1260000</v>
      </c>
      <c r="G30" s="1508" t="s">
        <v>2005</v>
      </c>
      <c r="H30" s="1511">
        <v>0.18</v>
      </c>
      <c r="I30" s="1508">
        <v>12</v>
      </c>
      <c r="J30" s="1508">
        <v>12</v>
      </c>
      <c r="K30" s="1508">
        <v>583300</v>
      </c>
      <c r="L30" s="1508">
        <v>105000</v>
      </c>
      <c r="M30" s="1510">
        <f t="shared" si="1"/>
        <v>7000000</v>
      </c>
      <c r="N30" s="1510">
        <f t="shared" si="2"/>
        <v>1260000</v>
      </c>
      <c r="O30" s="1509">
        <v>7000000</v>
      </c>
      <c r="P30" s="1509">
        <v>1260000</v>
      </c>
      <c r="Q30" s="1509"/>
      <c r="R30" s="1508"/>
      <c r="S30" s="1508"/>
      <c r="T30" s="1507"/>
      <c r="U30" s="1495">
        <f t="shared" si="3"/>
        <v>7000000</v>
      </c>
      <c r="V30" s="1495">
        <f t="shared" si="4"/>
        <v>1260000</v>
      </c>
      <c r="W30" s="1495">
        <f t="shared" si="5"/>
        <v>0</v>
      </c>
      <c r="X30" s="1495">
        <f t="shared" si="6"/>
        <v>0</v>
      </c>
      <c r="Y30" s="1495">
        <f t="shared" si="7"/>
        <v>100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f t="shared" si="14"/>
        <v>19</v>
      </c>
      <c r="B31" s="1513" t="s">
        <v>2003</v>
      </c>
      <c r="C31" s="1514" t="s">
        <v>2002</v>
      </c>
      <c r="D31" s="1514"/>
      <c r="E31" s="1513">
        <v>6400000</v>
      </c>
      <c r="F31" s="1512">
        <f t="shared" si="0"/>
        <v>1152000</v>
      </c>
      <c r="G31" s="1508" t="s">
        <v>2005</v>
      </c>
      <c r="H31" s="1511">
        <v>0.18</v>
      </c>
      <c r="I31" s="1508">
        <v>12</v>
      </c>
      <c r="J31" s="1508">
        <v>12</v>
      </c>
      <c r="K31" s="1508">
        <v>533300</v>
      </c>
      <c r="L31" s="1508">
        <v>96000</v>
      </c>
      <c r="M31" s="1510">
        <f t="shared" si="1"/>
        <v>6400000</v>
      </c>
      <c r="N31" s="1510">
        <f t="shared" si="2"/>
        <v>1152000</v>
      </c>
      <c r="O31" s="1509">
        <v>6400000</v>
      </c>
      <c r="P31" s="1509">
        <v>1152000</v>
      </c>
      <c r="Q31" s="1509"/>
      <c r="R31" s="1508"/>
      <c r="S31" s="1508"/>
      <c r="T31" s="1507"/>
      <c r="U31" s="1495">
        <f t="shared" si="3"/>
        <v>6400000</v>
      </c>
      <c r="V31" s="1495">
        <f t="shared" si="4"/>
        <v>1152000</v>
      </c>
      <c r="W31" s="1495">
        <f t="shared" si="5"/>
        <v>0</v>
      </c>
      <c r="X31" s="1495">
        <f t="shared" si="6"/>
        <v>0</v>
      </c>
      <c r="Y31" s="1495">
        <f t="shared" si="7"/>
        <v>100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f t="shared" si="14"/>
        <v>20</v>
      </c>
      <c r="B32" s="1513" t="s">
        <v>2228</v>
      </c>
      <c r="C32" s="1514" t="s">
        <v>2225</v>
      </c>
      <c r="D32" s="1514"/>
      <c r="E32" s="1513">
        <v>7000000</v>
      </c>
      <c r="F32" s="1512">
        <f t="shared" si="0"/>
        <v>1260000</v>
      </c>
      <c r="G32" s="2141">
        <v>40871</v>
      </c>
      <c r="H32" s="1511">
        <v>0.18</v>
      </c>
      <c r="I32" s="1508">
        <v>12</v>
      </c>
      <c r="J32" s="1508">
        <v>12</v>
      </c>
      <c r="K32" s="1508">
        <v>583300</v>
      </c>
      <c r="L32" s="1508">
        <v>105000</v>
      </c>
      <c r="M32" s="1510">
        <f t="shared" si="1"/>
        <v>7000000</v>
      </c>
      <c r="N32" s="1510">
        <f t="shared" si="2"/>
        <v>1260000</v>
      </c>
      <c r="O32" s="1509">
        <v>7000000</v>
      </c>
      <c r="P32" s="1509">
        <v>1260000</v>
      </c>
      <c r="Q32" s="1509"/>
      <c r="R32" s="2650"/>
      <c r="S32" s="2650"/>
      <c r="T32" s="1507"/>
      <c r="U32" s="1495">
        <f t="shared" si="3"/>
        <v>7000000</v>
      </c>
      <c r="V32" s="1495">
        <f t="shared" si="4"/>
        <v>1260000</v>
      </c>
      <c r="W32" s="1495">
        <f t="shared" si="5"/>
        <v>0</v>
      </c>
      <c r="X32" s="1495">
        <f t="shared" si="6"/>
        <v>0</v>
      </c>
      <c r="Y32" s="1495">
        <f t="shared" si="7"/>
        <v>100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f t="shared" si="14"/>
        <v>21</v>
      </c>
      <c r="B33" s="1513" t="s">
        <v>2318</v>
      </c>
      <c r="C33" s="1514" t="s">
        <v>2245</v>
      </c>
      <c r="D33" s="1514">
        <v>7</v>
      </c>
      <c r="E33" s="1513">
        <v>5000000</v>
      </c>
      <c r="F33" s="1512">
        <f t="shared" si="0"/>
        <v>900000</v>
      </c>
      <c r="G33" s="2141">
        <v>41172</v>
      </c>
      <c r="H33" s="1511">
        <v>0.18</v>
      </c>
      <c r="I33" s="1508">
        <v>12</v>
      </c>
      <c r="J33" s="1508">
        <v>12</v>
      </c>
      <c r="K33" s="1508">
        <v>416700</v>
      </c>
      <c r="L33" s="1508">
        <v>75000</v>
      </c>
      <c r="M33" s="1510">
        <f t="shared" si="1"/>
        <v>5000000</v>
      </c>
      <c r="N33" s="2401">
        <f>IF(J33&lt;I33,J33*L33,IF(J33&gt;=I33,F33))-75000-75000</f>
        <v>750000</v>
      </c>
      <c r="O33" s="1509">
        <v>5000000</v>
      </c>
      <c r="P33" s="1509">
        <v>750000</v>
      </c>
      <c r="Q33" s="1509"/>
      <c r="R33" s="2650"/>
      <c r="S33" s="2650"/>
      <c r="T33" s="1507"/>
      <c r="U33" s="1495">
        <f t="shared" si="3"/>
        <v>5000000</v>
      </c>
      <c r="V33" s="1495">
        <f t="shared" si="4"/>
        <v>750000</v>
      </c>
      <c r="W33" s="1495">
        <f t="shared" si="5"/>
        <v>0</v>
      </c>
      <c r="X33" s="1495">
        <f t="shared" si="6"/>
        <v>0</v>
      </c>
      <c r="Y33" s="1495">
        <f t="shared" si="7"/>
        <v>100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f t="shared" si="14"/>
        <v>22</v>
      </c>
      <c r="B34" s="1513" t="s">
        <v>1957</v>
      </c>
      <c r="C34" s="1514" t="s">
        <v>2245</v>
      </c>
      <c r="D34" s="1514">
        <v>10</v>
      </c>
      <c r="E34" s="1513">
        <v>7000000</v>
      </c>
      <c r="F34" s="1512">
        <f t="shared" si="0"/>
        <v>1260000</v>
      </c>
      <c r="G34" s="2141">
        <v>41173</v>
      </c>
      <c r="H34" s="1511">
        <v>0.18</v>
      </c>
      <c r="I34" s="1508">
        <v>12</v>
      </c>
      <c r="J34" s="1508">
        <v>12</v>
      </c>
      <c r="K34" s="1508">
        <v>583300</v>
      </c>
      <c r="L34" s="1508">
        <v>105000</v>
      </c>
      <c r="M34" s="1510">
        <f t="shared" si="1"/>
        <v>7000000</v>
      </c>
      <c r="N34" s="2401">
        <f>IF(J34&lt;I34,J34*L34,IF(J34&gt;=I34,F34))-105000-105000</f>
        <v>1050000</v>
      </c>
      <c r="O34" s="1509">
        <v>7000000</v>
      </c>
      <c r="P34" s="1509">
        <v>1050000</v>
      </c>
      <c r="Q34" s="1509"/>
      <c r="R34" s="1508"/>
      <c r="S34" s="1508"/>
      <c r="T34" s="1507"/>
      <c r="U34" s="1495">
        <f t="shared" si="3"/>
        <v>7000000</v>
      </c>
      <c r="V34" s="1495">
        <f t="shared" si="4"/>
        <v>1050000</v>
      </c>
      <c r="W34" s="1495">
        <f t="shared" si="5"/>
        <v>0</v>
      </c>
      <c r="X34" s="1495">
        <f t="shared" si="6"/>
        <v>0</v>
      </c>
      <c r="Y34" s="1495">
        <f t="shared" si="7"/>
        <v>100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f t="shared" si="14"/>
        <v>23</v>
      </c>
      <c r="B35" s="1513" t="s">
        <v>2612</v>
      </c>
      <c r="C35" s="1514" t="s">
        <v>2610</v>
      </c>
      <c r="D35" s="1514">
        <v>7</v>
      </c>
      <c r="E35" s="1513">
        <v>7200000</v>
      </c>
      <c r="F35" s="1512">
        <f t="shared" si="0"/>
        <v>1296000</v>
      </c>
      <c r="G35" s="2141">
        <v>41640</v>
      </c>
      <c r="H35" s="1511">
        <v>0.18</v>
      </c>
      <c r="I35" s="1508">
        <v>12</v>
      </c>
      <c r="J35" s="1508">
        <v>12</v>
      </c>
      <c r="K35" s="1508">
        <f>E35/I35</f>
        <v>600000</v>
      </c>
      <c r="L35" s="1508">
        <f>F35/I35</f>
        <v>108000</v>
      </c>
      <c r="M35" s="1510">
        <f t="shared" si="1"/>
        <v>7200000</v>
      </c>
      <c r="N35" s="1510">
        <f>IF(J35&lt;I35,J35*L35,IF(J35&gt;=I35,F35))-1*L35</f>
        <v>1188000</v>
      </c>
      <c r="O35" s="1509">
        <v>7200000</v>
      </c>
      <c r="P35" s="1509">
        <v>1188000</v>
      </c>
      <c r="Q35" s="1509"/>
      <c r="R35" s="1509"/>
      <c r="S35" s="1509"/>
      <c r="T35" s="1507"/>
      <c r="U35" s="1495">
        <f t="shared" si="3"/>
        <v>7200000</v>
      </c>
      <c r="V35" s="1495">
        <f t="shared" si="4"/>
        <v>1188000</v>
      </c>
      <c r="W35" s="1495">
        <f t="shared" si="5"/>
        <v>0</v>
      </c>
      <c r="X35" s="1495">
        <f t="shared" si="6"/>
        <v>0</v>
      </c>
      <c r="Y35" s="1495">
        <f t="shared" si="7"/>
        <v>100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f t="shared" si="14"/>
        <v>24</v>
      </c>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f t="shared" si="14"/>
        <v>25</v>
      </c>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f t="shared" si="14"/>
        <v>26</v>
      </c>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f t="shared" si="14"/>
        <v>27</v>
      </c>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f t="shared" si="14"/>
        <v>28</v>
      </c>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24</v>
      </c>
      <c r="E48" s="1480">
        <f>SUM(E13:E46)</f>
        <v>180100000</v>
      </c>
      <c r="F48" s="1480">
        <f>SUM(F13:F46)</f>
        <v>32418000</v>
      </c>
      <c r="G48" s="1481"/>
      <c r="H48" s="1481"/>
      <c r="I48" s="1481"/>
      <c r="J48" s="1481"/>
      <c r="K48" s="1481"/>
      <c r="L48" s="1481"/>
      <c r="M48" s="1480">
        <f t="shared" ref="M48:X48" si="15">SUM(M13:M46)</f>
        <v>180100000</v>
      </c>
      <c r="N48" s="1480">
        <f t="shared" si="15"/>
        <v>31380000</v>
      </c>
      <c r="O48" s="1480">
        <f t="shared" si="15"/>
        <v>180100000</v>
      </c>
      <c r="P48" s="1480">
        <f t="shared" si="15"/>
        <v>31380000</v>
      </c>
      <c r="Q48" s="1480">
        <f t="shared" si="15"/>
        <v>0</v>
      </c>
      <c r="R48" s="1480">
        <f t="shared" si="15"/>
        <v>0</v>
      </c>
      <c r="S48" s="1480">
        <f t="shared" si="15"/>
        <v>0</v>
      </c>
      <c r="T48" s="1480">
        <f t="shared" si="15"/>
        <v>0</v>
      </c>
      <c r="U48" s="1480">
        <f t="shared" si="15"/>
        <v>180100000</v>
      </c>
      <c r="V48" s="1480">
        <f t="shared" si="15"/>
        <v>31380000</v>
      </c>
      <c r="W48" s="1480">
        <f t="shared" si="15"/>
        <v>0</v>
      </c>
      <c r="X48" s="1480">
        <f t="shared" si="15"/>
        <v>0</v>
      </c>
      <c r="Y48" s="1480">
        <f>SUM(U48/M48)*100</f>
        <v>100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3</v>
      </c>
      <c r="E49" s="1473">
        <f>COUNT(E13:E46)</f>
        <v>23</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525" t="s">
        <v>0</v>
      </c>
      <c r="B54" s="3525"/>
      <c r="C54" s="3525"/>
      <c r="D54" s="3525"/>
      <c r="E54" s="3525"/>
      <c r="F54" s="3525"/>
      <c r="G54" s="3525"/>
      <c r="H54" s="3525"/>
      <c r="I54" s="3525"/>
      <c r="J54" s="3525"/>
      <c r="K54" s="3525"/>
      <c r="L54" s="3525"/>
      <c r="M54" s="3525"/>
      <c r="N54" s="3525"/>
      <c r="O54" s="3525"/>
      <c r="P54" s="3525"/>
      <c r="Q54" s="3525"/>
      <c r="R54" s="3525"/>
      <c r="S54" s="3525"/>
      <c r="T54" s="3525"/>
      <c r="U54" s="3525"/>
      <c r="V54" s="3525"/>
      <c r="W54" s="3525"/>
      <c r="X54" s="3525"/>
      <c r="Y54" s="3525"/>
      <c r="Z54" s="3525"/>
      <c r="AA54" s="3525"/>
      <c r="AB54" s="1562"/>
      <c r="AC54" s="1560"/>
      <c r="AD54" s="1560"/>
      <c r="AE54" s="1560"/>
      <c r="AF54" s="1560"/>
    </row>
    <row r="55" spans="1:32" s="1559" customFormat="1" ht="24.75" customHeight="1">
      <c r="A55" s="3525" t="str">
        <f>A2</f>
        <v>LAPORAN PERKEMBANGAN PINJAMAN  SPP</v>
      </c>
      <c r="B55" s="3525"/>
      <c r="C55" s="3525"/>
      <c r="D55" s="3525"/>
      <c r="E55" s="3525"/>
      <c r="F55" s="3525"/>
      <c r="G55" s="3525"/>
      <c r="H55" s="3525"/>
      <c r="I55" s="3525"/>
      <c r="J55" s="3525"/>
      <c r="K55" s="3525"/>
      <c r="L55" s="3525"/>
      <c r="M55" s="3525"/>
      <c r="N55" s="3525"/>
      <c r="O55" s="3525"/>
      <c r="P55" s="3525"/>
      <c r="Q55" s="3525"/>
      <c r="R55" s="3525"/>
      <c r="S55" s="3525"/>
      <c r="T55" s="3525"/>
      <c r="U55" s="3525"/>
      <c r="V55" s="3525"/>
      <c r="W55" s="3525"/>
      <c r="X55" s="3525"/>
      <c r="Y55" s="3525"/>
      <c r="Z55" s="3525"/>
      <c r="AA55" s="3525"/>
      <c r="AB55" s="1562"/>
      <c r="AC55" s="1560"/>
      <c r="AD55" s="1560"/>
      <c r="AE55" s="1560"/>
      <c r="AF55" s="1560"/>
    </row>
    <row r="56" spans="1:32" s="1559" customFormat="1" ht="36" customHeight="1">
      <c r="A56" s="3525" t="s">
        <v>1504</v>
      </c>
      <c r="B56" s="3525"/>
      <c r="C56" s="3525"/>
      <c r="D56" s="3525"/>
      <c r="E56" s="3525"/>
      <c r="F56" s="3525"/>
      <c r="G56" s="3525"/>
      <c r="H56" s="3525"/>
      <c r="I56" s="3525"/>
      <c r="J56" s="3525"/>
      <c r="K56" s="3525"/>
      <c r="L56" s="3525"/>
      <c r="M56" s="3525"/>
      <c r="N56" s="3525"/>
      <c r="O56" s="3525"/>
      <c r="P56" s="3525"/>
      <c r="Q56" s="3525"/>
      <c r="R56" s="3525"/>
      <c r="S56" s="3525"/>
      <c r="T56" s="3525"/>
      <c r="U56" s="3525"/>
      <c r="V56" s="3525"/>
      <c r="W56" s="3525"/>
      <c r="X56" s="3525"/>
      <c r="Y56" s="3525"/>
      <c r="Z56" s="3525"/>
      <c r="AA56" s="3525"/>
      <c r="AB56" s="1561"/>
      <c r="AC56" s="1560"/>
      <c r="AD56" s="1560"/>
      <c r="AE56" s="1560"/>
      <c r="AF56" s="1560"/>
    </row>
    <row r="57" spans="1:32" s="1547" customFormat="1" ht="26.25">
      <c r="A57" s="3525" t="str">
        <f>A4</f>
        <v>Per - Februari 2016 2016</v>
      </c>
      <c r="B57" s="3525"/>
      <c r="C57" s="3525"/>
      <c r="D57" s="3525"/>
      <c r="E57" s="3525"/>
      <c r="F57" s="3525"/>
      <c r="G57" s="3525"/>
      <c r="H57" s="3525"/>
      <c r="I57" s="3525"/>
      <c r="J57" s="3525"/>
      <c r="K57" s="3525"/>
      <c r="L57" s="3525"/>
      <c r="M57" s="3525"/>
      <c r="N57" s="3525"/>
      <c r="O57" s="3525"/>
      <c r="P57" s="3525"/>
      <c r="Q57" s="3525"/>
      <c r="R57" s="3525"/>
      <c r="S57" s="3525"/>
      <c r="T57" s="3525"/>
      <c r="U57" s="3525"/>
      <c r="V57" s="3525"/>
      <c r="W57" s="3525"/>
      <c r="X57" s="3525"/>
      <c r="Y57" s="3525"/>
      <c r="Z57" s="3525"/>
      <c r="AA57" s="3525"/>
      <c r="AB57" s="1556"/>
      <c r="AC57" s="1548"/>
      <c r="AD57" s="1548"/>
    </row>
    <row r="58" spans="1:32" s="1542" customFormat="1" ht="24.75" customHeight="1">
      <c r="A58" s="3410" t="s">
        <v>1503</v>
      </c>
      <c r="B58" s="3410"/>
      <c r="C58" s="3410"/>
      <c r="D58" s="1553"/>
      <c r="E58" s="1558" t="str">
        <f>E5</f>
        <v>:  DARMAREJA</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3" t="s">
        <v>36</v>
      </c>
      <c r="B63" s="3413" t="s">
        <v>1499</v>
      </c>
      <c r="C63" s="3413"/>
      <c r="D63" s="3413" t="s">
        <v>1498</v>
      </c>
      <c r="E63" s="3413" t="s">
        <v>1497</v>
      </c>
      <c r="F63" s="3413"/>
      <c r="G63" s="3413" t="s">
        <v>1496</v>
      </c>
      <c r="H63" s="3413" t="s">
        <v>1495</v>
      </c>
      <c r="I63" s="3413" t="s">
        <v>1494</v>
      </c>
      <c r="J63" s="3413" t="s">
        <v>1493</v>
      </c>
      <c r="K63" s="3413" t="s">
        <v>1492</v>
      </c>
      <c r="L63" s="3413"/>
      <c r="M63" s="3413" t="s">
        <v>1491</v>
      </c>
      <c r="N63" s="3413"/>
      <c r="O63" s="3413" t="s">
        <v>1490</v>
      </c>
      <c r="P63" s="3413"/>
      <c r="Q63" s="3413"/>
      <c r="R63" s="3413" t="s">
        <v>1489</v>
      </c>
      <c r="S63" s="3413"/>
      <c r="T63" s="3413"/>
      <c r="U63" s="3413" t="s">
        <v>1488</v>
      </c>
      <c r="V63" s="3413"/>
      <c r="W63" s="3413"/>
      <c r="X63" s="3413" t="s">
        <v>1487</v>
      </c>
      <c r="Y63" s="3413" t="s">
        <v>1486</v>
      </c>
      <c r="Z63" s="3413" t="s">
        <v>1485</v>
      </c>
      <c r="AA63" s="3413"/>
      <c r="AB63" s="3413" t="s">
        <v>1484</v>
      </c>
      <c r="AC63" s="1541" t="s">
        <v>1483</v>
      </c>
      <c r="AD63" s="1540" t="s">
        <v>1482</v>
      </c>
      <c r="AE63" s="1540" t="s">
        <v>1481</v>
      </c>
      <c r="AF63" s="1539" t="s">
        <v>1480</v>
      </c>
    </row>
    <row r="64" spans="1:32" s="1528" customFormat="1" ht="22.5" customHeight="1">
      <c r="A64" s="3413"/>
      <c r="B64" s="1536" t="s">
        <v>1479</v>
      </c>
      <c r="C64" s="1536" t="s">
        <v>1478</v>
      </c>
      <c r="D64" s="3413"/>
      <c r="E64" s="1537" t="s">
        <v>16</v>
      </c>
      <c r="F64" s="1537" t="s">
        <v>1476</v>
      </c>
      <c r="G64" s="3413"/>
      <c r="H64" s="3413"/>
      <c r="I64" s="3413"/>
      <c r="J64" s="3413"/>
      <c r="K64" s="3413" t="s">
        <v>16</v>
      </c>
      <c r="L64" s="3413" t="s">
        <v>1476</v>
      </c>
      <c r="M64" s="1537" t="s">
        <v>16</v>
      </c>
      <c r="N64" s="1537" t="s">
        <v>1476</v>
      </c>
      <c r="O64" s="1537" t="s">
        <v>16</v>
      </c>
      <c r="P64" s="1537" t="s">
        <v>1476</v>
      </c>
      <c r="Q64" s="1537" t="s">
        <v>1477</v>
      </c>
      <c r="R64" s="1537" t="s">
        <v>16</v>
      </c>
      <c r="S64" s="1537" t="s">
        <v>1476</v>
      </c>
      <c r="T64" s="1537" t="s">
        <v>1477</v>
      </c>
      <c r="U64" s="1537" t="s">
        <v>16</v>
      </c>
      <c r="V64" s="1537" t="s">
        <v>1476</v>
      </c>
      <c r="W64" s="1537" t="s">
        <v>1477</v>
      </c>
      <c r="X64" s="3413"/>
      <c r="Y64" s="3413"/>
      <c r="Z64" s="1537" t="s">
        <v>16</v>
      </c>
      <c r="AA64" s="2162" t="s">
        <v>1476</v>
      </c>
      <c r="AB64" s="3413"/>
      <c r="AC64" s="1531" t="s">
        <v>1475</v>
      </c>
      <c r="AD64" s="1530" t="s">
        <v>1474</v>
      </c>
      <c r="AE64" s="1530" t="s">
        <v>1473</v>
      </c>
      <c r="AF64" s="1529" t="s">
        <v>1472</v>
      </c>
    </row>
    <row r="65" spans="1:32" s="1461" customFormat="1" ht="13.5" customHeight="1" thickBot="1">
      <c r="A65" s="2162">
        <v>1</v>
      </c>
      <c r="B65" s="2162">
        <v>2</v>
      </c>
      <c r="C65" s="2162">
        <v>3</v>
      </c>
      <c r="D65" s="3413"/>
      <c r="E65" s="2162">
        <v>4</v>
      </c>
      <c r="F65" s="2162">
        <v>5</v>
      </c>
      <c r="G65" s="2162">
        <v>6</v>
      </c>
      <c r="H65" s="3413"/>
      <c r="I65" s="3413"/>
      <c r="J65" s="3413"/>
      <c r="K65" s="3413"/>
      <c r="L65" s="3413"/>
      <c r="M65" s="2162">
        <v>7</v>
      </c>
      <c r="N65" s="2162">
        <v>8</v>
      </c>
      <c r="O65" s="2162">
        <v>9</v>
      </c>
      <c r="P65" s="2162">
        <v>10</v>
      </c>
      <c r="Q65" s="2162">
        <v>11</v>
      </c>
      <c r="R65" s="2162">
        <v>12</v>
      </c>
      <c r="S65" s="2162">
        <v>13</v>
      </c>
      <c r="T65" s="2162">
        <v>14</v>
      </c>
      <c r="U65" s="2162" t="s">
        <v>1471</v>
      </c>
      <c r="V65" s="2162" t="s">
        <v>1470</v>
      </c>
      <c r="W65" s="2162" t="s">
        <v>1469</v>
      </c>
      <c r="X65" s="2162" t="s">
        <v>1468</v>
      </c>
      <c r="Y65" s="2162" t="s">
        <v>1467</v>
      </c>
      <c r="Z65" s="2162" t="s">
        <v>1466</v>
      </c>
      <c r="AA65" s="2162" t="s">
        <v>1465</v>
      </c>
      <c r="AB65" s="2162">
        <v>22</v>
      </c>
      <c r="AC65" s="1518">
        <v>23</v>
      </c>
      <c r="AD65" s="1517">
        <v>24</v>
      </c>
      <c r="AE65" s="1517">
        <v>25</v>
      </c>
      <c r="AF65" s="1516">
        <v>26</v>
      </c>
    </row>
    <row r="66" spans="1:32" s="1474" customFormat="1" ht="23.25" customHeight="1" thickTop="1">
      <c r="A66" s="1515">
        <v>1</v>
      </c>
      <c r="B66" s="1513" t="s">
        <v>2006</v>
      </c>
      <c r="C66" s="1514" t="s">
        <v>1925</v>
      </c>
      <c r="D66" s="1514"/>
      <c r="E66" s="1513">
        <v>8000000</v>
      </c>
      <c r="F66" s="1512">
        <f t="shared" ref="F66:F213" si="16">E66*H66</f>
        <v>1440000</v>
      </c>
      <c r="G66" s="2141">
        <v>39970</v>
      </c>
      <c r="H66" s="1511">
        <v>0.18</v>
      </c>
      <c r="I66" s="1508">
        <v>12</v>
      </c>
      <c r="J66" s="1508">
        <v>12</v>
      </c>
      <c r="K66" s="1508">
        <v>666700</v>
      </c>
      <c r="L66" s="1508">
        <v>120000</v>
      </c>
      <c r="M66" s="1510">
        <f t="shared" ref="M66:M213" si="17">IF(J66&lt;I66,J66*K66,IF(J66&gt;=I66,E66))</f>
        <v>8000000</v>
      </c>
      <c r="N66" s="1510">
        <f t="shared" ref="N66:N213" si="18">IF(J66&lt;I66,J66*L66,IF(J66&gt;=I66,F66))</f>
        <v>1440000</v>
      </c>
      <c r="O66" s="1509">
        <v>8000000</v>
      </c>
      <c r="P66" s="1509">
        <v>1440000</v>
      </c>
      <c r="Q66" s="1509"/>
      <c r="R66" s="2650"/>
      <c r="S66" s="2650"/>
      <c r="T66" s="1507"/>
      <c r="U66" s="1495">
        <f t="shared" ref="U66:U213" si="19">SUM(O66+R66)</f>
        <v>8000000</v>
      </c>
      <c r="V66" s="1495">
        <f t="shared" ref="V66:V213" si="20">SUM(P66+S66)</f>
        <v>1440000</v>
      </c>
      <c r="W66" s="1495">
        <f t="shared" ref="W66:W99" si="21">SUM(Q66+T66)</f>
        <v>0</v>
      </c>
      <c r="X66" s="1495">
        <f t="shared" ref="X66:X201" si="22">SUM(E66-U66)</f>
        <v>0</v>
      </c>
      <c r="Y66" s="1495">
        <f t="shared" ref="Y66:Y213" si="23">SUM(U66/M66)*100</f>
        <v>100</v>
      </c>
      <c r="Z66" s="1495">
        <f t="shared" ref="Z66:Z213" si="24">SUM(M66-U66)</f>
        <v>0</v>
      </c>
      <c r="AA66" s="1506">
        <f t="shared" ref="AA66:AA213" si="25">SUM(N66-V66)</f>
        <v>0</v>
      </c>
      <c r="AB66" s="1505"/>
      <c r="AC66" s="1504">
        <f t="shared" ref="AC66:AC99" si="26">IF(AND(AB66&gt;0,AB66&lt;=2),X66,0)</f>
        <v>0</v>
      </c>
      <c r="AD66" s="1503">
        <f t="shared" ref="AD66:AD99" si="27">IF(AND(AB66&gt;=3,AB66&lt;=4),X66,0)</f>
        <v>0</v>
      </c>
      <c r="AE66" s="1503">
        <f t="shared" ref="AE66:AE99" si="28">IF(AND(AB66&gt;=5,AB66&lt;=6),X66,0)</f>
        <v>0</v>
      </c>
      <c r="AF66" s="1502">
        <f t="shared" ref="AF66:AF99" si="29">IF(AB66&gt;6,X66,0)</f>
        <v>0</v>
      </c>
    </row>
    <row r="67" spans="1:32" s="1474" customFormat="1" ht="23.25" customHeight="1">
      <c r="A67" s="1515">
        <f>A66+1</f>
        <v>2</v>
      </c>
      <c r="B67" s="1513" t="s">
        <v>2007</v>
      </c>
      <c r="C67" s="1514" t="s">
        <v>1928</v>
      </c>
      <c r="D67" s="1514"/>
      <c r="E67" s="1513">
        <v>14600000</v>
      </c>
      <c r="F67" s="1512">
        <f t="shared" si="16"/>
        <v>2628000</v>
      </c>
      <c r="G67" s="2141">
        <v>40330</v>
      </c>
      <c r="H67" s="1511">
        <v>0.18</v>
      </c>
      <c r="I67" s="1508">
        <v>12</v>
      </c>
      <c r="J67" s="1508">
        <v>12</v>
      </c>
      <c r="K67" s="1508">
        <v>1216700</v>
      </c>
      <c r="L67" s="1508">
        <v>219000</v>
      </c>
      <c r="M67" s="1510">
        <f t="shared" si="17"/>
        <v>14600000</v>
      </c>
      <c r="N67" s="1510">
        <f t="shared" si="18"/>
        <v>2628000</v>
      </c>
      <c r="O67" s="1509">
        <v>14600000</v>
      </c>
      <c r="P67" s="1509">
        <v>2628000</v>
      </c>
      <c r="Q67" s="1509"/>
      <c r="R67" s="2650"/>
      <c r="S67" s="2650"/>
      <c r="T67" s="1507"/>
      <c r="U67" s="1495">
        <f t="shared" si="19"/>
        <v>14600000</v>
      </c>
      <c r="V67" s="1495">
        <f t="shared" si="20"/>
        <v>2628000</v>
      </c>
      <c r="W67" s="1495">
        <f t="shared" si="21"/>
        <v>0</v>
      </c>
      <c r="X67" s="1495">
        <f t="shared" si="22"/>
        <v>0</v>
      </c>
      <c r="Y67" s="1495">
        <f t="shared" si="23"/>
        <v>100</v>
      </c>
      <c r="Z67" s="1495">
        <f t="shared" si="24"/>
        <v>0</v>
      </c>
      <c r="AA67" s="1506">
        <f t="shared" si="25"/>
        <v>0</v>
      </c>
      <c r="AB67" s="1505"/>
      <c r="AC67" s="1504">
        <f t="shared" si="26"/>
        <v>0</v>
      </c>
      <c r="AD67" s="1503">
        <f t="shared" si="27"/>
        <v>0</v>
      </c>
      <c r="AE67" s="1503">
        <f t="shared" si="28"/>
        <v>0</v>
      </c>
      <c r="AF67" s="1502">
        <f t="shared" si="29"/>
        <v>0</v>
      </c>
    </row>
    <row r="68" spans="1:32" s="1474" customFormat="1" ht="23.25" customHeight="1">
      <c r="A68" s="1515">
        <f t="shared" ref="A68:A89" si="30">A67+1</f>
        <v>3</v>
      </c>
      <c r="B68" s="1513" t="s">
        <v>1990</v>
      </c>
      <c r="C68" s="1514" t="s">
        <v>1928</v>
      </c>
      <c r="D68" s="1514"/>
      <c r="E68" s="1513">
        <v>10600000</v>
      </c>
      <c r="F68" s="1512">
        <f t="shared" si="16"/>
        <v>1908000</v>
      </c>
      <c r="G68" s="2141">
        <v>40330</v>
      </c>
      <c r="H68" s="1511">
        <v>0.18</v>
      </c>
      <c r="I68" s="1508">
        <v>12</v>
      </c>
      <c r="J68" s="1508">
        <v>12</v>
      </c>
      <c r="K68" s="1508">
        <v>883300</v>
      </c>
      <c r="L68" s="1508">
        <v>159000</v>
      </c>
      <c r="M68" s="1510">
        <f t="shared" si="17"/>
        <v>10600000</v>
      </c>
      <c r="N68" s="1510">
        <f t="shared" si="18"/>
        <v>1908000</v>
      </c>
      <c r="O68" s="1509">
        <v>10600000</v>
      </c>
      <c r="P68" s="1509">
        <v>1908000</v>
      </c>
      <c r="Q68" s="1509"/>
      <c r="R68" s="2650"/>
      <c r="S68" s="2650"/>
      <c r="T68" s="1507"/>
      <c r="U68" s="1495">
        <f t="shared" si="19"/>
        <v>10600000</v>
      </c>
      <c r="V68" s="1495">
        <f t="shared" si="20"/>
        <v>1908000</v>
      </c>
      <c r="W68" s="1495">
        <f t="shared" si="21"/>
        <v>0</v>
      </c>
      <c r="X68" s="1495">
        <f t="shared" si="22"/>
        <v>0</v>
      </c>
      <c r="Y68" s="1495">
        <f t="shared" si="23"/>
        <v>100</v>
      </c>
      <c r="Z68" s="1495">
        <f t="shared" si="24"/>
        <v>0</v>
      </c>
      <c r="AA68" s="1506">
        <f t="shared" si="25"/>
        <v>0</v>
      </c>
      <c r="AB68" s="1505"/>
      <c r="AC68" s="1504">
        <f t="shared" si="26"/>
        <v>0</v>
      </c>
      <c r="AD68" s="1503">
        <f t="shared" si="27"/>
        <v>0</v>
      </c>
      <c r="AE68" s="1503">
        <f t="shared" si="28"/>
        <v>0</v>
      </c>
      <c r="AF68" s="1502">
        <f t="shared" si="29"/>
        <v>0</v>
      </c>
    </row>
    <row r="69" spans="1:32" s="1474" customFormat="1" ht="23.25" customHeight="1">
      <c r="A69" s="1515">
        <f t="shared" si="30"/>
        <v>4</v>
      </c>
      <c r="B69" s="1513" t="s">
        <v>1988</v>
      </c>
      <c r="C69" s="1514" t="s">
        <v>1928</v>
      </c>
      <c r="D69" s="1514"/>
      <c r="E69" s="1513">
        <v>12600000</v>
      </c>
      <c r="F69" s="1512">
        <f t="shared" si="16"/>
        <v>2268000</v>
      </c>
      <c r="G69" s="2141">
        <v>40330</v>
      </c>
      <c r="H69" s="1511">
        <v>0.18</v>
      </c>
      <c r="I69" s="1508">
        <v>12</v>
      </c>
      <c r="J69" s="1508">
        <v>12</v>
      </c>
      <c r="K69" s="1508">
        <v>1050000</v>
      </c>
      <c r="L69" s="1508">
        <v>189000</v>
      </c>
      <c r="M69" s="1510">
        <f t="shared" si="17"/>
        <v>12600000</v>
      </c>
      <c r="N69" s="1510">
        <f t="shared" si="18"/>
        <v>2268000</v>
      </c>
      <c r="O69" s="1509">
        <v>12600000</v>
      </c>
      <c r="P69" s="1509">
        <v>2268000</v>
      </c>
      <c r="Q69" s="1509"/>
      <c r="R69" s="2650"/>
      <c r="S69" s="2650"/>
      <c r="T69" s="1507"/>
      <c r="U69" s="1495">
        <f t="shared" si="19"/>
        <v>12600000</v>
      </c>
      <c r="V69" s="1495">
        <f t="shared" si="20"/>
        <v>2268000</v>
      </c>
      <c r="W69" s="1495">
        <f t="shared" si="21"/>
        <v>0</v>
      </c>
      <c r="X69" s="1495">
        <f t="shared" si="22"/>
        <v>0</v>
      </c>
      <c r="Y69" s="1495">
        <f t="shared" si="23"/>
        <v>100</v>
      </c>
      <c r="Z69" s="1495">
        <f t="shared" si="24"/>
        <v>0</v>
      </c>
      <c r="AA69" s="1506">
        <f t="shared" si="25"/>
        <v>0</v>
      </c>
      <c r="AB69" s="1505"/>
      <c r="AC69" s="1504">
        <f t="shared" si="26"/>
        <v>0</v>
      </c>
      <c r="AD69" s="1503">
        <f t="shared" si="27"/>
        <v>0</v>
      </c>
      <c r="AE69" s="1503">
        <f t="shared" si="28"/>
        <v>0</v>
      </c>
      <c r="AF69" s="1502">
        <f t="shared" si="29"/>
        <v>0</v>
      </c>
    </row>
    <row r="70" spans="1:32" s="1474" customFormat="1" ht="23.25" customHeight="1">
      <c r="A70" s="1515">
        <f t="shared" si="30"/>
        <v>5</v>
      </c>
      <c r="B70" s="1513" t="s">
        <v>1989</v>
      </c>
      <c r="C70" s="1514" t="s">
        <v>1928</v>
      </c>
      <c r="D70" s="1514"/>
      <c r="E70" s="1513">
        <v>12600000</v>
      </c>
      <c r="F70" s="1512">
        <f t="shared" si="16"/>
        <v>2268000</v>
      </c>
      <c r="G70" s="2141">
        <v>40330</v>
      </c>
      <c r="H70" s="1511">
        <v>0.18</v>
      </c>
      <c r="I70" s="1508">
        <v>12</v>
      </c>
      <c r="J70" s="1508">
        <v>12</v>
      </c>
      <c r="K70" s="1508">
        <v>1050000</v>
      </c>
      <c r="L70" s="1508">
        <v>189000</v>
      </c>
      <c r="M70" s="1510">
        <f t="shared" si="17"/>
        <v>12600000</v>
      </c>
      <c r="N70" s="1510">
        <f t="shared" si="18"/>
        <v>2268000</v>
      </c>
      <c r="O70" s="1509">
        <v>12600000</v>
      </c>
      <c r="P70" s="1509">
        <v>2268000</v>
      </c>
      <c r="Q70" s="1509"/>
      <c r="R70" s="2650"/>
      <c r="S70" s="2650"/>
      <c r="T70" s="1507"/>
      <c r="U70" s="1495">
        <f t="shared" si="19"/>
        <v>12600000</v>
      </c>
      <c r="V70" s="1495">
        <f t="shared" si="20"/>
        <v>2268000</v>
      </c>
      <c r="W70" s="1495">
        <f t="shared" si="21"/>
        <v>0</v>
      </c>
      <c r="X70" s="1495">
        <f t="shared" si="22"/>
        <v>0</v>
      </c>
      <c r="Y70" s="1495">
        <f t="shared" si="23"/>
        <v>100</v>
      </c>
      <c r="Z70" s="1495">
        <f t="shared" si="24"/>
        <v>0</v>
      </c>
      <c r="AA70" s="1506">
        <f t="shared" si="25"/>
        <v>0</v>
      </c>
      <c r="AB70" s="1505"/>
      <c r="AC70" s="1504">
        <f t="shared" si="26"/>
        <v>0</v>
      </c>
      <c r="AD70" s="1503">
        <f t="shared" si="27"/>
        <v>0</v>
      </c>
      <c r="AE70" s="1503">
        <f t="shared" si="28"/>
        <v>0</v>
      </c>
      <c r="AF70" s="1502">
        <f t="shared" si="29"/>
        <v>0</v>
      </c>
    </row>
    <row r="71" spans="1:32" s="1474" customFormat="1" ht="23.25" customHeight="1">
      <c r="A71" s="1515">
        <f t="shared" si="30"/>
        <v>6</v>
      </c>
      <c r="B71" s="1513" t="s">
        <v>1944</v>
      </c>
      <c r="C71" s="1514" t="s">
        <v>1931</v>
      </c>
      <c r="D71" s="1514"/>
      <c r="E71" s="1513">
        <v>7000000</v>
      </c>
      <c r="F71" s="1512">
        <f t="shared" si="16"/>
        <v>1260000</v>
      </c>
      <c r="G71" s="2141">
        <v>40247</v>
      </c>
      <c r="H71" s="1511">
        <v>0.18</v>
      </c>
      <c r="I71" s="1508">
        <v>12</v>
      </c>
      <c r="J71" s="1508">
        <v>12</v>
      </c>
      <c r="K71" s="1508">
        <v>583300</v>
      </c>
      <c r="L71" s="1508">
        <v>105000</v>
      </c>
      <c r="M71" s="1510">
        <f t="shared" si="17"/>
        <v>7000000</v>
      </c>
      <c r="N71" s="1510">
        <f t="shared" si="18"/>
        <v>1260000</v>
      </c>
      <c r="O71" s="1509">
        <v>7000000</v>
      </c>
      <c r="P71" s="1509">
        <v>1260000</v>
      </c>
      <c r="Q71" s="1509"/>
      <c r="R71" s="2650"/>
      <c r="S71" s="2650"/>
      <c r="T71" s="1507"/>
      <c r="U71" s="1495">
        <f t="shared" si="19"/>
        <v>7000000</v>
      </c>
      <c r="V71" s="1495">
        <f t="shared" si="20"/>
        <v>1260000</v>
      </c>
      <c r="W71" s="1495">
        <f t="shared" si="21"/>
        <v>0</v>
      </c>
      <c r="X71" s="1495">
        <f t="shared" si="22"/>
        <v>0</v>
      </c>
      <c r="Y71" s="1495">
        <f t="shared" si="23"/>
        <v>100</v>
      </c>
      <c r="Z71" s="1495">
        <f t="shared" si="24"/>
        <v>0</v>
      </c>
      <c r="AA71" s="1506">
        <f t="shared" si="25"/>
        <v>0</v>
      </c>
      <c r="AB71" s="1505"/>
      <c r="AC71" s="1504">
        <f t="shared" si="26"/>
        <v>0</v>
      </c>
      <c r="AD71" s="1503">
        <f t="shared" si="27"/>
        <v>0</v>
      </c>
      <c r="AE71" s="1503">
        <f t="shared" si="28"/>
        <v>0</v>
      </c>
      <c r="AF71" s="1502">
        <f t="shared" si="29"/>
        <v>0</v>
      </c>
    </row>
    <row r="72" spans="1:32" s="1474" customFormat="1" ht="23.25" customHeight="1">
      <c r="A72" s="1515">
        <f t="shared" si="30"/>
        <v>7</v>
      </c>
      <c r="B72" s="1513" t="s">
        <v>2008</v>
      </c>
      <c r="C72" s="1514" t="s">
        <v>1931</v>
      </c>
      <c r="D72" s="1514"/>
      <c r="E72" s="1513">
        <v>5000000</v>
      </c>
      <c r="F72" s="1512">
        <f t="shared" si="16"/>
        <v>900000</v>
      </c>
      <c r="G72" s="2141">
        <v>40247</v>
      </c>
      <c r="H72" s="1511">
        <v>0.18</v>
      </c>
      <c r="I72" s="1508">
        <v>12</v>
      </c>
      <c r="J72" s="1508">
        <v>12</v>
      </c>
      <c r="K72" s="1508">
        <v>416700</v>
      </c>
      <c r="L72" s="1508">
        <v>75000</v>
      </c>
      <c r="M72" s="1510">
        <f t="shared" si="17"/>
        <v>5000000</v>
      </c>
      <c r="N72" s="1510">
        <f t="shared" si="18"/>
        <v>900000</v>
      </c>
      <c r="O72" s="1509">
        <v>5000000</v>
      </c>
      <c r="P72" s="1509">
        <v>900000</v>
      </c>
      <c r="Q72" s="1509"/>
      <c r="R72" s="2650"/>
      <c r="S72" s="2650"/>
      <c r="T72" s="1507"/>
      <c r="U72" s="1495">
        <f t="shared" si="19"/>
        <v>5000000</v>
      </c>
      <c r="V72" s="1495">
        <f t="shared" si="20"/>
        <v>900000</v>
      </c>
      <c r="W72" s="1495">
        <f t="shared" si="21"/>
        <v>0</v>
      </c>
      <c r="X72" s="1495">
        <f t="shared" si="22"/>
        <v>0</v>
      </c>
      <c r="Y72" s="1495">
        <f t="shared" si="23"/>
        <v>100</v>
      </c>
      <c r="Z72" s="1495">
        <f t="shared" si="24"/>
        <v>0</v>
      </c>
      <c r="AA72" s="1506">
        <f t="shared" si="25"/>
        <v>0</v>
      </c>
      <c r="AB72" s="1505"/>
      <c r="AC72" s="1504">
        <f t="shared" si="26"/>
        <v>0</v>
      </c>
      <c r="AD72" s="1503">
        <f t="shared" si="27"/>
        <v>0</v>
      </c>
      <c r="AE72" s="1503">
        <f t="shared" si="28"/>
        <v>0</v>
      </c>
      <c r="AF72" s="1502">
        <f t="shared" si="29"/>
        <v>0</v>
      </c>
    </row>
    <row r="73" spans="1:32" s="1474" customFormat="1" ht="23.25" customHeight="1">
      <c r="A73" s="1515">
        <f t="shared" si="30"/>
        <v>8</v>
      </c>
      <c r="B73" s="1513" t="s">
        <v>1991</v>
      </c>
      <c r="C73" s="1514" t="s">
        <v>1932</v>
      </c>
      <c r="D73" s="1514"/>
      <c r="E73" s="1513">
        <v>10600000</v>
      </c>
      <c r="F73" s="1512">
        <f t="shared" si="16"/>
        <v>1908000</v>
      </c>
      <c r="G73" s="2141">
        <v>40343</v>
      </c>
      <c r="H73" s="1511">
        <v>0.18</v>
      </c>
      <c r="I73" s="1508">
        <v>12</v>
      </c>
      <c r="J73" s="1508">
        <v>12</v>
      </c>
      <c r="K73" s="1508">
        <v>883300</v>
      </c>
      <c r="L73" s="1508">
        <v>159000</v>
      </c>
      <c r="M73" s="1510">
        <f t="shared" si="17"/>
        <v>10600000</v>
      </c>
      <c r="N73" s="1510">
        <f t="shared" si="18"/>
        <v>1908000</v>
      </c>
      <c r="O73" s="1509">
        <v>10600000</v>
      </c>
      <c r="P73" s="1509">
        <v>1908000</v>
      </c>
      <c r="Q73" s="1509"/>
      <c r="R73" s="2650"/>
      <c r="S73" s="2650"/>
      <c r="T73" s="1507"/>
      <c r="U73" s="1495">
        <f t="shared" si="19"/>
        <v>10600000</v>
      </c>
      <c r="V73" s="1495">
        <f t="shared" si="20"/>
        <v>1908000</v>
      </c>
      <c r="W73" s="1495">
        <f t="shared" si="21"/>
        <v>0</v>
      </c>
      <c r="X73" s="1495">
        <f t="shared" si="22"/>
        <v>0</v>
      </c>
      <c r="Y73" s="1495">
        <f t="shared" si="23"/>
        <v>100</v>
      </c>
      <c r="Z73" s="1495">
        <f t="shared" si="24"/>
        <v>0</v>
      </c>
      <c r="AA73" s="1506">
        <f t="shared" si="25"/>
        <v>0</v>
      </c>
      <c r="AB73" s="1505"/>
      <c r="AC73" s="1504">
        <f t="shared" si="26"/>
        <v>0</v>
      </c>
      <c r="AD73" s="1503">
        <f t="shared" si="27"/>
        <v>0</v>
      </c>
      <c r="AE73" s="1503">
        <f t="shared" si="28"/>
        <v>0</v>
      </c>
      <c r="AF73" s="1502">
        <f t="shared" si="29"/>
        <v>0</v>
      </c>
    </row>
    <row r="74" spans="1:32" s="1474" customFormat="1" ht="23.25" customHeight="1">
      <c r="A74" s="1515">
        <f t="shared" si="30"/>
        <v>9</v>
      </c>
      <c r="B74" s="1513" t="s">
        <v>2006</v>
      </c>
      <c r="C74" s="1514" t="s">
        <v>1932</v>
      </c>
      <c r="D74" s="1514"/>
      <c r="E74" s="1513">
        <v>17000000</v>
      </c>
      <c r="F74" s="1512">
        <f t="shared" si="16"/>
        <v>3060000</v>
      </c>
      <c r="G74" s="2141">
        <v>40343</v>
      </c>
      <c r="H74" s="1511">
        <v>0.18</v>
      </c>
      <c r="I74" s="1508">
        <v>12</v>
      </c>
      <c r="J74" s="1508">
        <v>12</v>
      </c>
      <c r="K74" s="1508">
        <v>1416700</v>
      </c>
      <c r="L74" s="1508">
        <v>255000</v>
      </c>
      <c r="M74" s="1510">
        <f t="shared" si="17"/>
        <v>17000000</v>
      </c>
      <c r="N74" s="1510">
        <f t="shared" si="18"/>
        <v>3060000</v>
      </c>
      <c r="O74" s="1509">
        <v>17000000</v>
      </c>
      <c r="P74" s="1509">
        <v>3060000</v>
      </c>
      <c r="Q74" s="1509"/>
      <c r="R74" s="2650"/>
      <c r="S74" s="2650"/>
      <c r="T74" s="1507"/>
      <c r="U74" s="1495">
        <f t="shared" si="19"/>
        <v>17000000</v>
      </c>
      <c r="V74" s="1495">
        <f t="shared" si="20"/>
        <v>3060000</v>
      </c>
      <c r="W74" s="1495">
        <f t="shared" si="21"/>
        <v>0</v>
      </c>
      <c r="X74" s="1495">
        <f t="shared" si="22"/>
        <v>0</v>
      </c>
      <c r="Y74" s="1495">
        <f t="shared" si="23"/>
        <v>100</v>
      </c>
      <c r="Z74" s="1495">
        <f t="shared" si="24"/>
        <v>0</v>
      </c>
      <c r="AA74" s="1506">
        <f t="shared" si="25"/>
        <v>0</v>
      </c>
      <c r="AB74" s="1505"/>
      <c r="AC74" s="1504">
        <f t="shared" si="26"/>
        <v>0</v>
      </c>
      <c r="AD74" s="1503">
        <f t="shared" si="27"/>
        <v>0</v>
      </c>
      <c r="AE74" s="1503">
        <f t="shared" si="28"/>
        <v>0</v>
      </c>
      <c r="AF74" s="1502">
        <f t="shared" si="29"/>
        <v>0</v>
      </c>
    </row>
    <row r="75" spans="1:32" s="1474" customFormat="1" ht="23.25" customHeight="1">
      <c r="A75" s="1515">
        <f t="shared" si="30"/>
        <v>10</v>
      </c>
      <c r="B75" s="1513" t="s">
        <v>1988</v>
      </c>
      <c r="C75" s="1514" t="s">
        <v>1935</v>
      </c>
      <c r="D75" s="1514"/>
      <c r="E75" s="1513">
        <v>22000000</v>
      </c>
      <c r="F75" s="1512">
        <f t="shared" si="16"/>
        <v>3960000</v>
      </c>
      <c r="G75" s="2141">
        <v>40477</v>
      </c>
      <c r="H75" s="1511">
        <v>0.18</v>
      </c>
      <c r="I75" s="1508">
        <v>12</v>
      </c>
      <c r="J75" s="1508">
        <v>12</v>
      </c>
      <c r="K75" s="1508">
        <v>1833300</v>
      </c>
      <c r="L75" s="1508">
        <v>330000</v>
      </c>
      <c r="M75" s="1510">
        <f t="shared" si="17"/>
        <v>22000000</v>
      </c>
      <c r="N75" s="1510">
        <f t="shared" si="18"/>
        <v>3960000</v>
      </c>
      <c r="O75" s="1509">
        <v>22000000</v>
      </c>
      <c r="P75" s="1509">
        <v>660000</v>
      </c>
      <c r="Q75" s="1509"/>
      <c r="R75" s="2650"/>
      <c r="S75" s="2650"/>
      <c r="T75" s="1507"/>
      <c r="U75" s="1495">
        <f t="shared" si="19"/>
        <v>22000000</v>
      </c>
      <c r="V75" s="1495">
        <f>SUM(P75+S75)</f>
        <v>660000</v>
      </c>
      <c r="W75" s="1495">
        <f t="shared" si="21"/>
        <v>0</v>
      </c>
      <c r="X75" s="1495">
        <f t="shared" si="22"/>
        <v>0</v>
      </c>
      <c r="Y75" s="1495">
        <f t="shared" si="23"/>
        <v>100</v>
      </c>
      <c r="Z75" s="1495">
        <f t="shared" si="24"/>
        <v>0</v>
      </c>
      <c r="AA75" s="1506"/>
      <c r="AB75" s="1505"/>
      <c r="AC75" s="1504">
        <f t="shared" si="26"/>
        <v>0</v>
      </c>
      <c r="AD75" s="1503">
        <f t="shared" si="27"/>
        <v>0</v>
      </c>
      <c r="AE75" s="1503">
        <f t="shared" si="28"/>
        <v>0</v>
      </c>
      <c r="AF75" s="1502">
        <f t="shared" si="29"/>
        <v>0</v>
      </c>
    </row>
    <row r="76" spans="1:32" s="1474" customFormat="1" ht="23.25" customHeight="1">
      <c r="A76" s="1515">
        <f t="shared" si="30"/>
        <v>11</v>
      </c>
      <c r="B76" s="1513" t="s">
        <v>2009</v>
      </c>
      <c r="C76" s="1514" t="s">
        <v>1935</v>
      </c>
      <c r="D76" s="1514"/>
      <c r="E76" s="1513">
        <v>24000000</v>
      </c>
      <c r="F76" s="1512">
        <f t="shared" si="16"/>
        <v>4320000</v>
      </c>
      <c r="G76" s="2141">
        <v>40477</v>
      </c>
      <c r="H76" s="1511">
        <v>0.18</v>
      </c>
      <c r="I76" s="1508">
        <v>12</v>
      </c>
      <c r="J76" s="1508">
        <v>12</v>
      </c>
      <c r="K76" s="1508">
        <v>2000000</v>
      </c>
      <c r="L76" s="1508">
        <v>360000</v>
      </c>
      <c r="M76" s="1510">
        <f t="shared" si="17"/>
        <v>24000000</v>
      </c>
      <c r="N76" s="1510">
        <f t="shared" si="18"/>
        <v>4320000</v>
      </c>
      <c r="O76" s="1509">
        <v>24000000</v>
      </c>
      <c r="P76" s="1509">
        <v>4320000</v>
      </c>
      <c r="Q76" s="1509"/>
      <c r="R76" s="2650"/>
      <c r="S76" s="2650"/>
      <c r="T76" s="1507"/>
      <c r="U76" s="1495">
        <f t="shared" si="19"/>
        <v>24000000</v>
      </c>
      <c r="V76" s="1495">
        <f t="shared" si="20"/>
        <v>4320000</v>
      </c>
      <c r="W76" s="1495">
        <f t="shared" si="21"/>
        <v>0</v>
      </c>
      <c r="X76" s="1495">
        <f t="shared" si="22"/>
        <v>0</v>
      </c>
      <c r="Y76" s="1495">
        <f t="shared" si="23"/>
        <v>100</v>
      </c>
      <c r="Z76" s="1495">
        <f t="shared" si="24"/>
        <v>0</v>
      </c>
      <c r="AA76" s="1506">
        <f t="shared" si="25"/>
        <v>0</v>
      </c>
      <c r="AB76" s="1505"/>
      <c r="AC76" s="1504">
        <f t="shared" si="26"/>
        <v>0</v>
      </c>
      <c r="AD76" s="1503">
        <f t="shared" si="27"/>
        <v>0</v>
      </c>
      <c r="AE76" s="1503">
        <f t="shared" si="28"/>
        <v>0</v>
      </c>
      <c r="AF76" s="1502">
        <f t="shared" si="29"/>
        <v>0</v>
      </c>
    </row>
    <row r="77" spans="1:32" s="1474" customFormat="1" ht="23.25" customHeight="1">
      <c r="A77" s="1515">
        <f t="shared" si="30"/>
        <v>12</v>
      </c>
      <c r="B77" s="1513" t="s">
        <v>2010</v>
      </c>
      <c r="C77" s="1514" t="s">
        <v>1935</v>
      </c>
      <c r="D77" s="1514"/>
      <c r="E77" s="1513">
        <v>7000000</v>
      </c>
      <c r="F77" s="1512">
        <f t="shared" si="16"/>
        <v>1260000</v>
      </c>
      <c r="G77" s="2141">
        <v>40477</v>
      </c>
      <c r="H77" s="1511">
        <v>0.18</v>
      </c>
      <c r="I77" s="1508">
        <v>12</v>
      </c>
      <c r="J77" s="1508">
        <v>12</v>
      </c>
      <c r="K77" s="1508">
        <v>583300</v>
      </c>
      <c r="L77" s="1508">
        <v>105000</v>
      </c>
      <c r="M77" s="1510">
        <f t="shared" si="17"/>
        <v>7000000</v>
      </c>
      <c r="N77" s="1510">
        <f t="shared" si="18"/>
        <v>1260000</v>
      </c>
      <c r="O77" s="1509">
        <v>7000000</v>
      </c>
      <c r="P77" s="1509">
        <v>1260000</v>
      </c>
      <c r="Q77" s="1509"/>
      <c r="R77" s="2839"/>
      <c r="S77" s="2650"/>
      <c r="T77" s="1507"/>
      <c r="U77" s="1495">
        <f t="shared" si="19"/>
        <v>7000000</v>
      </c>
      <c r="V77" s="1495">
        <f t="shared" si="20"/>
        <v>1260000</v>
      </c>
      <c r="W77" s="1495">
        <f t="shared" si="21"/>
        <v>0</v>
      </c>
      <c r="X77" s="1495">
        <f t="shared" si="22"/>
        <v>0</v>
      </c>
      <c r="Y77" s="1495">
        <f t="shared" si="23"/>
        <v>100</v>
      </c>
      <c r="Z77" s="1495">
        <f t="shared" si="24"/>
        <v>0</v>
      </c>
      <c r="AA77" s="1506">
        <f t="shared" si="25"/>
        <v>0</v>
      </c>
      <c r="AB77" s="1505"/>
      <c r="AC77" s="1504">
        <f t="shared" si="26"/>
        <v>0</v>
      </c>
      <c r="AD77" s="1503">
        <f t="shared" si="27"/>
        <v>0</v>
      </c>
      <c r="AE77" s="1503">
        <f t="shared" si="28"/>
        <v>0</v>
      </c>
      <c r="AF77" s="1502">
        <f t="shared" si="29"/>
        <v>0</v>
      </c>
    </row>
    <row r="78" spans="1:32" s="1474" customFormat="1" ht="23.25" customHeight="1">
      <c r="A78" s="1515">
        <f t="shared" si="30"/>
        <v>13</v>
      </c>
      <c r="B78" s="1513" t="s">
        <v>2011</v>
      </c>
      <c r="C78" s="1514" t="s">
        <v>1935</v>
      </c>
      <c r="D78" s="1514"/>
      <c r="E78" s="1513">
        <v>9600000</v>
      </c>
      <c r="F78" s="1512">
        <f t="shared" si="16"/>
        <v>1728000</v>
      </c>
      <c r="G78" s="2141">
        <v>40485</v>
      </c>
      <c r="H78" s="1511">
        <v>0.18</v>
      </c>
      <c r="I78" s="1508">
        <v>12</v>
      </c>
      <c r="J78" s="1508">
        <v>12</v>
      </c>
      <c r="K78" s="1508">
        <v>800000</v>
      </c>
      <c r="L78" s="1508">
        <v>144000</v>
      </c>
      <c r="M78" s="1510">
        <f t="shared" si="17"/>
        <v>9600000</v>
      </c>
      <c r="N78" s="2401">
        <f>IF(J78&lt;I78,J78*L78,IF(J78&gt;=I78,F78))-144000</f>
        <v>1584000</v>
      </c>
      <c r="O78" s="1509">
        <v>9600000</v>
      </c>
      <c r="P78" s="1509">
        <v>1584000</v>
      </c>
      <c r="Q78" s="1509"/>
      <c r="R78" s="2650"/>
      <c r="S78" s="2650"/>
      <c r="T78" s="1507"/>
      <c r="U78" s="1495">
        <f t="shared" si="19"/>
        <v>9600000</v>
      </c>
      <c r="V78" s="1495">
        <f t="shared" si="20"/>
        <v>1584000</v>
      </c>
      <c r="W78" s="1495">
        <f t="shared" si="21"/>
        <v>0</v>
      </c>
      <c r="X78" s="1495">
        <f t="shared" si="22"/>
        <v>0</v>
      </c>
      <c r="Y78" s="1495">
        <f t="shared" si="23"/>
        <v>100</v>
      </c>
      <c r="Z78" s="1495">
        <f t="shared" si="24"/>
        <v>0</v>
      </c>
      <c r="AA78" s="1506">
        <f t="shared" si="25"/>
        <v>0</v>
      </c>
      <c r="AB78" s="1505"/>
      <c r="AC78" s="1504">
        <f t="shared" si="26"/>
        <v>0</v>
      </c>
      <c r="AD78" s="1503">
        <f t="shared" si="27"/>
        <v>0</v>
      </c>
      <c r="AE78" s="1503">
        <f t="shared" si="28"/>
        <v>0</v>
      </c>
      <c r="AF78" s="1502">
        <f t="shared" si="29"/>
        <v>0</v>
      </c>
    </row>
    <row r="79" spans="1:32" s="1474" customFormat="1" ht="23.25" customHeight="1">
      <c r="A79" s="1515">
        <f t="shared" si="30"/>
        <v>14</v>
      </c>
      <c r="B79" s="1513" t="s">
        <v>1992</v>
      </c>
      <c r="C79" s="1514" t="s">
        <v>1935</v>
      </c>
      <c r="D79" s="1514"/>
      <c r="E79" s="1513">
        <v>21000000</v>
      </c>
      <c r="F79" s="1512">
        <f t="shared" si="16"/>
        <v>3780000</v>
      </c>
      <c r="G79" s="2141">
        <v>40487</v>
      </c>
      <c r="H79" s="1511">
        <v>0.18</v>
      </c>
      <c r="I79" s="1508">
        <v>12</v>
      </c>
      <c r="J79" s="1508">
        <v>12</v>
      </c>
      <c r="K79" s="1508">
        <v>1750000</v>
      </c>
      <c r="L79" s="1508">
        <v>315000</v>
      </c>
      <c r="M79" s="1510">
        <f t="shared" si="17"/>
        <v>21000000</v>
      </c>
      <c r="N79" s="2401">
        <f>IF(J79&lt;I79,J79*L79,IF(J79&gt;=I79,F79))-315000</f>
        <v>3465000</v>
      </c>
      <c r="O79" s="1509">
        <v>21000000</v>
      </c>
      <c r="P79" s="1509">
        <v>3465000</v>
      </c>
      <c r="Q79" s="1509"/>
      <c r="R79" s="2650"/>
      <c r="S79" s="2650"/>
      <c r="T79" s="1507"/>
      <c r="U79" s="1495">
        <f t="shared" si="19"/>
        <v>21000000</v>
      </c>
      <c r="V79" s="1495">
        <f t="shared" si="20"/>
        <v>3465000</v>
      </c>
      <c r="W79" s="1495">
        <f t="shared" si="21"/>
        <v>0</v>
      </c>
      <c r="X79" s="1495">
        <f t="shared" si="22"/>
        <v>0</v>
      </c>
      <c r="Y79" s="1495">
        <f t="shared" si="23"/>
        <v>100</v>
      </c>
      <c r="Z79" s="1495">
        <f t="shared" si="24"/>
        <v>0</v>
      </c>
      <c r="AA79" s="1506">
        <f t="shared" si="25"/>
        <v>0</v>
      </c>
      <c r="AB79" s="1505"/>
      <c r="AC79" s="1504">
        <f t="shared" si="26"/>
        <v>0</v>
      </c>
      <c r="AD79" s="1503">
        <f t="shared" si="27"/>
        <v>0</v>
      </c>
      <c r="AE79" s="1503">
        <f t="shared" si="28"/>
        <v>0</v>
      </c>
      <c r="AF79" s="1502">
        <f t="shared" si="29"/>
        <v>0</v>
      </c>
    </row>
    <row r="80" spans="1:32" s="1474" customFormat="1" ht="23.25" customHeight="1">
      <c r="A80" s="1515">
        <f t="shared" si="30"/>
        <v>15</v>
      </c>
      <c r="B80" s="1513" t="s">
        <v>2007</v>
      </c>
      <c r="C80" s="1514" t="s">
        <v>1935</v>
      </c>
      <c r="D80" s="1514"/>
      <c r="E80" s="1513">
        <v>25000000</v>
      </c>
      <c r="F80" s="1512">
        <f t="shared" si="16"/>
        <v>4500000</v>
      </c>
      <c r="G80" s="2141">
        <v>40492</v>
      </c>
      <c r="H80" s="1511">
        <v>0.18</v>
      </c>
      <c r="I80" s="1508">
        <v>12</v>
      </c>
      <c r="J80" s="1508">
        <v>12</v>
      </c>
      <c r="K80" s="1508">
        <v>2083300</v>
      </c>
      <c r="L80" s="1508">
        <v>375000</v>
      </c>
      <c r="M80" s="1510">
        <f t="shared" si="17"/>
        <v>25000000</v>
      </c>
      <c r="N80" s="2401">
        <f>IF(J80&lt;I80,J80*L80,IF(J80&gt;=I80,F80))-375000</f>
        <v>4125000</v>
      </c>
      <c r="O80" s="1509">
        <v>25000000</v>
      </c>
      <c r="P80" s="1509">
        <v>4125000</v>
      </c>
      <c r="Q80" s="1509"/>
      <c r="R80" s="2839"/>
      <c r="S80" s="2650"/>
      <c r="T80" s="1507"/>
      <c r="U80" s="1495">
        <f t="shared" si="19"/>
        <v>25000000</v>
      </c>
      <c r="V80" s="1495">
        <f t="shared" si="20"/>
        <v>4125000</v>
      </c>
      <c r="W80" s="1495">
        <f t="shared" si="21"/>
        <v>0</v>
      </c>
      <c r="X80" s="1495">
        <f t="shared" si="22"/>
        <v>0</v>
      </c>
      <c r="Y80" s="1495">
        <f t="shared" si="23"/>
        <v>100</v>
      </c>
      <c r="Z80" s="1495">
        <f t="shared" si="24"/>
        <v>0</v>
      </c>
      <c r="AA80" s="1506">
        <f t="shared" si="25"/>
        <v>0</v>
      </c>
      <c r="AB80" s="1505"/>
      <c r="AC80" s="1504">
        <f t="shared" si="26"/>
        <v>0</v>
      </c>
      <c r="AD80" s="1503">
        <f t="shared" si="27"/>
        <v>0</v>
      </c>
      <c r="AE80" s="1503">
        <f t="shared" si="28"/>
        <v>0</v>
      </c>
      <c r="AF80" s="1502">
        <f t="shared" si="29"/>
        <v>0</v>
      </c>
    </row>
    <row r="81" spans="1:32" s="1474" customFormat="1" ht="23.25" customHeight="1">
      <c r="A81" s="1515">
        <f t="shared" si="30"/>
        <v>16</v>
      </c>
      <c r="B81" s="1513" t="s">
        <v>1990</v>
      </c>
      <c r="C81" s="1514" t="s">
        <v>1935</v>
      </c>
      <c r="D81" s="1514"/>
      <c r="E81" s="1513">
        <v>17000000</v>
      </c>
      <c r="F81" s="2402">
        <f t="shared" si="16"/>
        <v>3060000</v>
      </c>
      <c r="G81" s="2141">
        <v>40497</v>
      </c>
      <c r="H81" s="1511">
        <v>0.18</v>
      </c>
      <c r="I81" s="1508">
        <v>12</v>
      </c>
      <c r="J81" s="1508">
        <v>12</v>
      </c>
      <c r="K81" s="1508">
        <v>1416700</v>
      </c>
      <c r="L81" s="1508">
        <v>255000</v>
      </c>
      <c r="M81" s="1510">
        <f t="shared" si="17"/>
        <v>17000000</v>
      </c>
      <c r="N81" s="2401">
        <f>IF(J81&lt;I81,J81*L81,IF(J81&gt;=I81,F81))-255000</f>
        <v>2805000</v>
      </c>
      <c r="O81" s="1509">
        <v>17000000</v>
      </c>
      <c r="P81" s="1509">
        <v>2805000</v>
      </c>
      <c r="Q81" s="1509"/>
      <c r="R81" s="2650"/>
      <c r="S81" s="2650"/>
      <c r="T81" s="1507"/>
      <c r="U81" s="1495">
        <f t="shared" si="19"/>
        <v>17000000</v>
      </c>
      <c r="V81" s="1495">
        <f t="shared" si="20"/>
        <v>2805000</v>
      </c>
      <c r="W81" s="1495">
        <f t="shared" si="21"/>
        <v>0</v>
      </c>
      <c r="X81" s="1495">
        <f t="shared" si="22"/>
        <v>0</v>
      </c>
      <c r="Y81" s="1495">
        <f t="shared" si="23"/>
        <v>100</v>
      </c>
      <c r="Z81" s="1495">
        <f t="shared" si="24"/>
        <v>0</v>
      </c>
      <c r="AA81" s="1506">
        <f t="shared" si="25"/>
        <v>0</v>
      </c>
      <c r="AB81" s="1505"/>
      <c r="AC81" s="1504">
        <f t="shared" si="26"/>
        <v>0</v>
      </c>
      <c r="AD81" s="1503">
        <f t="shared" si="27"/>
        <v>0</v>
      </c>
      <c r="AE81" s="1503">
        <f t="shared" si="28"/>
        <v>0</v>
      </c>
      <c r="AF81" s="1502">
        <f t="shared" si="29"/>
        <v>0</v>
      </c>
    </row>
    <row r="82" spans="1:32" s="1474" customFormat="1" ht="23.25" customHeight="1">
      <c r="A82" s="1515">
        <f t="shared" si="30"/>
        <v>17</v>
      </c>
      <c r="B82" s="1513" t="s">
        <v>1994</v>
      </c>
      <c r="C82" s="1514" t="s">
        <v>1935</v>
      </c>
      <c r="D82" s="1514"/>
      <c r="E82" s="1513">
        <v>23000000</v>
      </c>
      <c r="F82" s="1512">
        <f t="shared" si="16"/>
        <v>4140000</v>
      </c>
      <c r="G82" s="2141">
        <v>40518</v>
      </c>
      <c r="H82" s="1511">
        <v>0.18</v>
      </c>
      <c r="I82" s="1508">
        <v>12</v>
      </c>
      <c r="J82" s="2404">
        <v>12</v>
      </c>
      <c r="K82" s="1508">
        <v>1916700</v>
      </c>
      <c r="L82" s="1508">
        <v>345000</v>
      </c>
      <c r="M82" s="1510">
        <f t="shared" si="17"/>
        <v>23000000</v>
      </c>
      <c r="N82" s="2401">
        <f>IF(J82&lt;I82,J82*L82,IF(J82&gt;=I82,F82))-345000</f>
        <v>3795000</v>
      </c>
      <c r="O82" s="1509">
        <v>23000000</v>
      </c>
      <c r="P82" s="1509">
        <v>3795000</v>
      </c>
      <c r="Q82" s="1509"/>
      <c r="R82" s="2839"/>
      <c r="S82" s="2650"/>
      <c r="T82" s="1507"/>
      <c r="U82" s="1495">
        <f t="shared" si="19"/>
        <v>23000000</v>
      </c>
      <c r="V82" s="1495">
        <f t="shared" si="20"/>
        <v>3795000</v>
      </c>
      <c r="W82" s="1495">
        <f t="shared" si="21"/>
        <v>0</v>
      </c>
      <c r="X82" s="1495">
        <f t="shared" si="22"/>
        <v>0</v>
      </c>
      <c r="Y82" s="1495">
        <f t="shared" si="23"/>
        <v>100</v>
      </c>
      <c r="Z82" s="1495">
        <f t="shared" si="24"/>
        <v>0</v>
      </c>
      <c r="AA82" s="1506">
        <f t="shared" si="25"/>
        <v>0</v>
      </c>
      <c r="AB82" s="1505"/>
      <c r="AC82" s="1504">
        <f t="shared" si="26"/>
        <v>0</v>
      </c>
      <c r="AD82" s="1503">
        <f t="shared" si="27"/>
        <v>0</v>
      </c>
      <c r="AE82" s="1503">
        <f t="shared" si="28"/>
        <v>0</v>
      </c>
      <c r="AF82" s="1502">
        <f t="shared" si="29"/>
        <v>0</v>
      </c>
    </row>
    <row r="83" spans="1:32" s="1474" customFormat="1" ht="23.25" customHeight="1">
      <c r="A83" s="1515">
        <f t="shared" si="30"/>
        <v>18</v>
      </c>
      <c r="B83" s="1513" t="s">
        <v>1993</v>
      </c>
      <c r="C83" s="1514" t="s">
        <v>1935</v>
      </c>
      <c r="D83" s="1514"/>
      <c r="E83" s="1513">
        <v>18000000</v>
      </c>
      <c r="F83" s="1512">
        <f t="shared" si="16"/>
        <v>3240000</v>
      </c>
      <c r="G83" s="2141">
        <v>40532</v>
      </c>
      <c r="H83" s="1511">
        <v>0.18</v>
      </c>
      <c r="I83" s="1508">
        <v>12</v>
      </c>
      <c r="J83" s="1508">
        <v>12</v>
      </c>
      <c r="K83" s="1508">
        <v>1500000</v>
      </c>
      <c r="L83" s="1508">
        <v>270000</v>
      </c>
      <c r="M83" s="1510">
        <f t="shared" si="17"/>
        <v>18000000</v>
      </c>
      <c r="N83" s="1510">
        <f t="shared" si="18"/>
        <v>3240000</v>
      </c>
      <c r="O83" s="1509">
        <v>18000000</v>
      </c>
      <c r="P83" s="1509">
        <v>3240000</v>
      </c>
      <c r="Q83" s="1509"/>
      <c r="R83" s="2650"/>
      <c r="S83" s="2650"/>
      <c r="T83" s="1507"/>
      <c r="U83" s="1495">
        <f t="shared" si="19"/>
        <v>18000000</v>
      </c>
      <c r="V83" s="1495">
        <f t="shared" si="20"/>
        <v>3240000</v>
      </c>
      <c r="W83" s="1495">
        <f t="shared" si="21"/>
        <v>0</v>
      </c>
      <c r="X83" s="1495">
        <f t="shared" si="22"/>
        <v>0</v>
      </c>
      <c r="Y83" s="1495">
        <f t="shared" si="23"/>
        <v>100</v>
      </c>
      <c r="Z83" s="1495">
        <f t="shared" si="24"/>
        <v>0</v>
      </c>
      <c r="AA83" s="1506">
        <f t="shared" si="25"/>
        <v>0</v>
      </c>
      <c r="AB83" s="1505"/>
      <c r="AC83" s="1504">
        <f t="shared" si="26"/>
        <v>0</v>
      </c>
      <c r="AD83" s="1503">
        <f t="shared" si="27"/>
        <v>0</v>
      </c>
      <c r="AE83" s="1503">
        <f t="shared" si="28"/>
        <v>0</v>
      </c>
      <c r="AF83" s="1502">
        <f t="shared" si="29"/>
        <v>0</v>
      </c>
    </row>
    <row r="84" spans="1:32" s="1474" customFormat="1" ht="23.25" customHeight="1">
      <c r="A84" s="1515">
        <f t="shared" si="30"/>
        <v>19</v>
      </c>
      <c r="B84" s="1513" t="s">
        <v>2012</v>
      </c>
      <c r="C84" s="1514" t="s">
        <v>1935</v>
      </c>
      <c r="D84" s="1514"/>
      <c r="E84" s="1513">
        <v>7000000</v>
      </c>
      <c r="F84" s="1512">
        <f t="shared" si="16"/>
        <v>1260000</v>
      </c>
      <c r="G84" s="2141">
        <v>40535</v>
      </c>
      <c r="H84" s="1511">
        <v>0.18</v>
      </c>
      <c r="I84" s="1508">
        <v>12</v>
      </c>
      <c r="J84" s="1508">
        <v>12</v>
      </c>
      <c r="K84" s="1508">
        <v>583300</v>
      </c>
      <c r="L84" s="1508">
        <v>105000</v>
      </c>
      <c r="M84" s="1510">
        <f t="shared" si="17"/>
        <v>7000000</v>
      </c>
      <c r="N84" s="1510">
        <f t="shared" si="18"/>
        <v>1260000</v>
      </c>
      <c r="O84" s="1509">
        <v>7000000</v>
      </c>
      <c r="P84" s="1509">
        <v>1260000</v>
      </c>
      <c r="Q84" s="1509"/>
      <c r="R84" s="2650"/>
      <c r="S84" s="2650"/>
      <c r="T84" s="1507"/>
      <c r="U84" s="1495">
        <f t="shared" si="19"/>
        <v>7000000</v>
      </c>
      <c r="V84" s="1495">
        <f t="shared" si="20"/>
        <v>1260000</v>
      </c>
      <c r="W84" s="1495">
        <f t="shared" si="21"/>
        <v>0</v>
      </c>
      <c r="X84" s="1495">
        <f t="shared" si="22"/>
        <v>0</v>
      </c>
      <c r="Y84" s="1495">
        <f t="shared" si="23"/>
        <v>100</v>
      </c>
      <c r="Z84" s="1495">
        <f t="shared" si="24"/>
        <v>0</v>
      </c>
      <c r="AA84" s="1506">
        <f t="shared" si="25"/>
        <v>0</v>
      </c>
      <c r="AB84" s="1505"/>
      <c r="AC84" s="1504">
        <f t="shared" si="26"/>
        <v>0</v>
      </c>
      <c r="AD84" s="1503">
        <f t="shared" si="27"/>
        <v>0</v>
      </c>
      <c r="AE84" s="1503">
        <f t="shared" si="28"/>
        <v>0</v>
      </c>
      <c r="AF84" s="1502">
        <f t="shared" si="29"/>
        <v>0</v>
      </c>
    </row>
    <row r="85" spans="1:32" s="1474" customFormat="1" ht="23.25" customHeight="1">
      <c r="A85" s="1515">
        <f t="shared" si="30"/>
        <v>20</v>
      </c>
      <c r="B85" s="1513" t="s">
        <v>1988</v>
      </c>
      <c r="C85" s="1514" t="s">
        <v>1940</v>
      </c>
      <c r="D85" s="1514">
        <v>11</v>
      </c>
      <c r="E85" s="1513">
        <v>22000000</v>
      </c>
      <c r="F85" s="1512">
        <f t="shared" si="16"/>
        <v>3960000</v>
      </c>
      <c r="G85" s="2141">
        <v>40560</v>
      </c>
      <c r="H85" s="1511">
        <v>0.18</v>
      </c>
      <c r="I85" s="1508">
        <v>12</v>
      </c>
      <c r="J85" s="1508">
        <v>12</v>
      </c>
      <c r="K85" s="1508">
        <v>1833300</v>
      </c>
      <c r="L85" s="1508">
        <v>330000</v>
      </c>
      <c r="M85" s="1510">
        <f t="shared" si="17"/>
        <v>22000000</v>
      </c>
      <c r="N85" s="1510">
        <f t="shared" si="18"/>
        <v>3960000</v>
      </c>
      <c r="O85" s="1509">
        <v>20166300</v>
      </c>
      <c r="P85" s="1509">
        <v>3635500</v>
      </c>
      <c r="Q85" s="1509"/>
      <c r="R85" s="2650"/>
      <c r="S85" s="2650"/>
      <c r="T85" s="1507"/>
      <c r="U85" s="1495">
        <f t="shared" si="19"/>
        <v>20166300</v>
      </c>
      <c r="V85" s="1495">
        <f t="shared" si="20"/>
        <v>3635500</v>
      </c>
      <c r="W85" s="1495">
        <f t="shared" si="21"/>
        <v>0</v>
      </c>
      <c r="X85" s="1495">
        <f t="shared" si="22"/>
        <v>1833700</v>
      </c>
      <c r="Y85" s="1495">
        <f t="shared" si="23"/>
        <v>91.664999999999992</v>
      </c>
      <c r="Z85" s="1495">
        <f t="shared" si="24"/>
        <v>1833700</v>
      </c>
      <c r="AA85" s="1506">
        <f t="shared" si="25"/>
        <v>324500</v>
      </c>
      <c r="AB85" s="1505">
        <v>7</v>
      </c>
      <c r="AC85" s="1504">
        <f t="shared" si="26"/>
        <v>0</v>
      </c>
      <c r="AD85" s="1503">
        <f t="shared" si="27"/>
        <v>0</v>
      </c>
      <c r="AE85" s="1503">
        <f t="shared" si="28"/>
        <v>0</v>
      </c>
      <c r="AF85" s="1502">
        <f t="shared" si="29"/>
        <v>1833700</v>
      </c>
    </row>
    <row r="86" spans="1:32" s="1474" customFormat="1" ht="23.25" customHeight="1">
      <c r="A86" s="1515">
        <f t="shared" si="30"/>
        <v>21</v>
      </c>
      <c r="B86" s="1513" t="s">
        <v>2013</v>
      </c>
      <c r="C86" s="1514" t="s">
        <v>1940</v>
      </c>
      <c r="D86" s="1514"/>
      <c r="E86" s="1513">
        <v>10000000</v>
      </c>
      <c r="F86" s="1512">
        <f t="shared" si="16"/>
        <v>1800000</v>
      </c>
      <c r="G86" s="2141">
        <v>40588</v>
      </c>
      <c r="H86" s="1511">
        <v>0.18</v>
      </c>
      <c r="I86" s="1508">
        <v>12</v>
      </c>
      <c r="J86" s="1508">
        <v>12</v>
      </c>
      <c r="K86" s="1508">
        <v>833300</v>
      </c>
      <c r="L86" s="1508">
        <v>150000</v>
      </c>
      <c r="M86" s="1510">
        <f t="shared" si="17"/>
        <v>10000000</v>
      </c>
      <c r="N86" s="1510">
        <f t="shared" si="18"/>
        <v>1800000</v>
      </c>
      <c r="O86" s="1509">
        <v>10000000</v>
      </c>
      <c r="P86" s="1509">
        <v>1800000</v>
      </c>
      <c r="Q86" s="1509"/>
      <c r="R86" s="2650"/>
      <c r="S86" s="2650"/>
      <c r="T86" s="1507"/>
      <c r="U86" s="1495">
        <f t="shared" si="19"/>
        <v>10000000</v>
      </c>
      <c r="V86" s="1495">
        <f t="shared" si="20"/>
        <v>1800000</v>
      </c>
      <c r="W86" s="1495">
        <f t="shared" si="21"/>
        <v>0</v>
      </c>
      <c r="X86" s="1495">
        <f t="shared" si="22"/>
        <v>0</v>
      </c>
      <c r="Y86" s="1495">
        <f t="shared" si="23"/>
        <v>100</v>
      </c>
      <c r="Z86" s="1495">
        <f t="shared" si="24"/>
        <v>0</v>
      </c>
      <c r="AA86" s="1506">
        <f t="shared" si="25"/>
        <v>0</v>
      </c>
      <c r="AB86" s="1505"/>
      <c r="AC86" s="1504">
        <f t="shared" si="26"/>
        <v>0</v>
      </c>
      <c r="AD86" s="1503">
        <f t="shared" si="27"/>
        <v>0</v>
      </c>
      <c r="AE86" s="1503">
        <f t="shared" si="28"/>
        <v>0</v>
      </c>
      <c r="AF86" s="1502">
        <f t="shared" si="29"/>
        <v>0</v>
      </c>
    </row>
    <row r="87" spans="1:32" s="1474" customFormat="1" ht="23.25" customHeight="1">
      <c r="A87" s="1515">
        <f t="shared" si="30"/>
        <v>22</v>
      </c>
      <c r="B87" s="1513" t="s">
        <v>1941</v>
      </c>
      <c r="C87" s="1514" t="s">
        <v>1940</v>
      </c>
      <c r="D87" s="1514"/>
      <c r="E87" s="1513">
        <v>12500000</v>
      </c>
      <c r="F87" s="1512">
        <f t="shared" si="16"/>
        <v>2250000</v>
      </c>
      <c r="G87" s="2141">
        <v>40588</v>
      </c>
      <c r="H87" s="1511">
        <v>0.18</v>
      </c>
      <c r="I87" s="1508">
        <v>12</v>
      </c>
      <c r="J87" s="1508">
        <v>12</v>
      </c>
      <c r="K87" s="1508">
        <v>1041700</v>
      </c>
      <c r="L87" s="1508">
        <v>187500</v>
      </c>
      <c r="M87" s="1510">
        <f t="shared" si="17"/>
        <v>12500000</v>
      </c>
      <c r="N87" s="1510">
        <f t="shared" si="18"/>
        <v>2250000</v>
      </c>
      <c r="O87" s="1509">
        <v>12500000</v>
      </c>
      <c r="P87" s="1509">
        <v>2250000</v>
      </c>
      <c r="Q87" s="1509"/>
      <c r="R87" s="2650"/>
      <c r="S87" s="2650"/>
      <c r="T87" s="1507"/>
      <c r="U87" s="1495">
        <f t="shared" si="19"/>
        <v>12500000</v>
      </c>
      <c r="V87" s="1495">
        <f t="shared" si="20"/>
        <v>2250000</v>
      </c>
      <c r="W87" s="1495">
        <f t="shared" si="21"/>
        <v>0</v>
      </c>
      <c r="X87" s="1495">
        <f t="shared" si="22"/>
        <v>0</v>
      </c>
      <c r="Y87" s="1495">
        <f t="shared" si="23"/>
        <v>100</v>
      </c>
      <c r="Z87" s="1495">
        <f t="shared" si="24"/>
        <v>0</v>
      </c>
      <c r="AA87" s="1506">
        <f t="shared" si="25"/>
        <v>0</v>
      </c>
      <c r="AB87" s="1505"/>
      <c r="AC87" s="1504">
        <f t="shared" si="26"/>
        <v>0</v>
      </c>
      <c r="AD87" s="1503">
        <f t="shared" si="27"/>
        <v>0</v>
      </c>
      <c r="AE87" s="1503">
        <f t="shared" si="28"/>
        <v>0</v>
      </c>
      <c r="AF87" s="1502">
        <f t="shared" si="29"/>
        <v>0</v>
      </c>
    </row>
    <row r="88" spans="1:32" s="1474" customFormat="1" ht="23.25" customHeight="1">
      <c r="A88" s="1515">
        <f t="shared" si="30"/>
        <v>23</v>
      </c>
      <c r="B88" s="1513" t="s">
        <v>1944</v>
      </c>
      <c r="C88" s="1514" t="s">
        <v>1940</v>
      </c>
      <c r="D88" s="1514"/>
      <c r="E88" s="1513">
        <v>10000000</v>
      </c>
      <c r="F88" s="1512">
        <f t="shared" si="16"/>
        <v>1800000</v>
      </c>
      <c r="G88" s="2141">
        <v>40619</v>
      </c>
      <c r="H88" s="1511">
        <v>0.18</v>
      </c>
      <c r="I88" s="1508">
        <v>12</v>
      </c>
      <c r="J88" s="1508">
        <v>12</v>
      </c>
      <c r="K88" s="1508">
        <v>833300</v>
      </c>
      <c r="L88" s="1508">
        <v>150000</v>
      </c>
      <c r="M88" s="1510">
        <f t="shared" si="17"/>
        <v>10000000</v>
      </c>
      <c r="N88" s="1510">
        <f t="shared" si="18"/>
        <v>1800000</v>
      </c>
      <c r="O88" s="1509">
        <v>10000000</v>
      </c>
      <c r="P88" s="1509">
        <v>1800000</v>
      </c>
      <c r="Q88" s="1509"/>
      <c r="R88" s="2650"/>
      <c r="S88" s="2650"/>
      <c r="T88" s="1507"/>
      <c r="U88" s="1495">
        <f t="shared" si="19"/>
        <v>10000000</v>
      </c>
      <c r="V88" s="1495">
        <f t="shared" si="20"/>
        <v>1800000</v>
      </c>
      <c r="W88" s="1495">
        <f t="shared" si="21"/>
        <v>0</v>
      </c>
      <c r="X88" s="1495">
        <f t="shared" si="22"/>
        <v>0</v>
      </c>
      <c r="Y88" s="1495">
        <f t="shared" si="23"/>
        <v>100</v>
      </c>
      <c r="Z88" s="1495">
        <f t="shared" si="24"/>
        <v>0</v>
      </c>
      <c r="AA88" s="1506">
        <f t="shared" si="25"/>
        <v>0</v>
      </c>
      <c r="AB88" s="1505"/>
      <c r="AC88" s="1504">
        <f t="shared" si="26"/>
        <v>0</v>
      </c>
      <c r="AD88" s="1503">
        <f t="shared" si="27"/>
        <v>0</v>
      </c>
      <c r="AE88" s="1503">
        <f t="shared" si="28"/>
        <v>0</v>
      </c>
      <c r="AF88" s="1502">
        <f t="shared" si="29"/>
        <v>0</v>
      </c>
    </row>
    <row r="89" spans="1:32" s="1474" customFormat="1" ht="23.25" customHeight="1">
      <c r="A89" s="1515">
        <f t="shared" si="30"/>
        <v>24</v>
      </c>
      <c r="B89" s="1513" t="s">
        <v>2008</v>
      </c>
      <c r="C89" s="1514" t="s">
        <v>1940</v>
      </c>
      <c r="D89" s="1514"/>
      <c r="E89" s="1513">
        <v>10000000</v>
      </c>
      <c r="F89" s="1512">
        <f t="shared" si="16"/>
        <v>1800000</v>
      </c>
      <c r="G89" s="2141">
        <v>40620</v>
      </c>
      <c r="H89" s="1511">
        <v>0.18</v>
      </c>
      <c r="I89" s="1508">
        <v>12</v>
      </c>
      <c r="J89" s="1508">
        <v>12</v>
      </c>
      <c r="K89" s="1508">
        <v>833300</v>
      </c>
      <c r="L89" s="1508">
        <v>150000</v>
      </c>
      <c r="M89" s="1510">
        <f t="shared" si="17"/>
        <v>10000000</v>
      </c>
      <c r="N89" s="1510">
        <f t="shared" si="18"/>
        <v>1800000</v>
      </c>
      <c r="O89" s="1509">
        <v>10000000</v>
      </c>
      <c r="P89" s="1509">
        <v>1800000</v>
      </c>
      <c r="Q89" s="1509"/>
      <c r="R89" s="2650"/>
      <c r="S89" s="2650"/>
      <c r="T89" s="1507"/>
      <c r="U89" s="1495">
        <f t="shared" si="19"/>
        <v>10000000</v>
      </c>
      <c r="V89" s="1495">
        <f t="shared" si="20"/>
        <v>1800000</v>
      </c>
      <c r="W89" s="1495">
        <f t="shared" si="21"/>
        <v>0</v>
      </c>
      <c r="X89" s="1495">
        <f t="shared" si="22"/>
        <v>0</v>
      </c>
      <c r="Y89" s="1495">
        <f t="shared" si="23"/>
        <v>100</v>
      </c>
      <c r="Z89" s="1495">
        <f t="shared" si="24"/>
        <v>0</v>
      </c>
      <c r="AA89" s="1506">
        <f t="shared" si="25"/>
        <v>0</v>
      </c>
      <c r="AB89" s="1505"/>
      <c r="AC89" s="1504">
        <f t="shared" si="26"/>
        <v>0</v>
      </c>
      <c r="AD89" s="1503">
        <f t="shared" si="27"/>
        <v>0</v>
      </c>
      <c r="AE89" s="1503">
        <f t="shared" si="28"/>
        <v>0</v>
      </c>
      <c r="AF89" s="1502">
        <f t="shared" si="29"/>
        <v>0</v>
      </c>
    </row>
    <row r="90" spans="1:32" s="1474" customFormat="1" ht="23.25" customHeight="1">
      <c r="A90" s="1515">
        <v>25</v>
      </c>
      <c r="B90" s="1513" t="s">
        <v>1991</v>
      </c>
      <c r="C90" s="1514" t="s">
        <v>1985</v>
      </c>
      <c r="D90" s="1514"/>
      <c r="E90" s="1513">
        <v>16500000</v>
      </c>
      <c r="F90" s="1512">
        <f t="shared" si="16"/>
        <v>2970000</v>
      </c>
      <c r="G90" s="2141">
        <v>40675</v>
      </c>
      <c r="H90" s="1511">
        <v>0.18</v>
      </c>
      <c r="I90" s="1508">
        <v>12</v>
      </c>
      <c r="J90" s="2404">
        <v>12</v>
      </c>
      <c r="K90" s="1508">
        <v>1375000</v>
      </c>
      <c r="L90" s="1508">
        <v>247500</v>
      </c>
      <c r="M90" s="1510">
        <f t="shared" si="17"/>
        <v>16500000</v>
      </c>
      <c r="N90" s="2401">
        <f>IF(J90&lt;I90,J90*L90,IF(J90&gt;=I90,F90))-247500</f>
        <v>2722500</v>
      </c>
      <c r="O90" s="1509">
        <v>16500000</v>
      </c>
      <c r="P90" s="1509">
        <v>2722500</v>
      </c>
      <c r="Q90" s="1509"/>
      <c r="R90" s="2650"/>
      <c r="S90" s="2650"/>
      <c r="T90" s="1507"/>
      <c r="U90" s="1495">
        <f t="shared" si="19"/>
        <v>16500000</v>
      </c>
      <c r="V90" s="1495">
        <f t="shared" si="20"/>
        <v>2722500</v>
      </c>
      <c r="W90" s="1495">
        <f t="shared" si="21"/>
        <v>0</v>
      </c>
      <c r="X90" s="1495">
        <f t="shared" si="22"/>
        <v>0</v>
      </c>
      <c r="Y90" s="1495">
        <f t="shared" si="23"/>
        <v>100</v>
      </c>
      <c r="Z90" s="1495">
        <f t="shared" si="24"/>
        <v>0</v>
      </c>
      <c r="AA90" s="1506">
        <f t="shared" si="25"/>
        <v>0</v>
      </c>
      <c r="AB90" s="1505"/>
      <c r="AC90" s="1504">
        <f t="shared" si="26"/>
        <v>0</v>
      </c>
      <c r="AD90" s="1503">
        <f t="shared" si="27"/>
        <v>0</v>
      </c>
      <c r="AE90" s="1503">
        <f t="shared" si="28"/>
        <v>0</v>
      </c>
      <c r="AF90" s="1502">
        <f t="shared" si="29"/>
        <v>0</v>
      </c>
    </row>
    <row r="91" spans="1:32" s="1474" customFormat="1" ht="23.25" customHeight="1">
      <c r="A91" s="1515">
        <v>26</v>
      </c>
      <c r="B91" s="1513" t="s">
        <v>2154</v>
      </c>
      <c r="C91" s="1514" t="s">
        <v>1985</v>
      </c>
      <c r="D91" s="1514"/>
      <c r="E91" s="1513">
        <v>7200000</v>
      </c>
      <c r="F91" s="1512">
        <f t="shared" si="16"/>
        <v>1296000</v>
      </c>
      <c r="G91" s="2141">
        <v>40675</v>
      </c>
      <c r="H91" s="1511">
        <v>0.18</v>
      </c>
      <c r="I91" s="1508">
        <v>12</v>
      </c>
      <c r="J91" s="1508">
        <v>12</v>
      </c>
      <c r="K91" s="1508">
        <v>600000</v>
      </c>
      <c r="L91" s="1508">
        <v>108000</v>
      </c>
      <c r="M91" s="1510">
        <f t="shared" si="17"/>
        <v>7200000</v>
      </c>
      <c r="N91" s="2401">
        <f>IF(J91&lt;I91,J91*L91,IF(J91&gt;=I91,F91))</f>
        <v>1296000</v>
      </c>
      <c r="O91" s="1509">
        <v>7200000</v>
      </c>
      <c r="P91" s="1509">
        <v>1296000</v>
      </c>
      <c r="Q91" s="1509"/>
      <c r="R91" s="2650"/>
      <c r="S91" s="2650"/>
      <c r="T91" s="1507"/>
      <c r="U91" s="1495">
        <f t="shared" si="19"/>
        <v>7200000</v>
      </c>
      <c r="V91" s="1495">
        <f t="shared" si="20"/>
        <v>1296000</v>
      </c>
      <c r="W91" s="1495">
        <f t="shared" si="21"/>
        <v>0</v>
      </c>
      <c r="X91" s="1495">
        <f t="shared" si="22"/>
        <v>0</v>
      </c>
      <c r="Y91" s="1495">
        <f t="shared" si="23"/>
        <v>100</v>
      </c>
      <c r="Z91" s="1495">
        <f t="shared" si="24"/>
        <v>0</v>
      </c>
      <c r="AA91" s="1506">
        <f t="shared" si="25"/>
        <v>0</v>
      </c>
      <c r="AB91" s="1505"/>
      <c r="AC91" s="1504">
        <f t="shared" si="26"/>
        <v>0</v>
      </c>
      <c r="AD91" s="1503">
        <f t="shared" si="27"/>
        <v>0</v>
      </c>
      <c r="AE91" s="1503">
        <f t="shared" si="28"/>
        <v>0</v>
      </c>
      <c r="AF91" s="1502">
        <f t="shared" si="29"/>
        <v>0</v>
      </c>
    </row>
    <row r="92" spans="1:32" s="1474" customFormat="1" ht="23.25" customHeight="1">
      <c r="A92" s="1515">
        <v>27</v>
      </c>
      <c r="B92" s="1513" t="s">
        <v>2006</v>
      </c>
      <c r="C92" s="1514" t="s">
        <v>1985</v>
      </c>
      <c r="D92" s="1514">
        <v>13</v>
      </c>
      <c r="E92" s="1513">
        <v>18000000</v>
      </c>
      <c r="F92" s="1512">
        <f t="shared" si="16"/>
        <v>3240000</v>
      </c>
      <c r="G92" s="2141">
        <v>40681</v>
      </c>
      <c r="H92" s="1511">
        <v>0.18</v>
      </c>
      <c r="I92" s="1508">
        <v>12</v>
      </c>
      <c r="J92" s="1508">
        <v>12</v>
      </c>
      <c r="K92" s="1508">
        <v>1500000</v>
      </c>
      <c r="L92" s="1508">
        <v>270000</v>
      </c>
      <c r="M92" s="1510">
        <f t="shared" si="17"/>
        <v>18000000</v>
      </c>
      <c r="N92" s="1510">
        <f t="shared" si="18"/>
        <v>3240000</v>
      </c>
      <c r="O92" s="1509">
        <v>15020000</v>
      </c>
      <c r="P92" s="1509">
        <v>2970000</v>
      </c>
      <c r="Q92" s="1509"/>
      <c r="R92" s="2650"/>
      <c r="S92" s="2650"/>
      <c r="T92" s="1507"/>
      <c r="U92" s="1495">
        <f t="shared" si="19"/>
        <v>15020000</v>
      </c>
      <c r="V92" s="1495">
        <f t="shared" si="20"/>
        <v>2970000</v>
      </c>
      <c r="W92" s="1495">
        <f t="shared" si="21"/>
        <v>0</v>
      </c>
      <c r="X92" s="1495">
        <f t="shared" si="22"/>
        <v>2980000</v>
      </c>
      <c r="Y92" s="1495">
        <f t="shared" si="23"/>
        <v>83.444444444444443</v>
      </c>
      <c r="Z92" s="1495">
        <f t="shared" si="24"/>
        <v>2980000</v>
      </c>
      <c r="AA92" s="1506">
        <f t="shared" si="25"/>
        <v>270000</v>
      </c>
      <c r="AB92" s="1505">
        <v>7</v>
      </c>
      <c r="AC92" s="1504">
        <f t="shared" si="26"/>
        <v>0</v>
      </c>
      <c r="AD92" s="1503">
        <f t="shared" si="27"/>
        <v>0</v>
      </c>
      <c r="AE92" s="1503">
        <f t="shared" si="28"/>
        <v>0</v>
      </c>
      <c r="AF92" s="1502">
        <f t="shared" si="29"/>
        <v>2980000</v>
      </c>
    </row>
    <row r="93" spans="1:32" s="1474" customFormat="1" ht="23.25" customHeight="1">
      <c r="A93" s="1515">
        <v>28</v>
      </c>
      <c r="B93" s="1513" t="s">
        <v>1989</v>
      </c>
      <c r="C93" s="1514" t="s">
        <v>2195</v>
      </c>
      <c r="D93" s="1514"/>
      <c r="E93" s="1513">
        <v>24000000</v>
      </c>
      <c r="F93" s="1512">
        <f t="shared" si="16"/>
        <v>4320000</v>
      </c>
      <c r="G93" s="2141">
        <v>40828</v>
      </c>
      <c r="H93" s="1511">
        <v>0.18</v>
      </c>
      <c r="I93" s="1508">
        <v>12</v>
      </c>
      <c r="J93" s="1508">
        <v>12</v>
      </c>
      <c r="K93" s="1508">
        <f>E93/I93</f>
        <v>2000000</v>
      </c>
      <c r="L93" s="1508">
        <f>F93/I93</f>
        <v>360000</v>
      </c>
      <c r="M93" s="1510">
        <f t="shared" si="17"/>
        <v>24000000</v>
      </c>
      <c r="N93" s="1510">
        <f>IF(J93&lt;I93,J93*L93,IF(J93&gt;=I93,F93))-360000</f>
        <v>3960000</v>
      </c>
      <c r="O93" s="1509">
        <v>24000000</v>
      </c>
      <c r="P93" s="1509">
        <v>3960000</v>
      </c>
      <c r="Q93" s="1509"/>
      <c r="R93" s="2650"/>
      <c r="S93" s="2650"/>
      <c r="T93" s="1507"/>
      <c r="U93" s="1495">
        <f t="shared" si="19"/>
        <v>24000000</v>
      </c>
      <c r="V93" s="1495">
        <f t="shared" si="20"/>
        <v>3960000</v>
      </c>
      <c r="W93" s="1495">
        <f t="shared" si="21"/>
        <v>0</v>
      </c>
      <c r="X93" s="1495">
        <f t="shared" si="22"/>
        <v>0</v>
      </c>
      <c r="Y93" s="1495">
        <f t="shared" si="23"/>
        <v>100</v>
      </c>
      <c r="Z93" s="1495">
        <f t="shared" si="24"/>
        <v>0</v>
      </c>
      <c r="AA93" s="1506">
        <f t="shared" si="25"/>
        <v>0</v>
      </c>
      <c r="AB93" s="1505"/>
      <c r="AC93" s="1504">
        <f t="shared" si="26"/>
        <v>0</v>
      </c>
      <c r="AD93" s="1503">
        <f t="shared" si="27"/>
        <v>0</v>
      </c>
      <c r="AE93" s="1503">
        <f t="shared" si="28"/>
        <v>0</v>
      </c>
      <c r="AF93" s="1502">
        <f t="shared" si="29"/>
        <v>0</v>
      </c>
    </row>
    <row r="94" spans="1:32" s="1474" customFormat="1" ht="23.25" customHeight="1">
      <c r="A94" s="1515">
        <v>29</v>
      </c>
      <c r="B94" s="1513" t="s">
        <v>2011</v>
      </c>
      <c r="C94" s="1514" t="s">
        <v>2195</v>
      </c>
      <c r="D94" s="1514"/>
      <c r="E94" s="1513">
        <v>13000000</v>
      </c>
      <c r="F94" s="1512">
        <f t="shared" si="16"/>
        <v>2340000</v>
      </c>
      <c r="G94" s="2141">
        <v>40828</v>
      </c>
      <c r="H94" s="1511">
        <v>0.18</v>
      </c>
      <c r="I94" s="1508">
        <v>12</v>
      </c>
      <c r="J94" s="1508">
        <v>12</v>
      </c>
      <c r="K94" s="1508">
        <f>E94/I94-33.333333</f>
        <v>1083300.0000003332</v>
      </c>
      <c r="L94" s="1508">
        <f t="shared" ref="L94:L99" si="31">F94/I94</f>
        <v>195000</v>
      </c>
      <c r="M94" s="1510">
        <f t="shared" si="17"/>
        <v>13000000</v>
      </c>
      <c r="N94" s="1510">
        <f>IF(J94&lt;I94,J94*L94,IF(J94&gt;=I94,F94))-195000</f>
        <v>2145000</v>
      </c>
      <c r="O94" s="1509">
        <v>13000000</v>
      </c>
      <c r="P94" s="1509">
        <v>2145000</v>
      </c>
      <c r="Q94" s="1509"/>
      <c r="R94" s="2650"/>
      <c r="S94" s="2650"/>
      <c r="T94" s="1507"/>
      <c r="U94" s="1495">
        <f t="shared" si="19"/>
        <v>13000000</v>
      </c>
      <c r="V94" s="1495">
        <f t="shared" si="20"/>
        <v>2145000</v>
      </c>
      <c r="W94" s="1495">
        <f t="shared" si="21"/>
        <v>0</v>
      </c>
      <c r="X94" s="1495">
        <f t="shared" si="22"/>
        <v>0</v>
      </c>
      <c r="Y94" s="1495">
        <f t="shared" si="23"/>
        <v>100</v>
      </c>
      <c r="Z94" s="1495">
        <f t="shared" si="24"/>
        <v>0</v>
      </c>
      <c r="AA94" s="1506">
        <f t="shared" si="25"/>
        <v>0</v>
      </c>
      <c r="AB94" s="1505"/>
      <c r="AC94" s="1504">
        <f t="shared" si="26"/>
        <v>0</v>
      </c>
      <c r="AD94" s="1503">
        <f t="shared" si="27"/>
        <v>0</v>
      </c>
      <c r="AE94" s="1503">
        <f t="shared" si="28"/>
        <v>0</v>
      </c>
      <c r="AF94" s="1502">
        <f t="shared" si="29"/>
        <v>0</v>
      </c>
    </row>
    <row r="95" spans="1:32" s="1474" customFormat="1" ht="23.25" customHeight="1">
      <c r="A95" s="2175">
        <v>30</v>
      </c>
      <c r="B95" s="1513" t="s">
        <v>2000</v>
      </c>
      <c r="C95" s="1514" t="s">
        <v>2195</v>
      </c>
      <c r="D95" s="1514"/>
      <c r="E95" s="1513">
        <v>10000000</v>
      </c>
      <c r="F95" s="1512">
        <f t="shared" si="16"/>
        <v>1800000</v>
      </c>
      <c r="G95" s="2141">
        <v>40828</v>
      </c>
      <c r="H95" s="1511">
        <v>0.18</v>
      </c>
      <c r="I95" s="1508">
        <v>12</v>
      </c>
      <c r="J95" s="1508">
        <v>12</v>
      </c>
      <c r="K95" s="1508">
        <f>E95/I95-33.333333333333</f>
        <v>833300</v>
      </c>
      <c r="L95" s="1508">
        <f t="shared" si="31"/>
        <v>150000</v>
      </c>
      <c r="M95" s="1510">
        <f t="shared" si="17"/>
        <v>10000000</v>
      </c>
      <c r="N95" s="1510">
        <f>IF(J95&lt;I95,J95*L95,IF(J95&gt;=I95,F95))-150000</f>
        <v>1650000</v>
      </c>
      <c r="O95" s="1509">
        <v>10000000</v>
      </c>
      <c r="P95" s="1509">
        <v>1650000</v>
      </c>
      <c r="Q95" s="1509"/>
      <c r="R95" s="2650"/>
      <c r="S95" s="2650"/>
      <c r="T95" s="1507"/>
      <c r="U95" s="1495">
        <f t="shared" si="19"/>
        <v>10000000</v>
      </c>
      <c r="V95" s="1495">
        <f t="shared" si="20"/>
        <v>1650000</v>
      </c>
      <c r="W95" s="1495">
        <f t="shared" si="21"/>
        <v>0</v>
      </c>
      <c r="X95" s="1495">
        <f t="shared" si="22"/>
        <v>0</v>
      </c>
      <c r="Y95" s="1495">
        <f t="shared" si="23"/>
        <v>100</v>
      </c>
      <c r="Z95" s="1495">
        <f t="shared" si="24"/>
        <v>0</v>
      </c>
      <c r="AA95" s="1506">
        <f t="shared" si="25"/>
        <v>0</v>
      </c>
      <c r="AB95" s="1505"/>
      <c r="AC95" s="1504">
        <f t="shared" si="26"/>
        <v>0</v>
      </c>
      <c r="AD95" s="1503">
        <f t="shared" si="27"/>
        <v>0</v>
      </c>
      <c r="AE95" s="1503">
        <f t="shared" si="28"/>
        <v>0</v>
      </c>
      <c r="AF95" s="1502">
        <f t="shared" si="29"/>
        <v>0</v>
      </c>
    </row>
    <row r="96" spans="1:32" s="1474" customFormat="1" ht="23.25" customHeight="1">
      <c r="A96" s="2175">
        <v>31</v>
      </c>
      <c r="B96" s="1513" t="s">
        <v>2215</v>
      </c>
      <c r="C96" s="1514" t="s">
        <v>2195</v>
      </c>
      <c r="D96" s="1514"/>
      <c r="E96" s="1513">
        <v>12000000</v>
      </c>
      <c r="F96" s="1512">
        <f t="shared" si="16"/>
        <v>2160000</v>
      </c>
      <c r="G96" s="2141">
        <v>40828</v>
      </c>
      <c r="H96" s="1511">
        <v>0.18</v>
      </c>
      <c r="I96" s="1508">
        <v>12</v>
      </c>
      <c r="J96" s="1508">
        <v>12</v>
      </c>
      <c r="K96" s="1508">
        <f>E96/I96</f>
        <v>1000000</v>
      </c>
      <c r="L96" s="1508">
        <f t="shared" si="31"/>
        <v>180000</v>
      </c>
      <c r="M96" s="1510">
        <f t="shared" si="17"/>
        <v>12000000</v>
      </c>
      <c r="N96" s="1510">
        <f>IF(J96&lt;I96,J96*L96,IF(J96&gt;=I96,F96))-180000</f>
        <v>1980000</v>
      </c>
      <c r="O96" s="1509">
        <v>12000000</v>
      </c>
      <c r="P96" s="1509">
        <v>1980000</v>
      </c>
      <c r="Q96" s="1509"/>
      <c r="R96" s="2650"/>
      <c r="S96" s="2650"/>
      <c r="T96" s="1507"/>
      <c r="U96" s="1495">
        <f t="shared" si="19"/>
        <v>12000000</v>
      </c>
      <c r="V96" s="1495">
        <f t="shared" si="20"/>
        <v>1980000</v>
      </c>
      <c r="W96" s="1495">
        <f t="shared" si="21"/>
        <v>0</v>
      </c>
      <c r="X96" s="1495">
        <f t="shared" si="22"/>
        <v>0</v>
      </c>
      <c r="Y96" s="1495">
        <f t="shared" si="23"/>
        <v>100</v>
      </c>
      <c r="Z96" s="1495">
        <f t="shared" si="24"/>
        <v>0</v>
      </c>
      <c r="AA96" s="1506">
        <f t="shared" si="25"/>
        <v>0</v>
      </c>
      <c r="AB96" s="1505"/>
      <c r="AC96" s="1504">
        <f t="shared" si="26"/>
        <v>0</v>
      </c>
      <c r="AD96" s="1503">
        <f t="shared" si="27"/>
        <v>0</v>
      </c>
      <c r="AE96" s="1503">
        <f t="shared" si="28"/>
        <v>0</v>
      </c>
      <c r="AF96" s="1502">
        <f t="shared" si="29"/>
        <v>0</v>
      </c>
    </row>
    <row r="97" spans="1:32" s="1474" customFormat="1" ht="23.25" customHeight="1">
      <c r="A97" s="2175">
        <v>32</v>
      </c>
      <c r="B97" s="1513" t="s">
        <v>1992</v>
      </c>
      <c r="C97" s="1514" t="s">
        <v>2195</v>
      </c>
      <c r="D97" s="1514"/>
      <c r="E97" s="1513">
        <v>24000000</v>
      </c>
      <c r="F97" s="1512">
        <f t="shared" si="16"/>
        <v>4320000</v>
      </c>
      <c r="G97" s="2141">
        <v>40828</v>
      </c>
      <c r="H97" s="1511">
        <v>0.18</v>
      </c>
      <c r="I97" s="1508">
        <v>12</v>
      </c>
      <c r="J97" s="1508">
        <v>12</v>
      </c>
      <c r="K97" s="1508">
        <f>E97/I97</f>
        <v>2000000</v>
      </c>
      <c r="L97" s="1508">
        <f t="shared" si="31"/>
        <v>360000</v>
      </c>
      <c r="M97" s="1510">
        <f t="shared" si="17"/>
        <v>24000000</v>
      </c>
      <c r="N97" s="1510">
        <f>IF(J97&lt;I97,J97*L97,IF(J97&gt;=I97,F97))-360000</f>
        <v>3960000</v>
      </c>
      <c r="O97" s="1509">
        <v>24000000</v>
      </c>
      <c r="P97" s="1509">
        <v>3960000</v>
      </c>
      <c r="Q97" s="1509"/>
      <c r="R97" s="2650"/>
      <c r="S97" s="2650"/>
      <c r="T97" s="1507"/>
      <c r="U97" s="1495">
        <f t="shared" si="19"/>
        <v>24000000</v>
      </c>
      <c r="V97" s="1495">
        <f t="shared" si="20"/>
        <v>3960000</v>
      </c>
      <c r="W97" s="1495">
        <f t="shared" si="21"/>
        <v>0</v>
      </c>
      <c r="X97" s="1495">
        <f t="shared" si="22"/>
        <v>0</v>
      </c>
      <c r="Y97" s="1495">
        <f t="shared" si="23"/>
        <v>100</v>
      </c>
      <c r="Z97" s="1495">
        <f t="shared" si="24"/>
        <v>0</v>
      </c>
      <c r="AA97" s="1506">
        <f t="shared" si="25"/>
        <v>0</v>
      </c>
      <c r="AB97" s="1505"/>
      <c r="AC97" s="1504">
        <f t="shared" si="26"/>
        <v>0</v>
      </c>
      <c r="AD97" s="1503">
        <f t="shared" si="27"/>
        <v>0</v>
      </c>
      <c r="AE97" s="1503">
        <f t="shared" si="28"/>
        <v>0</v>
      </c>
      <c r="AF97" s="1502">
        <f t="shared" si="29"/>
        <v>0</v>
      </c>
    </row>
    <row r="98" spans="1:32" s="1474" customFormat="1" ht="23.25" customHeight="1">
      <c r="A98" s="2175">
        <v>33</v>
      </c>
      <c r="B98" s="1513" t="s">
        <v>2007</v>
      </c>
      <c r="C98" s="1514" t="s">
        <v>2195</v>
      </c>
      <c r="D98" s="1514">
        <v>12</v>
      </c>
      <c r="E98" s="1513">
        <v>22000000</v>
      </c>
      <c r="F98" s="1512">
        <f t="shared" si="16"/>
        <v>3960000</v>
      </c>
      <c r="G98" s="2141">
        <v>40828</v>
      </c>
      <c r="H98" s="1511">
        <v>0.18</v>
      </c>
      <c r="I98" s="1508">
        <v>12</v>
      </c>
      <c r="J98" s="1508">
        <v>12</v>
      </c>
      <c r="K98" s="1508">
        <f>E98/I98-33.3333333333333</f>
        <v>1833300</v>
      </c>
      <c r="L98" s="1508">
        <f t="shared" si="31"/>
        <v>330000</v>
      </c>
      <c r="M98" s="1510">
        <f t="shared" si="17"/>
        <v>22000000</v>
      </c>
      <c r="N98" s="1510">
        <f t="shared" si="18"/>
        <v>3960000</v>
      </c>
      <c r="O98" s="1509">
        <v>12448900</v>
      </c>
      <c r="P98" s="1509">
        <v>2310000</v>
      </c>
      <c r="Q98" s="1509"/>
      <c r="R98" s="2650"/>
      <c r="S98" s="2650"/>
      <c r="T98" s="1507"/>
      <c r="U98" s="1495">
        <f t="shared" si="19"/>
        <v>12448900</v>
      </c>
      <c r="V98" s="1495">
        <f t="shared" si="20"/>
        <v>2310000</v>
      </c>
      <c r="W98" s="1495">
        <f t="shared" si="21"/>
        <v>0</v>
      </c>
      <c r="X98" s="1495">
        <f t="shared" si="22"/>
        <v>9551100</v>
      </c>
      <c r="Y98" s="1495">
        <f t="shared" si="23"/>
        <v>56.585909090909091</v>
      </c>
      <c r="Z98" s="1495">
        <f t="shared" si="24"/>
        <v>9551100</v>
      </c>
      <c r="AA98" s="1506">
        <f t="shared" si="25"/>
        <v>1650000</v>
      </c>
      <c r="AB98" s="1505">
        <v>7</v>
      </c>
      <c r="AC98" s="1504">
        <f t="shared" si="26"/>
        <v>0</v>
      </c>
      <c r="AD98" s="1503">
        <f t="shared" si="27"/>
        <v>0</v>
      </c>
      <c r="AE98" s="1503">
        <f t="shared" si="28"/>
        <v>0</v>
      </c>
      <c r="AF98" s="1502">
        <f t="shared" si="29"/>
        <v>9551100</v>
      </c>
    </row>
    <row r="99" spans="1:32" s="1474" customFormat="1" ht="23.25" customHeight="1">
      <c r="A99" s="2175">
        <v>34</v>
      </c>
      <c r="B99" s="1513" t="s">
        <v>1990</v>
      </c>
      <c r="C99" s="1514" t="s">
        <v>2195</v>
      </c>
      <c r="D99" s="1514"/>
      <c r="E99" s="1513">
        <v>15000000</v>
      </c>
      <c r="F99" s="1512">
        <f t="shared" si="16"/>
        <v>2700000</v>
      </c>
      <c r="G99" s="2141">
        <v>40828</v>
      </c>
      <c r="H99" s="1511">
        <v>0.18</v>
      </c>
      <c r="I99" s="1508">
        <v>12</v>
      </c>
      <c r="J99" s="1508">
        <v>12</v>
      </c>
      <c r="K99" s="1508">
        <f>E99/I99</f>
        <v>1250000</v>
      </c>
      <c r="L99" s="1508">
        <f t="shared" si="31"/>
        <v>225000</v>
      </c>
      <c r="M99" s="1510">
        <f t="shared" si="17"/>
        <v>15000000</v>
      </c>
      <c r="N99" s="1510">
        <f>IF(J99&lt;I99,J99*L99,IF(J99&gt;=I99,F99))-450000</f>
        <v>2250000</v>
      </c>
      <c r="O99" s="1509">
        <v>15000000</v>
      </c>
      <c r="P99" s="1509">
        <v>2250000</v>
      </c>
      <c r="Q99" s="1509"/>
      <c r="R99" s="2650"/>
      <c r="S99" s="2650"/>
      <c r="T99" s="1507"/>
      <c r="U99" s="1495">
        <f t="shared" si="19"/>
        <v>15000000</v>
      </c>
      <c r="V99" s="1495">
        <f t="shared" si="20"/>
        <v>2250000</v>
      </c>
      <c r="W99" s="1495">
        <f t="shared" si="21"/>
        <v>0</v>
      </c>
      <c r="X99" s="1495">
        <f t="shared" si="22"/>
        <v>0</v>
      </c>
      <c r="Y99" s="1495">
        <f t="shared" si="23"/>
        <v>100</v>
      </c>
      <c r="Z99" s="1495">
        <f t="shared" si="24"/>
        <v>0</v>
      </c>
      <c r="AA99" s="1506">
        <f t="shared" si="25"/>
        <v>0</v>
      </c>
      <c r="AB99" s="1505"/>
      <c r="AC99" s="1504">
        <f t="shared" si="26"/>
        <v>0</v>
      </c>
      <c r="AD99" s="1503">
        <f t="shared" si="27"/>
        <v>0</v>
      </c>
      <c r="AE99" s="1503">
        <f t="shared" si="28"/>
        <v>0</v>
      </c>
      <c r="AF99" s="1502">
        <f t="shared" si="29"/>
        <v>0</v>
      </c>
    </row>
    <row r="100" spans="1:32" s="1474" customFormat="1" ht="23.25" customHeight="1">
      <c r="A100" s="2175">
        <v>35</v>
      </c>
      <c r="B100" s="2175" t="s">
        <v>1997</v>
      </c>
      <c r="C100" s="2416" t="s">
        <v>2195</v>
      </c>
      <c r="D100" s="2416"/>
      <c r="E100" s="2175">
        <v>20000000</v>
      </c>
      <c r="F100" s="2417">
        <f t="shared" si="16"/>
        <v>3600000</v>
      </c>
      <c r="G100" s="2418">
        <v>40829</v>
      </c>
      <c r="H100" s="2419">
        <v>0.18</v>
      </c>
      <c r="I100" s="2164">
        <v>12</v>
      </c>
      <c r="J100" s="2164">
        <v>12</v>
      </c>
      <c r="K100" s="2164">
        <v>1666700</v>
      </c>
      <c r="L100" s="2164">
        <v>300000</v>
      </c>
      <c r="M100" s="2172">
        <f t="shared" si="17"/>
        <v>20000000</v>
      </c>
      <c r="N100" s="2172">
        <f t="shared" si="18"/>
        <v>3600000</v>
      </c>
      <c r="O100" s="2171">
        <v>20000000</v>
      </c>
      <c r="P100" s="2171">
        <v>3600000</v>
      </c>
      <c r="Q100" s="2171"/>
      <c r="R100" s="2649"/>
      <c r="S100" s="2649"/>
      <c r="T100" s="2173"/>
      <c r="U100" s="2174">
        <f t="shared" si="19"/>
        <v>20000000</v>
      </c>
      <c r="V100" s="2174">
        <f t="shared" si="20"/>
        <v>3600000</v>
      </c>
      <c r="W100" s="2174">
        <v>0</v>
      </c>
      <c r="X100" s="2174">
        <f t="shared" si="22"/>
        <v>0</v>
      </c>
      <c r="Y100" s="2174">
        <f t="shared" si="23"/>
        <v>100</v>
      </c>
      <c r="Z100" s="2174">
        <f t="shared" si="24"/>
        <v>0</v>
      </c>
      <c r="AA100" s="2174">
        <f t="shared" si="25"/>
        <v>0</v>
      </c>
      <c r="AB100" s="2427"/>
      <c r="AC100" s="1504">
        <f t="shared" ref="AC100:AC212" si="32">IF(AND(AB100&gt;0,AB100&lt;=2),X100,0)</f>
        <v>0</v>
      </c>
      <c r="AD100" s="1503">
        <f t="shared" ref="AD100:AD212" si="33">IF(AND(AB100&gt;=3,AB100&lt;=4),X100,0)</f>
        <v>0</v>
      </c>
      <c r="AE100" s="1503">
        <f t="shared" ref="AE100:AE212" si="34">IF(AND(AB100&gt;=5,AB100&lt;=6),X100,0)</f>
        <v>0</v>
      </c>
      <c r="AF100" s="1502">
        <f t="shared" ref="AF100:AF212" si="35">IF(AB100&gt;6,X100,0)</f>
        <v>0</v>
      </c>
    </row>
    <row r="101" spans="1:32" s="1474" customFormat="1" ht="23.25" customHeight="1">
      <c r="A101" s="2175">
        <v>36</v>
      </c>
      <c r="B101" s="2175" t="s">
        <v>1994</v>
      </c>
      <c r="C101" s="2416" t="s">
        <v>2195</v>
      </c>
      <c r="D101" s="2416"/>
      <c r="E101" s="2175">
        <v>25000000</v>
      </c>
      <c r="F101" s="2417">
        <f t="shared" si="16"/>
        <v>4500000</v>
      </c>
      <c r="G101" s="2418">
        <v>40864</v>
      </c>
      <c r="H101" s="2419">
        <v>0.18</v>
      </c>
      <c r="I101" s="2164">
        <v>12</v>
      </c>
      <c r="J101" s="2164">
        <v>12</v>
      </c>
      <c r="K101" s="2164">
        <v>2083300</v>
      </c>
      <c r="L101" s="2164">
        <f t="shared" ref="L101:L166" si="36">F101/I101</f>
        <v>375000</v>
      </c>
      <c r="M101" s="2172">
        <f t="shared" si="17"/>
        <v>25000000</v>
      </c>
      <c r="N101" s="2407">
        <f>IF(J101&lt;I101,J101*L101,IF(J101&gt;=I101,F101))-750000</f>
        <v>3750000</v>
      </c>
      <c r="O101" s="2171">
        <v>25000000</v>
      </c>
      <c r="P101" s="2171">
        <v>3750000</v>
      </c>
      <c r="Q101" s="2171"/>
      <c r="R101" s="2649"/>
      <c r="S101" s="2649"/>
      <c r="T101" s="2173"/>
      <c r="U101" s="2174">
        <f t="shared" si="19"/>
        <v>25000000</v>
      </c>
      <c r="V101" s="2174">
        <f t="shared" si="20"/>
        <v>3750000</v>
      </c>
      <c r="W101" s="2174"/>
      <c r="X101" s="2174">
        <f t="shared" si="22"/>
        <v>0</v>
      </c>
      <c r="Y101" s="2174">
        <f t="shared" si="23"/>
        <v>100</v>
      </c>
      <c r="Z101" s="2174">
        <f t="shared" si="24"/>
        <v>0</v>
      </c>
      <c r="AA101" s="2174">
        <f t="shared" si="25"/>
        <v>0</v>
      </c>
      <c r="AB101" s="2427"/>
      <c r="AC101" s="1504">
        <f t="shared" si="32"/>
        <v>0</v>
      </c>
      <c r="AD101" s="1503">
        <f t="shared" si="33"/>
        <v>0</v>
      </c>
      <c r="AE101" s="1503">
        <f t="shared" si="34"/>
        <v>0</v>
      </c>
      <c r="AF101" s="1502">
        <f t="shared" si="35"/>
        <v>0</v>
      </c>
    </row>
    <row r="102" spans="1:32" s="1474" customFormat="1" ht="23.25" customHeight="1">
      <c r="A102" s="2175">
        <v>37</v>
      </c>
      <c r="B102" s="2175" t="s">
        <v>1999</v>
      </c>
      <c r="C102" s="2416" t="s">
        <v>2195</v>
      </c>
      <c r="D102" s="2416"/>
      <c r="E102" s="2175">
        <v>11000000</v>
      </c>
      <c r="F102" s="2417">
        <f t="shared" si="16"/>
        <v>1980000</v>
      </c>
      <c r="G102" s="2418">
        <v>40864</v>
      </c>
      <c r="H102" s="2419">
        <v>0.18</v>
      </c>
      <c r="I102" s="2164">
        <v>12</v>
      </c>
      <c r="J102" s="2164">
        <v>12</v>
      </c>
      <c r="K102" s="2164">
        <v>916700</v>
      </c>
      <c r="L102" s="2164">
        <f t="shared" si="36"/>
        <v>165000</v>
      </c>
      <c r="M102" s="2172">
        <f t="shared" si="17"/>
        <v>11000000</v>
      </c>
      <c r="N102" s="2407">
        <f>IF(J102&lt;I102,J102*L102,IF(J102&gt;=I102,F102))-165000</f>
        <v>1815000</v>
      </c>
      <c r="O102" s="2171">
        <v>11000000</v>
      </c>
      <c r="P102" s="2171">
        <v>1815000</v>
      </c>
      <c r="Q102" s="2171"/>
      <c r="R102" s="2649"/>
      <c r="S102" s="2649"/>
      <c r="T102" s="2173"/>
      <c r="U102" s="2174">
        <f t="shared" si="19"/>
        <v>11000000</v>
      </c>
      <c r="V102" s="2174">
        <f t="shared" si="20"/>
        <v>1815000</v>
      </c>
      <c r="W102" s="2174"/>
      <c r="X102" s="2174">
        <f t="shared" si="22"/>
        <v>0</v>
      </c>
      <c r="Y102" s="2174">
        <f t="shared" si="23"/>
        <v>100</v>
      </c>
      <c r="Z102" s="2174">
        <f t="shared" si="24"/>
        <v>0</v>
      </c>
      <c r="AA102" s="2174">
        <f t="shared" si="25"/>
        <v>0</v>
      </c>
      <c r="AB102" s="2427"/>
      <c r="AC102" s="1504">
        <f t="shared" si="32"/>
        <v>0</v>
      </c>
      <c r="AD102" s="1503">
        <f t="shared" si="33"/>
        <v>0</v>
      </c>
      <c r="AE102" s="1503">
        <f t="shared" si="34"/>
        <v>0</v>
      </c>
      <c r="AF102" s="1502">
        <f t="shared" si="35"/>
        <v>0</v>
      </c>
    </row>
    <row r="103" spans="1:32" s="1474" customFormat="1" ht="23.25" customHeight="1">
      <c r="A103" s="2175">
        <v>38</v>
      </c>
      <c r="B103" s="2175" t="s">
        <v>2003</v>
      </c>
      <c r="C103" s="2416" t="s">
        <v>2195</v>
      </c>
      <c r="D103" s="2416"/>
      <c r="E103" s="2175">
        <v>7000000</v>
      </c>
      <c r="F103" s="2417">
        <f t="shared" si="16"/>
        <v>1260000</v>
      </c>
      <c r="G103" s="2418">
        <v>40981</v>
      </c>
      <c r="H103" s="2419">
        <v>0.18</v>
      </c>
      <c r="I103" s="2164">
        <v>12</v>
      </c>
      <c r="J103" s="2164">
        <v>12</v>
      </c>
      <c r="K103" s="2164">
        <v>583300</v>
      </c>
      <c r="L103" s="2164">
        <f t="shared" si="36"/>
        <v>105000</v>
      </c>
      <c r="M103" s="2407">
        <f t="shared" si="17"/>
        <v>7000000</v>
      </c>
      <c r="N103" s="2407">
        <f>IF(J103&lt;I103,J103*L103,IF(J103&gt;=I103,F103))-105000</f>
        <v>1155000</v>
      </c>
      <c r="O103" s="2171">
        <v>7000000</v>
      </c>
      <c r="P103" s="2171">
        <v>1155000</v>
      </c>
      <c r="Q103" s="2171"/>
      <c r="R103" s="2649"/>
      <c r="S103" s="2649"/>
      <c r="T103" s="2173"/>
      <c r="U103" s="2174">
        <f t="shared" si="19"/>
        <v>7000000</v>
      </c>
      <c r="V103" s="2174">
        <f t="shared" si="20"/>
        <v>1155000</v>
      </c>
      <c r="W103" s="2174"/>
      <c r="X103" s="2174">
        <f t="shared" si="22"/>
        <v>0</v>
      </c>
      <c r="Y103" s="2174">
        <f t="shared" si="23"/>
        <v>100</v>
      </c>
      <c r="Z103" s="2174">
        <f t="shared" si="24"/>
        <v>0</v>
      </c>
      <c r="AA103" s="2174">
        <f t="shared" si="25"/>
        <v>0</v>
      </c>
      <c r="AB103" s="2427"/>
      <c r="AC103" s="1504">
        <f t="shared" si="32"/>
        <v>0</v>
      </c>
      <c r="AD103" s="1503">
        <f t="shared" si="33"/>
        <v>0</v>
      </c>
      <c r="AE103" s="1503">
        <f t="shared" si="34"/>
        <v>0</v>
      </c>
      <c r="AF103" s="1502">
        <f t="shared" si="35"/>
        <v>0</v>
      </c>
    </row>
    <row r="104" spans="1:32" s="1474" customFormat="1" ht="23.25" customHeight="1">
      <c r="A104" s="2175">
        <v>39</v>
      </c>
      <c r="B104" s="2175" t="s">
        <v>1993</v>
      </c>
      <c r="C104" s="2416" t="s">
        <v>2195</v>
      </c>
      <c r="D104" s="2416"/>
      <c r="E104" s="2175">
        <v>20000000</v>
      </c>
      <c r="F104" s="2417">
        <f t="shared" si="16"/>
        <v>3600000</v>
      </c>
      <c r="G104" s="2418">
        <v>40981</v>
      </c>
      <c r="H104" s="2419">
        <v>0.18</v>
      </c>
      <c r="I104" s="2164">
        <v>12</v>
      </c>
      <c r="J104" s="2164">
        <v>12</v>
      </c>
      <c r="K104" s="2164">
        <v>1666700</v>
      </c>
      <c r="L104" s="2164">
        <f t="shared" si="36"/>
        <v>300000</v>
      </c>
      <c r="M104" s="2407">
        <f t="shared" si="17"/>
        <v>20000000</v>
      </c>
      <c r="N104" s="2407">
        <f>IF(J104&lt;I104,J104*L104,IF(J104&gt;=I104,F104))-300000</f>
        <v>3300000</v>
      </c>
      <c r="O104" s="2171">
        <v>20000000</v>
      </c>
      <c r="P104" s="2171">
        <v>3300000</v>
      </c>
      <c r="Q104" s="2171"/>
      <c r="R104" s="2649"/>
      <c r="S104" s="2649"/>
      <c r="T104" s="2173"/>
      <c r="U104" s="2174">
        <f t="shared" si="19"/>
        <v>20000000</v>
      </c>
      <c r="V104" s="2174">
        <f t="shared" si="20"/>
        <v>3300000</v>
      </c>
      <c r="W104" s="2174"/>
      <c r="X104" s="2174">
        <f t="shared" si="22"/>
        <v>0</v>
      </c>
      <c r="Y104" s="2174">
        <f t="shared" si="23"/>
        <v>100</v>
      </c>
      <c r="Z104" s="2174">
        <f t="shared" si="24"/>
        <v>0</v>
      </c>
      <c r="AA104" s="2174">
        <f t="shared" si="25"/>
        <v>0</v>
      </c>
      <c r="AB104" s="2427"/>
      <c r="AC104" s="1504">
        <f t="shared" si="32"/>
        <v>0</v>
      </c>
      <c r="AD104" s="1503">
        <f t="shared" si="33"/>
        <v>0</v>
      </c>
      <c r="AE104" s="1503">
        <f t="shared" si="34"/>
        <v>0</v>
      </c>
      <c r="AF104" s="1502">
        <f t="shared" si="35"/>
        <v>0</v>
      </c>
    </row>
    <row r="105" spans="1:32" s="1474" customFormat="1" ht="23.25" customHeight="1">
      <c r="A105" s="2175">
        <v>40</v>
      </c>
      <c r="B105" s="2175" t="s">
        <v>1941</v>
      </c>
      <c r="C105" s="2416" t="s">
        <v>2248</v>
      </c>
      <c r="D105" s="2416"/>
      <c r="E105" s="2175">
        <v>18000000</v>
      </c>
      <c r="F105" s="2417">
        <f t="shared" si="16"/>
        <v>3240000</v>
      </c>
      <c r="G105" s="2418">
        <v>40981</v>
      </c>
      <c r="H105" s="2419">
        <v>0.18</v>
      </c>
      <c r="I105" s="2164">
        <v>12</v>
      </c>
      <c r="J105" s="2164">
        <v>12</v>
      </c>
      <c r="K105" s="2164">
        <f t="shared" ref="K105:K111" si="37">E105/I105</f>
        <v>1500000</v>
      </c>
      <c r="L105" s="2164">
        <f t="shared" si="36"/>
        <v>270000</v>
      </c>
      <c r="M105" s="2407">
        <f t="shared" si="17"/>
        <v>18000000</v>
      </c>
      <c r="N105" s="2407">
        <f>IF(J105&lt;I105,J105*L105,IF(J105&gt;=I105,F105))-270000</f>
        <v>2970000</v>
      </c>
      <c r="O105" s="2171">
        <v>18000000</v>
      </c>
      <c r="P105" s="2171">
        <v>2970000</v>
      </c>
      <c r="Q105" s="2171"/>
      <c r="R105" s="2649"/>
      <c r="S105" s="2649"/>
      <c r="T105" s="2173"/>
      <c r="U105" s="2174">
        <f t="shared" si="19"/>
        <v>18000000</v>
      </c>
      <c r="V105" s="2174">
        <f t="shared" si="20"/>
        <v>2970000</v>
      </c>
      <c r="W105" s="2174"/>
      <c r="X105" s="2174">
        <f t="shared" si="22"/>
        <v>0</v>
      </c>
      <c r="Y105" s="2174">
        <f t="shared" si="23"/>
        <v>100</v>
      </c>
      <c r="Z105" s="2174">
        <f t="shared" si="24"/>
        <v>0</v>
      </c>
      <c r="AA105" s="2174">
        <f t="shared" si="25"/>
        <v>0</v>
      </c>
      <c r="AB105" s="2427"/>
      <c r="AC105" s="1504">
        <f t="shared" si="32"/>
        <v>0</v>
      </c>
      <c r="AD105" s="1503">
        <f t="shared" si="33"/>
        <v>0</v>
      </c>
      <c r="AE105" s="1503">
        <f t="shared" si="34"/>
        <v>0</v>
      </c>
      <c r="AF105" s="1502">
        <f t="shared" si="35"/>
        <v>0</v>
      </c>
    </row>
    <row r="106" spans="1:32" s="1474" customFormat="1" ht="23.25" customHeight="1">
      <c r="A106" s="2175">
        <v>41</v>
      </c>
      <c r="B106" s="2175" t="s">
        <v>2252</v>
      </c>
      <c r="C106" s="2416" t="s">
        <v>2248</v>
      </c>
      <c r="D106" s="2416"/>
      <c r="E106" s="2175">
        <v>15000000</v>
      </c>
      <c r="F106" s="2417">
        <f t="shared" si="16"/>
        <v>2700000</v>
      </c>
      <c r="G106" s="2418">
        <v>40981</v>
      </c>
      <c r="H106" s="2419">
        <v>0.18</v>
      </c>
      <c r="I106" s="2164">
        <v>12</v>
      </c>
      <c r="J106" s="2164">
        <v>12</v>
      </c>
      <c r="K106" s="2164">
        <f t="shared" si="37"/>
        <v>1250000</v>
      </c>
      <c r="L106" s="2164">
        <f t="shared" si="36"/>
        <v>225000</v>
      </c>
      <c r="M106" s="2172">
        <f t="shared" si="17"/>
        <v>15000000</v>
      </c>
      <c r="N106" s="2407">
        <f>IF(J106&lt;I106,J106*L106,IF(J106&gt;=I106,F106))-225000</f>
        <v>2475000</v>
      </c>
      <c r="O106" s="2171">
        <v>15000000</v>
      </c>
      <c r="P106" s="2171">
        <v>2475000</v>
      </c>
      <c r="Q106" s="2171"/>
      <c r="R106" s="2649"/>
      <c r="S106" s="2649"/>
      <c r="T106" s="2173"/>
      <c r="U106" s="2174">
        <f t="shared" si="19"/>
        <v>15000000</v>
      </c>
      <c r="V106" s="2174">
        <f t="shared" si="20"/>
        <v>2475000</v>
      </c>
      <c r="W106" s="2174"/>
      <c r="X106" s="2174">
        <f t="shared" si="22"/>
        <v>0</v>
      </c>
      <c r="Y106" s="2174">
        <f t="shared" si="23"/>
        <v>100</v>
      </c>
      <c r="Z106" s="2174">
        <f t="shared" si="24"/>
        <v>0</v>
      </c>
      <c r="AA106" s="2174">
        <f t="shared" si="25"/>
        <v>0</v>
      </c>
      <c r="AB106" s="2427"/>
      <c r="AC106" s="1504">
        <f t="shared" si="32"/>
        <v>0</v>
      </c>
      <c r="AD106" s="1503">
        <f t="shared" si="33"/>
        <v>0</v>
      </c>
      <c r="AE106" s="1503">
        <f t="shared" si="34"/>
        <v>0</v>
      </c>
      <c r="AF106" s="1502">
        <f t="shared" si="35"/>
        <v>0</v>
      </c>
    </row>
    <row r="107" spans="1:32" s="1474" customFormat="1" ht="23.25" customHeight="1">
      <c r="A107" s="2175">
        <v>42</v>
      </c>
      <c r="B107" s="2175" t="s">
        <v>1956</v>
      </c>
      <c r="C107" s="2416" t="s">
        <v>2195</v>
      </c>
      <c r="D107" s="2416"/>
      <c r="E107" s="2175">
        <v>10000000</v>
      </c>
      <c r="F107" s="2417">
        <f t="shared" si="16"/>
        <v>1800000</v>
      </c>
      <c r="G107" s="2418">
        <v>41017</v>
      </c>
      <c r="H107" s="2419">
        <v>0.18</v>
      </c>
      <c r="I107" s="2164">
        <v>12</v>
      </c>
      <c r="J107" s="2164">
        <v>12</v>
      </c>
      <c r="K107" s="2164">
        <v>833300</v>
      </c>
      <c r="L107" s="2164">
        <f t="shared" si="36"/>
        <v>150000</v>
      </c>
      <c r="M107" s="2172">
        <f t="shared" si="17"/>
        <v>10000000</v>
      </c>
      <c r="N107" s="2172">
        <f t="shared" si="18"/>
        <v>1800000</v>
      </c>
      <c r="O107" s="2171">
        <v>10000000</v>
      </c>
      <c r="P107" s="2171">
        <v>1800000</v>
      </c>
      <c r="Q107" s="2171"/>
      <c r="R107" s="2649"/>
      <c r="S107" s="2649"/>
      <c r="T107" s="2173"/>
      <c r="U107" s="2174">
        <f t="shared" si="19"/>
        <v>10000000</v>
      </c>
      <c r="V107" s="2174">
        <f t="shared" si="20"/>
        <v>1800000</v>
      </c>
      <c r="W107" s="2174"/>
      <c r="X107" s="2174">
        <f t="shared" si="22"/>
        <v>0</v>
      </c>
      <c r="Y107" s="2174">
        <f t="shared" si="23"/>
        <v>100</v>
      </c>
      <c r="Z107" s="2174">
        <f t="shared" si="24"/>
        <v>0</v>
      </c>
      <c r="AA107" s="2174">
        <f t="shared" si="25"/>
        <v>0</v>
      </c>
      <c r="AB107" s="2427"/>
      <c r="AC107" s="1504">
        <f t="shared" si="32"/>
        <v>0</v>
      </c>
      <c r="AD107" s="1503">
        <f t="shared" si="33"/>
        <v>0</v>
      </c>
      <c r="AE107" s="1503">
        <f t="shared" si="34"/>
        <v>0</v>
      </c>
      <c r="AF107" s="1502">
        <f t="shared" si="35"/>
        <v>0</v>
      </c>
    </row>
    <row r="108" spans="1:32" s="1474" customFormat="1" ht="23.25" customHeight="1">
      <c r="A108" s="2175">
        <v>43</v>
      </c>
      <c r="B108" s="2175" t="s">
        <v>2275</v>
      </c>
      <c r="C108" s="2416" t="s">
        <v>2195</v>
      </c>
      <c r="D108" s="2416"/>
      <c r="E108" s="2175">
        <v>11000000</v>
      </c>
      <c r="F108" s="2417">
        <f t="shared" si="16"/>
        <v>1980000</v>
      </c>
      <c r="G108" s="2418">
        <v>41038</v>
      </c>
      <c r="H108" s="2419">
        <v>0.18</v>
      </c>
      <c r="I108" s="2164">
        <v>12</v>
      </c>
      <c r="J108" s="2164">
        <v>12</v>
      </c>
      <c r="K108" s="2164">
        <v>916700</v>
      </c>
      <c r="L108" s="2164">
        <f t="shared" si="36"/>
        <v>165000</v>
      </c>
      <c r="M108" s="2172">
        <f t="shared" si="17"/>
        <v>11000000</v>
      </c>
      <c r="N108" s="2407">
        <f>IF(J108&lt;I108,J108*L108,IF(J108&gt;=I108,F108))-165000</f>
        <v>1815000</v>
      </c>
      <c r="O108" s="2171">
        <v>11000000</v>
      </c>
      <c r="P108" s="2171">
        <v>1815000</v>
      </c>
      <c r="Q108" s="2171"/>
      <c r="R108" s="2649"/>
      <c r="S108" s="2649"/>
      <c r="T108" s="2173"/>
      <c r="U108" s="2174">
        <f t="shared" si="19"/>
        <v>11000000</v>
      </c>
      <c r="V108" s="2174">
        <f t="shared" si="20"/>
        <v>1815000</v>
      </c>
      <c r="W108" s="2174"/>
      <c r="X108" s="2174">
        <f t="shared" si="22"/>
        <v>0</v>
      </c>
      <c r="Y108" s="2174">
        <f t="shared" si="23"/>
        <v>100</v>
      </c>
      <c r="Z108" s="2174">
        <f t="shared" si="24"/>
        <v>0</v>
      </c>
      <c r="AA108" s="2174">
        <f t="shared" si="25"/>
        <v>0</v>
      </c>
      <c r="AB108" s="2427"/>
      <c r="AC108" s="1504">
        <f t="shared" si="32"/>
        <v>0</v>
      </c>
      <c r="AD108" s="1503">
        <f t="shared" si="33"/>
        <v>0</v>
      </c>
      <c r="AE108" s="1503">
        <f t="shared" si="34"/>
        <v>0</v>
      </c>
      <c r="AF108" s="1502">
        <f t="shared" si="35"/>
        <v>0</v>
      </c>
    </row>
    <row r="109" spans="1:32" s="1474" customFormat="1" ht="23.25" customHeight="1">
      <c r="A109" s="2175">
        <v>44</v>
      </c>
      <c r="B109" s="2175" t="s">
        <v>1991</v>
      </c>
      <c r="C109" s="2416" t="s">
        <v>2248</v>
      </c>
      <c r="D109" s="2416"/>
      <c r="E109" s="2175">
        <v>18500000</v>
      </c>
      <c r="F109" s="2417">
        <f t="shared" si="16"/>
        <v>3330000</v>
      </c>
      <c r="G109" s="2418">
        <v>41038</v>
      </c>
      <c r="H109" s="2419">
        <v>0.18</v>
      </c>
      <c r="I109" s="2164">
        <v>12</v>
      </c>
      <c r="J109" s="2164">
        <v>12</v>
      </c>
      <c r="K109" s="2164">
        <v>1541700</v>
      </c>
      <c r="L109" s="2164">
        <f t="shared" si="36"/>
        <v>277500</v>
      </c>
      <c r="M109" s="2172">
        <f t="shared" si="17"/>
        <v>18500000</v>
      </c>
      <c r="N109" s="2407">
        <f>IF(J109&lt;I109,J109*L109,IF(J109&gt;=I109,F109))-277500-277500</f>
        <v>2775000</v>
      </c>
      <c r="O109" s="2171">
        <v>18500000</v>
      </c>
      <c r="P109" s="2171">
        <v>2775000</v>
      </c>
      <c r="Q109" s="2171"/>
      <c r="R109" s="2649"/>
      <c r="S109" s="2649"/>
      <c r="T109" s="2173"/>
      <c r="U109" s="2174">
        <f t="shared" si="19"/>
        <v>18500000</v>
      </c>
      <c r="V109" s="2174">
        <f t="shared" si="20"/>
        <v>2775000</v>
      </c>
      <c r="W109" s="2174"/>
      <c r="X109" s="2174">
        <f t="shared" si="22"/>
        <v>0</v>
      </c>
      <c r="Y109" s="2174">
        <f t="shared" si="23"/>
        <v>100</v>
      </c>
      <c r="Z109" s="2174">
        <f t="shared" si="24"/>
        <v>0</v>
      </c>
      <c r="AA109" s="2174">
        <f t="shared" si="25"/>
        <v>0</v>
      </c>
      <c r="AB109" s="2427"/>
      <c r="AC109" s="1504">
        <f t="shared" si="32"/>
        <v>0</v>
      </c>
      <c r="AD109" s="1503">
        <f t="shared" si="33"/>
        <v>0</v>
      </c>
      <c r="AE109" s="1503">
        <f t="shared" si="34"/>
        <v>0</v>
      </c>
      <c r="AF109" s="1502">
        <f t="shared" si="35"/>
        <v>0</v>
      </c>
    </row>
    <row r="110" spans="1:32" s="1474" customFormat="1" ht="23.25" customHeight="1">
      <c r="A110" s="2175">
        <v>45</v>
      </c>
      <c r="B110" s="2175" t="s">
        <v>2276</v>
      </c>
      <c r="C110" s="2416" t="s">
        <v>2248</v>
      </c>
      <c r="D110" s="2416"/>
      <c r="E110" s="2175">
        <v>12000000</v>
      </c>
      <c r="F110" s="2417">
        <f t="shared" si="16"/>
        <v>2160000</v>
      </c>
      <c r="G110" s="2418">
        <v>41038</v>
      </c>
      <c r="H110" s="2419">
        <v>0.18</v>
      </c>
      <c r="I110" s="2164">
        <v>12</v>
      </c>
      <c r="J110" s="2164">
        <v>12</v>
      </c>
      <c r="K110" s="2164">
        <f t="shared" si="37"/>
        <v>1000000</v>
      </c>
      <c r="L110" s="2164">
        <f t="shared" si="36"/>
        <v>180000</v>
      </c>
      <c r="M110" s="2172">
        <f t="shared" si="17"/>
        <v>12000000</v>
      </c>
      <c r="N110" s="2172">
        <f t="shared" si="18"/>
        <v>2160000</v>
      </c>
      <c r="O110" s="2171">
        <v>12000000</v>
      </c>
      <c r="P110" s="2171">
        <v>2160000</v>
      </c>
      <c r="Q110" s="2171"/>
      <c r="R110" s="2649"/>
      <c r="S110" s="2649"/>
      <c r="T110" s="2173"/>
      <c r="U110" s="2174">
        <f t="shared" si="19"/>
        <v>12000000</v>
      </c>
      <c r="V110" s="2174">
        <f t="shared" si="20"/>
        <v>2160000</v>
      </c>
      <c r="W110" s="2174"/>
      <c r="X110" s="2174">
        <f t="shared" si="22"/>
        <v>0</v>
      </c>
      <c r="Y110" s="2174">
        <f t="shared" si="23"/>
        <v>100</v>
      </c>
      <c r="Z110" s="2174">
        <f t="shared" si="24"/>
        <v>0</v>
      </c>
      <c r="AA110" s="2174">
        <f t="shared" si="25"/>
        <v>0</v>
      </c>
      <c r="AB110" s="2427"/>
      <c r="AC110" s="1504">
        <f t="shared" si="32"/>
        <v>0</v>
      </c>
      <c r="AD110" s="1503">
        <f t="shared" si="33"/>
        <v>0</v>
      </c>
      <c r="AE110" s="1503">
        <f t="shared" si="34"/>
        <v>0</v>
      </c>
      <c r="AF110" s="1502">
        <f t="shared" si="35"/>
        <v>0</v>
      </c>
    </row>
    <row r="111" spans="1:32" s="1474" customFormat="1" ht="23.25" customHeight="1">
      <c r="A111" s="2175">
        <v>46</v>
      </c>
      <c r="B111" s="2175" t="s">
        <v>1944</v>
      </c>
      <c r="C111" s="2416" t="s">
        <v>2248</v>
      </c>
      <c r="D111" s="2416"/>
      <c r="E111" s="2175">
        <v>15000000</v>
      </c>
      <c r="F111" s="2417">
        <f t="shared" si="16"/>
        <v>2700000</v>
      </c>
      <c r="G111" s="2418">
        <v>41038</v>
      </c>
      <c r="H111" s="2419">
        <v>0.18</v>
      </c>
      <c r="I111" s="2164">
        <v>12</v>
      </c>
      <c r="J111" s="2164">
        <v>12</v>
      </c>
      <c r="K111" s="2164">
        <f t="shared" si="37"/>
        <v>1250000</v>
      </c>
      <c r="L111" s="2164">
        <f t="shared" si="36"/>
        <v>225000</v>
      </c>
      <c r="M111" s="2172">
        <f t="shared" si="17"/>
        <v>15000000</v>
      </c>
      <c r="N111" s="2172">
        <f t="shared" si="18"/>
        <v>2700000</v>
      </c>
      <c r="O111" s="2171">
        <v>15000000</v>
      </c>
      <c r="P111" s="2171">
        <v>2700000</v>
      </c>
      <c r="Q111" s="2171"/>
      <c r="R111" s="2649"/>
      <c r="S111" s="2649"/>
      <c r="T111" s="2173"/>
      <c r="U111" s="2174">
        <f t="shared" si="19"/>
        <v>15000000</v>
      </c>
      <c r="V111" s="2174">
        <f t="shared" si="20"/>
        <v>2700000</v>
      </c>
      <c r="W111" s="2174"/>
      <c r="X111" s="2174">
        <f t="shared" si="22"/>
        <v>0</v>
      </c>
      <c r="Y111" s="2174">
        <f t="shared" si="23"/>
        <v>100</v>
      </c>
      <c r="Z111" s="2174">
        <f t="shared" si="24"/>
        <v>0</v>
      </c>
      <c r="AA111" s="2174">
        <f t="shared" si="25"/>
        <v>0</v>
      </c>
      <c r="AB111" s="2427"/>
      <c r="AC111" s="1504">
        <f t="shared" si="32"/>
        <v>0</v>
      </c>
      <c r="AD111" s="1503">
        <f t="shared" si="33"/>
        <v>0</v>
      </c>
      <c r="AE111" s="1503">
        <f t="shared" si="34"/>
        <v>0</v>
      </c>
      <c r="AF111" s="1502">
        <f t="shared" si="35"/>
        <v>0</v>
      </c>
    </row>
    <row r="112" spans="1:32" s="1474" customFormat="1" ht="23.25" customHeight="1">
      <c r="A112" s="2175">
        <v>47</v>
      </c>
      <c r="B112" s="2175" t="s">
        <v>1989</v>
      </c>
      <c r="C112" s="2416" t="s">
        <v>2312</v>
      </c>
      <c r="D112" s="2416">
        <v>10</v>
      </c>
      <c r="E112" s="2175">
        <v>30000000</v>
      </c>
      <c r="F112" s="2417">
        <f t="shared" si="16"/>
        <v>5400000</v>
      </c>
      <c r="G112" s="2418">
        <v>41169</v>
      </c>
      <c r="H112" s="2419">
        <v>0.18</v>
      </c>
      <c r="I112" s="2164">
        <v>12</v>
      </c>
      <c r="J112" s="2164">
        <v>12</v>
      </c>
      <c r="K112" s="2164">
        <f>E112/I112</f>
        <v>2500000</v>
      </c>
      <c r="L112" s="2164">
        <f t="shared" si="36"/>
        <v>450000</v>
      </c>
      <c r="M112" s="2172">
        <f t="shared" si="17"/>
        <v>30000000</v>
      </c>
      <c r="N112" s="2172">
        <f t="shared" si="18"/>
        <v>5400000</v>
      </c>
      <c r="O112" s="2171">
        <v>24780000</v>
      </c>
      <c r="P112" s="2171">
        <v>4500000</v>
      </c>
      <c r="Q112" s="2171"/>
      <c r="R112" s="2649"/>
      <c r="S112" s="2649"/>
      <c r="T112" s="2173"/>
      <c r="U112" s="2174">
        <f t="shared" si="19"/>
        <v>24780000</v>
      </c>
      <c r="V112" s="2174">
        <f t="shared" si="20"/>
        <v>4500000</v>
      </c>
      <c r="W112" s="2174"/>
      <c r="X112" s="2174">
        <f t="shared" si="22"/>
        <v>5220000</v>
      </c>
      <c r="Y112" s="2174">
        <f t="shared" si="23"/>
        <v>82.6</v>
      </c>
      <c r="Z112" s="2174">
        <f t="shared" si="24"/>
        <v>5220000</v>
      </c>
      <c r="AA112" s="2174">
        <f t="shared" si="25"/>
        <v>900000</v>
      </c>
      <c r="AB112" s="2427">
        <v>7</v>
      </c>
      <c r="AC112" s="1504">
        <f t="shared" si="32"/>
        <v>0</v>
      </c>
      <c r="AD112" s="1503">
        <f t="shared" si="33"/>
        <v>0</v>
      </c>
      <c r="AE112" s="1503">
        <f t="shared" si="34"/>
        <v>0</v>
      </c>
      <c r="AF112" s="1502">
        <f t="shared" si="35"/>
        <v>5220000</v>
      </c>
    </row>
    <row r="113" spans="1:32" s="1474" customFormat="1" ht="23.25" customHeight="1">
      <c r="A113" s="2175">
        <v>48</v>
      </c>
      <c r="B113" s="2175" t="s">
        <v>2011</v>
      </c>
      <c r="C113" s="2416" t="s">
        <v>2312</v>
      </c>
      <c r="D113" s="2416"/>
      <c r="E113" s="2175">
        <v>15000000</v>
      </c>
      <c r="F113" s="2417">
        <f t="shared" si="16"/>
        <v>2700000</v>
      </c>
      <c r="G113" s="2418">
        <v>41169</v>
      </c>
      <c r="H113" s="2419">
        <v>0.18</v>
      </c>
      <c r="I113" s="2164">
        <v>12</v>
      </c>
      <c r="J113" s="2164">
        <v>12</v>
      </c>
      <c r="K113" s="2164">
        <f>E113/I113</f>
        <v>1250000</v>
      </c>
      <c r="L113" s="2164">
        <f t="shared" si="36"/>
        <v>225000</v>
      </c>
      <c r="M113" s="2172">
        <f t="shared" si="17"/>
        <v>15000000</v>
      </c>
      <c r="N113" s="2407">
        <f>IF(J113&lt;I113,J113*L113,IF(J113&gt;=I113,F113))-225000-225000</f>
        <v>2250000</v>
      </c>
      <c r="O113" s="2171">
        <v>15000000</v>
      </c>
      <c r="P113" s="2171">
        <v>2250000</v>
      </c>
      <c r="Q113" s="2171"/>
      <c r="R113" s="2649"/>
      <c r="S113" s="2649"/>
      <c r="T113" s="2173"/>
      <c r="U113" s="2174">
        <f t="shared" si="19"/>
        <v>15000000</v>
      </c>
      <c r="V113" s="2174">
        <f t="shared" si="20"/>
        <v>2250000</v>
      </c>
      <c r="W113" s="2174"/>
      <c r="X113" s="2174">
        <f t="shared" si="22"/>
        <v>0</v>
      </c>
      <c r="Y113" s="2174">
        <f t="shared" si="23"/>
        <v>100</v>
      </c>
      <c r="Z113" s="2174">
        <f t="shared" si="24"/>
        <v>0</v>
      </c>
      <c r="AA113" s="2174">
        <f t="shared" si="25"/>
        <v>0</v>
      </c>
      <c r="AB113" s="2427"/>
      <c r="AC113" s="1504">
        <f t="shared" si="32"/>
        <v>0</v>
      </c>
      <c r="AD113" s="1503">
        <f t="shared" si="33"/>
        <v>0</v>
      </c>
      <c r="AE113" s="1503">
        <f t="shared" si="34"/>
        <v>0</v>
      </c>
      <c r="AF113" s="1502">
        <f t="shared" si="35"/>
        <v>0</v>
      </c>
    </row>
    <row r="114" spans="1:32" s="1474" customFormat="1" ht="23.25" customHeight="1">
      <c r="A114" s="2175">
        <v>49</v>
      </c>
      <c r="B114" s="2175" t="s">
        <v>2314</v>
      </c>
      <c r="C114" s="2416" t="s">
        <v>2312</v>
      </c>
      <c r="D114" s="2416"/>
      <c r="E114" s="2175">
        <v>30000000</v>
      </c>
      <c r="F114" s="2417">
        <f t="shared" si="16"/>
        <v>5400000</v>
      </c>
      <c r="G114" s="2418">
        <v>41169</v>
      </c>
      <c r="H114" s="2419">
        <v>0.18</v>
      </c>
      <c r="I114" s="2164">
        <v>12</v>
      </c>
      <c r="J114" s="2164">
        <v>12</v>
      </c>
      <c r="K114" s="2164">
        <f>E114/I114</f>
        <v>2500000</v>
      </c>
      <c r="L114" s="2164">
        <f t="shared" si="36"/>
        <v>450000</v>
      </c>
      <c r="M114" s="2172">
        <f t="shared" si="17"/>
        <v>30000000</v>
      </c>
      <c r="N114" s="2407">
        <f>IF(J114&lt;I114,J114*L114,IF(J114&gt;=I114,F114))-270000-270000-360000</f>
        <v>4500000</v>
      </c>
      <c r="O114" s="2171">
        <v>30000000</v>
      </c>
      <c r="P114" s="2171">
        <v>4500000</v>
      </c>
      <c r="Q114" s="2171"/>
      <c r="R114" s="2649"/>
      <c r="S114" s="2649"/>
      <c r="T114" s="2173"/>
      <c r="U114" s="2174">
        <f t="shared" si="19"/>
        <v>30000000</v>
      </c>
      <c r="V114" s="2174">
        <f t="shared" si="20"/>
        <v>4500000</v>
      </c>
      <c r="W114" s="2174"/>
      <c r="X114" s="2174">
        <f t="shared" si="22"/>
        <v>0</v>
      </c>
      <c r="Y114" s="2174">
        <f t="shared" si="23"/>
        <v>100</v>
      </c>
      <c r="Z114" s="2174">
        <f t="shared" si="24"/>
        <v>0</v>
      </c>
      <c r="AA114" s="2174">
        <f t="shared" si="25"/>
        <v>0</v>
      </c>
      <c r="AB114" s="2427"/>
      <c r="AC114" s="1504">
        <f t="shared" si="32"/>
        <v>0</v>
      </c>
      <c r="AD114" s="1503">
        <f t="shared" si="33"/>
        <v>0</v>
      </c>
      <c r="AE114" s="1503">
        <f t="shared" si="34"/>
        <v>0</v>
      </c>
      <c r="AF114" s="1502">
        <f t="shared" si="35"/>
        <v>0</v>
      </c>
    </row>
    <row r="115" spans="1:32" s="1474" customFormat="1" ht="23.25" customHeight="1">
      <c r="A115" s="2175">
        <v>50</v>
      </c>
      <c r="B115" s="2175" t="s">
        <v>2001</v>
      </c>
      <c r="C115" s="2416" t="s">
        <v>2312</v>
      </c>
      <c r="D115" s="2416"/>
      <c r="E115" s="2175">
        <v>18000000</v>
      </c>
      <c r="F115" s="2417">
        <f t="shared" si="16"/>
        <v>3240000</v>
      </c>
      <c r="G115" s="2418">
        <v>41159</v>
      </c>
      <c r="H115" s="2419">
        <v>0.18</v>
      </c>
      <c r="I115" s="2164">
        <v>12</v>
      </c>
      <c r="J115" s="2164">
        <v>12</v>
      </c>
      <c r="K115" s="2164">
        <f>E115/I115</f>
        <v>1500000</v>
      </c>
      <c r="L115" s="2164">
        <f t="shared" si="36"/>
        <v>270000</v>
      </c>
      <c r="M115" s="2172">
        <f t="shared" si="17"/>
        <v>18000000</v>
      </c>
      <c r="N115" s="2407">
        <f>IF(J115&lt;I115,J115*L115,IF(J115&gt;=I115,F115))-270000-270000</f>
        <v>2700000</v>
      </c>
      <c r="O115" s="2171">
        <v>18000000</v>
      </c>
      <c r="P115" s="2171">
        <v>2700000</v>
      </c>
      <c r="Q115" s="2171"/>
      <c r="R115" s="2649"/>
      <c r="S115" s="2649"/>
      <c r="T115" s="2173"/>
      <c r="U115" s="2174">
        <f t="shared" si="19"/>
        <v>18000000</v>
      </c>
      <c r="V115" s="2174">
        <f t="shared" si="20"/>
        <v>2700000</v>
      </c>
      <c r="W115" s="2174"/>
      <c r="X115" s="2174">
        <f t="shared" si="22"/>
        <v>0</v>
      </c>
      <c r="Y115" s="2174">
        <f t="shared" si="23"/>
        <v>100</v>
      </c>
      <c r="Z115" s="2174">
        <f t="shared" si="24"/>
        <v>0</v>
      </c>
      <c r="AA115" s="2174">
        <f t="shared" si="25"/>
        <v>0</v>
      </c>
      <c r="AB115" s="2427"/>
      <c r="AC115" s="1504">
        <f t="shared" si="32"/>
        <v>0</v>
      </c>
      <c r="AD115" s="1503">
        <f t="shared" si="33"/>
        <v>0</v>
      </c>
      <c r="AE115" s="1503">
        <f t="shared" si="34"/>
        <v>0</v>
      </c>
      <c r="AF115" s="1502">
        <f t="shared" si="35"/>
        <v>0</v>
      </c>
    </row>
    <row r="116" spans="1:32" s="1474" customFormat="1" ht="23.25" customHeight="1">
      <c r="A116" s="2175">
        <v>51</v>
      </c>
      <c r="B116" s="2175" t="s">
        <v>1990</v>
      </c>
      <c r="C116" s="2416" t="s">
        <v>2312</v>
      </c>
      <c r="D116" s="2416"/>
      <c r="E116" s="2175">
        <v>20000000</v>
      </c>
      <c r="F116" s="2417">
        <f t="shared" si="16"/>
        <v>3600000</v>
      </c>
      <c r="G116" s="2418">
        <v>41159</v>
      </c>
      <c r="H116" s="2419">
        <v>0.18</v>
      </c>
      <c r="I116" s="2164">
        <v>12</v>
      </c>
      <c r="J116" s="2164">
        <v>12</v>
      </c>
      <c r="K116" s="2164">
        <v>1666700</v>
      </c>
      <c r="L116" s="2164">
        <f t="shared" si="36"/>
        <v>300000</v>
      </c>
      <c r="M116" s="2172">
        <f t="shared" si="17"/>
        <v>20000000</v>
      </c>
      <c r="N116" s="2407">
        <f>IF(J116&lt;I116,J116*L116,IF(J116&gt;=I116,F116))-600000</f>
        <v>3000000</v>
      </c>
      <c r="O116" s="2171">
        <v>20000000</v>
      </c>
      <c r="P116" s="2171">
        <v>3000000</v>
      </c>
      <c r="Q116" s="2171"/>
      <c r="R116" s="2649"/>
      <c r="S116" s="2649"/>
      <c r="T116" s="2173"/>
      <c r="U116" s="2174">
        <f t="shared" si="19"/>
        <v>20000000</v>
      </c>
      <c r="V116" s="2174">
        <f t="shared" si="20"/>
        <v>3000000</v>
      </c>
      <c r="W116" s="2174"/>
      <c r="X116" s="2174">
        <f t="shared" si="22"/>
        <v>0</v>
      </c>
      <c r="Y116" s="2174">
        <f t="shared" si="23"/>
        <v>100</v>
      </c>
      <c r="Z116" s="2174">
        <f t="shared" si="24"/>
        <v>0</v>
      </c>
      <c r="AA116" s="2174">
        <f t="shared" si="25"/>
        <v>0</v>
      </c>
      <c r="AB116" s="2427"/>
      <c r="AC116" s="1504">
        <f t="shared" si="32"/>
        <v>0</v>
      </c>
      <c r="AD116" s="1503">
        <f t="shared" si="33"/>
        <v>0</v>
      </c>
      <c r="AE116" s="1503">
        <f t="shared" si="34"/>
        <v>0</v>
      </c>
      <c r="AF116" s="1502">
        <f t="shared" si="35"/>
        <v>0</v>
      </c>
    </row>
    <row r="117" spans="1:32" s="1474" customFormat="1" ht="23.25" customHeight="1">
      <c r="A117" s="2175">
        <v>52</v>
      </c>
      <c r="B117" s="2175" t="s">
        <v>2000</v>
      </c>
      <c r="C117" s="2416" t="s">
        <v>2312</v>
      </c>
      <c r="D117" s="2416"/>
      <c r="E117" s="2175">
        <v>18000000</v>
      </c>
      <c r="F117" s="2417">
        <f t="shared" si="16"/>
        <v>3240000</v>
      </c>
      <c r="G117" s="2418">
        <v>41159</v>
      </c>
      <c r="H117" s="2419">
        <v>0.18</v>
      </c>
      <c r="I117" s="2164">
        <v>12</v>
      </c>
      <c r="J117" s="2164">
        <v>12</v>
      </c>
      <c r="K117" s="2164">
        <f>E117/I117</f>
        <v>1500000</v>
      </c>
      <c r="L117" s="2164">
        <f t="shared" si="36"/>
        <v>270000</v>
      </c>
      <c r="M117" s="2172">
        <f t="shared" si="17"/>
        <v>18000000</v>
      </c>
      <c r="N117" s="2407">
        <f>IF(J117&lt;I117,J117*L117,IF(J117&gt;=I117,F117))-540000</f>
        <v>2700000</v>
      </c>
      <c r="O117" s="2171">
        <v>18000000</v>
      </c>
      <c r="P117" s="2171">
        <v>2700000</v>
      </c>
      <c r="Q117" s="2171"/>
      <c r="R117" s="2649"/>
      <c r="S117" s="2649"/>
      <c r="T117" s="2173"/>
      <c r="U117" s="2174">
        <f t="shared" si="19"/>
        <v>18000000</v>
      </c>
      <c r="V117" s="2174">
        <f t="shared" si="20"/>
        <v>2700000</v>
      </c>
      <c r="W117" s="2174"/>
      <c r="X117" s="2174">
        <f t="shared" si="22"/>
        <v>0</v>
      </c>
      <c r="Y117" s="2174">
        <f t="shared" si="23"/>
        <v>100</v>
      </c>
      <c r="Z117" s="2174">
        <f t="shared" si="24"/>
        <v>0</v>
      </c>
      <c r="AA117" s="2174">
        <f t="shared" si="25"/>
        <v>0</v>
      </c>
      <c r="AB117" s="2427"/>
      <c r="AC117" s="1504">
        <f t="shared" si="32"/>
        <v>0</v>
      </c>
      <c r="AD117" s="1503">
        <f t="shared" si="33"/>
        <v>0</v>
      </c>
      <c r="AE117" s="1503">
        <f t="shared" si="34"/>
        <v>0</v>
      </c>
      <c r="AF117" s="1502">
        <f t="shared" si="35"/>
        <v>0</v>
      </c>
    </row>
    <row r="118" spans="1:32" s="1474" customFormat="1" ht="23.25" customHeight="1">
      <c r="A118" s="2175">
        <v>53</v>
      </c>
      <c r="B118" s="2175" t="s">
        <v>1997</v>
      </c>
      <c r="C118" s="2416" t="s">
        <v>2312</v>
      </c>
      <c r="D118" s="2416">
        <v>10</v>
      </c>
      <c r="E118" s="2175">
        <v>22000000</v>
      </c>
      <c r="F118" s="2417">
        <f t="shared" si="16"/>
        <v>3960000</v>
      </c>
      <c r="G118" s="2418">
        <v>41193</v>
      </c>
      <c r="H118" s="2419">
        <v>0.18</v>
      </c>
      <c r="I118" s="2164">
        <v>12</v>
      </c>
      <c r="J118" s="2164">
        <v>12</v>
      </c>
      <c r="K118" s="2164">
        <v>1833300</v>
      </c>
      <c r="L118" s="2164">
        <f t="shared" si="36"/>
        <v>330000</v>
      </c>
      <c r="M118" s="2172">
        <f t="shared" si="17"/>
        <v>22000000</v>
      </c>
      <c r="N118" s="2172">
        <f t="shared" si="18"/>
        <v>3960000</v>
      </c>
      <c r="O118" s="2171">
        <v>14329800</v>
      </c>
      <c r="P118" s="2171">
        <v>2640000</v>
      </c>
      <c r="Q118" s="2171"/>
      <c r="R118" s="2649"/>
      <c r="S118" s="2649"/>
      <c r="T118" s="2173"/>
      <c r="U118" s="2174">
        <f t="shared" si="19"/>
        <v>14329800</v>
      </c>
      <c r="V118" s="2174">
        <f t="shared" si="20"/>
        <v>2640000</v>
      </c>
      <c r="W118" s="2174"/>
      <c r="X118" s="2174">
        <f t="shared" si="22"/>
        <v>7670200</v>
      </c>
      <c r="Y118" s="2174">
        <f t="shared" si="23"/>
        <v>65.135454545454536</v>
      </c>
      <c r="Z118" s="2174">
        <f t="shared" si="24"/>
        <v>7670200</v>
      </c>
      <c r="AA118" s="2174">
        <f t="shared" si="25"/>
        <v>1320000</v>
      </c>
      <c r="AB118" s="2427">
        <v>7</v>
      </c>
      <c r="AC118" s="1504">
        <f t="shared" si="32"/>
        <v>0</v>
      </c>
      <c r="AD118" s="1503">
        <f t="shared" si="33"/>
        <v>0</v>
      </c>
      <c r="AE118" s="1503">
        <f t="shared" si="34"/>
        <v>0</v>
      </c>
      <c r="AF118" s="1502">
        <f t="shared" si="35"/>
        <v>7670200</v>
      </c>
    </row>
    <row r="119" spans="1:32" s="1474" customFormat="1" ht="23.25" customHeight="1">
      <c r="A119" s="2175">
        <v>54</v>
      </c>
      <c r="B119" s="2175" t="s">
        <v>1994</v>
      </c>
      <c r="C119" s="2416" t="s">
        <v>2312</v>
      </c>
      <c r="D119" s="2416"/>
      <c r="E119" s="2175">
        <v>30000000</v>
      </c>
      <c r="F119" s="2417">
        <f t="shared" si="16"/>
        <v>5400000</v>
      </c>
      <c r="G119" s="2418">
        <v>41197</v>
      </c>
      <c r="H119" s="2419">
        <v>0.18</v>
      </c>
      <c r="I119" s="2164">
        <v>12</v>
      </c>
      <c r="J119" s="2164">
        <v>12</v>
      </c>
      <c r="K119" s="2164">
        <f>E119/I119</f>
        <v>2500000</v>
      </c>
      <c r="L119" s="2164">
        <f t="shared" si="36"/>
        <v>450000</v>
      </c>
      <c r="M119" s="2172">
        <f t="shared" si="17"/>
        <v>30000000</v>
      </c>
      <c r="N119" s="2407">
        <f>IF(J119&lt;I119,J119*L119,IF(J119&gt;=I119,F119))-900000</f>
        <v>4500000</v>
      </c>
      <c r="O119" s="2171">
        <v>30000000</v>
      </c>
      <c r="P119" s="2171">
        <v>4500000</v>
      </c>
      <c r="Q119" s="2171"/>
      <c r="R119" s="2649"/>
      <c r="S119" s="2649"/>
      <c r="T119" s="2173"/>
      <c r="U119" s="2174">
        <f t="shared" si="19"/>
        <v>30000000</v>
      </c>
      <c r="V119" s="2174">
        <f t="shared" si="20"/>
        <v>4500000</v>
      </c>
      <c r="W119" s="2174"/>
      <c r="X119" s="2174">
        <f t="shared" si="22"/>
        <v>0</v>
      </c>
      <c r="Y119" s="2174">
        <f t="shared" si="23"/>
        <v>100</v>
      </c>
      <c r="Z119" s="2174">
        <f t="shared" si="24"/>
        <v>0</v>
      </c>
      <c r="AA119" s="2174">
        <f t="shared" si="25"/>
        <v>0</v>
      </c>
      <c r="AB119" s="2427"/>
      <c r="AC119" s="1504">
        <f t="shared" si="32"/>
        <v>0</v>
      </c>
      <c r="AD119" s="1503">
        <f t="shared" si="33"/>
        <v>0</v>
      </c>
      <c r="AE119" s="1503">
        <f t="shared" si="34"/>
        <v>0</v>
      </c>
      <c r="AF119" s="1502">
        <f t="shared" si="35"/>
        <v>0</v>
      </c>
    </row>
    <row r="120" spans="1:32" s="1474" customFormat="1" ht="23.25" customHeight="1">
      <c r="A120" s="2175">
        <v>55</v>
      </c>
      <c r="B120" s="2175" t="s">
        <v>1999</v>
      </c>
      <c r="C120" s="2416" t="s">
        <v>2312</v>
      </c>
      <c r="D120" s="2416"/>
      <c r="E120" s="2175">
        <v>15000000</v>
      </c>
      <c r="F120" s="2417">
        <f t="shared" si="16"/>
        <v>2700000</v>
      </c>
      <c r="G120" s="2418">
        <v>41219</v>
      </c>
      <c r="H120" s="2419">
        <v>0.18</v>
      </c>
      <c r="I120" s="2164">
        <v>12</v>
      </c>
      <c r="J120" s="2164">
        <v>12</v>
      </c>
      <c r="K120" s="2164">
        <f>E120/I120</f>
        <v>1250000</v>
      </c>
      <c r="L120" s="2164">
        <f t="shared" si="36"/>
        <v>225000</v>
      </c>
      <c r="M120" s="2172">
        <f t="shared" si="17"/>
        <v>15000000</v>
      </c>
      <c r="N120" s="2407">
        <f>IF(J120&lt;I120,J120*L120,IF(J120&gt;=I120,F120))-225000</f>
        <v>2475000</v>
      </c>
      <c r="O120" s="2171">
        <v>15000000</v>
      </c>
      <c r="P120" s="2171">
        <v>2475000</v>
      </c>
      <c r="Q120" s="2171"/>
      <c r="R120" s="2649"/>
      <c r="S120" s="2649"/>
      <c r="T120" s="2173"/>
      <c r="U120" s="2174">
        <f t="shared" si="19"/>
        <v>15000000</v>
      </c>
      <c r="V120" s="2174">
        <f t="shared" si="20"/>
        <v>2475000</v>
      </c>
      <c r="W120" s="2174"/>
      <c r="X120" s="2174">
        <f t="shared" si="22"/>
        <v>0</v>
      </c>
      <c r="Y120" s="2174">
        <f t="shared" si="23"/>
        <v>100</v>
      </c>
      <c r="Z120" s="2174">
        <f t="shared" si="24"/>
        <v>0</v>
      </c>
      <c r="AA120" s="2174">
        <f t="shared" si="25"/>
        <v>0</v>
      </c>
      <c r="AB120" s="2427"/>
      <c r="AC120" s="1504">
        <f t="shared" si="32"/>
        <v>0</v>
      </c>
      <c r="AD120" s="1503">
        <f t="shared" si="33"/>
        <v>0</v>
      </c>
      <c r="AE120" s="1503">
        <f t="shared" si="34"/>
        <v>0</v>
      </c>
      <c r="AF120" s="1502">
        <f t="shared" si="35"/>
        <v>0</v>
      </c>
    </row>
    <row r="121" spans="1:32" s="1474" customFormat="1" ht="23.25" customHeight="1">
      <c r="A121" s="2175">
        <v>56</v>
      </c>
      <c r="B121" s="2175" t="s">
        <v>2228</v>
      </c>
      <c r="C121" s="2416" t="s">
        <v>2340</v>
      </c>
      <c r="D121" s="2416"/>
      <c r="E121" s="2175">
        <v>8000000</v>
      </c>
      <c r="F121" s="2417">
        <f t="shared" si="16"/>
        <v>1440000</v>
      </c>
      <c r="G121" s="2418">
        <v>41260</v>
      </c>
      <c r="H121" s="2419">
        <v>0.18</v>
      </c>
      <c r="I121" s="2164">
        <v>12</v>
      </c>
      <c r="J121" s="2164">
        <v>12</v>
      </c>
      <c r="K121" s="2164">
        <v>666700</v>
      </c>
      <c r="L121" s="2164">
        <f t="shared" si="36"/>
        <v>120000</v>
      </c>
      <c r="M121" s="2172">
        <f t="shared" si="17"/>
        <v>8000000</v>
      </c>
      <c r="N121" s="2172">
        <f t="shared" si="18"/>
        <v>1440000</v>
      </c>
      <c r="O121" s="2171">
        <v>8000000</v>
      </c>
      <c r="P121" s="2171">
        <v>1440000</v>
      </c>
      <c r="Q121" s="2171"/>
      <c r="R121" s="2649"/>
      <c r="S121" s="2649"/>
      <c r="T121" s="2173"/>
      <c r="U121" s="2174">
        <f t="shared" si="19"/>
        <v>8000000</v>
      </c>
      <c r="V121" s="2174">
        <f t="shared" si="20"/>
        <v>1440000</v>
      </c>
      <c r="W121" s="2174"/>
      <c r="X121" s="2174">
        <f t="shared" si="22"/>
        <v>0</v>
      </c>
      <c r="Y121" s="2174">
        <f t="shared" si="23"/>
        <v>100</v>
      </c>
      <c r="Z121" s="2174">
        <f t="shared" si="24"/>
        <v>0</v>
      </c>
      <c r="AA121" s="2174">
        <f t="shared" si="25"/>
        <v>0</v>
      </c>
      <c r="AB121" s="2427"/>
      <c r="AC121" s="1504">
        <f t="shared" si="32"/>
        <v>0</v>
      </c>
      <c r="AD121" s="1503">
        <f t="shared" si="33"/>
        <v>0</v>
      </c>
      <c r="AE121" s="1503">
        <f t="shared" si="34"/>
        <v>0</v>
      </c>
      <c r="AF121" s="1502">
        <f t="shared" si="35"/>
        <v>0</v>
      </c>
    </row>
    <row r="122" spans="1:32" s="1474" customFormat="1" ht="23.25" customHeight="1">
      <c r="A122" s="2175">
        <v>57</v>
      </c>
      <c r="B122" s="2175" t="s">
        <v>1993</v>
      </c>
      <c r="C122" s="2416" t="s">
        <v>2340</v>
      </c>
      <c r="D122" s="2416"/>
      <c r="E122" s="2175">
        <v>25000000</v>
      </c>
      <c r="F122" s="2417">
        <f t="shared" si="16"/>
        <v>4500000</v>
      </c>
      <c r="G122" s="2418">
        <v>41323</v>
      </c>
      <c r="H122" s="2419">
        <v>0.18</v>
      </c>
      <c r="I122" s="2164">
        <v>12</v>
      </c>
      <c r="J122" s="2164">
        <v>12</v>
      </c>
      <c r="K122" s="2164">
        <v>2083300</v>
      </c>
      <c r="L122" s="2164">
        <f t="shared" si="36"/>
        <v>375000</v>
      </c>
      <c r="M122" s="2172">
        <f t="shared" si="17"/>
        <v>25000000</v>
      </c>
      <c r="N122" s="2407">
        <f>IF(J122&lt;I122,J122*L122,IF(J122&gt;=I122,F122))-375000</f>
        <v>4125000</v>
      </c>
      <c r="O122" s="2171">
        <v>25000000</v>
      </c>
      <c r="P122" s="2171">
        <v>4125000</v>
      </c>
      <c r="Q122" s="2171"/>
      <c r="R122" s="2649"/>
      <c r="S122" s="2649"/>
      <c r="T122" s="2173"/>
      <c r="U122" s="2174">
        <f t="shared" si="19"/>
        <v>25000000</v>
      </c>
      <c r="V122" s="2174">
        <f t="shared" si="20"/>
        <v>4125000</v>
      </c>
      <c r="W122" s="2174"/>
      <c r="X122" s="2174">
        <f t="shared" si="22"/>
        <v>0</v>
      </c>
      <c r="Y122" s="2174">
        <f t="shared" si="23"/>
        <v>100</v>
      </c>
      <c r="Z122" s="2174">
        <f t="shared" si="24"/>
        <v>0</v>
      </c>
      <c r="AA122" s="2174">
        <f t="shared" si="25"/>
        <v>0</v>
      </c>
      <c r="AB122" s="2427"/>
      <c r="AC122" s="1504">
        <f t="shared" si="32"/>
        <v>0</v>
      </c>
      <c r="AD122" s="1503">
        <f t="shared" si="33"/>
        <v>0</v>
      </c>
      <c r="AE122" s="1503">
        <f t="shared" si="34"/>
        <v>0</v>
      </c>
      <c r="AF122" s="1502">
        <f t="shared" si="35"/>
        <v>0</v>
      </c>
    </row>
    <row r="123" spans="1:32" s="1474" customFormat="1" ht="23.25" customHeight="1">
      <c r="A123" s="2175">
        <v>58</v>
      </c>
      <c r="B123" s="2175" t="s">
        <v>1941</v>
      </c>
      <c r="C123" s="2416" t="s">
        <v>2340</v>
      </c>
      <c r="D123" s="2416"/>
      <c r="E123" s="2175">
        <v>25000000</v>
      </c>
      <c r="F123" s="2417">
        <f t="shared" si="16"/>
        <v>4500000</v>
      </c>
      <c r="G123" s="2418">
        <v>41325</v>
      </c>
      <c r="H123" s="2419">
        <v>0.18</v>
      </c>
      <c r="I123" s="2164">
        <v>12</v>
      </c>
      <c r="J123" s="2164">
        <v>12</v>
      </c>
      <c r="K123" s="2164">
        <v>2083300</v>
      </c>
      <c r="L123" s="2164">
        <f t="shared" si="36"/>
        <v>375000</v>
      </c>
      <c r="M123" s="2172">
        <f t="shared" si="17"/>
        <v>25000000</v>
      </c>
      <c r="N123" s="2407">
        <f>IF(J123&lt;I123,J123*L123,IF(J123&gt;=I123,F123))-375000</f>
        <v>4125000</v>
      </c>
      <c r="O123" s="2171">
        <v>25000000</v>
      </c>
      <c r="P123" s="2171">
        <v>4125000</v>
      </c>
      <c r="Q123" s="2171"/>
      <c r="R123" s="2649"/>
      <c r="S123" s="2649"/>
      <c r="T123" s="2173"/>
      <c r="U123" s="2174">
        <f t="shared" si="19"/>
        <v>25000000</v>
      </c>
      <c r="V123" s="2174">
        <f t="shared" si="20"/>
        <v>4125000</v>
      </c>
      <c r="W123" s="2174"/>
      <c r="X123" s="2174">
        <f t="shared" si="22"/>
        <v>0</v>
      </c>
      <c r="Y123" s="2174">
        <f t="shared" si="23"/>
        <v>100</v>
      </c>
      <c r="Z123" s="2174">
        <f t="shared" si="24"/>
        <v>0</v>
      </c>
      <c r="AA123" s="2174">
        <f t="shared" si="25"/>
        <v>0</v>
      </c>
      <c r="AB123" s="2427"/>
      <c r="AC123" s="1504">
        <f t="shared" si="32"/>
        <v>0</v>
      </c>
      <c r="AD123" s="1503">
        <f t="shared" si="33"/>
        <v>0</v>
      </c>
      <c r="AE123" s="1503">
        <f t="shared" si="34"/>
        <v>0</v>
      </c>
      <c r="AF123" s="1502">
        <f t="shared" si="35"/>
        <v>0</v>
      </c>
    </row>
    <row r="124" spans="1:32" s="1474" customFormat="1" ht="23.25" customHeight="1">
      <c r="A124" s="2175">
        <v>59</v>
      </c>
      <c r="B124" s="2175" t="s">
        <v>2003</v>
      </c>
      <c r="C124" s="2416" t="s">
        <v>2340</v>
      </c>
      <c r="D124" s="2416"/>
      <c r="E124" s="2175">
        <v>12000000</v>
      </c>
      <c r="F124" s="2417">
        <f t="shared" si="16"/>
        <v>2160000</v>
      </c>
      <c r="G124" s="2418">
        <v>41346</v>
      </c>
      <c r="H124" s="2419">
        <v>0.18</v>
      </c>
      <c r="I124" s="2164">
        <v>12</v>
      </c>
      <c r="J124" s="2164">
        <v>12</v>
      </c>
      <c r="K124" s="2164">
        <f>E124/I124</f>
        <v>1000000</v>
      </c>
      <c r="L124" s="2164">
        <f t="shared" si="36"/>
        <v>180000</v>
      </c>
      <c r="M124" s="2172">
        <f t="shared" si="17"/>
        <v>12000000</v>
      </c>
      <c r="N124" s="2407">
        <f>IF(J124&lt;I124,J124*L124,IF(J124&gt;=I124,F124))-180000</f>
        <v>1980000</v>
      </c>
      <c r="O124" s="2171">
        <v>12000000</v>
      </c>
      <c r="P124" s="2171">
        <v>1980000</v>
      </c>
      <c r="Q124" s="2171"/>
      <c r="R124" s="2649"/>
      <c r="S124" s="2649"/>
      <c r="T124" s="2173"/>
      <c r="U124" s="2174">
        <f t="shared" si="19"/>
        <v>12000000</v>
      </c>
      <c r="V124" s="2174">
        <f t="shared" si="20"/>
        <v>1980000</v>
      </c>
      <c r="W124" s="2174"/>
      <c r="X124" s="2174">
        <f t="shared" si="22"/>
        <v>0</v>
      </c>
      <c r="Y124" s="2174">
        <f t="shared" si="23"/>
        <v>100</v>
      </c>
      <c r="Z124" s="2174">
        <f t="shared" si="24"/>
        <v>0</v>
      </c>
      <c r="AA124" s="2174">
        <f t="shared" si="25"/>
        <v>0</v>
      </c>
      <c r="AB124" s="2427"/>
      <c r="AC124" s="1504">
        <f t="shared" si="32"/>
        <v>0</v>
      </c>
      <c r="AD124" s="1503">
        <f t="shared" si="33"/>
        <v>0</v>
      </c>
      <c r="AE124" s="1503">
        <f t="shared" si="34"/>
        <v>0</v>
      </c>
      <c r="AF124" s="1502">
        <f t="shared" si="35"/>
        <v>0</v>
      </c>
    </row>
    <row r="125" spans="1:32" s="1474" customFormat="1" ht="23.25" customHeight="1">
      <c r="A125" s="2175">
        <v>60</v>
      </c>
      <c r="B125" s="2175" t="s">
        <v>2378</v>
      </c>
      <c r="C125" s="2416" t="s">
        <v>2340</v>
      </c>
      <c r="D125" s="2416"/>
      <c r="E125" s="2175">
        <v>22500000</v>
      </c>
      <c r="F125" s="2417">
        <f t="shared" si="16"/>
        <v>4050000</v>
      </c>
      <c r="G125" s="2418">
        <v>41346</v>
      </c>
      <c r="H125" s="2419">
        <v>0.18</v>
      </c>
      <c r="I125" s="2164">
        <v>12</v>
      </c>
      <c r="J125" s="2164">
        <v>12</v>
      </c>
      <c r="K125" s="2164">
        <f>E125/I125</f>
        <v>1875000</v>
      </c>
      <c r="L125" s="2164">
        <f t="shared" si="36"/>
        <v>337500</v>
      </c>
      <c r="M125" s="2172">
        <f t="shared" si="17"/>
        <v>22500000</v>
      </c>
      <c r="N125" s="2407">
        <f>IF(J125&lt;I125,J125*L125,IF(J125&gt;=I125,F125))-337500</f>
        <v>3712500</v>
      </c>
      <c r="O125" s="2171">
        <v>22500000</v>
      </c>
      <c r="P125" s="2171">
        <v>3712500</v>
      </c>
      <c r="Q125" s="2171"/>
      <c r="R125" s="2649"/>
      <c r="S125" s="2649"/>
      <c r="T125" s="2173"/>
      <c r="U125" s="2174">
        <f t="shared" si="19"/>
        <v>22500000</v>
      </c>
      <c r="V125" s="2174">
        <f t="shared" si="20"/>
        <v>3712500</v>
      </c>
      <c r="W125" s="2174"/>
      <c r="X125" s="2174">
        <f t="shared" si="22"/>
        <v>0</v>
      </c>
      <c r="Y125" s="2174">
        <f t="shared" si="23"/>
        <v>100</v>
      </c>
      <c r="Z125" s="2174">
        <f t="shared" si="24"/>
        <v>0</v>
      </c>
      <c r="AA125" s="2174">
        <f t="shared" si="25"/>
        <v>0</v>
      </c>
      <c r="AB125" s="2427"/>
      <c r="AC125" s="1504">
        <f t="shared" si="32"/>
        <v>0</v>
      </c>
      <c r="AD125" s="1503">
        <f t="shared" si="33"/>
        <v>0</v>
      </c>
      <c r="AE125" s="1503">
        <f t="shared" si="34"/>
        <v>0</v>
      </c>
      <c r="AF125" s="1502">
        <f t="shared" si="35"/>
        <v>0</v>
      </c>
    </row>
    <row r="126" spans="1:32" s="1474" customFormat="1" ht="23.25" customHeight="1">
      <c r="A126" s="2175">
        <v>61</v>
      </c>
      <c r="B126" s="2175" t="s">
        <v>2318</v>
      </c>
      <c r="C126" s="2416" t="s">
        <v>2377</v>
      </c>
      <c r="D126" s="2416"/>
      <c r="E126" s="2175">
        <v>15000000</v>
      </c>
      <c r="F126" s="2417">
        <f t="shared" si="16"/>
        <v>2700000</v>
      </c>
      <c r="G126" s="2418">
        <v>41338</v>
      </c>
      <c r="H126" s="2419">
        <v>0.18</v>
      </c>
      <c r="I126" s="2164">
        <v>12</v>
      </c>
      <c r="J126" s="2164">
        <v>12</v>
      </c>
      <c r="K126" s="2164">
        <f>E126/I126</f>
        <v>1250000</v>
      </c>
      <c r="L126" s="2164">
        <f t="shared" si="36"/>
        <v>225000</v>
      </c>
      <c r="M126" s="2172">
        <f t="shared" si="17"/>
        <v>15000000</v>
      </c>
      <c r="N126" s="2407">
        <f>IF(J126&lt;I126,J126*L126,IF(J126&gt;=I126,F126))-450000</f>
        <v>2250000</v>
      </c>
      <c r="O126" s="2171">
        <v>15000000</v>
      </c>
      <c r="P126" s="2171">
        <v>2250000</v>
      </c>
      <c r="Q126" s="2171"/>
      <c r="R126" s="2649"/>
      <c r="S126" s="2649"/>
      <c r="T126" s="2173"/>
      <c r="U126" s="2174">
        <f t="shared" si="19"/>
        <v>15000000</v>
      </c>
      <c r="V126" s="2174">
        <f t="shared" si="20"/>
        <v>2250000</v>
      </c>
      <c r="W126" s="2174"/>
      <c r="X126" s="2174">
        <f t="shared" si="22"/>
        <v>0</v>
      </c>
      <c r="Y126" s="2174">
        <f t="shared" si="23"/>
        <v>100</v>
      </c>
      <c r="Z126" s="2174">
        <f t="shared" si="24"/>
        <v>0</v>
      </c>
      <c r="AA126" s="2174">
        <f t="shared" si="25"/>
        <v>0</v>
      </c>
      <c r="AB126" s="2427"/>
      <c r="AC126" s="1504">
        <f t="shared" si="32"/>
        <v>0</v>
      </c>
      <c r="AD126" s="1503">
        <f t="shared" si="33"/>
        <v>0</v>
      </c>
      <c r="AE126" s="1503">
        <f t="shared" si="34"/>
        <v>0</v>
      </c>
      <c r="AF126" s="1502">
        <f t="shared" si="35"/>
        <v>0</v>
      </c>
    </row>
    <row r="127" spans="1:32" s="1474" customFormat="1" ht="23.25" customHeight="1">
      <c r="A127" s="2175">
        <v>62</v>
      </c>
      <c r="B127" s="2175" t="s">
        <v>1991</v>
      </c>
      <c r="C127" s="2416" t="s">
        <v>2377</v>
      </c>
      <c r="D127" s="2416"/>
      <c r="E127" s="2175">
        <v>28000000</v>
      </c>
      <c r="F127" s="2417">
        <f t="shared" si="16"/>
        <v>5040000</v>
      </c>
      <c r="G127" s="2418">
        <v>41374</v>
      </c>
      <c r="H127" s="2419">
        <v>0.18</v>
      </c>
      <c r="I127" s="2164">
        <v>12</v>
      </c>
      <c r="J127" s="2164">
        <v>12</v>
      </c>
      <c r="K127" s="2164">
        <v>2333300</v>
      </c>
      <c r="L127" s="2164">
        <f t="shared" si="36"/>
        <v>420000</v>
      </c>
      <c r="M127" s="2172">
        <f t="shared" si="17"/>
        <v>28000000</v>
      </c>
      <c r="N127" s="2407">
        <f>IF(J127&lt;I127,J127*L127,IF(J127&gt;=I127,F127))-420000+420000-840000</f>
        <v>4200000</v>
      </c>
      <c r="O127" s="2171">
        <v>28000000</v>
      </c>
      <c r="P127" s="2171">
        <v>4200000</v>
      </c>
      <c r="Q127" s="2171"/>
      <c r="R127" s="2649"/>
      <c r="S127" s="2649"/>
      <c r="T127" s="2173"/>
      <c r="U127" s="2174">
        <f t="shared" si="19"/>
        <v>28000000</v>
      </c>
      <c r="V127" s="2174">
        <f t="shared" si="20"/>
        <v>4200000</v>
      </c>
      <c r="W127" s="2174"/>
      <c r="X127" s="2174">
        <f t="shared" si="22"/>
        <v>0</v>
      </c>
      <c r="Y127" s="2174">
        <f t="shared" si="23"/>
        <v>100</v>
      </c>
      <c r="Z127" s="2174">
        <f t="shared" si="24"/>
        <v>0</v>
      </c>
      <c r="AA127" s="2174">
        <f t="shared" si="25"/>
        <v>0</v>
      </c>
      <c r="AB127" s="2427"/>
      <c r="AC127" s="1504">
        <f t="shared" si="32"/>
        <v>0</v>
      </c>
      <c r="AD127" s="1503">
        <f t="shared" si="33"/>
        <v>0</v>
      </c>
      <c r="AE127" s="1503">
        <f t="shared" si="34"/>
        <v>0</v>
      </c>
      <c r="AF127" s="1502">
        <f t="shared" si="35"/>
        <v>0</v>
      </c>
    </row>
    <row r="128" spans="1:32" s="1474" customFormat="1" ht="23.25" customHeight="1">
      <c r="A128" s="2175">
        <v>63</v>
      </c>
      <c r="B128" s="2175" t="s">
        <v>1956</v>
      </c>
      <c r="C128" s="2416" t="s">
        <v>2377</v>
      </c>
      <c r="D128" s="2416"/>
      <c r="E128" s="2175">
        <v>15000000</v>
      </c>
      <c r="F128" s="2417">
        <f t="shared" si="16"/>
        <v>2700000</v>
      </c>
      <c r="G128" s="2418">
        <v>41374</v>
      </c>
      <c r="H128" s="2419">
        <v>0.18</v>
      </c>
      <c r="I128" s="2164">
        <v>12</v>
      </c>
      <c r="J128" s="2164">
        <v>12</v>
      </c>
      <c r="K128" s="2164">
        <f>E128/I128</f>
        <v>1250000</v>
      </c>
      <c r="L128" s="2164">
        <f t="shared" si="36"/>
        <v>225000</v>
      </c>
      <c r="M128" s="2172">
        <f t="shared" si="17"/>
        <v>15000000</v>
      </c>
      <c r="N128" s="2172">
        <f t="shared" si="18"/>
        <v>2700000</v>
      </c>
      <c r="O128" s="2171">
        <v>15000000</v>
      </c>
      <c r="P128" s="2171">
        <v>2700000</v>
      </c>
      <c r="Q128" s="2171"/>
      <c r="R128" s="2649"/>
      <c r="S128" s="2649"/>
      <c r="T128" s="2173"/>
      <c r="U128" s="2174">
        <f t="shared" si="19"/>
        <v>15000000</v>
      </c>
      <c r="V128" s="2174">
        <f t="shared" si="20"/>
        <v>2700000</v>
      </c>
      <c r="W128" s="2174"/>
      <c r="X128" s="2174">
        <f t="shared" si="22"/>
        <v>0</v>
      </c>
      <c r="Y128" s="2174">
        <f t="shared" si="23"/>
        <v>100</v>
      </c>
      <c r="Z128" s="2174">
        <f t="shared" si="24"/>
        <v>0</v>
      </c>
      <c r="AA128" s="2174">
        <f t="shared" si="25"/>
        <v>0</v>
      </c>
      <c r="AB128" s="2427"/>
      <c r="AC128" s="1504">
        <f t="shared" si="32"/>
        <v>0</v>
      </c>
      <c r="AD128" s="1503">
        <f t="shared" si="33"/>
        <v>0</v>
      </c>
      <c r="AE128" s="1503">
        <f t="shared" si="34"/>
        <v>0</v>
      </c>
      <c r="AF128" s="1502">
        <f t="shared" si="35"/>
        <v>0</v>
      </c>
    </row>
    <row r="129" spans="1:32" s="1474" customFormat="1" ht="23.25" customHeight="1">
      <c r="A129" s="2175">
        <v>64</v>
      </c>
      <c r="B129" s="2175" t="s">
        <v>2388</v>
      </c>
      <c r="C129" s="2416" t="s">
        <v>2387</v>
      </c>
      <c r="D129" s="2416"/>
      <c r="E129" s="2175">
        <v>8000000</v>
      </c>
      <c r="F129" s="2417">
        <f t="shared" si="16"/>
        <v>1440000</v>
      </c>
      <c r="G129" s="2418">
        <v>41374</v>
      </c>
      <c r="H129" s="2419">
        <v>0.18</v>
      </c>
      <c r="I129" s="2164">
        <v>12</v>
      </c>
      <c r="J129" s="2164">
        <v>12</v>
      </c>
      <c r="K129" s="2164">
        <v>666700</v>
      </c>
      <c r="L129" s="2164">
        <f t="shared" si="36"/>
        <v>120000</v>
      </c>
      <c r="M129" s="2172">
        <f t="shared" si="17"/>
        <v>8000000</v>
      </c>
      <c r="N129" s="2172">
        <f t="shared" si="18"/>
        <v>1440000</v>
      </c>
      <c r="O129" s="2171">
        <v>8000000</v>
      </c>
      <c r="P129" s="2171">
        <v>1440000</v>
      </c>
      <c r="Q129" s="2171"/>
      <c r="R129" s="2649"/>
      <c r="S129" s="2649"/>
      <c r="T129" s="2173"/>
      <c r="U129" s="2174">
        <f t="shared" si="19"/>
        <v>8000000</v>
      </c>
      <c r="V129" s="2174">
        <f t="shared" si="20"/>
        <v>1440000</v>
      </c>
      <c r="W129" s="2174"/>
      <c r="X129" s="2174">
        <f t="shared" si="22"/>
        <v>0</v>
      </c>
      <c r="Y129" s="2174">
        <f t="shared" si="23"/>
        <v>100</v>
      </c>
      <c r="Z129" s="2174">
        <f t="shared" si="24"/>
        <v>0</v>
      </c>
      <c r="AA129" s="2174">
        <f t="shared" si="25"/>
        <v>0</v>
      </c>
      <c r="AB129" s="2427"/>
      <c r="AC129" s="1504">
        <f t="shared" si="32"/>
        <v>0</v>
      </c>
      <c r="AD129" s="1503">
        <f t="shared" si="33"/>
        <v>0</v>
      </c>
      <c r="AE129" s="1503">
        <f t="shared" si="34"/>
        <v>0</v>
      </c>
      <c r="AF129" s="1502">
        <f t="shared" si="35"/>
        <v>0</v>
      </c>
    </row>
    <row r="130" spans="1:32" s="1474" customFormat="1" ht="23.25" customHeight="1">
      <c r="A130" s="2175">
        <v>65</v>
      </c>
      <c r="B130" s="2175" t="s">
        <v>2275</v>
      </c>
      <c r="C130" s="2416" t="s">
        <v>2387</v>
      </c>
      <c r="D130" s="2416"/>
      <c r="E130" s="2175">
        <v>15000000</v>
      </c>
      <c r="F130" s="2417">
        <f t="shared" si="16"/>
        <v>2700000</v>
      </c>
      <c r="G130" s="2418">
        <v>41396</v>
      </c>
      <c r="H130" s="2419">
        <v>0.18</v>
      </c>
      <c r="I130" s="2164">
        <v>12</v>
      </c>
      <c r="J130" s="2164">
        <v>12</v>
      </c>
      <c r="K130" s="2164">
        <f>E130/I130</f>
        <v>1250000</v>
      </c>
      <c r="L130" s="2164">
        <f t="shared" si="36"/>
        <v>225000</v>
      </c>
      <c r="M130" s="2172">
        <f t="shared" si="17"/>
        <v>15000000</v>
      </c>
      <c r="N130" s="2407">
        <f>IF(J130&lt;I130,J130*L130,IF(J130&gt;=I130,F130))-225000</f>
        <v>2475000</v>
      </c>
      <c r="O130" s="2171">
        <v>15000000</v>
      </c>
      <c r="P130" s="2171">
        <v>2475000</v>
      </c>
      <c r="Q130" s="2171"/>
      <c r="R130" s="2649"/>
      <c r="S130" s="2649"/>
      <c r="T130" s="2173"/>
      <c r="U130" s="2174">
        <f t="shared" si="19"/>
        <v>15000000</v>
      </c>
      <c r="V130" s="2174">
        <f t="shared" si="20"/>
        <v>2475000</v>
      </c>
      <c r="W130" s="2174"/>
      <c r="X130" s="2174">
        <f t="shared" si="22"/>
        <v>0</v>
      </c>
      <c r="Y130" s="2174">
        <f t="shared" si="23"/>
        <v>100</v>
      </c>
      <c r="Z130" s="2174">
        <f t="shared" si="24"/>
        <v>0</v>
      </c>
      <c r="AA130" s="2174">
        <f t="shared" si="25"/>
        <v>0</v>
      </c>
      <c r="AB130" s="2427"/>
      <c r="AC130" s="1504">
        <f t="shared" si="32"/>
        <v>0</v>
      </c>
      <c r="AD130" s="1503">
        <f t="shared" si="33"/>
        <v>0</v>
      </c>
      <c r="AE130" s="1503">
        <f t="shared" si="34"/>
        <v>0</v>
      </c>
      <c r="AF130" s="1502">
        <f t="shared" si="35"/>
        <v>0</v>
      </c>
    </row>
    <row r="131" spans="1:32" s="1474" customFormat="1" ht="23.25" customHeight="1">
      <c r="A131" s="2175">
        <v>66</v>
      </c>
      <c r="B131" s="2175" t="s">
        <v>1944</v>
      </c>
      <c r="C131" s="2416" t="s">
        <v>2377</v>
      </c>
      <c r="D131" s="2416">
        <v>10</v>
      </c>
      <c r="E131" s="2175">
        <v>20000000</v>
      </c>
      <c r="F131" s="2417">
        <f t="shared" si="16"/>
        <v>3600000</v>
      </c>
      <c r="G131" s="2418">
        <v>41414</v>
      </c>
      <c r="H131" s="2419">
        <v>0.18</v>
      </c>
      <c r="I131" s="2164">
        <v>12</v>
      </c>
      <c r="J131" s="2164">
        <v>12</v>
      </c>
      <c r="K131" s="2164">
        <v>1666700</v>
      </c>
      <c r="L131" s="2164">
        <f t="shared" si="36"/>
        <v>300000</v>
      </c>
      <c r="M131" s="2172">
        <f t="shared" si="17"/>
        <v>20000000</v>
      </c>
      <c r="N131" s="2172">
        <f t="shared" si="18"/>
        <v>3600000</v>
      </c>
      <c r="O131" s="2171">
        <v>20000000</v>
      </c>
      <c r="P131" s="2171">
        <v>3600000</v>
      </c>
      <c r="Q131" s="2171"/>
      <c r="R131" s="2649"/>
      <c r="S131" s="2649"/>
      <c r="T131" s="2173"/>
      <c r="U131" s="2174">
        <f t="shared" si="19"/>
        <v>20000000</v>
      </c>
      <c r="V131" s="2174">
        <f t="shared" si="20"/>
        <v>3600000</v>
      </c>
      <c r="W131" s="2174"/>
      <c r="X131" s="2174">
        <f t="shared" si="22"/>
        <v>0</v>
      </c>
      <c r="Y131" s="2174">
        <f t="shared" si="23"/>
        <v>100</v>
      </c>
      <c r="Z131" s="2174">
        <f t="shared" si="24"/>
        <v>0</v>
      </c>
      <c r="AA131" s="2174">
        <f t="shared" si="25"/>
        <v>0</v>
      </c>
      <c r="AB131" s="2427"/>
      <c r="AC131" s="1504">
        <f t="shared" si="32"/>
        <v>0</v>
      </c>
      <c r="AD131" s="1503">
        <f t="shared" si="33"/>
        <v>0</v>
      </c>
      <c r="AE131" s="1503">
        <f t="shared" si="34"/>
        <v>0</v>
      </c>
      <c r="AF131" s="1502">
        <f t="shared" si="35"/>
        <v>0</v>
      </c>
    </row>
    <row r="132" spans="1:32" s="1474" customFormat="1" ht="23.25" customHeight="1">
      <c r="A132" s="2175">
        <v>67</v>
      </c>
      <c r="B132" s="2175" t="s">
        <v>2412</v>
      </c>
      <c r="C132" s="2416" t="s">
        <v>2411</v>
      </c>
      <c r="D132" s="2416">
        <v>10</v>
      </c>
      <c r="E132" s="2175">
        <v>7000000</v>
      </c>
      <c r="F132" s="2417">
        <f t="shared" si="16"/>
        <v>1260000</v>
      </c>
      <c r="G132" s="2418">
        <v>41463</v>
      </c>
      <c r="H132" s="2419">
        <v>0.18</v>
      </c>
      <c r="I132" s="2164">
        <v>12</v>
      </c>
      <c r="J132" s="2164">
        <v>12</v>
      </c>
      <c r="K132" s="2164">
        <v>583300</v>
      </c>
      <c r="L132" s="2164">
        <f t="shared" si="36"/>
        <v>105000</v>
      </c>
      <c r="M132" s="2172">
        <f t="shared" si="17"/>
        <v>7000000</v>
      </c>
      <c r="N132" s="2407">
        <f t="shared" si="18"/>
        <v>1260000</v>
      </c>
      <c r="O132" s="3093">
        <v>7000000</v>
      </c>
      <c r="P132" s="3093">
        <v>1155000</v>
      </c>
      <c r="Q132" s="3093"/>
      <c r="R132" s="2843"/>
      <c r="S132" s="2843"/>
      <c r="T132" s="3094"/>
      <c r="U132" s="3095">
        <f t="shared" si="19"/>
        <v>7000000</v>
      </c>
      <c r="V132" s="3095">
        <f t="shared" si="20"/>
        <v>1155000</v>
      </c>
      <c r="W132" s="3095"/>
      <c r="X132" s="3095">
        <f t="shared" si="22"/>
        <v>0</v>
      </c>
      <c r="Y132" s="3095">
        <f t="shared" si="23"/>
        <v>100</v>
      </c>
      <c r="Z132" s="3095">
        <f t="shared" si="24"/>
        <v>0</v>
      </c>
      <c r="AA132" s="3095">
        <f>SUM(N132-V132)-105000</f>
        <v>0</v>
      </c>
      <c r="AB132" s="2427"/>
      <c r="AC132" s="1504">
        <f t="shared" si="32"/>
        <v>0</v>
      </c>
      <c r="AD132" s="1503">
        <f t="shared" si="33"/>
        <v>0</v>
      </c>
      <c r="AE132" s="1503">
        <f t="shared" si="34"/>
        <v>0</v>
      </c>
      <c r="AF132" s="1502">
        <f t="shared" si="35"/>
        <v>0</v>
      </c>
    </row>
    <row r="133" spans="1:32" s="1474" customFormat="1" ht="23.25" customHeight="1">
      <c r="A133" s="2175">
        <v>68</v>
      </c>
      <c r="B133" s="2175" t="s">
        <v>2413</v>
      </c>
      <c r="C133" s="2416" t="s">
        <v>2411</v>
      </c>
      <c r="D133" s="2416">
        <v>10</v>
      </c>
      <c r="E133" s="2175">
        <v>7000000</v>
      </c>
      <c r="F133" s="2417">
        <f t="shared" si="16"/>
        <v>1260000</v>
      </c>
      <c r="G133" s="2418">
        <v>41463</v>
      </c>
      <c r="H133" s="2419">
        <v>0.18</v>
      </c>
      <c r="I133" s="2164">
        <v>12</v>
      </c>
      <c r="J133" s="2164">
        <v>12</v>
      </c>
      <c r="K133" s="2164">
        <v>583300</v>
      </c>
      <c r="L133" s="2164">
        <f t="shared" si="36"/>
        <v>105000</v>
      </c>
      <c r="M133" s="2172">
        <f t="shared" si="17"/>
        <v>7000000</v>
      </c>
      <c r="N133" s="2172">
        <f t="shared" si="18"/>
        <v>1260000</v>
      </c>
      <c r="O133" s="2171">
        <v>7000000</v>
      </c>
      <c r="P133" s="2171">
        <v>1260000</v>
      </c>
      <c r="Q133" s="2171"/>
      <c r="R133" s="2649"/>
      <c r="S133" s="2649"/>
      <c r="T133" s="2173"/>
      <c r="U133" s="2174">
        <f t="shared" si="19"/>
        <v>7000000</v>
      </c>
      <c r="V133" s="2174">
        <f t="shared" si="20"/>
        <v>1260000</v>
      </c>
      <c r="W133" s="2174"/>
      <c r="X133" s="2174">
        <f t="shared" si="22"/>
        <v>0</v>
      </c>
      <c r="Y133" s="2174">
        <f t="shared" si="23"/>
        <v>100</v>
      </c>
      <c r="Z133" s="2174">
        <f t="shared" si="24"/>
        <v>0</v>
      </c>
      <c r="AA133" s="2174">
        <f t="shared" si="25"/>
        <v>0</v>
      </c>
      <c r="AB133" s="2427"/>
      <c r="AC133" s="1504">
        <f t="shared" si="32"/>
        <v>0</v>
      </c>
      <c r="AD133" s="1503">
        <f t="shared" si="33"/>
        <v>0</v>
      </c>
      <c r="AE133" s="1503">
        <f t="shared" si="34"/>
        <v>0</v>
      </c>
      <c r="AF133" s="1502">
        <f t="shared" si="35"/>
        <v>0</v>
      </c>
    </row>
    <row r="134" spans="1:32" s="1474" customFormat="1" ht="23.25" customHeight="1">
      <c r="A134" s="2175">
        <v>69</v>
      </c>
      <c r="B134" s="2175" t="s">
        <v>2414</v>
      </c>
      <c r="C134" s="2416" t="s">
        <v>2411</v>
      </c>
      <c r="D134" s="2416">
        <v>10</v>
      </c>
      <c r="E134" s="2175">
        <v>7700000</v>
      </c>
      <c r="F134" s="2417">
        <f t="shared" si="16"/>
        <v>1386000</v>
      </c>
      <c r="G134" s="2418">
        <v>41463</v>
      </c>
      <c r="H134" s="2419">
        <v>0.18</v>
      </c>
      <c r="I134" s="2164">
        <v>12</v>
      </c>
      <c r="J134" s="2164">
        <v>12</v>
      </c>
      <c r="K134" s="2164">
        <v>641700</v>
      </c>
      <c r="L134" s="2164">
        <f t="shared" si="36"/>
        <v>115500</v>
      </c>
      <c r="M134" s="2172">
        <f t="shared" si="17"/>
        <v>7700000</v>
      </c>
      <c r="N134" s="2407">
        <f t="shared" si="18"/>
        <v>1386000</v>
      </c>
      <c r="O134" s="2171">
        <v>7700000</v>
      </c>
      <c r="P134" s="2171">
        <v>1270500</v>
      </c>
      <c r="Q134" s="2171"/>
      <c r="R134" s="2649"/>
      <c r="S134" s="2649"/>
      <c r="T134" s="2173"/>
      <c r="U134" s="2174">
        <f t="shared" si="19"/>
        <v>7700000</v>
      </c>
      <c r="V134" s="2174">
        <f t="shared" si="20"/>
        <v>1270500</v>
      </c>
      <c r="W134" s="2174"/>
      <c r="X134" s="2174">
        <f t="shared" si="22"/>
        <v>0</v>
      </c>
      <c r="Y134" s="2174">
        <f t="shared" si="23"/>
        <v>100</v>
      </c>
      <c r="Z134" s="2174">
        <f t="shared" si="24"/>
        <v>0</v>
      </c>
      <c r="AA134" s="2174">
        <f>SUM(N134-V134)-115500</f>
        <v>0</v>
      </c>
      <c r="AB134" s="2427"/>
      <c r="AC134" s="1504">
        <f t="shared" si="32"/>
        <v>0</v>
      </c>
      <c r="AD134" s="1503">
        <f t="shared" si="33"/>
        <v>0</v>
      </c>
      <c r="AE134" s="1503">
        <f t="shared" si="34"/>
        <v>0</v>
      </c>
      <c r="AF134" s="1502">
        <f t="shared" si="35"/>
        <v>0</v>
      </c>
    </row>
    <row r="135" spans="1:32" s="1474" customFormat="1" ht="23.25" customHeight="1">
      <c r="A135" s="2175">
        <v>70</v>
      </c>
      <c r="B135" s="2175" t="s">
        <v>2000</v>
      </c>
      <c r="C135" s="2416" t="s">
        <v>2411</v>
      </c>
      <c r="D135" s="2416">
        <v>10</v>
      </c>
      <c r="E135" s="2175">
        <v>24000000</v>
      </c>
      <c r="F135" s="2417">
        <f t="shared" si="16"/>
        <v>4320000</v>
      </c>
      <c r="G135" s="2418">
        <v>41467</v>
      </c>
      <c r="H135" s="2419">
        <v>0.18</v>
      </c>
      <c r="I135" s="2164">
        <v>12</v>
      </c>
      <c r="J135" s="2164">
        <v>12</v>
      </c>
      <c r="K135" s="2164">
        <f>E135/I135</f>
        <v>2000000</v>
      </c>
      <c r="L135" s="2164">
        <f t="shared" si="36"/>
        <v>360000</v>
      </c>
      <c r="M135" s="2172">
        <f t="shared" si="17"/>
        <v>24000000</v>
      </c>
      <c r="N135" s="2172">
        <f t="shared" si="18"/>
        <v>4320000</v>
      </c>
      <c r="O135" s="2171">
        <v>14000000</v>
      </c>
      <c r="P135" s="2171">
        <v>2820000</v>
      </c>
      <c r="Q135" s="2171"/>
      <c r="R135" s="3023"/>
      <c r="S135" s="3023"/>
      <c r="T135" s="2173"/>
      <c r="U135" s="2174">
        <f t="shared" si="19"/>
        <v>14000000</v>
      </c>
      <c r="V135" s="2174">
        <f t="shared" si="20"/>
        <v>2820000</v>
      </c>
      <c r="W135" s="2174"/>
      <c r="X135" s="2174">
        <f t="shared" si="22"/>
        <v>10000000</v>
      </c>
      <c r="Y135" s="2174">
        <f t="shared" si="23"/>
        <v>58.333333333333336</v>
      </c>
      <c r="Z135" s="2174">
        <f t="shared" si="24"/>
        <v>10000000</v>
      </c>
      <c r="AA135" s="2174">
        <f t="shared" si="25"/>
        <v>1500000</v>
      </c>
      <c r="AB135" s="2427">
        <v>7</v>
      </c>
      <c r="AC135" s="1504">
        <f t="shared" si="32"/>
        <v>0</v>
      </c>
      <c r="AD135" s="1503">
        <f t="shared" si="33"/>
        <v>0</v>
      </c>
      <c r="AE135" s="1503">
        <f t="shared" si="34"/>
        <v>0</v>
      </c>
      <c r="AF135" s="1502">
        <f t="shared" si="35"/>
        <v>10000000</v>
      </c>
    </row>
    <row r="136" spans="1:32" s="1474" customFormat="1" ht="23.25" customHeight="1">
      <c r="A136" s="2175">
        <v>71</v>
      </c>
      <c r="B136" s="2175" t="s">
        <v>2001</v>
      </c>
      <c r="C136" s="2416" t="s">
        <v>2411</v>
      </c>
      <c r="D136" s="2416">
        <v>10</v>
      </c>
      <c r="E136" s="2175">
        <v>30000000</v>
      </c>
      <c r="F136" s="2417">
        <f t="shared" si="16"/>
        <v>5400000</v>
      </c>
      <c r="G136" s="2418">
        <v>41470</v>
      </c>
      <c r="H136" s="2419">
        <v>0.18</v>
      </c>
      <c r="I136" s="2164">
        <v>12</v>
      </c>
      <c r="J136" s="2164">
        <v>12</v>
      </c>
      <c r="K136" s="2164">
        <f t="shared" ref="K136:K143" si="38">E136/I136</f>
        <v>2500000</v>
      </c>
      <c r="L136" s="2164">
        <f t="shared" si="36"/>
        <v>450000</v>
      </c>
      <c r="M136" s="2172">
        <f t="shared" si="17"/>
        <v>30000000</v>
      </c>
      <c r="N136" s="2407">
        <f t="shared" si="18"/>
        <v>5400000</v>
      </c>
      <c r="O136" s="3093">
        <v>30000000</v>
      </c>
      <c r="P136" s="3093">
        <v>4950000</v>
      </c>
      <c r="Q136" s="3093"/>
      <c r="R136" s="2843"/>
      <c r="S136" s="2843"/>
      <c r="T136" s="3094"/>
      <c r="U136" s="3095">
        <f t="shared" si="19"/>
        <v>30000000</v>
      </c>
      <c r="V136" s="3095">
        <f t="shared" si="20"/>
        <v>4950000</v>
      </c>
      <c r="W136" s="3095"/>
      <c r="X136" s="3095">
        <f t="shared" si="22"/>
        <v>0</v>
      </c>
      <c r="Y136" s="3095">
        <f t="shared" si="23"/>
        <v>100</v>
      </c>
      <c r="Z136" s="3095">
        <f t="shared" si="24"/>
        <v>0</v>
      </c>
      <c r="AA136" s="3095">
        <f>SUM(N136-V136)-450000</f>
        <v>0</v>
      </c>
      <c r="AB136" s="2427"/>
      <c r="AC136" s="1504">
        <f t="shared" si="32"/>
        <v>0</v>
      </c>
      <c r="AD136" s="1503">
        <f t="shared" si="33"/>
        <v>0</v>
      </c>
      <c r="AE136" s="1503">
        <f t="shared" si="34"/>
        <v>0</v>
      </c>
      <c r="AF136" s="1502">
        <f t="shared" si="35"/>
        <v>0</v>
      </c>
    </row>
    <row r="137" spans="1:32" s="1474" customFormat="1" ht="23.25" customHeight="1">
      <c r="A137" s="2175">
        <v>72</v>
      </c>
      <c r="B137" s="2175" t="s">
        <v>1990</v>
      </c>
      <c r="C137" s="2416" t="s">
        <v>2411</v>
      </c>
      <c r="D137" s="2416">
        <v>10</v>
      </c>
      <c r="E137" s="2175">
        <v>30000000</v>
      </c>
      <c r="F137" s="2417">
        <f t="shared" si="16"/>
        <v>5400000</v>
      </c>
      <c r="G137" s="2418">
        <v>41470</v>
      </c>
      <c r="H137" s="2419">
        <v>0.18</v>
      </c>
      <c r="I137" s="2164">
        <v>12</v>
      </c>
      <c r="J137" s="2164">
        <v>12</v>
      </c>
      <c r="K137" s="2164">
        <f t="shared" si="38"/>
        <v>2500000</v>
      </c>
      <c r="L137" s="2164">
        <f t="shared" si="36"/>
        <v>450000</v>
      </c>
      <c r="M137" s="2172">
        <f t="shared" si="17"/>
        <v>30000000</v>
      </c>
      <c r="N137" s="2407">
        <f t="shared" si="18"/>
        <v>5400000</v>
      </c>
      <c r="O137" s="2171">
        <v>30000000</v>
      </c>
      <c r="P137" s="2171">
        <v>4500000</v>
      </c>
      <c r="Q137" s="2171"/>
      <c r="R137" s="2649"/>
      <c r="S137" s="2649"/>
      <c r="T137" s="2173"/>
      <c r="U137" s="2174">
        <f t="shared" si="19"/>
        <v>30000000</v>
      </c>
      <c r="V137" s="2174">
        <f t="shared" si="20"/>
        <v>4500000</v>
      </c>
      <c r="W137" s="2174"/>
      <c r="X137" s="2174">
        <f t="shared" si="22"/>
        <v>0</v>
      </c>
      <c r="Y137" s="2174">
        <f t="shared" si="23"/>
        <v>100</v>
      </c>
      <c r="Z137" s="2174">
        <f t="shared" si="24"/>
        <v>0</v>
      </c>
      <c r="AA137" s="2174">
        <f>SUM(N137-V137)-900000</f>
        <v>0</v>
      </c>
      <c r="AB137" s="2427"/>
      <c r="AC137" s="1504">
        <f t="shared" si="32"/>
        <v>0</v>
      </c>
      <c r="AD137" s="1503">
        <f t="shared" si="33"/>
        <v>0</v>
      </c>
      <c r="AE137" s="1503">
        <f t="shared" si="34"/>
        <v>0</v>
      </c>
      <c r="AF137" s="1502">
        <f t="shared" si="35"/>
        <v>0</v>
      </c>
    </row>
    <row r="138" spans="1:32" s="1474" customFormat="1" ht="23.25" customHeight="1">
      <c r="A138" s="2175">
        <v>73</v>
      </c>
      <c r="B138" s="2175" t="s">
        <v>2011</v>
      </c>
      <c r="C138" s="2416" t="s">
        <v>2411</v>
      </c>
      <c r="D138" s="2416">
        <v>10</v>
      </c>
      <c r="E138" s="2175">
        <v>19500000</v>
      </c>
      <c r="F138" s="2417">
        <f t="shared" si="16"/>
        <v>3510000</v>
      </c>
      <c r="G138" s="2418">
        <v>41470</v>
      </c>
      <c r="H138" s="2419">
        <v>0.18</v>
      </c>
      <c r="I138" s="2164">
        <v>12</v>
      </c>
      <c r="J138" s="2164">
        <v>12</v>
      </c>
      <c r="K138" s="2164">
        <f t="shared" si="38"/>
        <v>1625000</v>
      </c>
      <c r="L138" s="2164">
        <f t="shared" si="36"/>
        <v>292500</v>
      </c>
      <c r="M138" s="2172">
        <f t="shared" si="17"/>
        <v>19500000</v>
      </c>
      <c r="N138" s="2172">
        <f t="shared" si="18"/>
        <v>3510000</v>
      </c>
      <c r="O138" s="2171">
        <v>19500000</v>
      </c>
      <c r="P138" s="2171">
        <v>3510000</v>
      </c>
      <c r="Q138" s="2171"/>
      <c r="R138" s="2649"/>
      <c r="S138" s="2649"/>
      <c r="T138" s="2173"/>
      <c r="U138" s="2174">
        <f t="shared" si="19"/>
        <v>19500000</v>
      </c>
      <c r="V138" s="2174">
        <f t="shared" si="20"/>
        <v>3510000</v>
      </c>
      <c r="W138" s="2174"/>
      <c r="X138" s="2174">
        <f t="shared" si="22"/>
        <v>0</v>
      </c>
      <c r="Y138" s="2174">
        <f t="shared" si="23"/>
        <v>100</v>
      </c>
      <c r="Z138" s="2174">
        <f t="shared" si="24"/>
        <v>0</v>
      </c>
      <c r="AA138" s="2174">
        <f t="shared" si="25"/>
        <v>0</v>
      </c>
      <c r="AB138" s="2427"/>
      <c r="AC138" s="1504">
        <f t="shared" si="32"/>
        <v>0</v>
      </c>
      <c r="AD138" s="1503">
        <f t="shared" si="33"/>
        <v>0</v>
      </c>
      <c r="AE138" s="1503">
        <f t="shared" si="34"/>
        <v>0</v>
      </c>
      <c r="AF138" s="1502">
        <f t="shared" si="35"/>
        <v>0</v>
      </c>
    </row>
    <row r="139" spans="1:32" s="1474" customFormat="1" ht="23.25" customHeight="1">
      <c r="A139" s="2175">
        <v>74</v>
      </c>
      <c r="B139" s="2175" t="s">
        <v>1957</v>
      </c>
      <c r="C139" s="2416" t="s">
        <v>2411</v>
      </c>
      <c r="D139" s="2416">
        <v>10</v>
      </c>
      <c r="E139" s="2175">
        <v>14000000</v>
      </c>
      <c r="F139" s="2417">
        <f t="shared" si="16"/>
        <v>2520000</v>
      </c>
      <c r="G139" s="2418">
        <v>41470</v>
      </c>
      <c r="H139" s="2419">
        <v>0.18</v>
      </c>
      <c r="I139" s="2164">
        <v>12</v>
      </c>
      <c r="J139" s="2164">
        <v>12</v>
      </c>
      <c r="K139" s="2164">
        <v>1166700</v>
      </c>
      <c r="L139" s="2164">
        <f t="shared" si="36"/>
        <v>210000</v>
      </c>
      <c r="M139" s="2172">
        <f t="shared" si="17"/>
        <v>14000000</v>
      </c>
      <c r="N139" s="2407">
        <f t="shared" si="18"/>
        <v>2520000</v>
      </c>
      <c r="O139" s="3093">
        <v>14000000</v>
      </c>
      <c r="P139" s="3093">
        <v>2310000</v>
      </c>
      <c r="Q139" s="3093"/>
      <c r="R139" s="2843"/>
      <c r="S139" s="2843"/>
      <c r="T139" s="3094"/>
      <c r="U139" s="3095">
        <f t="shared" si="19"/>
        <v>14000000</v>
      </c>
      <c r="V139" s="3095">
        <f t="shared" si="20"/>
        <v>2310000</v>
      </c>
      <c r="W139" s="3095"/>
      <c r="X139" s="3095">
        <f t="shared" si="22"/>
        <v>0</v>
      </c>
      <c r="Y139" s="3095">
        <f t="shared" si="23"/>
        <v>100</v>
      </c>
      <c r="Z139" s="3095">
        <f t="shared" si="24"/>
        <v>0</v>
      </c>
      <c r="AA139" s="3095">
        <f>SUM(N139-V139)-210000</f>
        <v>0</v>
      </c>
      <c r="AB139" s="2427"/>
      <c r="AC139" s="1504">
        <f t="shared" si="32"/>
        <v>0</v>
      </c>
      <c r="AD139" s="1503">
        <f t="shared" si="33"/>
        <v>0</v>
      </c>
      <c r="AE139" s="1503">
        <f t="shared" si="34"/>
        <v>0</v>
      </c>
      <c r="AF139" s="1502">
        <f t="shared" si="35"/>
        <v>0</v>
      </c>
    </row>
    <row r="140" spans="1:32" s="1474" customFormat="1" ht="23.25" customHeight="1">
      <c r="A140" s="2175">
        <v>75</v>
      </c>
      <c r="B140" s="2175" t="s">
        <v>2314</v>
      </c>
      <c r="C140" s="2416" t="s">
        <v>2411</v>
      </c>
      <c r="D140" s="2416">
        <v>10</v>
      </c>
      <c r="E140" s="2175">
        <v>40000000</v>
      </c>
      <c r="F140" s="2417">
        <f t="shared" si="16"/>
        <v>7200000</v>
      </c>
      <c r="G140" s="2418">
        <v>41472</v>
      </c>
      <c r="H140" s="2419">
        <v>0.18</v>
      </c>
      <c r="I140" s="2164">
        <v>12</v>
      </c>
      <c r="J140" s="2164">
        <v>12</v>
      </c>
      <c r="K140" s="2164">
        <v>3333300</v>
      </c>
      <c r="L140" s="2164">
        <f t="shared" si="36"/>
        <v>600000</v>
      </c>
      <c r="M140" s="2172">
        <f t="shared" si="17"/>
        <v>40000000</v>
      </c>
      <c r="N140" s="2172">
        <f t="shared" si="18"/>
        <v>7200000</v>
      </c>
      <c r="O140" s="2171">
        <v>40000000</v>
      </c>
      <c r="P140" s="2171">
        <v>7200000</v>
      </c>
      <c r="Q140" s="2171"/>
      <c r="R140" s="2649"/>
      <c r="S140" s="2649"/>
      <c r="T140" s="2173"/>
      <c r="U140" s="2174">
        <f t="shared" si="19"/>
        <v>40000000</v>
      </c>
      <c r="V140" s="2174">
        <f t="shared" si="20"/>
        <v>7200000</v>
      </c>
      <c r="W140" s="2174"/>
      <c r="X140" s="2174">
        <f t="shared" si="22"/>
        <v>0</v>
      </c>
      <c r="Y140" s="2174">
        <f t="shared" si="23"/>
        <v>100</v>
      </c>
      <c r="Z140" s="2174">
        <f t="shared" si="24"/>
        <v>0</v>
      </c>
      <c r="AA140" s="2174">
        <f t="shared" si="25"/>
        <v>0</v>
      </c>
      <c r="AB140" s="2427"/>
      <c r="AC140" s="1504">
        <f t="shared" si="32"/>
        <v>0</v>
      </c>
      <c r="AD140" s="1503">
        <f t="shared" si="33"/>
        <v>0</v>
      </c>
      <c r="AE140" s="1503">
        <f t="shared" si="34"/>
        <v>0</v>
      </c>
      <c r="AF140" s="1502">
        <f t="shared" si="35"/>
        <v>0</v>
      </c>
    </row>
    <row r="141" spans="1:32" s="1474" customFormat="1" ht="23.25" customHeight="1">
      <c r="A141" s="2175">
        <v>76</v>
      </c>
      <c r="B141" s="2175" t="s">
        <v>2426</v>
      </c>
      <c r="C141" s="2416" t="s">
        <v>2411</v>
      </c>
      <c r="D141" s="2416">
        <v>10</v>
      </c>
      <c r="E141" s="2175">
        <v>12000000</v>
      </c>
      <c r="F141" s="2417">
        <f t="shared" si="16"/>
        <v>2160000</v>
      </c>
      <c r="G141" s="2418">
        <v>41474</v>
      </c>
      <c r="H141" s="2419">
        <v>0.18</v>
      </c>
      <c r="I141" s="2164">
        <v>12</v>
      </c>
      <c r="J141" s="2164">
        <v>12</v>
      </c>
      <c r="K141" s="2164">
        <f t="shared" si="38"/>
        <v>1000000</v>
      </c>
      <c r="L141" s="2164">
        <f t="shared" si="36"/>
        <v>180000</v>
      </c>
      <c r="M141" s="2172">
        <f t="shared" si="17"/>
        <v>12000000</v>
      </c>
      <c r="N141" s="2407">
        <f t="shared" si="18"/>
        <v>2160000</v>
      </c>
      <c r="O141" s="2171">
        <v>12000000</v>
      </c>
      <c r="P141" s="2171">
        <v>1980000</v>
      </c>
      <c r="Q141" s="2171"/>
      <c r="R141" s="2649"/>
      <c r="S141" s="2649"/>
      <c r="T141" s="2173"/>
      <c r="U141" s="2174">
        <f t="shared" si="19"/>
        <v>12000000</v>
      </c>
      <c r="V141" s="2174">
        <f t="shared" si="20"/>
        <v>1980000</v>
      </c>
      <c r="W141" s="2174"/>
      <c r="X141" s="2174">
        <f t="shared" si="22"/>
        <v>0</v>
      </c>
      <c r="Y141" s="2174">
        <f t="shared" si="23"/>
        <v>100</v>
      </c>
      <c r="Z141" s="2174">
        <f t="shared" si="24"/>
        <v>0</v>
      </c>
      <c r="AA141" s="2174">
        <f>SUM(N141-V141)-180000</f>
        <v>0</v>
      </c>
      <c r="AB141" s="2427"/>
      <c r="AC141" s="1504">
        <f t="shared" si="32"/>
        <v>0</v>
      </c>
      <c r="AD141" s="1503">
        <f t="shared" si="33"/>
        <v>0</v>
      </c>
      <c r="AE141" s="1503">
        <f t="shared" si="34"/>
        <v>0</v>
      </c>
      <c r="AF141" s="1502">
        <f t="shared" si="35"/>
        <v>0</v>
      </c>
    </row>
    <row r="142" spans="1:32" s="1474" customFormat="1" ht="23.25" customHeight="1">
      <c r="A142" s="2175">
        <v>77</v>
      </c>
      <c r="B142" s="2175" t="s">
        <v>2455</v>
      </c>
      <c r="C142" s="2416" t="s">
        <v>2411</v>
      </c>
      <c r="D142" s="2416">
        <v>10</v>
      </c>
      <c r="E142" s="2175">
        <v>35000000</v>
      </c>
      <c r="F142" s="2417">
        <f t="shared" si="16"/>
        <v>6300000</v>
      </c>
      <c r="G142" s="2418">
        <v>41533</v>
      </c>
      <c r="H142" s="2419">
        <v>0.18</v>
      </c>
      <c r="I142" s="2164">
        <v>12</v>
      </c>
      <c r="J142" s="2164">
        <v>12</v>
      </c>
      <c r="K142" s="2164">
        <v>2916700</v>
      </c>
      <c r="L142" s="2164">
        <f t="shared" si="36"/>
        <v>525000</v>
      </c>
      <c r="M142" s="2172">
        <f t="shared" si="17"/>
        <v>35000000</v>
      </c>
      <c r="N142" s="2407">
        <f t="shared" si="18"/>
        <v>6300000</v>
      </c>
      <c r="O142" s="2171">
        <v>35000000</v>
      </c>
      <c r="P142" s="2171">
        <v>5250000</v>
      </c>
      <c r="Q142" s="2171"/>
      <c r="R142" s="2649"/>
      <c r="S142" s="2649"/>
      <c r="T142" s="2173"/>
      <c r="U142" s="2174">
        <f t="shared" si="19"/>
        <v>35000000</v>
      </c>
      <c r="V142" s="2174">
        <f t="shared" si="20"/>
        <v>5250000</v>
      </c>
      <c r="W142" s="2174"/>
      <c r="X142" s="2174">
        <f t="shared" si="22"/>
        <v>0</v>
      </c>
      <c r="Y142" s="2174">
        <f t="shared" si="23"/>
        <v>100</v>
      </c>
      <c r="Z142" s="2174">
        <f t="shared" si="24"/>
        <v>0</v>
      </c>
      <c r="AA142" s="2174">
        <f>SUM(N142-V142)-1050000</f>
        <v>0</v>
      </c>
      <c r="AB142" s="2427"/>
      <c r="AC142" s="1504">
        <f t="shared" si="32"/>
        <v>0</v>
      </c>
      <c r="AD142" s="1503">
        <f t="shared" si="33"/>
        <v>0</v>
      </c>
      <c r="AE142" s="1503">
        <f t="shared" si="34"/>
        <v>0</v>
      </c>
      <c r="AF142" s="1502">
        <f t="shared" si="35"/>
        <v>0</v>
      </c>
    </row>
    <row r="143" spans="1:32" s="1474" customFormat="1" ht="23.25" customHeight="1">
      <c r="A143" s="2175">
        <v>78</v>
      </c>
      <c r="B143" s="2175" t="s">
        <v>2456</v>
      </c>
      <c r="C143" s="2416" t="s">
        <v>2411</v>
      </c>
      <c r="D143" s="2416">
        <v>10</v>
      </c>
      <c r="E143" s="2175">
        <v>15000000</v>
      </c>
      <c r="F143" s="2417">
        <f t="shared" si="16"/>
        <v>2700000</v>
      </c>
      <c r="G143" s="2418">
        <v>41533</v>
      </c>
      <c r="H143" s="2419">
        <v>0.18</v>
      </c>
      <c r="I143" s="2164">
        <v>12</v>
      </c>
      <c r="J143" s="2164">
        <v>12</v>
      </c>
      <c r="K143" s="2164">
        <f t="shared" si="38"/>
        <v>1250000</v>
      </c>
      <c r="L143" s="2164">
        <f t="shared" si="36"/>
        <v>225000</v>
      </c>
      <c r="M143" s="2172">
        <f t="shared" si="17"/>
        <v>15000000</v>
      </c>
      <c r="N143" s="2407">
        <f>IF(J143&lt;I143,J143*L143,IF(J143&gt;=I143,F143))-450000</f>
        <v>2250000</v>
      </c>
      <c r="O143" s="2171">
        <v>15000000</v>
      </c>
      <c r="P143" s="2171">
        <v>2250000</v>
      </c>
      <c r="Q143" s="2171"/>
      <c r="R143" s="2649"/>
      <c r="S143" s="2649"/>
      <c r="T143" s="2173"/>
      <c r="U143" s="2174">
        <f t="shared" si="19"/>
        <v>15000000</v>
      </c>
      <c r="V143" s="2174">
        <f t="shared" si="20"/>
        <v>2250000</v>
      </c>
      <c r="W143" s="2174"/>
      <c r="X143" s="2174">
        <f t="shared" si="22"/>
        <v>0</v>
      </c>
      <c r="Y143" s="2174">
        <f t="shared" si="23"/>
        <v>100</v>
      </c>
      <c r="Z143" s="2174">
        <f t="shared" si="24"/>
        <v>0</v>
      </c>
      <c r="AA143" s="2174">
        <f t="shared" si="25"/>
        <v>0</v>
      </c>
      <c r="AB143" s="2427"/>
      <c r="AC143" s="1504">
        <f t="shared" si="32"/>
        <v>0</v>
      </c>
      <c r="AD143" s="1503">
        <f t="shared" si="33"/>
        <v>0</v>
      </c>
      <c r="AE143" s="1503">
        <f t="shared" si="34"/>
        <v>0</v>
      </c>
      <c r="AF143" s="1502">
        <f t="shared" si="35"/>
        <v>0</v>
      </c>
    </row>
    <row r="144" spans="1:32" s="1474" customFormat="1" ht="23.25" customHeight="1">
      <c r="A144" s="2175">
        <v>79</v>
      </c>
      <c r="B144" s="2175" t="s">
        <v>1999</v>
      </c>
      <c r="C144" s="2416" t="s">
        <v>2465</v>
      </c>
      <c r="D144" s="2416">
        <v>10</v>
      </c>
      <c r="E144" s="2175">
        <v>23000000</v>
      </c>
      <c r="F144" s="2417">
        <f t="shared" si="16"/>
        <v>4140000</v>
      </c>
      <c r="G144" s="2418">
        <v>41555</v>
      </c>
      <c r="H144" s="2419">
        <v>0.18</v>
      </c>
      <c r="I144" s="2164">
        <v>12</v>
      </c>
      <c r="J144" s="2164">
        <v>12</v>
      </c>
      <c r="K144" s="2164">
        <v>1916700</v>
      </c>
      <c r="L144" s="2164">
        <f t="shared" si="36"/>
        <v>345000</v>
      </c>
      <c r="M144" s="2172">
        <f t="shared" si="17"/>
        <v>23000000</v>
      </c>
      <c r="N144" s="2407">
        <f>IF(J144&lt;I144,J144*L144,IF(J144&gt;=I144,F144))-345000</f>
        <v>3795000</v>
      </c>
      <c r="O144" s="2171">
        <v>23000000</v>
      </c>
      <c r="P144" s="2171">
        <v>3795000</v>
      </c>
      <c r="Q144" s="2171"/>
      <c r="R144" s="2649"/>
      <c r="S144" s="2649"/>
      <c r="T144" s="2173"/>
      <c r="U144" s="2174">
        <f t="shared" si="19"/>
        <v>23000000</v>
      </c>
      <c r="V144" s="2174">
        <f t="shared" si="20"/>
        <v>3795000</v>
      </c>
      <c r="W144" s="2174"/>
      <c r="X144" s="2174">
        <f t="shared" si="22"/>
        <v>0</v>
      </c>
      <c r="Y144" s="2174">
        <f t="shared" si="23"/>
        <v>100</v>
      </c>
      <c r="Z144" s="2174">
        <f t="shared" si="24"/>
        <v>0</v>
      </c>
      <c r="AA144" s="2174">
        <f t="shared" si="25"/>
        <v>0</v>
      </c>
      <c r="AB144" s="2427"/>
      <c r="AC144" s="1504">
        <f t="shared" si="32"/>
        <v>0</v>
      </c>
      <c r="AD144" s="1503">
        <f t="shared" si="33"/>
        <v>0</v>
      </c>
      <c r="AE144" s="1503">
        <f t="shared" si="34"/>
        <v>0</v>
      </c>
      <c r="AF144" s="1502">
        <f t="shared" si="35"/>
        <v>0</v>
      </c>
    </row>
    <row r="145" spans="1:32" s="1474" customFormat="1" ht="23.25" customHeight="1">
      <c r="A145" s="2175">
        <v>80</v>
      </c>
      <c r="B145" s="2175" t="s">
        <v>2481</v>
      </c>
      <c r="C145" s="2416" t="s">
        <v>2465</v>
      </c>
      <c r="D145" s="2416">
        <v>10</v>
      </c>
      <c r="E145" s="2175">
        <v>22500000</v>
      </c>
      <c r="F145" s="2417">
        <f t="shared" si="16"/>
        <v>4050000</v>
      </c>
      <c r="G145" s="2418">
        <v>41612</v>
      </c>
      <c r="H145" s="2419">
        <v>0.18</v>
      </c>
      <c r="I145" s="2164">
        <v>12</v>
      </c>
      <c r="J145" s="2164">
        <v>12</v>
      </c>
      <c r="K145" s="2164">
        <f>E145/I145</f>
        <v>1875000</v>
      </c>
      <c r="L145" s="2164">
        <f t="shared" si="36"/>
        <v>337500</v>
      </c>
      <c r="M145" s="2172">
        <f t="shared" si="17"/>
        <v>22500000</v>
      </c>
      <c r="N145" s="2407">
        <f>IF(J145&lt;I145,J145*L145,IF(J145&gt;=I145,F145))-675000</f>
        <v>3375000</v>
      </c>
      <c r="O145" s="2649">
        <v>22500000</v>
      </c>
      <c r="P145" s="2649">
        <v>3375000</v>
      </c>
      <c r="Q145" s="2171"/>
      <c r="R145" s="2649"/>
      <c r="S145" s="2649"/>
      <c r="T145" s="2173"/>
      <c r="U145" s="2174">
        <f t="shared" si="19"/>
        <v>22500000</v>
      </c>
      <c r="V145" s="2174">
        <f t="shared" si="20"/>
        <v>3375000</v>
      </c>
      <c r="W145" s="2174"/>
      <c r="X145" s="2174">
        <f t="shared" si="22"/>
        <v>0</v>
      </c>
      <c r="Y145" s="2174">
        <f t="shared" si="23"/>
        <v>100</v>
      </c>
      <c r="Z145" s="2174">
        <f t="shared" si="24"/>
        <v>0</v>
      </c>
      <c r="AA145" s="2174">
        <f t="shared" si="25"/>
        <v>0</v>
      </c>
      <c r="AB145" s="2427"/>
      <c r="AC145" s="1504">
        <f t="shared" si="32"/>
        <v>0</v>
      </c>
      <c r="AD145" s="1503">
        <f t="shared" si="33"/>
        <v>0</v>
      </c>
      <c r="AE145" s="1503">
        <f t="shared" si="34"/>
        <v>0</v>
      </c>
      <c r="AF145" s="1502">
        <f t="shared" si="35"/>
        <v>0</v>
      </c>
    </row>
    <row r="146" spans="1:32" s="1474" customFormat="1" ht="23.25" customHeight="1">
      <c r="A146" s="2175">
        <v>81</v>
      </c>
      <c r="B146" s="2175" t="s">
        <v>2365</v>
      </c>
      <c r="C146" s="2416" t="s">
        <v>2465</v>
      </c>
      <c r="D146" s="2416">
        <v>10</v>
      </c>
      <c r="E146" s="2175">
        <v>15000000</v>
      </c>
      <c r="F146" s="2417">
        <f t="shared" si="16"/>
        <v>2700000</v>
      </c>
      <c r="G146" s="2418">
        <v>41612</v>
      </c>
      <c r="H146" s="2419">
        <v>0.18</v>
      </c>
      <c r="I146" s="2164">
        <v>12</v>
      </c>
      <c r="J146" s="2164">
        <v>12</v>
      </c>
      <c r="K146" s="2164">
        <f>E146/I146</f>
        <v>1250000</v>
      </c>
      <c r="L146" s="2164">
        <f t="shared" si="36"/>
        <v>225000</v>
      </c>
      <c r="M146" s="2172">
        <f t="shared" si="17"/>
        <v>15000000</v>
      </c>
      <c r="N146" s="2172">
        <f t="shared" si="18"/>
        <v>2700000</v>
      </c>
      <c r="O146" s="2171">
        <v>15000000</v>
      </c>
      <c r="P146" s="2171">
        <v>2700000</v>
      </c>
      <c r="Q146" s="2171"/>
      <c r="R146" s="2649"/>
      <c r="S146" s="2649"/>
      <c r="T146" s="2173"/>
      <c r="U146" s="2174">
        <f t="shared" si="19"/>
        <v>15000000</v>
      </c>
      <c r="V146" s="2174">
        <f t="shared" si="20"/>
        <v>2700000</v>
      </c>
      <c r="W146" s="2174"/>
      <c r="X146" s="2174">
        <f t="shared" si="22"/>
        <v>0</v>
      </c>
      <c r="Y146" s="2174">
        <f t="shared" si="23"/>
        <v>100</v>
      </c>
      <c r="Z146" s="2174">
        <f t="shared" si="24"/>
        <v>0</v>
      </c>
      <c r="AA146" s="2174">
        <f t="shared" si="25"/>
        <v>0</v>
      </c>
      <c r="AB146" s="2427"/>
      <c r="AC146" s="1504">
        <f t="shared" si="32"/>
        <v>0</v>
      </c>
      <c r="AD146" s="1503">
        <f t="shared" si="33"/>
        <v>0</v>
      </c>
      <c r="AE146" s="1503">
        <f t="shared" si="34"/>
        <v>0</v>
      </c>
      <c r="AF146" s="1502">
        <f t="shared" si="35"/>
        <v>0</v>
      </c>
    </row>
    <row r="147" spans="1:32" s="1474" customFormat="1" ht="23.25" customHeight="1">
      <c r="A147" s="2175">
        <v>82</v>
      </c>
      <c r="B147" s="2175" t="s">
        <v>2488</v>
      </c>
      <c r="C147" s="2416" t="s">
        <v>2465</v>
      </c>
      <c r="D147" s="2416">
        <v>10</v>
      </c>
      <c r="E147" s="2175">
        <v>16000000</v>
      </c>
      <c r="F147" s="2417">
        <f t="shared" si="16"/>
        <v>2880000</v>
      </c>
      <c r="G147" s="2418">
        <v>41628</v>
      </c>
      <c r="H147" s="2419">
        <v>0.18</v>
      </c>
      <c r="I147" s="2164">
        <v>12</v>
      </c>
      <c r="J147" s="2164">
        <v>12</v>
      </c>
      <c r="K147" s="2164">
        <v>1333300</v>
      </c>
      <c r="L147" s="2164">
        <f t="shared" si="36"/>
        <v>240000</v>
      </c>
      <c r="M147" s="2172">
        <f t="shared" si="17"/>
        <v>16000000</v>
      </c>
      <c r="N147" s="2407">
        <f>IF(J147&lt;I147,J147*L147,IF(J147&gt;=I147,F147))-240000</f>
        <v>2640000</v>
      </c>
      <c r="O147" s="2171">
        <v>16000000</v>
      </c>
      <c r="P147" s="2171">
        <v>2640000</v>
      </c>
      <c r="Q147" s="2171"/>
      <c r="R147" s="2649"/>
      <c r="S147" s="2649"/>
      <c r="T147" s="2173"/>
      <c r="U147" s="2174">
        <f t="shared" si="19"/>
        <v>16000000</v>
      </c>
      <c r="V147" s="2174">
        <f t="shared" si="20"/>
        <v>2640000</v>
      </c>
      <c r="W147" s="2174"/>
      <c r="X147" s="2174">
        <f t="shared" si="22"/>
        <v>0</v>
      </c>
      <c r="Y147" s="2174">
        <f t="shared" si="23"/>
        <v>100</v>
      </c>
      <c r="Z147" s="2174">
        <f t="shared" si="24"/>
        <v>0</v>
      </c>
      <c r="AA147" s="2174">
        <f t="shared" si="25"/>
        <v>0</v>
      </c>
      <c r="AB147" s="2427"/>
      <c r="AC147" s="1504">
        <f t="shared" si="32"/>
        <v>0</v>
      </c>
      <c r="AD147" s="1503">
        <f t="shared" si="33"/>
        <v>0</v>
      </c>
      <c r="AE147" s="1503">
        <f t="shared" si="34"/>
        <v>0</v>
      </c>
      <c r="AF147" s="1502">
        <f t="shared" si="35"/>
        <v>0</v>
      </c>
    </row>
    <row r="148" spans="1:32" s="1474" customFormat="1" ht="23.25" customHeight="1">
      <c r="A148" s="2175">
        <v>83</v>
      </c>
      <c r="B148" s="2973" t="s">
        <v>1993</v>
      </c>
      <c r="C148" s="2416" t="s">
        <v>2465</v>
      </c>
      <c r="D148" s="2416">
        <v>10</v>
      </c>
      <c r="E148" s="2175">
        <v>30000000</v>
      </c>
      <c r="F148" s="2417">
        <f t="shared" si="16"/>
        <v>5400000</v>
      </c>
      <c r="G148" s="2418">
        <v>41654</v>
      </c>
      <c r="H148" s="2419">
        <v>0.18</v>
      </c>
      <c r="I148" s="2164">
        <v>12</v>
      </c>
      <c r="J148" s="2164">
        <v>12</v>
      </c>
      <c r="K148" s="2164">
        <f>E148/I148</f>
        <v>2500000</v>
      </c>
      <c r="L148" s="2164">
        <f t="shared" si="36"/>
        <v>450000</v>
      </c>
      <c r="M148" s="2172">
        <f t="shared" si="17"/>
        <v>30000000</v>
      </c>
      <c r="N148" s="2407">
        <f>IF(J148&lt;I148,J148*L148,IF(J148&gt;=I148,F148))-450000</f>
        <v>4950000</v>
      </c>
      <c r="O148" s="2171">
        <v>30000000</v>
      </c>
      <c r="P148" s="2171">
        <v>4950000</v>
      </c>
      <c r="Q148" s="2171"/>
      <c r="R148" s="2649"/>
      <c r="S148" s="2649"/>
      <c r="T148" s="2173"/>
      <c r="U148" s="2174">
        <f t="shared" si="19"/>
        <v>30000000</v>
      </c>
      <c r="V148" s="2174">
        <f t="shared" si="20"/>
        <v>4950000</v>
      </c>
      <c r="W148" s="2174"/>
      <c r="X148" s="2174">
        <f t="shared" si="22"/>
        <v>0</v>
      </c>
      <c r="Y148" s="2174">
        <f t="shared" si="23"/>
        <v>100</v>
      </c>
      <c r="Z148" s="2174">
        <f t="shared" si="24"/>
        <v>0</v>
      </c>
      <c r="AA148" s="2174">
        <f t="shared" si="25"/>
        <v>0</v>
      </c>
      <c r="AB148" s="2427"/>
      <c r="AC148" s="1504">
        <f t="shared" si="32"/>
        <v>0</v>
      </c>
      <c r="AD148" s="1503">
        <f t="shared" si="33"/>
        <v>0</v>
      </c>
      <c r="AE148" s="1503">
        <f t="shared" si="34"/>
        <v>0</v>
      </c>
      <c r="AF148" s="1502">
        <f t="shared" si="35"/>
        <v>0</v>
      </c>
    </row>
    <row r="149" spans="1:32" s="1474" customFormat="1" ht="23.25" customHeight="1">
      <c r="A149" s="2175">
        <v>84</v>
      </c>
      <c r="B149" s="2973" t="s">
        <v>1941</v>
      </c>
      <c r="C149" s="2416" t="s">
        <v>2465</v>
      </c>
      <c r="D149" s="2416">
        <v>10</v>
      </c>
      <c r="E149" s="2175">
        <v>25000000</v>
      </c>
      <c r="F149" s="2417">
        <f t="shared" si="16"/>
        <v>4500000</v>
      </c>
      <c r="G149" s="2418">
        <v>41659</v>
      </c>
      <c r="H149" s="2419">
        <v>0.18</v>
      </c>
      <c r="I149" s="2164">
        <v>12</v>
      </c>
      <c r="J149" s="2164">
        <v>12</v>
      </c>
      <c r="K149" s="2164">
        <v>2083300</v>
      </c>
      <c r="L149" s="2164">
        <f t="shared" si="36"/>
        <v>375000</v>
      </c>
      <c r="M149" s="2172">
        <f t="shared" si="17"/>
        <v>25000000</v>
      </c>
      <c r="N149" s="2407">
        <f>IF(J149&lt;I149,J149*L149,IF(J149&gt;=I149,F149))-375000</f>
        <v>4125000</v>
      </c>
      <c r="O149" s="2171">
        <v>25000000</v>
      </c>
      <c r="P149" s="2171">
        <v>4125000</v>
      </c>
      <c r="Q149" s="2171"/>
      <c r="R149" s="2649"/>
      <c r="S149" s="2649"/>
      <c r="T149" s="2173"/>
      <c r="U149" s="2174">
        <f t="shared" si="19"/>
        <v>25000000</v>
      </c>
      <c r="V149" s="2174">
        <f t="shared" si="20"/>
        <v>4125000</v>
      </c>
      <c r="W149" s="2174"/>
      <c r="X149" s="2174">
        <f t="shared" si="22"/>
        <v>0</v>
      </c>
      <c r="Y149" s="2174">
        <f t="shared" si="23"/>
        <v>100</v>
      </c>
      <c r="Z149" s="2174">
        <f t="shared" si="24"/>
        <v>0</v>
      </c>
      <c r="AA149" s="2174">
        <f t="shared" si="25"/>
        <v>0</v>
      </c>
      <c r="AB149" s="2427"/>
      <c r="AC149" s="1504">
        <f t="shared" si="32"/>
        <v>0</v>
      </c>
      <c r="AD149" s="1503">
        <f t="shared" si="33"/>
        <v>0</v>
      </c>
      <c r="AE149" s="1503">
        <f t="shared" si="34"/>
        <v>0</v>
      </c>
      <c r="AF149" s="1502">
        <f t="shared" si="35"/>
        <v>0</v>
      </c>
    </row>
    <row r="150" spans="1:32" s="1474" customFormat="1" ht="23.25" customHeight="1">
      <c r="A150" s="2175">
        <v>85</v>
      </c>
      <c r="B150" s="2175" t="s">
        <v>2318</v>
      </c>
      <c r="C150" s="2416" t="s">
        <v>2465</v>
      </c>
      <c r="D150" s="2416">
        <v>10</v>
      </c>
      <c r="E150" s="2175">
        <v>20000000</v>
      </c>
      <c r="F150" s="2417">
        <f t="shared" si="16"/>
        <v>3600000</v>
      </c>
      <c r="G150" s="2418">
        <v>41674</v>
      </c>
      <c r="H150" s="2419">
        <v>0.18</v>
      </c>
      <c r="I150" s="2164">
        <v>12</v>
      </c>
      <c r="J150" s="2164">
        <v>12</v>
      </c>
      <c r="K150" s="2164">
        <v>1666700</v>
      </c>
      <c r="L150" s="2164">
        <f t="shared" si="36"/>
        <v>300000</v>
      </c>
      <c r="M150" s="2172">
        <f t="shared" si="17"/>
        <v>20000000</v>
      </c>
      <c r="N150" s="2407">
        <f>IF(J150&lt;I150,J150*L150,IF(J150&gt;=I150,F150))-600000</f>
        <v>3000000</v>
      </c>
      <c r="O150" s="2171">
        <v>20000000</v>
      </c>
      <c r="P150" s="2171">
        <v>3000000</v>
      </c>
      <c r="Q150" s="2171"/>
      <c r="R150" s="2649"/>
      <c r="S150" s="2649"/>
      <c r="T150" s="2173"/>
      <c r="U150" s="2174">
        <f t="shared" si="19"/>
        <v>20000000</v>
      </c>
      <c r="V150" s="2174">
        <f t="shared" si="20"/>
        <v>3000000</v>
      </c>
      <c r="W150" s="2174"/>
      <c r="X150" s="2174">
        <f t="shared" si="22"/>
        <v>0</v>
      </c>
      <c r="Y150" s="2174">
        <f t="shared" si="23"/>
        <v>100</v>
      </c>
      <c r="Z150" s="2174">
        <f t="shared" si="24"/>
        <v>0</v>
      </c>
      <c r="AA150" s="2174">
        <f t="shared" si="25"/>
        <v>0</v>
      </c>
      <c r="AB150" s="2427"/>
      <c r="AC150" s="1504">
        <f t="shared" si="32"/>
        <v>0</v>
      </c>
      <c r="AD150" s="1503">
        <f t="shared" si="33"/>
        <v>0</v>
      </c>
      <c r="AE150" s="1503">
        <f t="shared" si="34"/>
        <v>0</v>
      </c>
      <c r="AF150" s="1502">
        <f t="shared" si="35"/>
        <v>0</v>
      </c>
    </row>
    <row r="151" spans="1:32" s="1474" customFormat="1" ht="23.25" customHeight="1">
      <c r="A151" s="2175">
        <v>86</v>
      </c>
      <c r="B151" s="2175" t="s">
        <v>2511</v>
      </c>
      <c r="C151" s="2416" t="s">
        <v>2496</v>
      </c>
      <c r="D151" s="2416">
        <v>10</v>
      </c>
      <c r="E151" s="2175">
        <v>25000000</v>
      </c>
      <c r="F151" s="2417">
        <f t="shared" si="16"/>
        <v>4500000</v>
      </c>
      <c r="G151" s="2418">
        <v>41690</v>
      </c>
      <c r="H151" s="2419">
        <v>0.18</v>
      </c>
      <c r="I151" s="2164">
        <v>12</v>
      </c>
      <c r="J151" s="2164">
        <v>12</v>
      </c>
      <c r="K151" s="2164">
        <v>2083300</v>
      </c>
      <c r="L151" s="2164">
        <f t="shared" si="36"/>
        <v>375000</v>
      </c>
      <c r="M151" s="2172">
        <f t="shared" si="17"/>
        <v>25000000</v>
      </c>
      <c r="N151" s="2407">
        <f>IF(J151&lt;I151,J151*L151,IF(J151&gt;=I151,F151))-375000</f>
        <v>4125000</v>
      </c>
      <c r="O151" s="2171">
        <v>25000000</v>
      </c>
      <c r="P151" s="2171">
        <v>4125000</v>
      </c>
      <c r="Q151" s="2171"/>
      <c r="R151" s="2649"/>
      <c r="S151" s="2649"/>
      <c r="T151" s="2173"/>
      <c r="U151" s="2174">
        <f t="shared" si="19"/>
        <v>25000000</v>
      </c>
      <c r="V151" s="2174">
        <f t="shared" si="20"/>
        <v>4125000</v>
      </c>
      <c r="W151" s="2174"/>
      <c r="X151" s="2174">
        <f t="shared" si="22"/>
        <v>0</v>
      </c>
      <c r="Y151" s="2174">
        <f t="shared" si="23"/>
        <v>100</v>
      </c>
      <c r="Z151" s="2174">
        <f t="shared" si="24"/>
        <v>0</v>
      </c>
      <c r="AA151" s="2174">
        <f t="shared" si="25"/>
        <v>0</v>
      </c>
      <c r="AB151" s="2427"/>
      <c r="AC151" s="1504">
        <f t="shared" si="32"/>
        <v>0</v>
      </c>
      <c r="AD151" s="1503">
        <f t="shared" si="33"/>
        <v>0</v>
      </c>
      <c r="AE151" s="1503">
        <f t="shared" si="34"/>
        <v>0</v>
      </c>
      <c r="AF151" s="1502">
        <f t="shared" si="35"/>
        <v>0</v>
      </c>
    </row>
    <row r="152" spans="1:32" s="1474" customFormat="1" ht="23.25" customHeight="1">
      <c r="A152" s="2175">
        <v>87</v>
      </c>
      <c r="B152" s="2175" t="s">
        <v>1991</v>
      </c>
      <c r="C152" s="2416" t="s">
        <v>2496</v>
      </c>
      <c r="D152" s="2416">
        <v>10</v>
      </c>
      <c r="E152" s="2175">
        <v>33000000</v>
      </c>
      <c r="F152" s="2417">
        <f t="shared" si="16"/>
        <v>5940000</v>
      </c>
      <c r="G152" s="2418">
        <v>41708</v>
      </c>
      <c r="H152" s="2419">
        <v>0.18</v>
      </c>
      <c r="I152" s="2164">
        <v>12</v>
      </c>
      <c r="J152" s="2164">
        <v>12</v>
      </c>
      <c r="K152" s="2164">
        <f>E152/I152</f>
        <v>2750000</v>
      </c>
      <c r="L152" s="2164">
        <f t="shared" si="36"/>
        <v>495000</v>
      </c>
      <c r="M152" s="2172">
        <f t="shared" si="17"/>
        <v>33000000</v>
      </c>
      <c r="N152" s="2407">
        <f>IF(J152&lt;I152,J152*L152,IF(J152&gt;=I152,F152))-495000</f>
        <v>5445000</v>
      </c>
      <c r="O152" s="2171">
        <v>33000000</v>
      </c>
      <c r="P152" s="2171">
        <v>5445000</v>
      </c>
      <c r="Q152" s="2171"/>
      <c r="R152" s="2649"/>
      <c r="S152" s="2649"/>
      <c r="T152" s="2173"/>
      <c r="U152" s="2174">
        <f t="shared" si="19"/>
        <v>33000000</v>
      </c>
      <c r="V152" s="2174">
        <f t="shared" si="20"/>
        <v>5445000</v>
      </c>
      <c r="W152" s="2174"/>
      <c r="X152" s="2174">
        <f t="shared" si="22"/>
        <v>0</v>
      </c>
      <c r="Y152" s="2174">
        <f t="shared" si="23"/>
        <v>100</v>
      </c>
      <c r="Z152" s="2174">
        <f t="shared" si="24"/>
        <v>0</v>
      </c>
      <c r="AA152" s="2174">
        <f t="shared" si="25"/>
        <v>0</v>
      </c>
      <c r="AB152" s="2427"/>
      <c r="AC152" s="1504">
        <f t="shared" si="32"/>
        <v>0</v>
      </c>
      <c r="AD152" s="1503">
        <f t="shared" si="33"/>
        <v>0</v>
      </c>
      <c r="AE152" s="1503">
        <f t="shared" si="34"/>
        <v>0</v>
      </c>
      <c r="AF152" s="1502">
        <f t="shared" si="35"/>
        <v>0</v>
      </c>
    </row>
    <row r="153" spans="1:32" s="1474" customFormat="1" ht="23.25" customHeight="1">
      <c r="A153" s="2175">
        <v>88</v>
      </c>
      <c r="B153" s="2175" t="s">
        <v>2003</v>
      </c>
      <c r="C153" s="2416" t="s">
        <v>2496</v>
      </c>
      <c r="D153" s="2416">
        <v>10</v>
      </c>
      <c r="E153" s="2175">
        <v>12000000</v>
      </c>
      <c r="F153" s="2417">
        <f t="shared" si="16"/>
        <v>2160000</v>
      </c>
      <c r="G153" s="2418">
        <v>41717</v>
      </c>
      <c r="H153" s="2419">
        <v>0.18</v>
      </c>
      <c r="I153" s="2164">
        <v>12</v>
      </c>
      <c r="J153" s="2164">
        <v>12</v>
      </c>
      <c r="K153" s="2164">
        <f>E153/I153</f>
        <v>1000000</v>
      </c>
      <c r="L153" s="2164">
        <f t="shared" si="36"/>
        <v>180000</v>
      </c>
      <c r="M153" s="2172">
        <f t="shared" si="17"/>
        <v>12000000</v>
      </c>
      <c r="N153" s="2407">
        <f>IF(J153&lt;I153,J153*L153,IF(J153&gt;=I153,F153))-180000</f>
        <v>1980000</v>
      </c>
      <c r="O153" s="2171">
        <v>12000000</v>
      </c>
      <c r="P153" s="2171">
        <v>1980000</v>
      </c>
      <c r="Q153" s="2171"/>
      <c r="R153" s="2649"/>
      <c r="S153" s="2649"/>
      <c r="T153" s="2173"/>
      <c r="U153" s="2174">
        <f t="shared" si="19"/>
        <v>12000000</v>
      </c>
      <c r="V153" s="2174">
        <f t="shared" si="20"/>
        <v>1980000</v>
      </c>
      <c r="W153" s="2174"/>
      <c r="X153" s="2174">
        <f t="shared" si="22"/>
        <v>0</v>
      </c>
      <c r="Y153" s="2174">
        <f t="shared" si="23"/>
        <v>100</v>
      </c>
      <c r="Z153" s="2174">
        <f t="shared" si="24"/>
        <v>0</v>
      </c>
      <c r="AA153" s="2174">
        <f t="shared" si="25"/>
        <v>0</v>
      </c>
      <c r="AB153" s="2427"/>
      <c r="AC153" s="1504">
        <f t="shared" si="32"/>
        <v>0</v>
      </c>
      <c r="AD153" s="1503">
        <f t="shared" si="33"/>
        <v>0</v>
      </c>
      <c r="AE153" s="1503">
        <f t="shared" si="34"/>
        <v>0</v>
      </c>
      <c r="AF153" s="1502">
        <f t="shared" si="35"/>
        <v>0</v>
      </c>
    </row>
    <row r="154" spans="1:32" s="1474" customFormat="1" ht="23.25" customHeight="1">
      <c r="A154" s="2175">
        <v>89</v>
      </c>
      <c r="B154" s="2175" t="s">
        <v>1956</v>
      </c>
      <c r="C154" s="2416" t="s">
        <v>2537</v>
      </c>
      <c r="D154" s="2416">
        <v>10</v>
      </c>
      <c r="E154" s="2175">
        <v>20000000</v>
      </c>
      <c r="F154" s="2417">
        <f t="shared" si="16"/>
        <v>3600000</v>
      </c>
      <c r="G154" s="2418">
        <v>41745</v>
      </c>
      <c r="H154" s="2419">
        <v>0.18</v>
      </c>
      <c r="I154" s="2164">
        <v>12</v>
      </c>
      <c r="J154" s="2164">
        <v>12</v>
      </c>
      <c r="K154" s="2164">
        <v>1666700</v>
      </c>
      <c r="L154" s="2164">
        <f t="shared" si="36"/>
        <v>300000</v>
      </c>
      <c r="M154" s="2172">
        <f t="shared" si="17"/>
        <v>20000000</v>
      </c>
      <c r="N154" s="2407">
        <f>IF(J154&lt;I154,J154*L154,IF(J154&gt;=I154,F154))-300000</f>
        <v>3300000</v>
      </c>
      <c r="O154" s="2171">
        <v>20000000</v>
      </c>
      <c r="P154" s="2171">
        <v>3300000</v>
      </c>
      <c r="Q154" s="2171"/>
      <c r="R154" s="2649"/>
      <c r="S154" s="2649"/>
      <c r="T154" s="2173"/>
      <c r="U154" s="2174">
        <f t="shared" si="19"/>
        <v>20000000</v>
      </c>
      <c r="V154" s="2174">
        <f t="shared" si="20"/>
        <v>3300000</v>
      </c>
      <c r="W154" s="2174"/>
      <c r="X154" s="2174">
        <f t="shared" si="22"/>
        <v>0</v>
      </c>
      <c r="Y154" s="2174">
        <f t="shared" si="23"/>
        <v>100</v>
      </c>
      <c r="Z154" s="2174">
        <f t="shared" si="24"/>
        <v>0</v>
      </c>
      <c r="AA154" s="2174">
        <f t="shared" si="25"/>
        <v>0</v>
      </c>
      <c r="AB154" s="2427"/>
      <c r="AC154" s="1504">
        <f t="shared" si="32"/>
        <v>0</v>
      </c>
      <c r="AD154" s="1503">
        <f t="shared" si="33"/>
        <v>0</v>
      </c>
      <c r="AE154" s="1503">
        <f t="shared" si="34"/>
        <v>0</v>
      </c>
      <c r="AF154" s="1502">
        <f t="shared" si="35"/>
        <v>0</v>
      </c>
    </row>
    <row r="155" spans="1:32" s="1474" customFormat="1" ht="23.25" customHeight="1">
      <c r="A155" s="2175">
        <v>90</v>
      </c>
      <c r="B155" s="2175" t="s">
        <v>2545</v>
      </c>
      <c r="C155" s="2416" t="s">
        <v>2537</v>
      </c>
      <c r="D155" s="2416">
        <v>10</v>
      </c>
      <c r="E155" s="2175">
        <v>20000000</v>
      </c>
      <c r="F155" s="2417">
        <f t="shared" si="16"/>
        <v>3600000</v>
      </c>
      <c r="G155" s="2418">
        <v>41745</v>
      </c>
      <c r="H155" s="2419">
        <v>0.18</v>
      </c>
      <c r="I155" s="2164">
        <v>12</v>
      </c>
      <c r="J155" s="2164">
        <v>12</v>
      </c>
      <c r="K155" s="2164">
        <v>1666700</v>
      </c>
      <c r="L155" s="2164">
        <f t="shared" si="36"/>
        <v>300000</v>
      </c>
      <c r="M155" s="2172">
        <f t="shared" si="17"/>
        <v>20000000</v>
      </c>
      <c r="N155" s="2172">
        <f t="shared" si="18"/>
        <v>3600000</v>
      </c>
      <c r="O155" s="2171">
        <v>20000000</v>
      </c>
      <c r="P155" s="2171">
        <v>3600000</v>
      </c>
      <c r="Q155" s="2171"/>
      <c r="R155" s="2649"/>
      <c r="S155" s="2649"/>
      <c r="T155" s="2173"/>
      <c r="U155" s="2174">
        <f t="shared" si="19"/>
        <v>20000000</v>
      </c>
      <c r="V155" s="2174">
        <f t="shared" si="20"/>
        <v>3600000</v>
      </c>
      <c r="W155" s="2174"/>
      <c r="X155" s="2174">
        <f t="shared" si="22"/>
        <v>0</v>
      </c>
      <c r="Y155" s="2174">
        <f t="shared" si="23"/>
        <v>100</v>
      </c>
      <c r="Z155" s="2174">
        <f t="shared" si="24"/>
        <v>0</v>
      </c>
      <c r="AA155" s="2174">
        <f t="shared" si="25"/>
        <v>0</v>
      </c>
      <c r="AB155" s="2427"/>
      <c r="AC155" s="1504">
        <f t="shared" si="32"/>
        <v>0</v>
      </c>
      <c r="AD155" s="1503">
        <f t="shared" si="33"/>
        <v>0</v>
      </c>
      <c r="AE155" s="1503">
        <f t="shared" si="34"/>
        <v>0</v>
      </c>
      <c r="AF155" s="1502">
        <f t="shared" si="35"/>
        <v>0</v>
      </c>
    </row>
    <row r="156" spans="1:32" s="1474" customFormat="1" ht="23.25" customHeight="1">
      <c r="A156" s="2175">
        <v>91</v>
      </c>
      <c r="B156" s="2175" t="s">
        <v>2320</v>
      </c>
      <c r="C156" s="2416" t="s">
        <v>2537</v>
      </c>
      <c r="D156" s="2416">
        <v>10</v>
      </c>
      <c r="E156" s="2175">
        <v>7000000</v>
      </c>
      <c r="F156" s="2417">
        <f t="shared" si="16"/>
        <v>1260000</v>
      </c>
      <c r="G156" s="2418">
        <v>41745</v>
      </c>
      <c r="H156" s="2419">
        <v>0.18</v>
      </c>
      <c r="I156" s="2164">
        <v>12</v>
      </c>
      <c r="J156" s="2164">
        <v>12</v>
      </c>
      <c r="K156" s="2164">
        <v>583300</v>
      </c>
      <c r="L156" s="2164">
        <f t="shared" si="36"/>
        <v>105000</v>
      </c>
      <c r="M156" s="2172">
        <f t="shared" si="17"/>
        <v>7000000</v>
      </c>
      <c r="N156" s="2407">
        <f>IF(J156&lt;I156,J156*L156,IF(J156&gt;=I156,F156))-105000</f>
        <v>1155000</v>
      </c>
      <c r="O156" s="2171">
        <v>7000000</v>
      </c>
      <c r="P156" s="2171">
        <v>1155000</v>
      </c>
      <c r="Q156" s="2171"/>
      <c r="R156" s="2649"/>
      <c r="S156" s="2649"/>
      <c r="T156" s="2173"/>
      <c r="U156" s="2174">
        <f t="shared" si="19"/>
        <v>7000000</v>
      </c>
      <c r="V156" s="2174">
        <f t="shared" si="20"/>
        <v>1155000</v>
      </c>
      <c r="W156" s="2174"/>
      <c r="X156" s="2174">
        <f t="shared" si="22"/>
        <v>0</v>
      </c>
      <c r="Y156" s="2174">
        <f t="shared" si="23"/>
        <v>100</v>
      </c>
      <c r="Z156" s="2174">
        <f t="shared" si="24"/>
        <v>0</v>
      </c>
      <c r="AA156" s="2174">
        <f t="shared" si="25"/>
        <v>0</v>
      </c>
      <c r="AB156" s="2427"/>
      <c r="AC156" s="1504">
        <f t="shared" si="32"/>
        <v>0</v>
      </c>
      <c r="AD156" s="1503">
        <f t="shared" si="33"/>
        <v>0</v>
      </c>
      <c r="AE156" s="1503">
        <f t="shared" si="34"/>
        <v>0</v>
      </c>
      <c r="AF156" s="1502">
        <f t="shared" si="35"/>
        <v>0</v>
      </c>
    </row>
    <row r="157" spans="1:32" s="1474" customFormat="1" ht="23.25" customHeight="1">
      <c r="A157" s="2175">
        <v>92</v>
      </c>
      <c r="B157" s="2175" t="s">
        <v>1990</v>
      </c>
      <c r="C157" s="2416" t="s">
        <v>2537</v>
      </c>
      <c r="D157" s="2416">
        <v>15</v>
      </c>
      <c r="E157" s="2175">
        <v>35000000</v>
      </c>
      <c r="F157" s="2417">
        <f t="shared" si="16"/>
        <v>6300000</v>
      </c>
      <c r="G157" s="2418">
        <v>41794</v>
      </c>
      <c r="H157" s="2419">
        <v>0.18</v>
      </c>
      <c r="I157" s="2164">
        <v>12</v>
      </c>
      <c r="J157" s="2164">
        <v>12</v>
      </c>
      <c r="K157" s="2164">
        <v>2916700</v>
      </c>
      <c r="L157" s="2164">
        <f t="shared" si="36"/>
        <v>525000</v>
      </c>
      <c r="M157" s="2172">
        <f t="shared" si="17"/>
        <v>35000000</v>
      </c>
      <c r="N157" s="2407">
        <f>IF(J157&lt;I157,J157*L157,IF(J157&gt;=I157,F157))-525000</f>
        <v>5775000</v>
      </c>
      <c r="O157" s="2171">
        <v>35000000</v>
      </c>
      <c r="P157" s="2171">
        <v>5775000</v>
      </c>
      <c r="Q157" s="2171"/>
      <c r="R157" s="2171"/>
      <c r="S157" s="2171"/>
      <c r="T157" s="2173"/>
      <c r="U157" s="2174">
        <f t="shared" si="19"/>
        <v>35000000</v>
      </c>
      <c r="V157" s="2174">
        <f t="shared" si="20"/>
        <v>5775000</v>
      </c>
      <c r="W157" s="2174"/>
      <c r="X157" s="2174">
        <f t="shared" si="22"/>
        <v>0</v>
      </c>
      <c r="Y157" s="2174">
        <f t="shared" si="23"/>
        <v>100</v>
      </c>
      <c r="Z157" s="2174">
        <f t="shared" si="24"/>
        <v>0</v>
      </c>
      <c r="AA157" s="2174">
        <f t="shared" si="25"/>
        <v>0</v>
      </c>
      <c r="AB157" s="2427"/>
      <c r="AC157" s="1504">
        <f t="shared" si="32"/>
        <v>0</v>
      </c>
      <c r="AD157" s="1503">
        <f t="shared" si="33"/>
        <v>0</v>
      </c>
      <c r="AE157" s="1503">
        <f t="shared" si="34"/>
        <v>0</v>
      </c>
      <c r="AF157" s="1502">
        <f t="shared" si="35"/>
        <v>0</v>
      </c>
    </row>
    <row r="158" spans="1:32" s="1474" customFormat="1" ht="23.25" customHeight="1">
      <c r="A158" s="2175">
        <v>93</v>
      </c>
      <c r="B158" s="2175" t="s">
        <v>1944</v>
      </c>
      <c r="C158" s="2416" t="s">
        <v>2537</v>
      </c>
      <c r="D158" s="2416">
        <v>12</v>
      </c>
      <c r="E158" s="2175">
        <v>24000000</v>
      </c>
      <c r="F158" s="2417">
        <f t="shared" si="16"/>
        <v>4320000</v>
      </c>
      <c r="G158" s="2418">
        <v>41803</v>
      </c>
      <c r="H158" s="2419">
        <v>0.18</v>
      </c>
      <c r="I158" s="2164">
        <v>12</v>
      </c>
      <c r="J158" s="2164">
        <v>12</v>
      </c>
      <c r="K158" s="2164">
        <f>E158/I158</f>
        <v>2000000</v>
      </c>
      <c r="L158" s="2164">
        <f t="shared" si="36"/>
        <v>360000</v>
      </c>
      <c r="M158" s="2172">
        <f t="shared" si="17"/>
        <v>24000000</v>
      </c>
      <c r="N158" s="2172">
        <f t="shared" si="18"/>
        <v>4320000</v>
      </c>
      <c r="O158" s="2171">
        <v>24000000</v>
      </c>
      <c r="P158" s="2171">
        <v>4320000</v>
      </c>
      <c r="Q158" s="2171"/>
      <c r="R158" s="2171"/>
      <c r="S158" s="2171"/>
      <c r="T158" s="2173"/>
      <c r="U158" s="2174">
        <f t="shared" si="19"/>
        <v>24000000</v>
      </c>
      <c r="V158" s="2174">
        <f t="shared" si="20"/>
        <v>4320000</v>
      </c>
      <c r="W158" s="2174"/>
      <c r="X158" s="2174">
        <f t="shared" si="22"/>
        <v>0</v>
      </c>
      <c r="Y158" s="2174">
        <f t="shared" si="23"/>
        <v>100</v>
      </c>
      <c r="Z158" s="2174">
        <f t="shared" si="24"/>
        <v>0</v>
      </c>
      <c r="AA158" s="2174">
        <f t="shared" si="25"/>
        <v>0</v>
      </c>
      <c r="AB158" s="2427"/>
      <c r="AC158" s="1504">
        <f t="shared" si="32"/>
        <v>0</v>
      </c>
      <c r="AD158" s="1503">
        <f t="shared" si="33"/>
        <v>0</v>
      </c>
      <c r="AE158" s="1503">
        <f t="shared" si="34"/>
        <v>0</v>
      </c>
      <c r="AF158" s="1502">
        <f t="shared" si="35"/>
        <v>0</v>
      </c>
    </row>
    <row r="159" spans="1:32" s="1474" customFormat="1" ht="23.25" customHeight="1">
      <c r="A159" s="2175">
        <v>94</v>
      </c>
      <c r="B159" s="2175" t="s">
        <v>2412</v>
      </c>
      <c r="C159" s="2416" t="s">
        <v>2496</v>
      </c>
      <c r="D159" s="2416">
        <v>10</v>
      </c>
      <c r="E159" s="2175">
        <v>14000000</v>
      </c>
      <c r="F159" s="2417">
        <f t="shared" si="16"/>
        <v>2520000</v>
      </c>
      <c r="G159" s="2418">
        <v>41806</v>
      </c>
      <c r="H159" s="2419">
        <v>0.18</v>
      </c>
      <c r="I159" s="2164">
        <v>12</v>
      </c>
      <c r="J159" s="2164">
        <v>12</v>
      </c>
      <c r="K159" s="2164">
        <v>1166700</v>
      </c>
      <c r="L159" s="2164">
        <f t="shared" si="36"/>
        <v>210000</v>
      </c>
      <c r="M159" s="2172">
        <f t="shared" si="17"/>
        <v>14000000</v>
      </c>
      <c r="N159" s="2172">
        <f>IF(J159&lt;I159,J159*L159,IF(J159&gt;=I159,F159))-210000</f>
        <v>2310000</v>
      </c>
      <c r="O159" s="2171">
        <v>14000000</v>
      </c>
      <c r="P159" s="2171">
        <v>2310000</v>
      </c>
      <c r="Q159" s="2171"/>
      <c r="R159" s="2171"/>
      <c r="S159" s="2171"/>
      <c r="T159" s="2173"/>
      <c r="U159" s="2174">
        <f t="shared" si="19"/>
        <v>14000000</v>
      </c>
      <c r="V159" s="2174">
        <f t="shared" si="20"/>
        <v>2310000</v>
      </c>
      <c r="W159" s="2174"/>
      <c r="X159" s="2174">
        <f t="shared" si="22"/>
        <v>0</v>
      </c>
      <c r="Y159" s="2174">
        <f t="shared" si="23"/>
        <v>100</v>
      </c>
      <c r="Z159" s="2174">
        <f t="shared" si="24"/>
        <v>0</v>
      </c>
      <c r="AA159" s="2174">
        <f t="shared" si="25"/>
        <v>0</v>
      </c>
      <c r="AB159" s="2427"/>
      <c r="AC159" s="1504">
        <f t="shared" si="32"/>
        <v>0</v>
      </c>
      <c r="AD159" s="1503">
        <f t="shared" si="33"/>
        <v>0</v>
      </c>
      <c r="AE159" s="1503">
        <f t="shared" si="34"/>
        <v>0</v>
      </c>
      <c r="AF159" s="1502">
        <f t="shared" si="35"/>
        <v>0</v>
      </c>
    </row>
    <row r="160" spans="1:32" s="1474" customFormat="1" ht="23.25" customHeight="1">
      <c r="A160" s="2175">
        <v>95</v>
      </c>
      <c r="B160" s="2175" t="s">
        <v>2001</v>
      </c>
      <c r="C160" s="2416" t="s">
        <v>2537</v>
      </c>
      <c r="D160" s="2416">
        <v>15</v>
      </c>
      <c r="E160" s="2175">
        <v>35000000</v>
      </c>
      <c r="F160" s="2417">
        <f t="shared" si="16"/>
        <v>6300000</v>
      </c>
      <c r="G160" s="2418">
        <v>41808</v>
      </c>
      <c r="H160" s="2419">
        <v>0.18</v>
      </c>
      <c r="I160" s="2164">
        <v>12</v>
      </c>
      <c r="J160" s="2164">
        <v>12</v>
      </c>
      <c r="K160" s="2164">
        <v>2916700</v>
      </c>
      <c r="L160" s="2164">
        <f t="shared" si="36"/>
        <v>525000</v>
      </c>
      <c r="M160" s="2172">
        <f t="shared" si="17"/>
        <v>35000000</v>
      </c>
      <c r="N160" s="2172">
        <f>IF(J160&lt;I160,J160*L160,IF(J160&gt;=I160,F160))-525000</f>
        <v>5775000</v>
      </c>
      <c r="O160" s="2171">
        <v>35000000</v>
      </c>
      <c r="P160" s="2171">
        <v>5775000</v>
      </c>
      <c r="Q160" s="2171"/>
      <c r="R160" s="2171"/>
      <c r="S160" s="2171"/>
      <c r="T160" s="2173"/>
      <c r="U160" s="2174">
        <f t="shared" si="19"/>
        <v>35000000</v>
      </c>
      <c r="V160" s="2174">
        <f t="shared" si="20"/>
        <v>5775000</v>
      </c>
      <c r="W160" s="2174"/>
      <c r="X160" s="2174">
        <f t="shared" si="22"/>
        <v>0</v>
      </c>
      <c r="Y160" s="2174">
        <f t="shared" si="23"/>
        <v>100</v>
      </c>
      <c r="Z160" s="2174">
        <f t="shared" si="24"/>
        <v>0</v>
      </c>
      <c r="AA160" s="2174">
        <f t="shared" si="25"/>
        <v>0</v>
      </c>
      <c r="AB160" s="2427"/>
      <c r="AC160" s="1504">
        <f t="shared" si="32"/>
        <v>0</v>
      </c>
      <c r="AD160" s="1503">
        <f t="shared" si="33"/>
        <v>0</v>
      </c>
      <c r="AE160" s="1503">
        <f t="shared" si="34"/>
        <v>0</v>
      </c>
      <c r="AF160" s="1502">
        <f t="shared" si="35"/>
        <v>0</v>
      </c>
    </row>
    <row r="161" spans="1:32" s="1474" customFormat="1" ht="23.25" customHeight="1">
      <c r="A161" s="2175">
        <v>96</v>
      </c>
      <c r="B161" s="2175" t="s">
        <v>2314</v>
      </c>
      <c r="C161" s="2416" t="s">
        <v>2563</v>
      </c>
      <c r="D161" s="2416">
        <v>10</v>
      </c>
      <c r="E161" s="2175">
        <v>50000000</v>
      </c>
      <c r="F161" s="2417">
        <f t="shared" si="16"/>
        <v>9000000</v>
      </c>
      <c r="G161" s="2418">
        <v>41837</v>
      </c>
      <c r="H161" s="2419">
        <v>0.18</v>
      </c>
      <c r="I161" s="2164">
        <v>12</v>
      </c>
      <c r="J161" s="2164">
        <v>12</v>
      </c>
      <c r="K161" s="2164">
        <v>4166700</v>
      </c>
      <c r="L161" s="2164">
        <f t="shared" si="36"/>
        <v>750000</v>
      </c>
      <c r="M161" s="2172">
        <f t="shared" si="17"/>
        <v>50000000</v>
      </c>
      <c r="N161" s="2172">
        <f t="shared" si="18"/>
        <v>9000000</v>
      </c>
      <c r="O161" s="2171">
        <v>50000000</v>
      </c>
      <c r="P161" s="2171">
        <v>9000000</v>
      </c>
      <c r="Q161" s="2171"/>
      <c r="R161" s="2171"/>
      <c r="S161" s="2171"/>
      <c r="T161" s="2173"/>
      <c r="U161" s="2174">
        <f t="shared" si="19"/>
        <v>50000000</v>
      </c>
      <c r="V161" s="2174">
        <f t="shared" si="20"/>
        <v>9000000</v>
      </c>
      <c r="W161" s="2174"/>
      <c r="X161" s="2174">
        <f t="shared" si="22"/>
        <v>0</v>
      </c>
      <c r="Y161" s="2174">
        <f t="shared" si="23"/>
        <v>100</v>
      </c>
      <c r="Z161" s="2174">
        <f t="shared" si="24"/>
        <v>0</v>
      </c>
      <c r="AA161" s="2174">
        <f t="shared" si="25"/>
        <v>0</v>
      </c>
      <c r="AB161" s="2427"/>
      <c r="AC161" s="1504">
        <f t="shared" si="32"/>
        <v>0</v>
      </c>
      <c r="AD161" s="1503">
        <f t="shared" si="33"/>
        <v>0</v>
      </c>
      <c r="AE161" s="1503">
        <f t="shared" si="34"/>
        <v>0</v>
      </c>
      <c r="AF161" s="1502">
        <f t="shared" si="35"/>
        <v>0</v>
      </c>
    </row>
    <row r="162" spans="1:32" s="1474" customFormat="1" ht="23.25" customHeight="1">
      <c r="A162" s="2175">
        <v>97</v>
      </c>
      <c r="B162" s="2175" t="s">
        <v>2566</v>
      </c>
      <c r="C162" s="2416" t="s">
        <v>2563</v>
      </c>
      <c r="D162" s="2416">
        <v>10</v>
      </c>
      <c r="E162" s="2175">
        <v>24000000</v>
      </c>
      <c r="F162" s="2417">
        <f t="shared" si="16"/>
        <v>4320000</v>
      </c>
      <c r="G162" s="2418">
        <v>41834</v>
      </c>
      <c r="H162" s="2419">
        <v>0.18</v>
      </c>
      <c r="I162" s="2164">
        <v>12</v>
      </c>
      <c r="J162" s="2164">
        <v>12</v>
      </c>
      <c r="K162" s="2164">
        <f>E162/12</f>
        <v>2000000</v>
      </c>
      <c r="L162" s="2164">
        <f t="shared" si="36"/>
        <v>360000</v>
      </c>
      <c r="M162" s="2172">
        <f t="shared" si="17"/>
        <v>24000000</v>
      </c>
      <c r="N162" s="2172">
        <f>IF(J162&lt;I162,J162*L162,IF(J162&gt;=I162,F162))-360000</f>
        <v>3960000</v>
      </c>
      <c r="O162" s="2171">
        <v>24000000</v>
      </c>
      <c r="P162" s="2171">
        <v>3960000</v>
      </c>
      <c r="Q162" s="2171"/>
      <c r="R162" s="2171"/>
      <c r="S162" s="2171"/>
      <c r="T162" s="2173"/>
      <c r="U162" s="2174">
        <f t="shared" si="19"/>
        <v>24000000</v>
      </c>
      <c r="V162" s="2174">
        <f t="shared" si="20"/>
        <v>3960000</v>
      </c>
      <c r="W162" s="2174"/>
      <c r="X162" s="2174">
        <f t="shared" si="22"/>
        <v>0</v>
      </c>
      <c r="Y162" s="2174">
        <f t="shared" si="23"/>
        <v>100</v>
      </c>
      <c r="Z162" s="2174">
        <f t="shared" si="24"/>
        <v>0</v>
      </c>
      <c r="AA162" s="2174">
        <f t="shared" si="25"/>
        <v>0</v>
      </c>
      <c r="AB162" s="2427"/>
      <c r="AC162" s="1504">
        <f t="shared" si="32"/>
        <v>0</v>
      </c>
      <c r="AD162" s="1503">
        <f t="shared" si="33"/>
        <v>0</v>
      </c>
      <c r="AE162" s="1503">
        <f t="shared" si="34"/>
        <v>0</v>
      </c>
      <c r="AF162" s="1502">
        <f t="shared" si="35"/>
        <v>0</v>
      </c>
    </row>
    <row r="163" spans="1:32" s="1474" customFormat="1" ht="23.25" customHeight="1">
      <c r="A163" s="2175">
        <v>98</v>
      </c>
      <c r="B163" s="2175" t="s">
        <v>2414</v>
      </c>
      <c r="C163" s="2416" t="s">
        <v>2563</v>
      </c>
      <c r="D163" s="2416">
        <v>8</v>
      </c>
      <c r="E163" s="2175">
        <v>11000000</v>
      </c>
      <c r="F163" s="2417">
        <f t="shared" si="16"/>
        <v>1980000</v>
      </c>
      <c r="G163" s="2418">
        <v>41830</v>
      </c>
      <c r="H163" s="2419">
        <v>0.18</v>
      </c>
      <c r="I163" s="2164">
        <v>12</v>
      </c>
      <c r="J163" s="2164">
        <v>12</v>
      </c>
      <c r="K163" s="2164">
        <v>916700</v>
      </c>
      <c r="L163" s="2164">
        <f t="shared" si="36"/>
        <v>165000</v>
      </c>
      <c r="M163" s="2172">
        <f t="shared" si="17"/>
        <v>11000000</v>
      </c>
      <c r="N163" s="2172">
        <f>IF(J163&lt;I163,J163*L163,IF(J163&gt;=I163,F163))-165000</f>
        <v>1815000</v>
      </c>
      <c r="O163" s="2171">
        <v>11000000</v>
      </c>
      <c r="P163" s="2171">
        <v>1815000</v>
      </c>
      <c r="Q163" s="2171"/>
      <c r="R163" s="2171"/>
      <c r="S163" s="2171"/>
      <c r="T163" s="2173"/>
      <c r="U163" s="2174">
        <f t="shared" si="19"/>
        <v>11000000</v>
      </c>
      <c r="V163" s="2174">
        <f t="shared" si="20"/>
        <v>1815000</v>
      </c>
      <c r="W163" s="2174"/>
      <c r="X163" s="2174">
        <f t="shared" si="22"/>
        <v>0</v>
      </c>
      <c r="Y163" s="2174">
        <f t="shared" si="23"/>
        <v>100</v>
      </c>
      <c r="Z163" s="2174">
        <f t="shared" si="24"/>
        <v>0</v>
      </c>
      <c r="AA163" s="2174">
        <f t="shared" si="25"/>
        <v>0</v>
      </c>
      <c r="AB163" s="2427"/>
      <c r="AC163" s="1504">
        <f t="shared" si="32"/>
        <v>0</v>
      </c>
      <c r="AD163" s="1503">
        <f t="shared" si="33"/>
        <v>0</v>
      </c>
      <c r="AE163" s="1503">
        <f t="shared" si="34"/>
        <v>0</v>
      </c>
      <c r="AF163" s="1502">
        <f t="shared" si="35"/>
        <v>0</v>
      </c>
    </row>
    <row r="164" spans="1:32" s="1474" customFormat="1" ht="23.25" customHeight="1">
      <c r="A164" s="2175">
        <v>99</v>
      </c>
      <c r="B164" s="2175" t="s">
        <v>2426</v>
      </c>
      <c r="C164" s="2416" t="s">
        <v>2563</v>
      </c>
      <c r="D164" s="2416">
        <v>10</v>
      </c>
      <c r="E164" s="2175">
        <v>17500000</v>
      </c>
      <c r="F164" s="2417">
        <f t="shared" si="16"/>
        <v>3150000</v>
      </c>
      <c r="G164" s="2418">
        <v>41827</v>
      </c>
      <c r="H164" s="2419">
        <v>0.18</v>
      </c>
      <c r="I164" s="2164">
        <v>12</v>
      </c>
      <c r="J164" s="2164">
        <v>12</v>
      </c>
      <c r="K164" s="2164">
        <v>1458300</v>
      </c>
      <c r="L164" s="2164">
        <f t="shared" si="36"/>
        <v>262500</v>
      </c>
      <c r="M164" s="2172">
        <f t="shared" si="17"/>
        <v>17500000</v>
      </c>
      <c r="N164" s="2172">
        <f>IF(J164&lt;I164,J164*L164,IF(J164&gt;=I164,F164))-2*L164</f>
        <v>2625000</v>
      </c>
      <c r="O164" s="2171">
        <v>17500000</v>
      </c>
      <c r="P164" s="2171">
        <v>2625000</v>
      </c>
      <c r="Q164" s="2171"/>
      <c r="R164" s="2171"/>
      <c r="S164" s="2171"/>
      <c r="T164" s="2173"/>
      <c r="U164" s="2174">
        <f t="shared" si="19"/>
        <v>17500000</v>
      </c>
      <c r="V164" s="2174">
        <f t="shared" si="20"/>
        <v>2625000</v>
      </c>
      <c r="W164" s="2174"/>
      <c r="X164" s="2174">
        <f t="shared" si="22"/>
        <v>0</v>
      </c>
      <c r="Y164" s="2174">
        <f t="shared" si="23"/>
        <v>100</v>
      </c>
      <c r="Z164" s="2174">
        <f t="shared" si="24"/>
        <v>0</v>
      </c>
      <c r="AA164" s="2174">
        <f t="shared" si="25"/>
        <v>0</v>
      </c>
      <c r="AB164" s="2427"/>
      <c r="AC164" s="1504">
        <f t="shared" si="32"/>
        <v>0</v>
      </c>
      <c r="AD164" s="1503">
        <f t="shared" si="33"/>
        <v>0</v>
      </c>
      <c r="AE164" s="1503">
        <f t="shared" si="34"/>
        <v>0</v>
      </c>
      <c r="AF164" s="1502">
        <f t="shared" si="35"/>
        <v>0</v>
      </c>
    </row>
    <row r="165" spans="1:32" s="1474" customFormat="1" ht="23.25" customHeight="1">
      <c r="A165" s="2175">
        <v>100</v>
      </c>
      <c r="B165" s="2175" t="s">
        <v>2011</v>
      </c>
      <c r="C165" s="2416" t="s">
        <v>2563</v>
      </c>
      <c r="D165" s="2416">
        <v>10</v>
      </c>
      <c r="E165" s="2175">
        <v>16000000</v>
      </c>
      <c r="F165" s="2417">
        <f t="shared" si="16"/>
        <v>2880000</v>
      </c>
      <c r="G165" s="2418">
        <v>41858</v>
      </c>
      <c r="H165" s="2419">
        <v>0.18</v>
      </c>
      <c r="I165" s="2164">
        <v>12</v>
      </c>
      <c r="J165" s="2164">
        <v>12</v>
      </c>
      <c r="K165" s="2164">
        <v>1333300</v>
      </c>
      <c r="L165" s="2164">
        <f t="shared" si="36"/>
        <v>240000</v>
      </c>
      <c r="M165" s="2172">
        <f t="shared" si="17"/>
        <v>16000000</v>
      </c>
      <c r="N165" s="2172">
        <f t="shared" si="18"/>
        <v>2880000</v>
      </c>
      <c r="O165" s="2171">
        <v>16000000</v>
      </c>
      <c r="P165" s="2171">
        <v>2880000</v>
      </c>
      <c r="Q165" s="2171"/>
      <c r="R165" s="2171"/>
      <c r="S165" s="2171"/>
      <c r="T165" s="2173"/>
      <c r="U165" s="2174">
        <f t="shared" si="19"/>
        <v>16000000</v>
      </c>
      <c r="V165" s="2174">
        <f t="shared" si="20"/>
        <v>2880000</v>
      </c>
      <c r="W165" s="2174"/>
      <c r="X165" s="2174">
        <f t="shared" si="22"/>
        <v>0</v>
      </c>
      <c r="Y165" s="2174">
        <f t="shared" si="23"/>
        <v>100</v>
      </c>
      <c r="Z165" s="2174">
        <f t="shared" si="24"/>
        <v>0</v>
      </c>
      <c r="AA165" s="2174">
        <f t="shared" si="25"/>
        <v>0</v>
      </c>
      <c r="AB165" s="2427"/>
      <c r="AC165" s="1504">
        <f t="shared" si="32"/>
        <v>0</v>
      </c>
      <c r="AD165" s="1503">
        <f t="shared" si="33"/>
        <v>0</v>
      </c>
      <c r="AE165" s="1503">
        <f t="shared" si="34"/>
        <v>0</v>
      </c>
      <c r="AF165" s="1502">
        <f t="shared" si="35"/>
        <v>0</v>
      </c>
    </row>
    <row r="166" spans="1:32" s="1474" customFormat="1" ht="23.25" customHeight="1">
      <c r="A166" s="2175">
        <v>101</v>
      </c>
      <c r="B166" s="2175" t="s">
        <v>2576</v>
      </c>
      <c r="C166" s="2416" t="s">
        <v>2563</v>
      </c>
      <c r="D166" s="2416">
        <v>10</v>
      </c>
      <c r="E166" s="2175">
        <v>26000000</v>
      </c>
      <c r="F166" s="2417">
        <f t="shared" si="16"/>
        <v>4680000</v>
      </c>
      <c r="G166" s="2418">
        <v>41866</v>
      </c>
      <c r="H166" s="2419">
        <v>0.18</v>
      </c>
      <c r="I166" s="2164">
        <v>12</v>
      </c>
      <c r="J166" s="2164">
        <v>12</v>
      </c>
      <c r="K166" s="2164">
        <v>2166700</v>
      </c>
      <c r="L166" s="2164">
        <f t="shared" si="36"/>
        <v>390000</v>
      </c>
      <c r="M166" s="2172">
        <f t="shared" si="17"/>
        <v>26000000</v>
      </c>
      <c r="N166" s="2172">
        <f>IF(J166&lt;I166,J166*L166,IF(J166&gt;=I166,F166))-2*L166</f>
        <v>3900000</v>
      </c>
      <c r="O166" s="2171">
        <v>26000000</v>
      </c>
      <c r="P166" s="2171">
        <v>3900000</v>
      </c>
      <c r="Q166" s="2171"/>
      <c r="R166" s="2171"/>
      <c r="S166" s="2171"/>
      <c r="T166" s="2173"/>
      <c r="U166" s="2174">
        <f t="shared" si="19"/>
        <v>26000000</v>
      </c>
      <c r="V166" s="2174">
        <f t="shared" si="20"/>
        <v>3900000</v>
      </c>
      <c r="W166" s="2174"/>
      <c r="X166" s="2174">
        <f t="shared" si="22"/>
        <v>0</v>
      </c>
      <c r="Y166" s="2174">
        <f t="shared" si="23"/>
        <v>100</v>
      </c>
      <c r="Z166" s="2174">
        <f t="shared" si="24"/>
        <v>0</v>
      </c>
      <c r="AA166" s="2174">
        <f t="shared" si="25"/>
        <v>0</v>
      </c>
      <c r="AB166" s="2427"/>
      <c r="AC166" s="1504">
        <f t="shared" si="32"/>
        <v>0</v>
      </c>
      <c r="AD166" s="1503">
        <f t="shared" si="33"/>
        <v>0</v>
      </c>
      <c r="AE166" s="1503">
        <f t="shared" si="34"/>
        <v>0</v>
      </c>
      <c r="AF166" s="1502">
        <f t="shared" si="35"/>
        <v>0</v>
      </c>
    </row>
    <row r="167" spans="1:32" s="1474" customFormat="1" ht="23.25" customHeight="1">
      <c r="A167" s="2175">
        <v>102</v>
      </c>
      <c r="B167" s="2175" t="s">
        <v>1994</v>
      </c>
      <c r="C167" s="2416" t="s">
        <v>2563</v>
      </c>
      <c r="D167" s="2416">
        <v>10</v>
      </c>
      <c r="E167" s="2175">
        <v>40000000</v>
      </c>
      <c r="F167" s="2417">
        <f t="shared" si="16"/>
        <v>7200000</v>
      </c>
      <c r="G167" s="2418">
        <v>41866</v>
      </c>
      <c r="H167" s="2419">
        <v>0.18</v>
      </c>
      <c r="I167" s="2164">
        <v>12</v>
      </c>
      <c r="J167" s="2164">
        <v>12</v>
      </c>
      <c r="K167" s="2164">
        <v>3333300</v>
      </c>
      <c r="L167" s="2164">
        <f t="shared" ref="L167:L193" si="39">F167/I167</f>
        <v>600000</v>
      </c>
      <c r="M167" s="2172">
        <f t="shared" si="17"/>
        <v>40000000</v>
      </c>
      <c r="N167" s="2172">
        <f>IF(J167&lt;I167,J167*L167,IF(J167&gt;=I167,F167))-2*L167</f>
        <v>6000000</v>
      </c>
      <c r="O167" s="2171">
        <v>40000000</v>
      </c>
      <c r="P167" s="2171">
        <v>6000000</v>
      </c>
      <c r="Q167" s="2171"/>
      <c r="R167" s="2171"/>
      <c r="S167" s="2171"/>
      <c r="T167" s="2173"/>
      <c r="U167" s="2174">
        <f t="shared" si="19"/>
        <v>40000000</v>
      </c>
      <c r="V167" s="2174">
        <f t="shared" si="20"/>
        <v>6000000</v>
      </c>
      <c r="W167" s="2174"/>
      <c r="X167" s="2174">
        <f t="shared" si="22"/>
        <v>0</v>
      </c>
      <c r="Y167" s="2174">
        <f t="shared" si="23"/>
        <v>100</v>
      </c>
      <c r="Z167" s="2174">
        <f t="shared" si="24"/>
        <v>0</v>
      </c>
      <c r="AA167" s="2174">
        <f t="shared" si="25"/>
        <v>0</v>
      </c>
      <c r="AB167" s="2427"/>
      <c r="AC167" s="1504">
        <f t="shared" si="32"/>
        <v>0</v>
      </c>
      <c r="AD167" s="1503">
        <f t="shared" si="33"/>
        <v>0</v>
      </c>
      <c r="AE167" s="1503">
        <f t="shared" si="34"/>
        <v>0</v>
      </c>
      <c r="AF167" s="1502">
        <f t="shared" si="35"/>
        <v>0</v>
      </c>
    </row>
    <row r="168" spans="1:32" s="1474" customFormat="1" ht="23.25" customHeight="1">
      <c r="A168" s="2175">
        <v>103</v>
      </c>
      <c r="B168" s="2175" t="s">
        <v>1999</v>
      </c>
      <c r="C168" s="2416" t="s">
        <v>2563</v>
      </c>
      <c r="D168" s="2416">
        <v>10</v>
      </c>
      <c r="E168" s="2175">
        <v>30000000</v>
      </c>
      <c r="F168" s="2417">
        <f t="shared" si="16"/>
        <v>5400000</v>
      </c>
      <c r="G168" s="2418">
        <v>41892</v>
      </c>
      <c r="H168" s="2419">
        <v>0.18</v>
      </c>
      <c r="I168" s="2164">
        <v>12</v>
      </c>
      <c r="J168" s="2164">
        <v>12</v>
      </c>
      <c r="K168" s="2164">
        <f t="shared" ref="K168:K177" si="40">E168/I168</f>
        <v>2500000</v>
      </c>
      <c r="L168" s="2164">
        <f t="shared" si="39"/>
        <v>450000</v>
      </c>
      <c r="M168" s="2172">
        <f t="shared" si="17"/>
        <v>30000000</v>
      </c>
      <c r="N168" s="2172">
        <f t="shared" si="18"/>
        <v>5400000</v>
      </c>
      <c r="O168" s="2171">
        <v>30000000</v>
      </c>
      <c r="P168" s="2171">
        <v>5400000</v>
      </c>
      <c r="Q168" s="2171"/>
      <c r="R168" s="2171"/>
      <c r="S168" s="2171"/>
      <c r="T168" s="2173"/>
      <c r="U168" s="2174">
        <f t="shared" si="19"/>
        <v>30000000</v>
      </c>
      <c r="V168" s="2174">
        <f t="shared" si="20"/>
        <v>5400000</v>
      </c>
      <c r="W168" s="2174"/>
      <c r="X168" s="2174">
        <f t="shared" si="22"/>
        <v>0</v>
      </c>
      <c r="Y168" s="2174">
        <f t="shared" si="23"/>
        <v>100</v>
      </c>
      <c r="Z168" s="2174">
        <f t="shared" si="24"/>
        <v>0</v>
      </c>
      <c r="AA168" s="2174">
        <f t="shared" si="25"/>
        <v>0</v>
      </c>
      <c r="AB168" s="2427"/>
      <c r="AC168" s="1504">
        <f t="shared" si="32"/>
        <v>0</v>
      </c>
      <c r="AD168" s="1503">
        <f t="shared" si="33"/>
        <v>0</v>
      </c>
      <c r="AE168" s="1503">
        <f t="shared" si="34"/>
        <v>0</v>
      </c>
      <c r="AF168" s="1502">
        <f t="shared" si="35"/>
        <v>0</v>
      </c>
    </row>
    <row r="169" spans="1:32" s="1474" customFormat="1" ht="23.25" customHeight="1">
      <c r="A169" s="2175">
        <v>104</v>
      </c>
      <c r="B169" s="2175" t="s">
        <v>2583</v>
      </c>
      <c r="C169" s="2416" t="s">
        <v>2582</v>
      </c>
      <c r="D169" s="2416">
        <v>10</v>
      </c>
      <c r="E169" s="2175">
        <v>27000000</v>
      </c>
      <c r="F169" s="2417">
        <f t="shared" si="16"/>
        <v>4860000</v>
      </c>
      <c r="G169" s="2418">
        <v>41861</v>
      </c>
      <c r="H169" s="2419">
        <v>0.18</v>
      </c>
      <c r="I169" s="2164">
        <v>12</v>
      </c>
      <c r="J169" s="2164">
        <v>12</v>
      </c>
      <c r="K169" s="2164">
        <f t="shared" si="40"/>
        <v>2250000</v>
      </c>
      <c r="L169" s="2164">
        <f t="shared" si="39"/>
        <v>405000</v>
      </c>
      <c r="M169" s="2172">
        <f t="shared" si="17"/>
        <v>27000000</v>
      </c>
      <c r="N169" s="2172">
        <f>IF(J169&lt;I169,J169*L169,IF(J169&gt;=I169,F169))-2*L169</f>
        <v>4050000</v>
      </c>
      <c r="O169" s="2171">
        <v>27000000</v>
      </c>
      <c r="P169" s="2171">
        <v>4050000</v>
      </c>
      <c r="Q169" s="2171"/>
      <c r="R169" s="2171"/>
      <c r="S169" s="2171"/>
      <c r="T169" s="2173"/>
      <c r="U169" s="2174">
        <f t="shared" si="19"/>
        <v>27000000</v>
      </c>
      <c r="V169" s="2174">
        <f t="shared" si="20"/>
        <v>4050000</v>
      </c>
      <c r="W169" s="2174"/>
      <c r="X169" s="2174">
        <f t="shared" si="22"/>
        <v>0</v>
      </c>
      <c r="Y169" s="2174">
        <f t="shared" si="23"/>
        <v>100</v>
      </c>
      <c r="Z169" s="2174">
        <f t="shared" si="24"/>
        <v>0</v>
      </c>
      <c r="AA169" s="2174">
        <f t="shared" si="25"/>
        <v>0</v>
      </c>
      <c r="AB169" s="2427"/>
      <c r="AC169" s="1504">
        <f t="shared" si="32"/>
        <v>0</v>
      </c>
      <c r="AD169" s="1503">
        <f t="shared" si="33"/>
        <v>0</v>
      </c>
      <c r="AE169" s="1503">
        <f t="shared" si="34"/>
        <v>0</v>
      </c>
      <c r="AF169" s="1502">
        <f t="shared" si="35"/>
        <v>0</v>
      </c>
    </row>
    <row r="170" spans="1:32" s="1474" customFormat="1" ht="23.25" customHeight="1">
      <c r="A170" s="2175">
        <v>105</v>
      </c>
      <c r="B170" s="2175" t="s">
        <v>2228</v>
      </c>
      <c r="C170" s="2416" t="s">
        <v>2582</v>
      </c>
      <c r="D170" s="2416">
        <v>10</v>
      </c>
      <c r="E170" s="2175">
        <v>24000000</v>
      </c>
      <c r="F170" s="2417">
        <f t="shared" si="16"/>
        <v>4320000</v>
      </c>
      <c r="G170" s="3174" t="s">
        <v>2690</v>
      </c>
      <c r="H170" s="2419">
        <v>0.18</v>
      </c>
      <c r="I170" s="2164">
        <v>12</v>
      </c>
      <c r="J170" s="2164">
        <v>12</v>
      </c>
      <c r="K170" s="2164">
        <f t="shared" si="40"/>
        <v>2000000</v>
      </c>
      <c r="L170" s="2164">
        <f t="shared" si="39"/>
        <v>360000</v>
      </c>
      <c r="M170" s="2172">
        <f t="shared" si="17"/>
        <v>24000000</v>
      </c>
      <c r="N170" s="2172">
        <f t="shared" si="18"/>
        <v>4320000</v>
      </c>
      <c r="O170" s="2171">
        <v>24000000</v>
      </c>
      <c r="P170" s="2171">
        <v>4320000</v>
      </c>
      <c r="Q170" s="2171"/>
      <c r="R170" s="2171"/>
      <c r="S170" s="2171"/>
      <c r="T170" s="2173"/>
      <c r="U170" s="2174">
        <f t="shared" si="19"/>
        <v>24000000</v>
      </c>
      <c r="V170" s="2174">
        <f t="shared" si="20"/>
        <v>4320000</v>
      </c>
      <c r="W170" s="2174"/>
      <c r="X170" s="2174">
        <f t="shared" si="22"/>
        <v>0</v>
      </c>
      <c r="Y170" s="2174">
        <f t="shared" si="23"/>
        <v>100</v>
      </c>
      <c r="Z170" s="2174">
        <f t="shared" si="24"/>
        <v>0</v>
      </c>
      <c r="AA170" s="2174">
        <f t="shared" si="25"/>
        <v>0</v>
      </c>
      <c r="AB170" s="2427"/>
      <c r="AC170" s="1504">
        <f t="shared" si="32"/>
        <v>0</v>
      </c>
      <c r="AD170" s="1503">
        <f t="shared" si="33"/>
        <v>0</v>
      </c>
      <c r="AE170" s="1503">
        <f t="shared" si="34"/>
        <v>0</v>
      </c>
      <c r="AF170" s="1502">
        <f t="shared" si="35"/>
        <v>0</v>
      </c>
    </row>
    <row r="171" spans="1:32" s="1474" customFormat="1" ht="23.25" customHeight="1">
      <c r="A171" s="2175">
        <v>106</v>
      </c>
      <c r="B171" s="2175" t="s">
        <v>1993</v>
      </c>
      <c r="C171" s="2416" t="s">
        <v>2615</v>
      </c>
      <c r="D171" s="2416">
        <v>12</v>
      </c>
      <c r="E171" s="2175">
        <v>45000000</v>
      </c>
      <c r="F171" s="2417">
        <f t="shared" si="16"/>
        <v>8100000</v>
      </c>
      <c r="G171" s="2418">
        <v>41989</v>
      </c>
      <c r="H171" s="2419">
        <v>0.18</v>
      </c>
      <c r="I171" s="2164">
        <v>12</v>
      </c>
      <c r="J171" s="2164">
        <v>12</v>
      </c>
      <c r="K171" s="2164">
        <f t="shared" si="40"/>
        <v>3750000</v>
      </c>
      <c r="L171" s="2164">
        <f t="shared" si="39"/>
        <v>675000</v>
      </c>
      <c r="M171" s="2172">
        <f t="shared" si="17"/>
        <v>45000000</v>
      </c>
      <c r="N171" s="2172">
        <f>IF(J171&lt;I171,J171*L171,IF(J171&gt;=I171,F171))-1*L171</f>
        <v>7425000</v>
      </c>
      <c r="O171" s="2171">
        <v>45000000</v>
      </c>
      <c r="P171" s="2171">
        <v>7425000</v>
      </c>
      <c r="Q171" s="2171"/>
      <c r="R171" s="2171"/>
      <c r="S171" s="2171"/>
      <c r="T171" s="2173"/>
      <c r="U171" s="2174">
        <f t="shared" si="19"/>
        <v>45000000</v>
      </c>
      <c r="V171" s="2174">
        <f t="shared" si="20"/>
        <v>7425000</v>
      </c>
      <c r="W171" s="2174"/>
      <c r="X171" s="2174">
        <f t="shared" si="22"/>
        <v>0</v>
      </c>
      <c r="Y171" s="2174">
        <f t="shared" si="23"/>
        <v>100</v>
      </c>
      <c r="Z171" s="2174">
        <f t="shared" si="24"/>
        <v>0</v>
      </c>
      <c r="AA171" s="2174">
        <f t="shared" si="25"/>
        <v>0</v>
      </c>
      <c r="AB171" s="2427"/>
      <c r="AC171" s="1504">
        <f t="shared" si="32"/>
        <v>0</v>
      </c>
      <c r="AD171" s="1503">
        <f t="shared" si="33"/>
        <v>0</v>
      </c>
      <c r="AE171" s="1503">
        <f t="shared" si="34"/>
        <v>0</v>
      </c>
      <c r="AF171" s="1502">
        <f t="shared" si="35"/>
        <v>0</v>
      </c>
    </row>
    <row r="172" spans="1:32" s="1474" customFormat="1" ht="23.25" customHeight="1">
      <c r="A172" s="2175">
        <v>107</v>
      </c>
      <c r="B172" s="2175" t="s">
        <v>2318</v>
      </c>
      <c r="C172" s="2416" t="s">
        <v>2615</v>
      </c>
      <c r="D172" s="2416">
        <v>10</v>
      </c>
      <c r="E172" s="2175">
        <v>30000000</v>
      </c>
      <c r="F172" s="2417">
        <f t="shared" si="16"/>
        <v>5400000</v>
      </c>
      <c r="G172" s="2418">
        <v>41989</v>
      </c>
      <c r="H172" s="2419">
        <v>0.18</v>
      </c>
      <c r="I172" s="2164">
        <v>12</v>
      </c>
      <c r="J172" s="2164">
        <v>12</v>
      </c>
      <c r="K172" s="2164">
        <f t="shared" si="40"/>
        <v>2500000</v>
      </c>
      <c r="L172" s="2164">
        <f t="shared" si="39"/>
        <v>450000</v>
      </c>
      <c r="M172" s="2172">
        <f t="shared" si="17"/>
        <v>30000000</v>
      </c>
      <c r="N172" s="2172">
        <f>IF(J172&lt;I172,J172*L172,IF(J172&gt;=I172,F172))-1*L172</f>
        <v>4950000</v>
      </c>
      <c r="O172" s="2171">
        <v>30000000</v>
      </c>
      <c r="P172" s="2171">
        <v>4950000</v>
      </c>
      <c r="Q172" s="2171"/>
      <c r="R172" s="2171"/>
      <c r="S172" s="2171"/>
      <c r="T172" s="2173"/>
      <c r="U172" s="2174">
        <f t="shared" si="19"/>
        <v>30000000</v>
      </c>
      <c r="V172" s="2174">
        <f t="shared" si="20"/>
        <v>4950000</v>
      </c>
      <c r="W172" s="2174"/>
      <c r="X172" s="2174">
        <f t="shared" si="22"/>
        <v>0</v>
      </c>
      <c r="Y172" s="2174">
        <f t="shared" si="23"/>
        <v>100</v>
      </c>
      <c r="Z172" s="2174">
        <f t="shared" si="24"/>
        <v>0</v>
      </c>
      <c r="AA172" s="2174">
        <f t="shared" si="25"/>
        <v>0</v>
      </c>
      <c r="AB172" s="2427"/>
      <c r="AC172" s="1504">
        <f t="shared" si="32"/>
        <v>0</v>
      </c>
      <c r="AD172" s="1503">
        <f t="shared" si="33"/>
        <v>0</v>
      </c>
      <c r="AE172" s="1503">
        <f t="shared" si="34"/>
        <v>0</v>
      </c>
      <c r="AF172" s="1502">
        <f t="shared" si="35"/>
        <v>0</v>
      </c>
    </row>
    <row r="173" spans="1:32" s="1474" customFormat="1" ht="23.25" customHeight="1">
      <c r="A173" s="2175">
        <v>108</v>
      </c>
      <c r="B173" s="2175" t="s">
        <v>2365</v>
      </c>
      <c r="C173" s="2416" t="s">
        <v>2615</v>
      </c>
      <c r="D173" s="2416">
        <v>10</v>
      </c>
      <c r="E173" s="2175">
        <v>24000000</v>
      </c>
      <c r="F173" s="2417">
        <f t="shared" si="16"/>
        <v>4320000</v>
      </c>
      <c r="G173" s="2418">
        <v>41983</v>
      </c>
      <c r="H173" s="2419">
        <v>0.18</v>
      </c>
      <c r="I173" s="2164">
        <v>12</v>
      </c>
      <c r="J173" s="2164">
        <v>12</v>
      </c>
      <c r="K173" s="2164">
        <f t="shared" si="40"/>
        <v>2000000</v>
      </c>
      <c r="L173" s="2164">
        <f t="shared" si="39"/>
        <v>360000</v>
      </c>
      <c r="M173" s="2172">
        <f t="shared" si="17"/>
        <v>24000000</v>
      </c>
      <c r="N173" s="2172">
        <f>IF(J173&lt;I173,J173*L173,IF(J173&gt;=I173,F173))-1*L173</f>
        <v>3960000</v>
      </c>
      <c r="O173" s="2171">
        <v>24000000</v>
      </c>
      <c r="P173" s="2171">
        <v>3960000</v>
      </c>
      <c r="Q173" s="2171"/>
      <c r="R173" s="2171"/>
      <c r="S173" s="2171"/>
      <c r="T173" s="2173"/>
      <c r="U173" s="2174">
        <f t="shared" si="19"/>
        <v>24000000</v>
      </c>
      <c r="V173" s="2174">
        <f t="shared" si="20"/>
        <v>3960000</v>
      </c>
      <c r="W173" s="2174"/>
      <c r="X173" s="2174">
        <f t="shared" si="22"/>
        <v>0</v>
      </c>
      <c r="Y173" s="2174">
        <f t="shared" si="23"/>
        <v>100</v>
      </c>
      <c r="Z173" s="2174">
        <f t="shared" si="24"/>
        <v>0</v>
      </c>
      <c r="AA173" s="2174">
        <f t="shared" si="25"/>
        <v>0</v>
      </c>
      <c r="AB173" s="2427"/>
      <c r="AC173" s="1504">
        <f t="shared" si="32"/>
        <v>0</v>
      </c>
      <c r="AD173" s="1503">
        <f t="shared" si="33"/>
        <v>0</v>
      </c>
      <c r="AE173" s="1503">
        <f t="shared" si="34"/>
        <v>0</v>
      </c>
      <c r="AF173" s="1502">
        <f t="shared" si="35"/>
        <v>0</v>
      </c>
    </row>
    <row r="174" spans="1:32" s="1474" customFormat="1" ht="23.25" customHeight="1">
      <c r="A174" s="2175">
        <v>109</v>
      </c>
      <c r="B174" s="2175" t="s">
        <v>1941</v>
      </c>
      <c r="C174" s="2416" t="s">
        <v>2615</v>
      </c>
      <c r="D174" s="2416">
        <v>12</v>
      </c>
      <c r="E174" s="2175">
        <v>30000000</v>
      </c>
      <c r="F174" s="2417">
        <f t="shared" si="16"/>
        <v>5400000</v>
      </c>
      <c r="G174" s="2418">
        <v>42048</v>
      </c>
      <c r="H174" s="2419">
        <v>0.18</v>
      </c>
      <c r="I174" s="2164">
        <v>12</v>
      </c>
      <c r="J174" s="2164">
        <v>12</v>
      </c>
      <c r="K174" s="2164">
        <f t="shared" si="40"/>
        <v>2500000</v>
      </c>
      <c r="L174" s="2164">
        <f t="shared" si="39"/>
        <v>450000</v>
      </c>
      <c r="M174" s="2172">
        <f t="shared" si="17"/>
        <v>30000000</v>
      </c>
      <c r="N174" s="2172">
        <f>IF(J174&lt;I174,J174*L174,IF(J174&gt;=I174,F174))-1*L174</f>
        <v>4950000</v>
      </c>
      <c r="O174" s="2171">
        <v>30000000</v>
      </c>
      <c r="P174" s="2171">
        <v>4950000</v>
      </c>
      <c r="Q174" s="2171"/>
      <c r="R174" s="2171"/>
      <c r="S174" s="2171"/>
      <c r="T174" s="2173"/>
      <c r="U174" s="2174">
        <f t="shared" si="19"/>
        <v>30000000</v>
      </c>
      <c r="V174" s="2174">
        <f t="shared" si="20"/>
        <v>4950000</v>
      </c>
      <c r="W174" s="2174"/>
      <c r="X174" s="2174">
        <f t="shared" si="22"/>
        <v>0</v>
      </c>
      <c r="Y174" s="2174">
        <f t="shared" si="23"/>
        <v>100</v>
      </c>
      <c r="Z174" s="2174">
        <f t="shared" si="24"/>
        <v>0</v>
      </c>
      <c r="AA174" s="2174">
        <f t="shared" si="25"/>
        <v>0</v>
      </c>
      <c r="AB174" s="2427"/>
      <c r="AC174" s="1504">
        <f t="shared" si="32"/>
        <v>0</v>
      </c>
      <c r="AD174" s="1503">
        <f t="shared" si="33"/>
        <v>0</v>
      </c>
      <c r="AE174" s="1503">
        <f t="shared" si="34"/>
        <v>0</v>
      </c>
      <c r="AF174" s="1502">
        <f t="shared" si="35"/>
        <v>0</v>
      </c>
    </row>
    <row r="175" spans="1:32" s="1474" customFormat="1" ht="23.25" customHeight="1">
      <c r="A175" s="2175">
        <v>110</v>
      </c>
      <c r="B175" s="2175" t="s">
        <v>2635</v>
      </c>
      <c r="C175" s="2416" t="s">
        <v>2615</v>
      </c>
      <c r="D175" s="2416">
        <v>12</v>
      </c>
      <c r="E175" s="2175">
        <v>36000000</v>
      </c>
      <c r="F175" s="2417">
        <f t="shared" si="16"/>
        <v>6480000</v>
      </c>
      <c r="G175" s="2418">
        <v>42048</v>
      </c>
      <c r="H175" s="2419">
        <v>0.18</v>
      </c>
      <c r="I175" s="2164">
        <v>12</v>
      </c>
      <c r="J175" s="2164">
        <v>12</v>
      </c>
      <c r="K175" s="2164">
        <f t="shared" si="40"/>
        <v>3000000</v>
      </c>
      <c r="L175" s="2164">
        <f t="shared" si="39"/>
        <v>540000</v>
      </c>
      <c r="M175" s="2172">
        <f t="shared" si="17"/>
        <v>36000000</v>
      </c>
      <c r="N175" s="2172">
        <f>IF(J175&lt;I175,J175*L175,IF(J175&gt;=I175,F175))-1*L175</f>
        <v>5940000</v>
      </c>
      <c r="O175" s="2171">
        <v>36000000</v>
      </c>
      <c r="P175" s="2171">
        <v>5940000</v>
      </c>
      <c r="Q175" s="2171"/>
      <c r="R175" s="2171"/>
      <c r="S175" s="2171"/>
      <c r="T175" s="2173"/>
      <c r="U175" s="2174">
        <f t="shared" si="19"/>
        <v>36000000</v>
      </c>
      <c r="V175" s="2174">
        <f t="shared" si="20"/>
        <v>5940000</v>
      </c>
      <c r="W175" s="2174"/>
      <c r="X175" s="2174">
        <f t="shared" si="22"/>
        <v>0</v>
      </c>
      <c r="Y175" s="2174">
        <f t="shared" si="23"/>
        <v>100</v>
      </c>
      <c r="Z175" s="2174">
        <f t="shared" si="24"/>
        <v>0</v>
      </c>
      <c r="AA175" s="2174">
        <f t="shared" si="25"/>
        <v>0</v>
      </c>
      <c r="AB175" s="2427"/>
      <c r="AC175" s="1504">
        <f t="shared" si="32"/>
        <v>0</v>
      </c>
      <c r="AD175" s="1503">
        <f t="shared" si="33"/>
        <v>0</v>
      </c>
      <c r="AE175" s="1503">
        <f t="shared" si="34"/>
        <v>0</v>
      </c>
      <c r="AF175" s="1502">
        <f t="shared" si="35"/>
        <v>0</v>
      </c>
    </row>
    <row r="176" spans="1:32" s="1474" customFormat="1" ht="23.25" customHeight="1">
      <c r="A176" s="2175">
        <v>111</v>
      </c>
      <c r="B176" s="2175" t="s">
        <v>2652</v>
      </c>
      <c r="C176" s="2416" t="s">
        <v>2615</v>
      </c>
      <c r="D176" s="2416">
        <v>12</v>
      </c>
      <c r="E176" s="2175">
        <v>40000000</v>
      </c>
      <c r="F176" s="2417">
        <f t="shared" si="16"/>
        <v>7200000</v>
      </c>
      <c r="G176" s="2418">
        <v>42079</v>
      </c>
      <c r="H176" s="2419">
        <v>0.18</v>
      </c>
      <c r="I176" s="2164">
        <v>12</v>
      </c>
      <c r="J176" s="2164">
        <v>11</v>
      </c>
      <c r="K176" s="2164">
        <v>3333300</v>
      </c>
      <c r="L176" s="2164">
        <f t="shared" si="39"/>
        <v>600000</v>
      </c>
      <c r="M176" s="2172">
        <f t="shared" si="17"/>
        <v>36666300</v>
      </c>
      <c r="N176" s="2172">
        <f t="shared" si="18"/>
        <v>6600000</v>
      </c>
      <c r="O176" s="2171">
        <v>33333000</v>
      </c>
      <c r="P176" s="2171">
        <v>6000000</v>
      </c>
      <c r="Q176" s="2171"/>
      <c r="R176" s="3023">
        <v>3333300</v>
      </c>
      <c r="S176" s="3023">
        <v>600000</v>
      </c>
      <c r="T176" s="2173"/>
      <c r="U176" s="2174">
        <f t="shared" si="19"/>
        <v>36666300</v>
      </c>
      <c r="V176" s="2174">
        <f t="shared" si="20"/>
        <v>6600000</v>
      </c>
      <c r="W176" s="2174"/>
      <c r="X176" s="2174">
        <f t="shared" si="22"/>
        <v>3333700</v>
      </c>
      <c r="Y176" s="2174">
        <f t="shared" si="23"/>
        <v>100</v>
      </c>
      <c r="Z176" s="2174">
        <f t="shared" si="24"/>
        <v>0</v>
      </c>
      <c r="AA176" s="2174">
        <f t="shared" si="25"/>
        <v>0</v>
      </c>
      <c r="AB176" s="2427"/>
      <c r="AC176" s="1504">
        <f t="shared" si="32"/>
        <v>0</v>
      </c>
      <c r="AD176" s="1503">
        <f t="shared" si="33"/>
        <v>0</v>
      </c>
      <c r="AE176" s="1503">
        <f t="shared" si="34"/>
        <v>0</v>
      </c>
      <c r="AF176" s="1502">
        <f t="shared" si="35"/>
        <v>0</v>
      </c>
    </row>
    <row r="177" spans="1:32" s="1474" customFormat="1" ht="23.25" customHeight="1">
      <c r="A177" s="2175">
        <v>112</v>
      </c>
      <c r="B177" s="2175" t="s">
        <v>2003</v>
      </c>
      <c r="C177" s="2416" t="s">
        <v>2615</v>
      </c>
      <c r="D177" s="2416">
        <v>12</v>
      </c>
      <c r="E177" s="2175">
        <v>18000000</v>
      </c>
      <c r="F177" s="2417">
        <f t="shared" si="16"/>
        <v>3240000</v>
      </c>
      <c r="G177" s="2418">
        <v>42079</v>
      </c>
      <c r="H177" s="2419">
        <v>0.18</v>
      </c>
      <c r="I177" s="2164">
        <v>12</v>
      </c>
      <c r="J177" s="2164">
        <v>11</v>
      </c>
      <c r="K177" s="2164">
        <f t="shared" si="40"/>
        <v>1500000</v>
      </c>
      <c r="L177" s="2164">
        <f t="shared" si="39"/>
        <v>270000</v>
      </c>
      <c r="M177" s="2172">
        <f t="shared" si="17"/>
        <v>16500000</v>
      </c>
      <c r="N177" s="2172">
        <f t="shared" si="18"/>
        <v>2970000</v>
      </c>
      <c r="O177" s="2171">
        <v>15000000</v>
      </c>
      <c r="P177" s="2171">
        <v>2700000</v>
      </c>
      <c r="Q177" s="2171"/>
      <c r="R177" s="3023"/>
      <c r="S177" s="3023"/>
      <c r="T177" s="2173"/>
      <c r="U177" s="2174">
        <f t="shared" si="19"/>
        <v>15000000</v>
      </c>
      <c r="V177" s="2174">
        <f t="shared" si="20"/>
        <v>2700000</v>
      </c>
      <c r="W177" s="2174"/>
      <c r="X177" s="2174">
        <f t="shared" si="22"/>
        <v>3000000</v>
      </c>
      <c r="Y177" s="2174">
        <f t="shared" si="23"/>
        <v>90.909090909090907</v>
      </c>
      <c r="Z177" s="2174">
        <f t="shared" si="24"/>
        <v>1500000</v>
      </c>
      <c r="AA177" s="2174">
        <f t="shared" si="25"/>
        <v>270000</v>
      </c>
      <c r="AB177" s="2427"/>
      <c r="AC177" s="1504">
        <f t="shared" si="32"/>
        <v>0</v>
      </c>
      <c r="AD177" s="1503">
        <f t="shared" si="33"/>
        <v>0</v>
      </c>
      <c r="AE177" s="1503">
        <f t="shared" si="34"/>
        <v>0</v>
      </c>
      <c r="AF177" s="1502">
        <f t="shared" si="35"/>
        <v>0</v>
      </c>
    </row>
    <row r="178" spans="1:32" s="1474" customFormat="1" ht="23.25" customHeight="1">
      <c r="A178" s="2175">
        <v>113</v>
      </c>
      <c r="B178" s="2175" t="s">
        <v>2320</v>
      </c>
      <c r="C178" s="2416" t="s">
        <v>2658</v>
      </c>
      <c r="D178" s="2416">
        <v>12</v>
      </c>
      <c r="E178" s="2175">
        <v>10000000</v>
      </c>
      <c r="F178" s="2417">
        <f t="shared" si="16"/>
        <v>1800000</v>
      </c>
      <c r="G178" s="2418">
        <v>42079</v>
      </c>
      <c r="H178" s="2419">
        <v>0.18</v>
      </c>
      <c r="I178" s="2164">
        <v>12</v>
      </c>
      <c r="J178" s="2164">
        <v>12</v>
      </c>
      <c r="K178" s="2164">
        <v>833300</v>
      </c>
      <c r="L178" s="2164">
        <f t="shared" si="39"/>
        <v>150000</v>
      </c>
      <c r="M178" s="2172">
        <f t="shared" si="17"/>
        <v>10000000</v>
      </c>
      <c r="N178" s="2172">
        <f>IF(J178&lt;I178,J178*L178,IF(J178&gt;=I178,F178))-2*L178</f>
        <v>1500000</v>
      </c>
      <c r="O178" s="2171">
        <v>10000000</v>
      </c>
      <c r="P178" s="2171">
        <v>1500000</v>
      </c>
      <c r="Q178" s="2171"/>
      <c r="R178" s="3023"/>
      <c r="S178" s="3023"/>
      <c r="T178" s="2173"/>
      <c r="U178" s="2174">
        <f t="shared" si="19"/>
        <v>10000000</v>
      </c>
      <c r="V178" s="2174">
        <f t="shared" si="20"/>
        <v>1500000</v>
      </c>
      <c r="W178" s="2174"/>
      <c r="X178" s="2174">
        <f t="shared" si="22"/>
        <v>0</v>
      </c>
      <c r="Y178" s="2174">
        <f t="shared" si="23"/>
        <v>100</v>
      </c>
      <c r="Z178" s="2174">
        <f t="shared" si="24"/>
        <v>0</v>
      </c>
      <c r="AA178" s="2174">
        <f t="shared" si="25"/>
        <v>0</v>
      </c>
      <c r="AB178" s="2427"/>
      <c r="AC178" s="1504">
        <f t="shared" si="32"/>
        <v>0</v>
      </c>
      <c r="AD178" s="1503">
        <f t="shared" si="33"/>
        <v>0</v>
      </c>
      <c r="AE178" s="1503">
        <f t="shared" si="34"/>
        <v>0</v>
      </c>
      <c r="AF178" s="1502">
        <f t="shared" si="35"/>
        <v>0</v>
      </c>
    </row>
    <row r="179" spans="1:32" s="1474" customFormat="1" ht="23.25" customHeight="1">
      <c r="A179" s="2175">
        <v>114</v>
      </c>
      <c r="B179" s="2175" t="s">
        <v>1956</v>
      </c>
      <c r="C179" s="2416" t="s">
        <v>2658</v>
      </c>
      <c r="D179" s="2416">
        <v>12</v>
      </c>
      <c r="E179" s="2175">
        <v>25000000</v>
      </c>
      <c r="F179" s="2417">
        <f t="shared" si="16"/>
        <v>4500000</v>
      </c>
      <c r="G179" s="2418">
        <v>42079</v>
      </c>
      <c r="H179" s="2419">
        <v>0.18</v>
      </c>
      <c r="I179" s="2164">
        <v>12</v>
      </c>
      <c r="J179" s="2164">
        <v>12</v>
      </c>
      <c r="K179" s="2164">
        <v>2083300</v>
      </c>
      <c r="L179" s="2164">
        <f t="shared" si="39"/>
        <v>375000</v>
      </c>
      <c r="M179" s="2172">
        <f t="shared" si="17"/>
        <v>25000000</v>
      </c>
      <c r="N179" s="2172">
        <f>IF(J179&lt;I179,J179*L179,IF(J179&gt;=I179,F179))-2*L179</f>
        <v>3750000</v>
      </c>
      <c r="O179" s="2171">
        <v>25000000</v>
      </c>
      <c r="P179" s="2171">
        <v>3750000</v>
      </c>
      <c r="Q179" s="2171"/>
      <c r="R179" s="3023"/>
      <c r="S179" s="3023"/>
      <c r="T179" s="2173"/>
      <c r="U179" s="2174">
        <f t="shared" si="19"/>
        <v>25000000</v>
      </c>
      <c r="V179" s="2174">
        <f t="shared" si="20"/>
        <v>3750000</v>
      </c>
      <c r="W179" s="2174"/>
      <c r="X179" s="2174">
        <f t="shared" si="22"/>
        <v>0</v>
      </c>
      <c r="Y179" s="2174">
        <f t="shared" si="23"/>
        <v>100</v>
      </c>
      <c r="Z179" s="2174">
        <f t="shared" si="24"/>
        <v>0</v>
      </c>
      <c r="AA179" s="2174">
        <f t="shared" si="25"/>
        <v>0</v>
      </c>
      <c r="AB179" s="2427"/>
      <c r="AC179" s="1504">
        <f t="shared" si="32"/>
        <v>0</v>
      </c>
      <c r="AD179" s="1503">
        <f t="shared" si="33"/>
        <v>0</v>
      </c>
      <c r="AE179" s="1503">
        <f t="shared" si="34"/>
        <v>0</v>
      </c>
      <c r="AF179" s="1502">
        <f t="shared" si="35"/>
        <v>0</v>
      </c>
    </row>
    <row r="180" spans="1:32" s="1474" customFormat="1" ht="23.25" customHeight="1">
      <c r="A180" s="2175">
        <v>115</v>
      </c>
      <c r="B180" s="2175" t="s">
        <v>2545</v>
      </c>
      <c r="C180" s="2416" t="s">
        <v>2658</v>
      </c>
      <c r="D180" s="2416">
        <v>12</v>
      </c>
      <c r="E180" s="2175">
        <v>25000000</v>
      </c>
      <c r="F180" s="2417">
        <f t="shared" si="16"/>
        <v>4500000</v>
      </c>
      <c r="G180" s="2418">
        <v>42135</v>
      </c>
      <c r="H180" s="2419">
        <v>0.18</v>
      </c>
      <c r="I180" s="2164">
        <v>12</v>
      </c>
      <c r="J180" s="2164">
        <v>9</v>
      </c>
      <c r="K180" s="2164">
        <f t="shared" ref="K180:K188" si="41">ROUND(E180/I180,-2)</f>
        <v>2083300</v>
      </c>
      <c r="L180" s="2164">
        <f t="shared" si="39"/>
        <v>375000</v>
      </c>
      <c r="M180" s="2172">
        <f t="shared" si="17"/>
        <v>18749700</v>
      </c>
      <c r="N180" s="2172">
        <f t="shared" si="18"/>
        <v>3375000</v>
      </c>
      <c r="O180" s="2171">
        <v>16666400</v>
      </c>
      <c r="P180" s="2171">
        <v>3000000</v>
      </c>
      <c r="Q180" s="2171"/>
      <c r="R180" s="3023">
        <v>1625000</v>
      </c>
      <c r="S180" s="3023">
        <v>375000</v>
      </c>
      <c r="T180" s="2173"/>
      <c r="U180" s="2174">
        <f t="shared" si="19"/>
        <v>18291400</v>
      </c>
      <c r="V180" s="2174">
        <f t="shared" si="20"/>
        <v>3375000</v>
      </c>
      <c r="W180" s="2174"/>
      <c r="X180" s="2174">
        <f t="shared" si="22"/>
        <v>6708600</v>
      </c>
      <c r="Y180" s="2174">
        <f t="shared" si="23"/>
        <v>97.555694224440927</v>
      </c>
      <c r="Z180" s="2174">
        <f t="shared" si="24"/>
        <v>458300</v>
      </c>
      <c r="AA180" s="2174">
        <f t="shared" si="25"/>
        <v>0</v>
      </c>
      <c r="AB180" s="2427"/>
      <c r="AC180" s="1504">
        <f t="shared" si="32"/>
        <v>0</v>
      </c>
      <c r="AD180" s="1503">
        <f t="shared" si="33"/>
        <v>0</v>
      </c>
      <c r="AE180" s="1503">
        <f t="shared" si="34"/>
        <v>0</v>
      </c>
      <c r="AF180" s="1502">
        <f t="shared" si="35"/>
        <v>0</v>
      </c>
    </row>
    <row r="181" spans="1:32" s="1474" customFormat="1" ht="23.25" customHeight="1">
      <c r="A181" s="2175">
        <v>116</v>
      </c>
      <c r="B181" s="2175" t="s">
        <v>2001</v>
      </c>
      <c r="C181" s="2416" t="s">
        <v>2670</v>
      </c>
      <c r="D181" s="2416">
        <v>12</v>
      </c>
      <c r="E181" s="2175">
        <v>42000000</v>
      </c>
      <c r="F181" s="2417">
        <f t="shared" si="16"/>
        <v>7560000</v>
      </c>
      <c r="G181" s="2418">
        <v>42158</v>
      </c>
      <c r="H181" s="2419">
        <v>0.18</v>
      </c>
      <c r="I181" s="2164">
        <v>12</v>
      </c>
      <c r="J181" s="2164">
        <v>8</v>
      </c>
      <c r="K181" s="2164">
        <f t="shared" si="41"/>
        <v>3500000</v>
      </c>
      <c r="L181" s="2164">
        <f t="shared" si="39"/>
        <v>630000</v>
      </c>
      <c r="M181" s="2172">
        <f t="shared" si="17"/>
        <v>28000000</v>
      </c>
      <c r="N181" s="2172">
        <f t="shared" si="18"/>
        <v>5040000</v>
      </c>
      <c r="O181" s="2171">
        <v>24500000</v>
      </c>
      <c r="P181" s="2171">
        <v>4410000</v>
      </c>
      <c r="Q181" s="2171"/>
      <c r="R181" s="3023">
        <v>3500000</v>
      </c>
      <c r="S181" s="3023">
        <v>630000</v>
      </c>
      <c r="T181" s="2173"/>
      <c r="U181" s="2174">
        <f t="shared" si="19"/>
        <v>28000000</v>
      </c>
      <c r="V181" s="2174">
        <f t="shared" si="20"/>
        <v>5040000</v>
      </c>
      <c r="W181" s="2174"/>
      <c r="X181" s="2174">
        <f t="shared" si="22"/>
        <v>14000000</v>
      </c>
      <c r="Y181" s="2174">
        <f t="shared" si="23"/>
        <v>100</v>
      </c>
      <c r="Z181" s="2174">
        <f t="shared" si="24"/>
        <v>0</v>
      </c>
      <c r="AA181" s="2174">
        <f t="shared" si="25"/>
        <v>0</v>
      </c>
      <c r="AB181" s="2427"/>
      <c r="AC181" s="1504">
        <f t="shared" si="32"/>
        <v>0</v>
      </c>
      <c r="AD181" s="1503">
        <f t="shared" si="33"/>
        <v>0</v>
      </c>
      <c r="AE181" s="1503">
        <f t="shared" si="34"/>
        <v>0</v>
      </c>
      <c r="AF181" s="1502">
        <f t="shared" si="35"/>
        <v>0</v>
      </c>
    </row>
    <row r="182" spans="1:32" s="1474" customFormat="1" ht="23.25" customHeight="1">
      <c r="A182" s="2175">
        <v>117</v>
      </c>
      <c r="B182" s="2175" t="s">
        <v>1990</v>
      </c>
      <c r="C182" s="2416" t="s">
        <v>2670</v>
      </c>
      <c r="D182" s="2416">
        <v>12</v>
      </c>
      <c r="E182" s="2175">
        <v>40000000</v>
      </c>
      <c r="F182" s="2417">
        <f t="shared" si="16"/>
        <v>7200000</v>
      </c>
      <c r="G182" s="2418">
        <v>42253</v>
      </c>
      <c r="H182" s="2419">
        <v>0.18</v>
      </c>
      <c r="I182" s="2164">
        <v>12</v>
      </c>
      <c r="J182" s="2164">
        <v>8</v>
      </c>
      <c r="K182" s="2164">
        <f t="shared" si="41"/>
        <v>3333300</v>
      </c>
      <c r="L182" s="2164">
        <f t="shared" si="39"/>
        <v>600000</v>
      </c>
      <c r="M182" s="2172">
        <f>ROUND(IF(J182&lt;I182,J182*K182,IF(J182&gt;=I182,E182)),-2)</f>
        <v>26666400</v>
      </c>
      <c r="N182" s="2172">
        <f t="shared" si="18"/>
        <v>4800000</v>
      </c>
      <c r="O182" s="2171">
        <v>23333100</v>
      </c>
      <c r="P182" s="2171">
        <v>4200000</v>
      </c>
      <c r="Q182" s="2171"/>
      <c r="R182" s="3023">
        <v>3333300</v>
      </c>
      <c r="S182" s="3023">
        <v>600000</v>
      </c>
      <c r="T182" s="2173"/>
      <c r="U182" s="2174">
        <f t="shared" si="19"/>
        <v>26666400</v>
      </c>
      <c r="V182" s="2174">
        <f t="shared" si="20"/>
        <v>4800000</v>
      </c>
      <c r="W182" s="2174"/>
      <c r="X182" s="2174">
        <f t="shared" si="22"/>
        <v>13333600</v>
      </c>
      <c r="Y182" s="2174">
        <f t="shared" si="23"/>
        <v>100</v>
      </c>
      <c r="Z182" s="2174">
        <f t="shared" si="24"/>
        <v>0</v>
      </c>
      <c r="AA182" s="2174">
        <f t="shared" si="25"/>
        <v>0</v>
      </c>
      <c r="AB182" s="2427"/>
      <c r="AC182" s="1504">
        <f t="shared" si="32"/>
        <v>0</v>
      </c>
      <c r="AD182" s="1503">
        <f t="shared" si="33"/>
        <v>0</v>
      </c>
      <c r="AE182" s="1503">
        <f t="shared" si="34"/>
        <v>0</v>
      </c>
      <c r="AF182" s="1502">
        <f t="shared" si="35"/>
        <v>0</v>
      </c>
    </row>
    <row r="183" spans="1:32" s="1474" customFormat="1" ht="23.25" customHeight="1">
      <c r="A183" s="2175">
        <v>118</v>
      </c>
      <c r="B183" s="2175" t="s">
        <v>2680</v>
      </c>
      <c r="C183" s="2416" t="s">
        <v>2658</v>
      </c>
      <c r="D183" s="2416">
        <v>10</v>
      </c>
      <c r="E183" s="2175">
        <v>7700000</v>
      </c>
      <c r="F183" s="2417">
        <f t="shared" si="16"/>
        <v>1386000</v>
      </c>
      <c r="G183" s="2418">
        <v>42173</v>
      </c>
      <c r="H183" s="2419">
        <v>0.18</v>
      </c>
      <c r="I183" s="2164">
        <v>12</v>
      </c>
      <c r="J183" s="2164">
        <v>8</v>
      </c>
      <c r="K183" s="2164">
        <f t="shared" si="41"/>
        <v>641700</v>
      </c>
      <c r="L183" s="2164">
        <f t="shared" si="39"/>
        <v>115500</v>
      </c>
      <c r="M183" s="2172">
        <f t="shared" ref="M183:M186" si="42">ROUND(IF(J183&lt;I183,J183*K183,IF(J183&gt;=I183,E183)),-2)</f>
        <v>5133600</v>
      </c>
      <c r="N183" s="2172">
        <f t="shared" si="18"/>
        <v>924000</v>
      </c>
      <c r="O183" s="2171">
        <v>4491900</v>
      </c>
      <c r="P183" s="2171">
        <v>808500</v>
      </c>
      <c r="Q183" s="2171"/>
      <c r="R183" s="3023">
        <v>641700</v>
      </c>
      <c r="S183" s="3023">
        <v>115500</v>
      </c>
      <c r="T183" s="2173"/>
      <c r="U183" s="2174">
        <f t="shared" si="19"/>
        <v>5133600</v>
      </c>
      <c r="V183" s="2174">
        <f t="shared" si="20"/>
        <v>924000</v>
      </c>
      <c r="W183" s="2174"/>
      <c r="X183" s="2174">
        <f t="shared" si="22"/>
        <v>2566400</v>
      </c>
      <c r="Y183" s="2174">
        <f t="shared" si="23"/>
        <v>100</v>
      </c>
      <c r="Z183" s="2174">
        <f t="shared" si="24"/>
        <v>0</v>
      </c>
      <c r="AA183" s="2174">
        <f t="shared" si="25"/>
        <v>0</v>
      </c>
      <c r="AB183" s="2427"/>
      <c r="AC183" s="1504">
        <f t="shared" si="32"/>
        <v>0</v>
      </c>
      <c r="AD183" s="1503">
        <f t="shared" si="33"/>
        <v>0</v>
      </c>
      <c r="AE183" s="1503">
        <f t="shared" si="34"/>
        <v>0</v>
      </c>
      <c r="AF183" s="1502">
        <f t="shared" si="35"/>
        <v>0</v>
      </c>
    </row>
    <row r="184" spans="1:32" s="1474" customFormat="1" ht="23.25" customHeight="1">
      <c r="A184" s="2175">
        <v>119</v>
      </c>
      <c r="B184" s="2175" t="s">
        <v>2679</v>
      </c>
      <c r="C184" s="2416" t="s">
        <v>2658</v>
      </c>
      <c r="D184" s="2416">
        <v>10</v>
      </c>
      <c r="E184" s="2175">
        <v>7700000</v>
      </c>
      <c r="F184" s="2417">
        <f t="shared" si="16"/>
        <v>1386000</v>
      </c>
      <c r="G184" s="2418">
        <v>42173</v>
      </c>
      <c r="H184" s="2419">
        <v>0.18</v>
      </c>
      <c r="I184" s="2164">
        <v>12</v>
      </c>
      <c r="J184" s="2164">
        <v>8</v>
      </c>
      <c r="K184" s="2164">
        <f t="shared" si="41"/>
        <v>641700</v>
      </c>
      <c r="L184" s="2164">
        <f t="shared" si="39"/>
        <v>115500</v>
      </c>
      <c r="M184" s="2172">
        <f t="shared" si="42"/>
        <v>5133600</v>
      </c>
      <c r="N184" s="2172">
        <f t="shared" si="18"/>
        <v>924000</v>
      </c>
      <c r="O184" s="2171">
        <v>4491900</v>
      </c>
      <c r="P184" s="2171">
        <v>808500</v>
      </c>
      <c r="Q184" s="2171"/>
      <c r="R184" s="3023">
        <v>641700</v>
      </c>
      <c r="S184" s="3023">
        <v>115500</v>
      </c>
      <c r="T184" s="2173"/>
      <c r="U184" s="2174">
        <f t="shared" si="19"/>
        <v>5133600</v>
      </c>
      <c r="V184" s="2174">
        <f t="shared" si="20"/>
        <v>924000</v>
      </c>
      <c r="W184" s="2174"/>
      <c r="X184" s="2174">
        <f t="shared" si="22"/>
        <v>2566400</v>
      </c>
      <c r="Y184" s="2174">
        <f t="shared" si="23"/>
        <v>100</v>
      </c>
      <c r="Z184" s="2174">
        <f t="shared" si="24"/>
        <v>0</v>
      </c>
      <c r="AA184" s="2174">
        <f t="shared" si="25"/>
        <v>0</v>
      </c>
      <c r="AB184" s="2427"/>
      <c r="AC184" s="1504">
        <f t="shared" si="32"/>
        <v>0</v>
      </c>
      <c r="AD184" s="1503">
        <f t="shared" si="33"/>
        <v>0</v>
      </c>
      <c r="AE184" s="1503">
        <f t="shared" si="34"/>
        <v>0</v>
      </c>
      <c r="AF184" s="1502">
        <f t="shared" si="35"/>
        <v>0</v>
      </c>
    </row>
    <row r="185" spans="1:32" s="1474" customFormat="1" ht="23.25" customHeight="1">
      <c r="A185" s="2175">
        <v>120</v>
      </c>
      <c r="B185" s="2175" t="s">
        <v>2701</v>
      </c>
      <c r="C185" s="2416" t="s">
        <v>2670</v>
      </c>
      <c r="D185" s="2416">
        <v>10</v>
      </c>
      <c r="E185" s="2175">
        <v>20000000</v>
      </c>
      <c r="F185" s="2417">
        <f t="shared" si="16"/>
        <v>3600000</v>
      </c>
      <c r="G185" s="2418">
        <v>42173</v>
      </c>
      <c r="H185" s="2419">
        <v>0.18</v>
      </c>
      <c r="I185" s="2164">
        <v>12</v>
      </c>
      <c r="J185" s="2164">
        <v>8</v>
      </c>
      <c r="K185" s="2164">
        <f t="shared" si="41"/>
        <v>1666700</v>
      </c>
      <c r="L185" s="2164">
        <f t="shared" si="39"/>
        <v>300000</v>
      </c>
      <c r="M185" s="2172">
        <f t="shared" si="42"/>
        <v>13333600</v>
      </c>
      <c r="N185" s="2172">
        <f t="shared" si="18"/>
        <v>2400000</v>
      </c>
      <c r="O185" s="2171">
        <v>9466800</v>
      </c>
      <c r="P185" s="2171">
        <v>1800000</v>
      </c>
      <c r="Q185" s="2171"/>
      <c r="R185" s="3023">
        <v>2300000</v>
      </c>
      <c r="S185" s="3023">
        <v>600000</v>
      </c>
      <c r="T185" s="2173"/>
      <c r="U185" s="2174">
        <f t="shared" si="19"/>
        <v>11766800</v>
      </c>
      <c r="V185" s="2174">
        <f t="shared" si="20"/>
        <v>2400000</v>
      </c>
      <c r="W185" s="2174"/>
      <c r="X185" s="2174">
        <f t="shared" si="22"/>
        <v>8233200</v>
      </c>
      <c r="Y185" s="2174">
        <f t="shared" si="23"/>
        <v>88.249235015299703</v>
      </c>
      <c r="Z185" s="2174">
        <f t="shared" si="24"/>
        <v>1566800</v>
      </c>
      <c r="AA185" s="2174">
        <f t="shared" si="25"/>
        <v>0</v>
      </c>
      <c r="AB185" s="2427">
        <v>2</v>
      </c>
      <c r="AC185" s="1504">
        <f t="shared" si="32"/>
        <v>8233200</v>
      </c>
      <c r="AD185" s="1503">
        <f t="shared" si="33"/>
        <v>0</v>
      </c>
      <c r="AE185" s="1503">
        <f t="shared" si="34"/>
        <v>0</v>
      </c>
      <c r="AF185" s="1502">
        <f t="shared" si="35"/>
        <v>0</v>
      </c>
    </row>
    <row r="186" spans="1:32" s="1474" customFormat="1" ht="23.25" customHeight="1">
      <c r="A186" s="2175">
        <v>121</v>
      </c>
      <c r="B186" s="2175" t="s">
        <v>2426</v>
      </c>
      <c r="C186" s="2416" t="s">
        <v>2670</v>
      </c>
      <c r="D186" s="2416">
        <v>12</v>
      </c>
      <c r="E186" s="2175">
        <v>22000000</v>
      </c>
      <c r="F186" s="2417">
        <f t="shared" si="16"/>
        <v>3960000</v>
      </c>
      <c r="G186" s="2418">
        <v>42173</v>
      </c>
      <c r="H186" s="2419">
        <v>0.18</v>
      </c>
      <c r="I186" s="2164">
        <v>12</v>
      </c>
      <c r="J186" s="2164">
        <v>8</v>
      </c>
      <c r="K186" s="2164">
        <f t="shared" si="41"/>
        <v>1833300</v>
      </c>
      <c r="L186" s="2164">
        <f t="shared" si="39"/>
        <v>330000</v>
      </c>
      <c r="M186" s="2172">
        <f t="shared" si="42"/>
        <v>14666400</v>
      </c>
      <c r="N186" s="2172">
        <f t="shared" si="18"/>
        <v>2640000</v>
      </c>
      <c r="O186" s="2171">
        <v>12833100</v>
      </c>
      <c r="P186" s="2171">
        <v>2310000</v>
      </c>
      <c r="Q186" s="2171"/>
      <c r="R186" s="3023">
        <v>1833300</v>
      </c>
      <c r="S186" s="3023">
        <v>330000</v>
      </c>
      <c r="T186" s="2173"/>
      <c r="U186" s="2174">
        <f t="shared" si="19"/>
        <v>14666400</v>
      </c>
      <c r="V186" s="2174">
        <f t="shared" si="20"/>
        <v>2640000</v>
      </c>
      <c r="W186" s="2174"/>
      <c r="X186" s="2174">
        <f t="shared" si="22"/>
        <v>7333600</v>
      </c>
      <c r="Y186" s="2174">
        <f t="shared" si="23"/>
        <v>100</v>
      </c>
      <c r="Z186" s="2174">
        <f t="shared" si="24"/>
        <v>0</v>
      </c>
      <c r="AA186" s="2174">
        <f t="shared" si="25"/>
        <v>0</v>
      </c>
      <c r="AB186" s="2427"/>
      <c r="AC186" s="1504">
        <f t="shared" si="32"/>
        <v>0</v>
      </c>
      <c r="AD186" s="1503">
        <f t="shared" si="33"/>
        <v>0</v>
      </c>
      <c r="AE186" s="1503">
        <f t="shared" si="34"/>
        <v>0</v>
      </c>
      <c r="AF186" s="1502">
        <f t="shared" si="35"/>
        <v>0</v>
      </c>
    </row>
    <row r="187" spans="1:32" s="1474" customFormat="1" ht="23.25" customHeight="1">
      <c r="A187" s="2175">
        <v>122</v>
      </c>
      <c r="B187" s="2175" t="s">
        <v>2414</v>
      </c>
      <c r="C187" s="2416" t="s">
        <v>2658</v>
      </c>
      <c r="D187" s="2416">
        <v>12</v>
      </c>
      <c r="E187" s="2175">
        <v>16500000</v>
      </c>
      <c r="F187" s="2417">
        <f t="shared" si="16"/>
        <v>2970000</v>
      </c>
      <c r="G187" s="2418">
        <v>42192</v>
      </c>
      <c r="H187" s="2419">
        <v>0.18</v>
      </c>
      <c r="I187" s="2164">
        <v>12</v>
      </c>
      <c r="J187" s="2164">
        <v>7</v>
      </c>
      <c r="K187" s="2164">
        <f t="shared" si="41"/>
        <v>1375000</v>
      </c>
      <c r="L187" s="2164">
        <f t="shared" si="39"/>
        <v>247500</v>
      </c>
      <c r="M187" s="2172">
        <f t="shared" si="17"/>
        <v>9625000</v>
      </c>
      <c r="N187" s="2172">
        <f t="shared" si="18"/>
        <v>1732500</v>
      </c>
      <c r="O187" s="2171">
        <v>8250000</v>
      </c>
      <c r="P187" s="2171">
        <v>1485000</v>
      </c>
      <c r="Q187" s="2171"/>
      <c r="R187" s="3023">
        <v>1375000</v>
      </c>
      <c r="S187" s="3023">
        <v>247500</v>
      </c>
      <c r="T187" s="2173"/>
      <c r="U187" s="2174">
        <f t="shared" si="19"/>
        <v>9625000</v>
      </c>
      <c r="V187" s="2174">
        <f t="shared" si="20"/>
        <v>1732500</v>
      </c>
      <c r="W187" s="2174"/>
      <c r="X187" s="2174">
        <f t="shared" si="22"/>
        <v>6875000</v>
      </c>
      <c r="Y187" s="2174">
        <f t="shared" si="23"/>
        <v>100</v>
      </c>
      <c r="Z187" s="2174">
        <f t="shared" si="24"/>
        <v>0</v>
      </c>
      <c r="AA187" s="2174">
        <f t="shared" si="25"/>
        <v>0</v>
      </c>
      <c r="AB187" s="2427"/>
      <c r="AC187" s="1504">
        <f t="shared" si="32"/>
        <v>0</v>
      </c>
      <c r="AD187" s="1503">
        <f t="shared" si="33"/>
        <v>0</v>
      </c>
      <c r="AE187" s="1503">
        <f t="shared" si="34"/>
        <v>0</v>
      </c>
      <c r="AF187" s="1502">
        <f t="shared" si="35"/>
        <v>0</v>
      </c>
    </row>
    <row r="188" spans="1:32" s="1474" customFormat="1" ht="23.25" customHeight="1">
      <c r="A188" s="2175">
        <v>123</v>
      </c>
      <c r="B188" s="2175" t="s">
        <v>2682</v>
      </c>
      <c r="C188" s="2416" t="s">
        <v>2658</v>
      </c>
      <c r="D188" s="2416">
        <v>10</v>
      </c>
      <c r="E188" s="2175">
        <v>7700000</v>
      </c>
      <c r="F188" s="2417">
        <f t="shared" si="16"/>
        <v>1386000</v>
      </c>
      <c r="G188" s="2418">
        <v>42192</v>
      </c>
      <c r="H188" s="2419">
        <v>0.18</v>
      </c>
      <c r="I188" s="2164">
        <v>12</v>
      </c>
      <c r="J188" s="2164">
        <v>7</v>
      </c>
      <c r="K188" s="2164">
        <f t="shared" si="41"/>
        <v>641700</v>
      </c>
      <c r="L188" s="2164">
        <f t="shared" si="39"/>
        <v>115500</v>
      </c>
      <c r="M188" s="2172">
        <f t="shared" si="17"/>
        <v>4491900</v>
      </c>
      <c r="N188" s="2172">
        <f t="shared" si="18"/>
        <v>808500</v>
      </c>
      <c r="O188" s="2171">
        <v>3850200</v>
      </c>
      <c r="P188" s="2171">
        <v>693000</v>
      </c>
      <c r="Q188" s="2171"/>
      <c r="R188" s="3023">
        <v>641700</v>
      </c>
      <c r="S188" s="3023">
        <v>115500</v>
      </c>
      <c r="T188" s="2173"/>
      <c r="U188" s="2174">
        <f t="shared" si="19"/>
        <v>4491900</v>
      </c>
      <c r="V188" s="2174">
        <f t="shared" si="20"/>
        <v>808500</v>
      </c>
      <c r="W188" s="2174"/>
      <c r="X188" s="2174">
        <f t="shared" si="22"/>
        <v>3208100</v>
      </c>
      <c r="Y188" s="2174">
        <f t="shared" si="23"/>
        <v>100</v>
      </c>
      <c r="Z188" s="2174">
        <f>SUM(M188-U188)</f>
        <v>0</v>
      </c>
      <c r="AA188" s="2174">
        <f t="shared" si="25"/>
        <v>0</v>
      </c>
      <c r="AB188" s="2427"/>
      <c r="AC188" s="1504">
        <f t="shared" si="32"/>
        <v>0</v>
      </c>
      <c r="AD188" s="1503">
        <f t="shared" si="33"/>
        <v>0</v>
      </c>
      <c r="AE188" s="1503">
        <f t="shared" si="34"/>
        <v>0</v>
      </c>
      <c r="AF188" s="1502">
        <f t="shared" si="35"/>
        <v>0</v>
      </c>
    </row>
    <row r="189" spans="1:32" s="1474" customFormat="1" ht="23.25" customHeight="1">
      <c r="A189" s="2175">
        <v>124</v>
      </c>
      <c r="B189" s="2175" t="s">
        <v>2455</v>
      </c>
      <c r="C189" s="2416" t="s">
        <v>2670</v>
      </c>
      <c r="D189" s="2416">
        <v>12</v>
      </c>
      <c r="E189" s="2175">
        <v>50000000</v>
      </c>
      <c r="F189" s="2417">
        <f t="shared" si="16"/>
        <v>9000000</v>
      </c>
      <c r="G189" s="2418">
        <v>42198</v>
      </c>
      <c r="H189" s="2419">
        <v>0.18</v>
      </c>
      <c r="I189" s="2164">
        <v>12</v>
      </c>
      <c r="J189" s="2164">
        <v>7</v>
      </c>
      <c r="K189" s="2164">
        <f>ROUND(E189/I189,-2)</f>
        <v>4166700</v>
      </c>
      <c r="L189" s="2164">
        <f t="shared" si="39"/>
        <v>750000</v>
      </c>
      <c r="M189" s="2172">
        <f t="shared" si="17"/>
        <v>29166900</v>
      </c>
      <c r="N189" s="2172">
        <f t="shared" si="18"/>
        <v>5250000</v>
      </c>
      <c r="O189" s="2171">
        <v>25000200</v>
      </c>
      <c r="P189" s="2171">
        <v>4500000</v>
      </c>
      <c r="Q189" s="2171"/>
      <c r="R189" s="3023">
        <v>4166700</v>
      </c>
      <c r="S189" s="3023">
        <v>750000</v>
      </c>
      <c r="T189" s="2173"/>
      <c r="U189" s="2174">
        <f t="shared" si="19"/>
        <v>29166900</v>
      </c>
      <c r="V189" s="2174">
        <f t="shared" si="20"/>
        <v>5250000</v>
      </c>
      <c r="W189" s="2174"/>
      <c r="X189" s="2174">
        <f t="shared" si="22"/>
        <v>20833100</v>
      </c>
      <c r="Y189" s="2174">
        <f t="shared" si="23"/>
        <v>100</v>
      </c>
      <c r="Z189" s="2174">
        <f t="shared" si="24"/>
        <v>0</v>
      </c>
      <c r="AA189" s="2174">
        <f t="shared" si="25"/>
        <v>0</v>
      </c>
      <c r="AB189" s="2427"/>
      <c r="AC189" s="1504">
        <f t="shared" si="32"/>
        <v>0</v>
      </c>
      <c r="AD189" s="1503">
        <f t="shared" si="33"/>
        <v>0</v>
      </c>
      <c r="AE189" s="1503">
        <f t="shared" si="34"/>
        <v>0</v>
      </c>
      <c r="AF189" s="1502">
        <f t="shared" si="35"/>
        <v>0</v>
      </c>
    </row>
    <row r="190" spans="1:32" s="1474" customFormat="1" ht="23.25" customHeight="1">
      <c r="A190" s="2175">
        <v>125</v>
      </c>
      <c r="B190" s="2175" t="s">
        <v>2684</v>
      </c>
      <c r="C190" s="2416" t="s">
        <v>2670</v>
      </c>
      <c r="D190" s="2416">
        <v>12</v>
      </c>
      <c r="E190" s="2175">
        <v>32000000</v>
      </c>
      <c r="F190" s="2417">
        <f t="shared" si="16"/>
        <v>5760000</v>
      </c>
      <c r="G190" s="2418">
        <v>42198</v>
      </c>
      <c r="H190" s="2419">
        <v>0.18</v>
      </c>
      <c r="I190" s="2164">
        <v>12</v>
      </c>
      <c r="J190" s="2164">
        <v>7</v>
      </c>
      <c r="K190" s="2164">
        <f t="shared" ref="K190:K201" si="43">ROUND(E190/I190,-2)</f>
        <v>2666700</v>
      </c>
      <c r="L190" s="2164">
        <f t="shared" si="39"/>
        <v>480000</v>
      </c>
      <c r="M190" s="2172">
        <f t="shared" si="17"/>
        <v>18666900</v>
      </c>
      <c r="N190" s="2172">
        <f t="shared" si="18"/>
        <v>3360000</v>
      </c>
      <c r="O190" s="2171">
        <v>16000200</v>
      </c>
      <c r="P190" s="2171">
        <v>2880000</v>
      </c>
      <c r="Q190" s="2171"/>
      <c r="R190" s="3023">
        <v>2666700</v>
      </c>
      <c r="S190" s="3023">
        <v>480000</v>
      </c>
      <c r="T190" s="2173"/>
      <c r="U190" s="2174">
        <f t="shared" si="19"/>
        <v>18666900</v>
      </c>
      <c r="V190" s="2174">
        <f t="shared" si="20"/>
        <v>3360000</v>
      </c>
      <c r="W190" s="2174"/>
      <c r="X190" s="2174">
        <f t="shared" si="22"/>
        <v>13333100</v>
      </c>
      <c r="Y190" s="2174">
        <f t="shared" si="23"/>
        <v>100</v>
      </c>
      <c r="Z190" s="2174">
        <f t="shared" si="24"/>
        <v>0</v>
      </c>
      <c r="AA190" s="2174">
        <f t="shared" si="25"/>
        <v>0</v>
      </c>
      <c r="AB190" s="2427"/>
      <c r="AC190" s="1504">
        <f t="shared" si="32"/>
        <v>0</v>
      </c>
      <c r="AD190" s="1503">
        <f t="shared" si="33"/>
        <v>0</v>
      </c>
      <c r="AE190" s="1503">
        <f t="shared" si="34"/>
        <v>0</v>
      </c>
      <c r="AF190" s="1502">
        <f t="shared" si="35"/>
        <v>0</v>
      </c>
    </row>
    <row r="191" spans="1:32" s="1474" customFormat="1" ht="23.25" customHeight="1">
      <c r="A191" s="2175">
        <v>126</v>
      </c>
      <c r="B191" s="2175" t="s">
        <v>1957</v>
      </c>
      <c r="C191" s="2416" t="s">
        <v>2670</v>
      </c>
      <c r="D191" s="2416">
        <v>12</v>
      </c>
      <c r="E191" s="2175">
        <v>30000000</v>
      </c>
      <c r="F191" s="2417">
        <f t="shared" si="16"/>
        <v>5400000</v>
      </c>
      <c r="G191" s="2418">
        <v>42199</v>
      </c>
      <c r="H191" s="2419">
        <v>0.18</v>
      </c>
      <c r="I191" s="2164">
        <v>12</v>
      </c>
      <c r="J191" s="2164">
        <v>7</v>
      </c>
      <c r="K191" s="2164">
        <f t="shared" si="43"/>
        <v>2500000</v>
      </c>
      <c r="L191" s="2164">
        <f t="shared" si="39"/>
        <v>450000</v>
      </c>
      <c r="M191" s="2172">
        <f t="shared" si="17"/>
        <v>17500000</v>
      </c>
      <c r="N191" s="2172">
        <f t="shared" si="18"/>
        <v>3150000</v>
      </c>
      <c r="O191" s="2171">
        <v>15000000</v>
      </c>
      <c r="P191" s="2171">
        <v>2700000</v>
      </c>
      <c r="Q191" s="2171"/>
      <c r="R191" s="3023">
        <v>2500000</v>
      </c>
      <c r="S191" s="3023">
        <v>450000</v>
      </c>
      <c r="T191" s="2173"/>
      <c r="U191" s="2174">
        <f t="shared" si="19"/>
        <v>17500000</v>
      </c>
      <c r="V191" s="2174">
        <f t="shared" si="20"/>
        <v>3150000</v>
      </c>
      <c r="W191" s="2174"/>
      <c r="X191" s="2174">
        <f t="shared" si="22"/>
        <v>12500000</v>
      </c>
      <c r="Y191" s="2174">
        <f t="shared" si="23"/>
        <v>100</v>
      </c>
      <c r="Z191" s="2174">
        <f t="shared" si="24"/>
        <v>0</v>
      </c>
      <c r="AA191" s="2174">
        <f t="shared" si="25"/>
        <v>0</v>
      </c>
      <c r="AB191" s="2427"/>
      <c r="AC191" s="1504">
        <f t="shared" si="32"/>
        <v>0</v>
      </c>
      <c r="AD191" s="1503">
        <f t="shared" si="33"/>
        <v>0</v>
      </c>
      <c r="AE191" s="1503">
        <f t="shared" si="34"/>
        <v>0</v>
      </c>
      <c r="AF191" s="1502">
        <f t="shared" si="35"/>
        <v>0</v>
      </c>
    </row>
    <row r="192" spans="1:32" s="1474" customFormat="1" ht="23.25" customHeight="1">
      <c r="A192" s="2175">
        <v>127</v>
      </c>
      <c r="B192" s="2175" t="s">
        <v>1944</v>
      </c>
      <c r="C192" s="2416" t="s">
        <v>2670</v>
      </c>
      <c r="D192" s="2416">
        <v>12</v>
      </c>
      <c r="E192" s="2175">
        <v>21000000</v>
      </c>
      <c r="F192" s="2417">
        <f t="shared" si="16"/>
        <v>3780000</v>
      </c>
      <c r="G192" s="3174" t="s">
        <v>2686</v>
      </c>
      <c r="H192" s="2419">
        <v>0.18</v>
      </c>
      <c r="I192" s="2164">
        <v>12</v>
      </c>
      <c r="J192" s="2164">
        <v>7</v>
      </c>
      <c r="K192" s="2164">
        <f t="shared" si="43"/>
        <v>1750000</v>
      </c>
      <c r="L192" s="2164">
        <f t="shared" si="39"/>
        <v>315000</v>
      </c>
      <c r="M192" s="2172">
        <f t="shared" si="17"/>
        <v>12250000</v>
      </c>
      <c r="N192" s="2172">
        <f t="shared" si="18"/>
        <v>2205000</v>
      </c>
      <c r="O192" s="2171">
        <v>10500000</v>
      </c>
      <c r="P192" s="2171">
        <v>1890000</v>
      </c>
      <c r="Q192" s="2171"/>
      <c r="R192" s="3023">
        <v>1750000</v>
      </c>
      <c r="S192" s="3023">
        <v>315000</v>
      </c>
      <c r="T192" s="2173"/>
      <c r="U192" s="2174">
        <f t="shared" si="19"/>
        <v>12250000</v>
      </c>
      <c r="V192" s="2174">
        <f t="shared" si="20"/>
        <v>2205000</v>
      </c>
      <c r="W192" s="2174"/>
      <c r="X192" s="2174">
        <f t="shared" si="22"/>
        <v>8750000</v>
      </c>
      <c r="Y192" s="2174">
        <f t="shared" si="23"/>
        <v>100</v>
      </c>
      <c r="Z192" s="2174">
        <f t="shared" si="24"/>
        <v>0</v>
      </c>
      <c r="AA192" s="2174">
        <f t="shared" si="25"/>
        <v>0</v>
      </c>
      <c r="AB192" s="2427"/>
      <c r="AC192" s="1504">
        <f t="shared" si="32"/>
        <v>0</v>
      </c>
      <c r="AD192" s="1503">
        <f t="shared" si="33"/>
        <v>0</v>
      </c>
      <c r="AE192" s="1503">
        <f t="shared" si="34"/>
        <v>0</v>
      </c>
      <c r="AF192" s="1502">
        <f t="shared" si="35"/>
        <v>0</v>
      </c>
    </row>
    <row r="193" spans="1:32" s="1474" customFormat="1" ht="23.25" customHeight="1">
      <c r="A193" s="2175">
        <v>128</v>
      </c>
      <c r="B193" s="2175" t="s">
        <v>2314</v>
      </c>
      <c r="C193" s="2416" t="s">
        <v>2670</v>
      </c>
      <c r="D193" s="2416">
        <v>12</v>
      </c>
      <c r="E193" s="2175">
        <v>50000000</v>
      </c>
      <c r="F193" s="2417">
        <f>E193*H193</f>
        <v>9000000</v>
      </c>
      <c r="G193" s="2418">
        <v>42199</v>
      </c>
      <c r="H193" s="2419">
        <v>0.18</v>
      </c>
      <c r="I193" s="2164">
        <v>12</v>
      </c>
      <c r="J193" s="2164">
        <v>7</v>
      </c>
      <c r="K193" s="2164">
        <f t="shared" si="43"/>
        <v>4166700</v>
      </c>
      <c r="L193" s="2164">
        <f t="shared" si="39"/>
        <v>750000</v>
      </c>
      <c r="M193" s="2172">
        <f t="shared" si="17"/>
        <v>29166900</v>
      </c>
      <c r="N193" s="2172">
        <f t="shared" si="18"/>
        <v>5250000</v>
      </c>
      <c r="O193" s="2171">
        <v>25000200</v>
      </c>
      <c r="P193" s="2171">
        <v>4500000</v>
      </c>
      <c r="Q193" s="2171"/>
      <c r="R193" s="3023">
        <v>4166700</v>
      </c>
      <c r="S193" s="3023">
        <v>750000</v>
      </c>
      <c r="T193" s="2173"/>
      <c r="U193" s="2174">
        <f t="shared" si="19"/>
        <v>29166900</v>
      </c>
      <c r="V193" s="2174">
        <f t="shared" si="20"/>
        <v>5250000</v>
      </c>
      <c r="W193" s="2174"/>
      <c r="X193" s="2174">
        <f t="shared" si="22"/>
        <v>20833100</v>
      </c>
      <c r="Y193" s="2174">
        <f t="shared" si="23"/>
        <v>100</v>
      </c>
      <c r="Z193" s="2174">
        <f t="shared" si="24"/>
        <v>0</v>
      </c>
      <c r="AA193" s="2174">
        <f t="shared" si="25"/>
        <v>0</v>
      </c>
      <c r="AB193" s="2427"/>
      <c r="AC193" s="1504">
        <f t="shared" si="32"/>
        <v>0</v>
      </c>
      <c r="AD193" s="1503">
        <f t="shared" si="33"/>
        <v>0</v>
      </c>
      <c r="AE193" s="1503">
        <f t="shared" si="34"/>
        <v>0</v>
      </c>
      <c r="AF193" s="1502">
        <f t="shared" si="35"/>
        <v>0</v>
      </c>
    </row>
    <row r="194" spans="1:32" s="1474" customFormat="1" ht="23.25" customHeight="1">
      <c r="A194" s="2175">
        <v>129</v>
      </c>
      <c r="B194" s="2175" t="s">
        <v>2011</v>
      </c>
      <c r="C194" s="2416" t="s">
        <v>2670</v>
      </c>
      <c r="D194" s="2416">
        <v>12</v>
      </c>
      <c r="E194" s="2175">
        <v>25000000</v>
      </c>
      <c r="F194" s="2417">
        <f t="shared" ref="F194:F200" si="44">E194*H194</f>
        <v>4500000</v>
      </c>
      <c r="G194" s="2418">
        <v>42230</v>
      </c>
      <c r="H194" s="2419">
        <v>0.18</v>
      </c>
      <c r="I194" s="2164">
        <v>12</v>
      </c>
      <c r="J194" s="2164">
        <v>6</v>
      </c>
      <c r="K194" s="2164">
        <f t="shared" si="43"/>
        <v>2083300</v>
      </c>
      <c r="L194" s="2164">
        <f t="shared" ref="L194:L201" si="45">F194/I194</f>
        <v>375000</v>
      </c>
      <c r="M194" s="2172">
        <f t="shared" ref="M194:M200" si="46">IF(J194&lt;I194,J194*K194,IF(J194&gt;=I194,E194))</f>
        <v>12499800</v>
      </c>
      <c r="N194" s="2172">
        <f t="shared" ref="N194:N200" si="47">IF(J194&lt;I194,J194*L194,IF(J194&gt;=I194,F194))</f>
        <v>2250000</v>
      </c>
      <c r="O194" s="2171">
        <v>10416500</v>
      </c>
      <c r="P194" s="2171">
        <v>1875000</v>
      </c>
      <c r="Q194" s="2171"/>
      <c r="R194" s="3023">
        <v>2083300</v>
      </c>
      <c r="S194" s="3023">
        <v>375000</v>
      </c>
      <c r="T194" s="2173"/>
      <c r="U194" s="2174">
        <f t="shared" ref="U194:U201" si="48">SUM(O194+R194)</f>
        <v>12499800</v>
      </c>
      <c r="V194" s="2174">
        <f t="shared" ref="V194:V201" si="49">SUM(P194+S194)</f>
        <v>2250000</v>
      </c>
      <c r="W194" s="2174"/>
      <c r="X194" s="2174">
        <f t="shared" si="22"/>
        <v>12500200</v>
      </c>
      <c r="Y194" s="2174">
        <f t="shared" si="23"/>
        <v>100</v>
      </c>
      <c r="Z194" s="2174">
        <f t="shared" ref="Z194:Z200" si="50">SUM(M194-U194)</f>
        <v>0</v>
      </c>
      <c r="AA194" s="2174">
        <f t="shared" ref="AA194:AA200" si="51">SUM(N194-V194)</f>
        <v>0</v>
      </c>
      <c r="AB194" s="2427"/>
      <c r="AC194" s="1504">
        <f t="shared" ref="AC194:AC205" si="52">IF(AND(AB194&gt;0,AB194&lt;=2),X194,0)</f>
        <v>0</v>
      </c>
      <c r="AD194" s="1503">
        <f t="shared" ref="AD194:AD205" si="53">IF(AND(AB194&gt;=3,AB194&lt;=4),X194,0)</f>
        <v>0</v>
      </c>
      <c r="AE194" s="1503">
        <f t="shared" ref="AE194:AE205" si="54">IF(AND(AB194&gt;=5,AB194&lt;=6),X194,0)</f>
        <v>0</v>
      </c>
      <c r="AF194" s="1502">
        <f t="shared" ref="AF194:AF205" si="55">IF(AB194&gt;6,X194,0)</f>
        <v>0</v>
      </c>
    </row>
    <row r="195" spans="1:32" s="1474" customFormat="1" ht="23.25" customHeight="1">
      <c r="A195" s="2175">
        <v>130</v>
      </c>
      <c r="B195" s="2175" t="s">
        <v>2481</v>
      </c>
      <c r="C195" s="2416" t="s">
        <v>2670</v>
      </c>
      <c r="D195" s="2416">
        <v>12</v>
      </c>
      <c r="E195" s="2175">
        <v>35000000</v>
      </c>
      <c r="F195" s="2417">
        <f t="shared" si="44"/>
        <v>6300000</v>
      </c>
      <c r="G195" s="2418">
        <v>42261</v>
      </c>
      <c r="H195" s="2419">
        <v>0.18</v>
      </c>
      <c r="I195" s="2164">
        <v>12</v>
      </c>
      <c r="J195" s="2164">
        <v>5</v>
      </c>
      <c r="K195" s="2164">
        <f t="shared" si="43"/>
        <v>2916700</v>
      </c>
      <c r="L195" s="2164">
        <f t="shared" si="45"/>
        <v>525000</v>
      </c>
      <c r="M195" s="2172">
        <f t="shared" si="46"/>
        <v>14583500</v>
      </c>
      <c r="N195" s="2172">
        <f t="shared" si="47"/>
        <v>2625000</v>
      </c>
      <c r="O195" s="2171">
        <v>11666800</v>
      </c>
      <c r="P195" s="2171">
        <v>2100000</v>
      </c>
      <c r="Q195" s="2171"/>
      <c r="R195" s="3023">
        <v>2916700</v>
      </c>
      <c r="S195" s="3023">
        <v>525000</v>
      </c>
      <c r="T195" s="2173"/>
      <c r="U195" s="2174">
        <f t="shared" si="48"/>
        <v>14583500</v>
      </c>
      <c r="V195" s="2174">
        <f t="shared" si="49"/>
        <v>2625000</v>
      </c>
      <c r="W195" s="2174"/>
      <c r="X195" s="2174">
        <f t="shared" si="22"/>
        <v>20416500</v>
      </c>
      <c r="Y195" s="2174">
        <f t="shared" si="23"/>
        <v>100</v>
      </c>
      <c r="Z195" s="2174">
        <f t="shared" si="50"/>
        <v>0</v>
      </c>
      <c r="AA195" s="2174">
        <f t="shared" si="51"/>
        <v>0</v>
      </c>
      <c r="AB195" s="2427"/>
      <c r="AC195" s="1504">
        <f t="shared" si="52"/>
        <v>0</v>
      </c>
      <c r="AD195" s="1503">
        <f t="shared" si="53"/>
        <v>0</v>
      </c>
      <c r="AE195" s="1503">
        <f t="shared" si="54"/>
        <v>0</v>
      </c>
      <c r="AF195" s="1502">
        <f t="shared" si="55"/>
        <v>0</v>
      </c>
    </row>
    <row r="196" spans="1:32" s="1474" customFormat="1" ht="23.25" customHeight="1">
      <c r="A196" s="2175">
        <v>131</v>
      </c>
      <c r="B196" s="2175" t="s">
        <v>2715</v>
      </c>
      <c r="C196" s="2416" t="s">
        <v>2689</v>
      </c>
      <c r="D196" s="2416">
        <v>10</v>
      </c>
      <c r="E196" s="2175">
        <v>10000000</v>
      </c>
      <c r="F196" s="2417">
        <f t="shared" si="44"/>
        <v>1800000</v>
      </c>
      <c r="G196" s="2418">
        <v>42321</v>
      </c>
      <c r="H196" s="2419">
        <v>0.18</v>
      </c>
      <c r="I196" s="2164">
        <v>12</v>
      </c>
      <c r="J196" s="2164">
        <v>3</v>
      </c>
      <c r="K196" s="2164">
        <f t="shared" si="43"/>
        <v>833300</v>
      </c>
      <c r="L196" s="2164">
        <f t="shared" si="45"/>
        <v>150000</v>
      </c>
      <c r="M196" s="2172">
        <f t="shared" si="46"/>
        <v>2499900</v>
      </c>
      <c r="N196" s="2172">
        <f t="shared" si="47"/>
        <v>450000</v>
      </c>
      <c r="O196" s="2171">
        <v>1666600</v>
      </c>
      <c r="P196" s="2171">
        <v>300000</v>
      </c>
      <c r="Q196" s="2171"/>
      <c r="R196" s="3023">
        <v>833300</v>
      </c>
      <c r="S196" s="3023">
        <v>150000</v>
      </c>
      <c r="T196" s="2173"/>
      <c r="U196" s="2174">
        <f t="shared" si="48"/>
        <v>2499900</v>
      </c>
      <c r="V196" s="2174">
        <f t="shared" si="49"/>
        <v>450000</v>
      </c>
      <c r="W196" s="2174"/>
      <c r="X196" s="2174">
        <f t="shared" si="22"/>
        <v>7500100</v>
      </c>
      <c r="Y196" s="2174">
        <f t="shared" si="23"/>
        <v>100</v>
      </c>
      <c r="Z196" s="2174">
        <f t="shared" si="50"/>
        <v>0</v>
      </c>
      <c r="AA196" s="2174">
        <f t="shared" si="51"/>
        <v>0</v>
      </c>
      <c r="AB196" s="2427"/>
      <c r="AC196" s="1504">
        <f t="shared" si="52"/>
        <v>0</v>
      </c>
      <c r="AD196" s="1503">
        <f t="shared" si="53"/>
        <v>0</v>
      </c>
      <c r="AE196" s="1503">
        <f t="shared" si="54"/>
        <v>0</v>
      </c>
      <c r="AF196" s="1502">
        <f t="shared" si="55"/>
        <v>0</v>
      </c>
    </row>
    <row r="197" spans="1:32" s="1474" customFormat="1" ht="23.25" customHeight="1">
      <c r="A197" s="2175">
        <v>132</v>
      </c>
      <c r="B197" s="2175" t="s">
        <v>1999</v>
      </c>
      <c r="C197" s="2416" t="s">
        <v>2714</v>
      </c>
      <c r="D197" s="2416">
        <v>7</v>
      </c>
      <c r="E197" s="2175">
        <v>25000000</v>
      </c>
      <c r="F197" s="2417">
        <f t="shared" si="44"/>
        <v>4500000</v>
      </c>
      <c r="G197" s="2418">
        <v>42321</v>
      </c>
      <c r="H197" s="2419">
        <v>0.18</v>
      </c>
      <c r="I197" s="2164">
        <v>12</v>
      </c>
      <c r="J197" s="2164">
        <v>3</v>
      </c>
      <c r="K197" s="2164">
        <f t="shared" si="43"/>
        <v>2083300</v>
      </c>
      <c r="L197" s="2164">
        <f t="shared" si="45"/>
        <v>375000</v>
      </c>
      <c r="M197" s="2172">
        <f t="shared" si="46"/>
        <v>6249900</v>
      </c>
      <c r="N197" s="2172">
        <f t="shared" si="47"/>
        <v>1125000</v>
      </c>
      <c r="O197" s="2171">
        <v>4166600</v>
      </c>
      <c r="P197" s="2171">
        <v>750000</v>
      </c>
      <c r="Q197" s="2171"/>
      <c r="R197" s="3023">
        <v>2083300</v>
      </c>
      <c r="S197" s="3023">
        <v>375000</v>
      </c>
      <c r="T197" s="2173"/>
      <c r="U197" s="2174">
        <f t="shared" si="48"/>
        <v>6249900</v>
      </c>
      <c r="V197" s="2174">
        <f t="shared" si="49"/>
        <v>1125000</v>
      </c>
      <c r="W197" s="2174"/>
      <c r="X197" s="2174">
        <f t="shared" si="22"/>
        <v>18750100</v>
      </c>
      <c r="Y197" s="2174">
        <f t="shared" si="23"/>
        <v>100</v>
      </c>
      <c r="Z197" s="2174">
        <f t="shared" si="50"/>
        <v>0</v>
      </c>
      <c r="AA197" s="2174">
        <f t="shared" si="51"/>
        <v>0</v>
      </c>
      <c r="AB197" s="2427"/>
      <c r="AC197" s="1504">
        <f t="shared" si="52"/>
        <v>0</v>
      </c>
      <c r="AD197" s="1503">
        <f t="shared" si="53"/>
        <v>0</v>
      </c>
      <c r="AE197" s="1503">
        <f t="shared" si="54"/>
        <v>0</v>
      </c>
      <c r="AF197" s="1502">
        <f t="shared" si="55"/>
        <v>0</v>
      </c>
    </row>
    <row r="198" spans="1:32" s="1474" customFormat="1" ht="23.25" customHeight="1">
      <c r="A198" s="2175">
        <v>133</v>
      </c>
      <c r="B198" s="2175" t="s">
        <v>2318</v>
      </c>
      <c r="C198" s="2416" t="s">
        <v>2714</v>
      </c>
      <c r="D198" s="2416">
        <v>10</v>
      </c>
      <c r="E198" s="2175">
        <v>35000000</v>
      </c>
      <c r="F198" s="2417">
        <f t="shared" si="44"/>
        <v>6300000</v>
      </c>
      <c r="G198" s="2418">
        <v>42324</v>
      </c>
      <c r="H198" s="2419">
        <v>0.18</v>
      </c>
      <c r="I198" s="2164">
        <v>12</v>
      </c>
      <c r="J198" s="2164">
        <v>3</v>
      </c>
      <c r="K198" s="2164">
        <f t="shared" si="43"/>
        <v>2916700</v>
      </c>
      <c r="L198" s="2164">
        <f t="shared" si="45"/>
        <v>525000</v>
      </c>
      <c r="M198" s="2172">
        <f t="shared" si="46"/>
        <v>8750100</v>
      </c>
      <c r="N198" s="2172">
        <f t="shared" si="47"/>
        <v>1575000</v>
      </c>
      <c r="O198" s="2171">
        <v>5833400</v>
      </c>
      <c r="P198" s="2171">
        <v>1050000</v>
      </c>
      <c r="Q198" s="2171"/>
      <c r="R198" s="3023">
        <v>2916700</v>
      </c>
      <c r="S198" s="3023">
        <v>525000</v>
      </c>
      <c r="T198" s="2173"/>
      <c r="U198" s="2174">
        <f t="shared" si="48"/>
        <v>8750100</v>
      </c>
      <c r="V198" s="2174">
        <f t="shared" si="49"/>
        <v>1575000</v>
      </c>
      <c r="W198" s="2174"/>
      <c r="X198" s="2174">
        <f t="shared" si="22"/>
        <v>26249900</v>
      </c>
      <c r="Y198" s="2174">
        <f t="shared" si="23"/>
        <v>100</v>
      </c>
      <c r="Z198" s="2174">
        <f t="shared" si="50"/>
        <v>0</v>
      </c>
      <c r="AA198" s="2174">
        <f t="shared" si="51"/>
        <v>0</v>
      </c>
      <c r="AB198" s="2427"/>
      <c r="AC198" s="1504">
        <f t="shared" si="52"/>
        <v>0</v>
      </c>
      <c r="AD198" s="1503">
        <f t="shared" si="53"/>
        <v>0</v>
      </c>
      <c r="AE198" s="1503">
        <f t="shared" si="54"/>
        <v>0</v>
      </c>
      <c r="AF198" s="1502">
        <f t="shared" si="55"/>
        <v>0</v>
      </c>
    </row>
    <row r="199" spans="1:32" s="1474" customFormat="1" ht="23.25" customHeight="1">
      <c r="A199" s="2175">
        <v>134</v>
      </c>
      <c r="B199" s="2175" t="s">
        <v>1946</v>
      </c>
      <c r="C199" s="2416" t="s">
        <v>2714</v>
      </c>
      <c r="D199" s="2416">
        <v>10</v>
      </c>
      <c r="E199" s="2175">
        <v>30000000</v>
      </c>
      <c r="F199" s="2417">
        <f t="shared" si="44"/>
        <v>5400000</v>
      </c>
      <c r="G199" s="2418">
        <v>42324</v>
      </c>
      <c r="H199" s="2419">
        <v>0.18</v>
      </c>
      <c r="I199" s="2164">
        <v>12</v>
      </c>
      <c r="J199" s="2164">
        <v>3</v>
      </c>
      <c r="K199" s="2164">
        <f t="shared" si="43"/>
        <v>2500000</v>
      </c>
      <c r="L199" s="2164">
        <f t="shared" si="45"/>
        <v>450000</v>
      </c>
      <c r="M199" s="2172">
        <f t="shared" si="46"/>
        <v>7500000</v>
      </c>
      <c r="N199" s="2172">
        <f t="shared" si="47"/>
        <v>1350000</v>
      </c>
      <c r="O199" s="2171">
        <v>5000000</v>
      </c>
      <c r="P199" s="2171">
        <v>900000</v>
      </c>
      <c r="Q199" s="2171"/>
      <c r="R199" s="3023">
        <v>2500000</v>
      </c>
      <c r="S199" s="3023">
        <v>450000</v>
      </c>
      <c r="T199" s="2173"/>
      <c r="U199" s="2174">
        <f t="shared" si="48"/>
        <v>7500000</v>
      </c>
      <c r="V199" s="2174">
        <f t="shared" si="49"/>
        <v>1350000</v>
      </c>
      <c r="W199" s="2174"/>
      <c r="X199" s="2174">
        <f t="shared" si="22"/>
        <v>22500000</v>
      </c>
      <c r="Y199" s="2174">
        <f t="shared" si="23"/>
        <v>100</v>
      </c>
      <c r="Z199" s="2174">
        <f t="shared" si="50"/>
        <v>0</v>
      </c>
      <c r="AA199" s="2174">
        <f t="shared" si="51"/>
        <v>0</v>
      </c>
      <c r="AB199" s="2427"/>
      <c r="AC199" s="1504">
        <f t="shared" si="52"/>
        <v>0</v>
      </c>
      <c r="AD199" s="1503">
        <f t="shared" si="53"/>
        <v>0</v>
      </c>
      <c r="AE199" s="1503">
        <f t="shared" si="54"/>
        <v>0</v>
      </c>
      <c r="AF199" s="1502">
        <f t="shared" si="55"/>
        <v>0</v>
      </c>
    </row>
    <row r="200" spans="1:32" s="1474" customFormat="1" ht="23.25" customHeight="1">
      <c r="A200" s="2175">
        <v>135</v>
      </c>
      <c r="B200" s="2175" t="s">
        <v>2228</v>
      </c>
      <c r="C200" s="2416" t="s">
        <v>2689</v>
      </c>
      <c r="D200" s="2416">
        <v>9</v>
      </c>
      <c r="E200" s="2175">
        <v>30000000</v>
      </c>
      <c r="F200" s="2417">
        <f t="shared" si="44"/>
        <v>5400000</v>
      </c>
      <c r="G200" s="2418">
        <v>42325</v>
      </c>
      <c r="H200" s="2419">
        <v>0.18</v>
      </c>
      <c r="I200" s="2164">
        <v>12</v>
      </c>
      <c r="J200" s="2164">
        <v>3</v>
      </c>
      <c r="K200" s="2164">
        <f t="shared" si="43"/>
        <v>2500000</v>
      </c>
      <c r="L200" s="2164">
        <f t="shared" si="45"/>
        <v>450000</v>
      </c>
      <c r="M200" s="2172">
        <f t="shared" si="46"/>
        <v>7500000</v>
      </c>
      <c r="N200" s="2172">
        <f t="shared" si="47"/>
        <v>1350000</v>
      </c>
      <c r="O200" s="2171">
        <v>5000000</v>
      </c>
      <c r="P200" s="2171">
        <v>900000</v>
      </c>
      <c r="Q200" s="2171"/>
      <c r="R200" s="3023">
        <v>2500000</v>
      </c>
      <c r="S200" s="3023">
        <v>450000</v>
      </c>
      <c r="T200" s="2173"/>
      <c r="U200" s="2174">
        <f t="shared" si="48"/>
        <v>7500000</v>
      </c>
      <c r="V200" s="2174">
        <f t="shared" si="49"/>
        <v>1350000</v>
      </c>
      <c r="W200" s="2174"/>
      <c r="X200" s="2174">
        <f t="shared" si="22"/>
        <v>22500000</v>
      </c>
      <c r="Y200" s="2174">
        <f t="shared" si="23"/>
        <v>100</v>
      </c>
      <c r="Z200" s="2174">
        <f t="shared" si="50"/>
        <v>0</v>
      </c>
      <c r="AA200" s="2174">
        <f t="shared" si="51"/>
        <v>0</v>
      </c>
      <c r="AB200" s="2427"/>
      <c r="AC200" s="1504">
        <f t="shared" si="52"/>
        <v>0</v>
      </c>
      <c r="AD200" s="1503">
        <f t="shared" si="53"/>
        <v>0</v>
      </c>
      <c r="AE200" s="1503">
        <f t="shared" si="54"/>
        <v>0</v>
      </c>
      <c r="AF200" s="1502">
        <f t="shared" si="55"/>
        <v>0</v>
      </c>
    </row>
    <row r="201" spans="1:32" s="1474" customFormat="1" ht="23.25" customHeight="1">
      <c r="A201" s="2175">
        <v>136</v>
      </c>
      <c r="B201" s="2175" t="s">
        <v>1993</v>
      </c>
      <c r="C201" s="2416" t="s">
        <v>2689</v>
      </c>
      <c r="D201" s="2416">
        <v>10</v>
      </c>
      <c r="E201" s="2175">
        <v>50000000</v>
      </c>
      <c r="F201" s="2417">
        <f t="shared" si="16"/>
        <v>9000000</v>
      </c>
      <c r="G201" s="2418">
        <v>42326</v>
      </c>
      <c r="H201" s="2419">
        <v>0.18</v>
      </c>
      <c r="I201" s="2164">
        <v>12</v>
      </c>
      <c r="J201" s="2164">
        <v>3</v>
      </c>
      <c r="K201" s="2164">
        <f t="shared" si="43"/>
        <v>4166700</v>
      </c>
      <c r="L201" s="2164">
        <f t="shared" si="45"/>
        <v>750000</v>
      </c>
      <c r="M201" s="2172">
        <f t="shared" si="17"/>
        <v>12500100</v>
      </c>
      <c r="N201" s="2172">
        <f t="shared" si="18"/>
        <v>2250000</v>
      </c>
      <c r="O201" s="2171">
        <v>8333400</v>
      </c>
      <c r="P201" s="2171">
        <v>1500000</v>
      </c>
      <c r="Q201" s="2171"/>
      <c r="R201" s="3023">
        <v>4166700</v>
      </c>
      <c r="S201" s="3023">
        <v>750000</v>
      </c>
      <c r="T201" s="2173"/>
      <c r="U201" s="2174">
        <f t="shared" si="48"/>
        <v>12500100</v>
      </c>
      <c r="V201" s="2174">
        <f t="shared" si="49"/>
        <v>2250000</v>
      </c>
      <c r="W201" s="2174"/>
      <c r="X201" s="2174">
        <f t="shared" si="22"/>
        <v>37499900</v>
      </c>
      <c r="Y201" s="2174">
        <f t="shared" si="23"/>
        <v>100</v>
      </c>
      <c r="Z201" s="2174">
        <f t="shared" si="24"/>
        <v>0</v>
      </c>
      <c r="AA201" s="2174">
        <f t="shared" si="25"/>
        <v>0</v>
      </c>
      <c r="AB201" s="2427"/>
      <c r="AC201" s="1504">
        <f t="shared" si="52"/>
        <v>0</v>
      </c>
      <c r="AD201" s="1503">
        <f t="shared" si="53"/>
        <v>0</v>
      </c>
      <c r="AE201" s="1503">
        <f t="shared" si="54"/>
        <v>0</v>
      </c>
      <c r="AF201" s="1502">
        <f t="shared" si="55"/>
        <v>0</v>
      </c>
    </row>
    <row r="202" spans="1:32" s="1474" customFormat="1" ht="23.25" customHeight="1">
      <c r="A202" s="2175">
        <v>137</v>
      </c>
      <c r="B202" s="2175" t="s">
        <v>2725</v>
      </c>
      <c r="C202" s="2416" t="s">
        <v>2714</v>
      </c>
      <c r="D202" s="2416">
        <v>12</v>
      </c>
      <c r="E202" s="2175">
        <v>40000000</v>
      </c>
      <c r="F202" s="2417">
        <f t="shared" si="16"/>
        <v>7200000</v>
      </c>
      <c r="G202" s="2418">
        <v>42383</v>
      </c>
      <c r="H202" s="2419">
        <v>0.18</v>
      </c>
      <c r="I202" s="2164">
        <v>12</v>
      </c>
      <c r="J202" s="2164">
        <v>1</v>
      </c>
      <c r="K202" s="2164">
        <f t="shared" ref="K202:K212" si="56">ROUND(E202/I202,-2)</f>
        <v>3333300</v>
      </c>
      <c r="L202" s="2164">
        <f t="shared" ref="L202:L212" si="57">F202/I202</f>
        <v>600000</v>
      </c>
      <c r="M202" s="2172">
        <f t="shared" ref="M202:M205" si="58">IF(J202&lt;I202,J202*K202,IF(J202&gt;=I202,E202))</f>
        <v>3333300</v>
      </c>
      <c r="N202" s="2172">
        <f t="shared" ref="N202:N205" si="59">IF(J202&lt;I202,J202*L202,IF(J202&gt;=I202,F202))</f>
        <v>600000</v>
      </c>
      <c r="O202" s="2171"/>
      <c r="P202" s="2171"/>
      <c r="Q202" s="2171"/>
      <c r="R202" s="3023">
        <v>3333300</v>
      </c>
      <c r="S202" s="3023">
        <v>600000</v>
      </c>
      <c r="T202" s="2173"/>
      <c r="U202" s="2174">
        <f t="shared" ref="U202:U205" si="60">SUM(O202+R202)</f>
        <v>3333300</v>
      </c>
      <c r="V202" s="2174">
        <f t="shared" ref="V202:V205" si="61">SUM(P202+S202)</f>
        <v>600000</v>
      </c>
      <c r="W202" s="2174"/>
      <c r="X202" s="2174">
        <f t="shared" ref="X202:X213" si="62">SUM(E202-U202)</f>
        <v>36666700</v>
      </c>
      <c r="Y202" s="2174">
        <f t="shared" ref="Y202:Y205" si="63">SUM(U202/M202)*100</f>
        <v>100</v>
      </c>
      <c r="Z202" s="2174">
        <f t="shared" ref="Z202:Z205" si="64">SUM(M202-U202)</f>
        <v>0</v>
      </c>
      <c r="AA202" s="2174">
        <f t="shared" ref="AA202:AA205" si="65">SUM(N202-V202)</f>
        <v>0</v>
      </c>
      <c r="AB202" s="2427"/>
      <c r="AC202" s="1504">
        <f t="shared" si="52"/>
        <v>0</v>
      </c>
      <c r="AD202" s="1503">
        <f t="shared" si="53"/>
        <v>0</v>
      </c>
      <c r="AE202" s="1503">
        <f t="shared" si="54"/>
        <v>0</v>
      </c>
      <c r="AF202" s="1502">
        <f t="shared" si="55"/>
        <v>0</v>
      </c>
    </row>
    <row r="203" spans="1:32" s="1474" customFormat="1" ht="23.25" customHeight="1">
      <c r="A203" s="2175">
        <v>138</v>
      </c>
      <c r="B203" s="2175" t="s">
        <v>1941</v>
      </c>
      <c r="C203" s="2416" t="s">
        <v>2714</v>
      </c>
      <c r="D203" s="2416">
        <v>12</v>
      </c>
      <c r="E203" s="2175">
        <v>38000000</v>
      </c>
      <c r="F203" s="2417">
        <f t="shared" si="16"/>
        <v>6840000</v>
      </c>
      <c r="G203" s="2418">
        <v>42383</v>
      </c>
      <c r="H203" s="2419">
        <v>0.18</v>
      </c>
      <c r="I203" s="2164">
        <v>12</v>
      </c>
      <c r="J203" s="2164">
        <v>1</v>
      </c>
      <c r="K203" s="2164">
        <f t="shared" si="56"/>
        <v>3166700</v>
      </c>
      <c r="L203" s="2164">
        <f t="shared" si="57"/>
        <v>570000</v>
      </c>
      <c r="M203" s="2172">
        <f t="shared" si="58"/>
        <v>3166700</v>
      </c>
      <c r="N203" s="2172">
        <f t="shared" si="59"/>
        <v>570000</v>
      </c>
      <c r="O203" s="2171"/>
      <c r="P203" s="2171"/>
      <c r="Q203" s="2171"/>
      <c r="R203" s="3023">
        <v>3166700</v>
      </c>
      <c r="S203" s="3023">
        <v>570000</v>
      </c>
      <c r="T203" s="2173"/>
      <c r="U203" s="2174">
        <f t="shared" si="60"/>
        <v>3166700</v>
      </c>
      <c r="V203" s="2174">
        <f t="shared" si="61"/>
        <v>570000</v>
      </c>
      <c r="W203" s="2174"/>
      <c r="X203" s="2174">
        <f t="shared" si="62"/>
        <v>34833300</v>
      </c>
      <c r="Y203" s="2174">
        <f t="shared" si="63"/>
        <v>100</v>
      </c>
      <c r="Z203" s="2174">
        <f t="shared" si="64"/>
        <v>0</v>
      </c>
      <c r="AA203" s="2174">
        <f t="shared" si="65"/>
        <v>0</v>
      </c>
      <c r="AB203" s="2427"/>
      <c r="AC203" s="1504">
        <f t="shared" si="52"/>
        <v>0</v>
      </c>
      <c r="AD203" s="1503">
        <f t="shared" si="53"/>
        <v>0</v>
      </c>
      <c r="AE203" s="1503">
        <f t="shared" si="54"/>
        <v>0</v>
      </c>
      <c r="AF203" s="1502">
        <f t="shared" si="55"/>
        <v>0</v>
      </c>
    </row>
    <row r="204" spans="1:32" s="1474" customFormat="1" ht="23.25" customHeight="1">
      <c r="A204" s="2175">
        <v>139</v>
      </c>
      <c r="B204" s="2175" t="s">
        <v>1956</v>
      </c>
      <c r="C204" s="2416" t="s">
        <v>2714</v>
      </c>
      <c r="D204" s="2416">
        <v>9</v>
      </c>
      <c r="E204" s="2175">
        <v>31500000</v>
      </c>
      <c r="F204" s="2417">
        <f t="shared" si="16"/>
        <v>5670000</v>
      </c>
      <c r="G204" s="2418">
        <v>42403</v>
      </c>
      <c r="H204" s="2419">
        <v>0.18</v>
      </c>
      <c r="I204" s="2164">
        <v>12</v>
      </c>
      <c r="J204" s="2164"/>
      <c r="K204" s="2164">
        <f t="shared" si="56"/>
        <v>2625000</v>
      </c>
      <c r="L204" s="2164">
        <f t="shared" si="57"/>
        <v>472500</v>
      </c>
      <c r="M204" s="2172">
        <f t="shared" si="58"/>
        <v>0</v>
      </c>
      <c r="N204" s="2172">
        <f t="shared" si="59"/>
        <v>0</v>
      </c>
      <c r="O204" s="2171"/>
      <c r="P204" s="2171"/>
      <c r="Q204" s="2171"/>
      <c r="R204" s="2649"/>
      <c r="S204" s="2649"/>
      <c r="T204" s="2173"/>
      <c r="U204" s="2174">
        <f t="shared" si="60"/>
        <v>0</v>
      </c>
      <c r="V204" s="2174">
        <f t="shared" si="61"/>
        <v>0</v>
      </c>
      <c r="W204" s="2174"/>
      <c r="X204" s="2174">
        <f t="shared" si="62"/>
        <v>31500000</v>
      </c>
      <c r="Y204" s="2174" t="e">
        <f t="shared" si="63"/>
        <v>#DIV/0!</v>
      </c>
      <c r="Z204" s="2174">
        <f t="shared" si="64"/>
        <v>0</v>
      </c>
      <c r="AA204" s="2174">
        <f t="shared" si="65"/>
        <v>0</v>
      </c>
      <c r="AB204" s="2427"/>
      <c r="AC204" s="1504">
        <f t="shared" si="52"/>
        <v>0</v>
      </c>
      <c r="AD204" s="1503">
        <f t="shared" si="53"/>
        <v>0</v>
      </c>
      <c r="AE204" s="1503">
        <f t="shared" si="54"/>
        <v>0</v>
      </c>
      <c r="AF204" s="1502">
        <f t="shared" si="55"/>
        <v>0</v>
      </c>
    </row>
    <row r="205" spans="1:32" s="1474" customFormat="1" ht="23.25" customHeight="1">
      <c r="A205" s="2175">
        <v>140</v>
      </c>
      <c r="B205" s="2175" t="s">
        <v>2320</v>
      </c>
      <c r="C205" s="2416" t="s">
        <v>2954</v>
      </c>
      <c r="D205" s="2416">
        <v>10</v>
      </c>
      <c r="E205" s="2175">
        <v>15000000</v>
      </c>
      <c r="F205" s="2417">
        <f t="shared" si="16"/>
        <v>2700000</v>
      </c>
      <c r="G205" s="2418">
        <v>42412</v>
      </c>
      <c r="H205" s="2419">
        <v>0.18</v>
      </c>
      <c r="I205" s="2164">
        <v>12</v>
      </c>
      <c r="J205" s="2164"/>
      <c r="K205" s="2164">
        <f t="shared" si="56"/>
        <v>1250000</v>
      </c>
      <c r="L205" s="2164">
        <f t="shared" si="57"/>
        <v>225000</v>
      </c>
      <c r="M205" s="2172">
        <f t="shared" si="58"/>
        <v>0</v>
      </c>
      <c r="N205" s="2172">
        <f t="shared" si="59"/>
        <v>0</v>
      </c>
      <c r="O205" s="2171"/>
      <c r="P205" s="2171"/>
      <c r="Q205" s="2171"/>
      <c r="R205" s="2649"/>
      <c r="S205" s="2649"/>
      <c r="T205" s="2173"/>
      <c r="U205" s="2174">
        <f t="shared" si="60"/>
        <v>0</v>
      </c>
      <c r="V205" s="2174">
        <f t="shared" si="61"/>
        <v>0</v>
      </c>
      <c r="W205" s="2174"/>
      <c r="X205" s="2174">
        <f t="shared" si="62"/>
        <v>15000000</v>
      </c>
      <c r="Y205" s="2174" t="e">
        <f t="shared" si="63"/>
        <v>#DIV/0!</v>
      </c>
      <c r="Z205" s="2174">
        <f t="shared" si="64"/>
        <v>0</v>
      </c>
      <c r="AA205" s="2174">
        <f t="shared" si="65"/>
        <v>0</v>
      </c>
      <c r="AB205" s="2427"/>
      <c r="AC205" s="1504">
        <f t="shared" si="52"/>
        <v>0</v>
      </c>
      <c r="AD205" s="1503">
        <f t="shared" si="53"/>
        <v>0</v>
      </c>
      <c r="AE205" s="1503">
        <f t="shared" si="54"/>
        <v>0</v>
      </c>
      <c r="AF205" s="1502">
        <f t="shared" si="55"/>
        <v>0</v>
      </c>
    </row>
    <row r="206" spans="1:32" s="1474" customFormat="1" ht="23.25" customHeight="1">
      <c r="A206" s="2175"/>
      <c r="B206" s="2175"/>
      <c r="C206" s="2416"/>
      <c r="D206" s="2416"/>
      <c r="E206" s="2175"/>
      <c r="F206" s="2417">
        <f t="shared" si="16"/>
        <v>0</v>
      </c>
      <c r="G206" s="2418"/>
      <c r="H206" s="2419"/>
      <c r="I206" s="2164"/>
      <c r="J206" s="2164"/>
      <c r="K206" s="2164" t="e">
        <f t="shared" si="56"/>
        <v>#DIV/0!</v>
      </c>
      <c r="L206" s="2164" t="e">
        <f t="shared" si="57"/>
        <v>#DIV/0!</v>
      </c>
      <c r="M206" s="2172">
        <f t="shared" ref="M206:M211" si="66">IF(J206&lt;I206,J206*K206,IF(J206&gt;=I206,E206))</f>
        <v>0</v>
      </c>
      <c r="N206" s="2172">
        <f t="shared" ref="N206:N211" si="67">IF(J206&lt;I206,J206*L206,IF(J206&gt;=I206,F206))</f>
        <v>0</v>
      </c>
      <c r="O206" s="2171"/>
      <c r="P206" s="2171"/>
      <c r="Q206" s="2171"/>
      <c r="R206" s="2649"/>
      <c r="S206" s="2649"/>
      <c r="T206" s="2173"/>
      <c r="U206" s="2174">
        <f t="shared" ref="U206:U211" si="68">SUM(O206+R206)</f>
        <v>0</v>
      </c>
      <c r="V206" s="2174">
        <f t="shared" ref="V206:V211" si="69">SUM(P206+S206)</f>
        <v>0</v>
      </c>
      <c r="W206" s="2174"/>
      <c r="X206" s="2174">
        <f t="shared" si="62"/>
        <v>0</v>
      </c>
      <c r="Y206" s="2174" t="e">
        <f t="shared" ref="Y206:Y211" si="70">SUM(U206/M206)*100</f>
        <v>#DIV/0!</v>
      </c>
      <c r="Z206" s="2174">
        <f t="shared" ref="Z206:Z211" si="71">SUM(M206-U206)</f>
        <v>0</v>
      </c>
      <c r="AA206" s="2174">
        <f t="shared" ref="AA206:AA211" si="72">SUM(N206-V206)</f>
        <v>0</v>
      </c>
      <c r="AB206" s="2427"/>
      <c r="AC206" s="1504">
        <f t="shared" ref="AC206:AC211" si="73">IF(AND(AB206&gt;0,AB206&lt;=2),X206,0)</f>
        <v>0</v>
      </c>
      <c r="AD206" s="1503">
        <f t="shared" ref="AD206:AD211" si="74">IF(AND(AB206&gt;=3,AB206&lt;=4),X206,0)</f>
        <v>0</v>
      </c>
      <c r="AE206" s="1503">
        <f t="shared" ref="AE206:AE211" si="75">IF(AND(AB206&gt;=5,AB206&lt;=6),X206,0)</f>
        <v>0</v>
      </c>
      <c r="AF206" s="1502">
        <f t="shared" ref="AF206:AF211" si="76">IF(AB206&gt;6,X206,0)</f>
        <v>0</v>
      </c>
    </row>
    <row r="207" spans="1:32" s="1474" customFormat="1" ht="23.25" customHeight="1">
      <c r="A207" s="2175"/>
      <c r="B207" s="2175"/>
      <c r="C207" s="2416"/>
      <c r="D207" s="2416"/>
      <c r="E207" s="2175"/>
      <c r="F207" s="2417">
        <f t="shared" si="16"/>
        <v>0</v>
      </c>
      <c r="G207" s="2418"/>
      <c r="H207" s="2419"/>
      <c r="I207" s="2164"/>
      <c r="J207" s="2164"/>
      <c r="K207" s="2164" t="e">
        <f t="shared" si="56"/>
        <v>#DIV/0!</v>
      </c>
      <c r="L207" s="2164" t="e">
        <f t="shared" si="57"/>
        <v>#DIV/0!</v>
      </c>
      <c r="M207" s="2172">
        <f t="shared" si="66"/>
        <v>0</v>
      </c>
      <c r="N207" s="2172">
        <f t="shared" si="67"/>
        <v>0</v>
      </c>
      <c r="O207" s="2171"/>
      <c r="P207" s="2171"/>
      <c r="Q207" s="2171"/>
      <c r="R207" s="2649"/>
      <c r="S207" s="2649"/>
      <c r="T207" s="2173"/>
      <c r="U207" s="2174">
        <f t="shared" si="68"/>
        <v>0</v>
      </c>
      <c r="V207" s="2174">
        <f t="shared" si="69"/>
        <v>0</v>
      </c>
      <c r="W207" s="2174"/>
      <c r="X207" s="2174">
        <f t="shared" si="62"/>
        <v>0</v>
      </c>
      <c r="Y207" s="2174" t="e">
        <f t="shared" si="70"/>
        <v>#DIV/0!</v>
      </c>
      <c r="Z207" s="2174">
        <f t="shared" si="71"/>
        <v>0</v>
      </c>
      <c r="AA207" s="2174">
        <f t="shared" si="72"/>
        <v>0</v>
      </c>
      <c r="AB207" s="2427"/>
      <c r="AC207" s="1504">
        <f t="shared" si="73"/>
        <v>0</v>
      </c>
      <c r="AD207" s="1503">
        <f t="shared" si="74"/>
        <v>0</v>
      </c>
      <c r="AE207" s="1503">
        <f t="shared" si="75"/>
        <v>0</v>
      </c>
      <c r="AF207" s="1502">
        <f t="shared" si="76"/>
        <v>0</v>
      </c>
    </row>
    <row r="208" spans="1:32" s="1474" customFormat="1" ht="23.25" customHeight="1">
      <c r="A208" s="2175"/>
      <c r="B208" s="2175"/>
      <c r="C208" s="2416"/>
      <c r="D208" s="2416"/>
      <c r="E208" s="2175"/>
      <c r="F208" s="2417">
        <f t="shared" si="16"/>
        <v>0</v>
      </c>
      <c r="G208" s="2418"/>
      <c r="H208" s="2419"/>
      <c r="I208" s="2164"/>
      <c r="J208" s="2164"/>
      <c r="K208" s="2164" t="e">
        <f t="shared" si="56"/>
        <v>#DIV/0!</v>
      </c>
      <c r="L208" s="2164" t="e">
        <f t="shared" si="57"/>
        <v>#DIV/0!</v>
      </c>
      <c r="M208" s="2172">
        <f t="shared" si="66"/>
        <v>0</v>
      </c>
      <c r="N208" s="2172">
        <f t="shared" si="67"/>
        <v>0</v>
      </c>
      <c r="O208" s="2171"/>
      <c r="P208" s="2171"/>
      <c r="Q208" s="2171"/>
      <c r="R208" s="2649"/>
      <c r="S208" s="2649"/>
      <c r="T208" s="2173"/>
      <c r="U208" s="2174">
        <f t="shared" si="68"/>
        <v>0</v>
      </c>
      <c r="V208" s="2174">
        <f t="shared" si="69"/>
        <v>0</v>
      </c>
      <c r="W208" s="2174"/>
      <c r="X208" s="2174">
        <f t="shared" si="62"/>
        <v>0</v>
      </c>
      <c r="Y208" s="2174" t="e">
        <f t="shared" si="70"/>
        <v>#DIV/0!</v>
      </c>
      <c r="Z208" s="2174">
        <f t="shared" si="71"/>
        <v>0</v>
      </c>
      <c r="AA208" s="2174">
        <f t="shared" si="72"/>
        <v>0</v>
      </c>
      <c r="AB208" s="2427"/>
      <c r="AC208" s="1504">
        <f t="shared" si="73"/>
        <v>0</v>
      </c>
      <c r="AD208" s="1503">
        <f t="shared" si="74"/>
        <v>0</v>
      </c>
      <c r="AE208" s="1503">
        <f t="shared" si="75"/>
        <v>0</v>
      </c>
      <c r="AF208" s="1502">
        <f t="shared" si="76"/>
        <v>0</v>
      </c>
    </row>
    <row r="209" spans="1:32" s="1474" customFormat="1" ht="23.25" customHeight="1">
      <c r="A209" s="2175"/>
      <c r="B209" s="2175"/>
      <c r="C209" s="2416"/>
      <c r="D209" s="2416"/>
      <c r="E209" s="2175"/>
      <c r="F209" s="2417">
        <f t="shared" si="16"/>
        <v>0</v>
      </c>
      <c r="G209" s="2418"/>
      <c r="H209" s="2419"/>
      <c r="I209" s="2164"/>
      <c r="J209" s="2164"/>
      <c r="K209" s="2164" t="e">
        <f t="shared" si="56"/>
        <v>#DIV/0!</v>
      </c>
      <c r="L209" s="2164" t="e">
        <f t="shared" si="57"/>
        <v>#DIV/0!</v>
      </c>
      <c r="M209" s="2172">
        <f t="shared" si="66"/>
        <v>0</v>
      </c>
      <c r="N209" s="2172">
        <f t="shared" si="67"/>
        <v>0</v>
      </c>
      <c r="O209" s="2171"/>
      <c r="P209" s="2171"/>
      <c r="Q209" s="2171"/>
      <c r="R209" s="2649"/>
      <c r="S209" s="2649"/>
      <c r="T209" s="2173"/>
      <c r="U209" s="2174">
        <f t="shared" si="68"/>
        <v>0</v>
      </c>
      <c r="V209" s="2174">
        <f t="shared" si="69"/>
        <v>0</v>
      </c>
      <c r="W209" s="2174"/>
      <c r="X209" s="2174">
        <f t="shared" si="62"/>
        <v>0</v>
      </c>
      <c r="Y209" s="2174" t="e">
        <f t="shared" si="70"/>
        <v>#DIV/0!</v>
      </c>
      <c r="Z209" s="2174">
        <f t="shared" si="71"/>
        <v>0</v>
      </c>
      <c r="AA209" s="2174">
        <f t="shared" si="72"/>
        <v>0</v>
      </c>
      <c r="AB209" s="2427"/>
      <c r="AC209" s="1504">
        <f t="shared" si="73"/>
        <v>0</v>
      </c>
      <c r="AD209" s="1503">
        <f t="shared" si="74"/>
        <v>0</v>
      </c>
      <c r="AE209" s="1503">
        <f t="shared" si="75"/>
        <v>0</v>
      </c>
      <c r="AF209" s="1502">
        <f t="shared" si="76"/>
        <v>0</v>
      </c>
    </row>
    <row r="210" spans="1:32" s="1474" customFormat="1" ht="23.25" customHeight="1">
      <c r="A210" s="2175"/>
      <c r="B210" s="2175"/>
      <c r="C210" s="2416"/>
      <c r="D210" s="2416"/>
      <c r="E210" s="2175"/>
      <c r="F210" s="2417">
        <f t="shared" si="16"/>
        <v>0</v>
      </c>
      <c r="G210" s="2418"/>
      <c r="H210" s="2419"/>
      <c r="I210" s="2164"/>
      <c r="J210" s="2164"/>
      <c r="K210" s="2164" t="e">
        <f t="shared" si="56"/>
        <v>#DIV/0!</v>
      </c>
      <c r="L210" s="2164" t="e">
        <f t="shared" si="57"/>
        <v>#DIV/0!</v>
      </c>
      <c r="M210" s="2172">
        <f t="shared" si="66"/>
        <v>0</v>
      </c>
      <c r="N210" s="2172">
        <f t="shared" si="67"/>
        <v>0</v>
      </c>
      <c r="O210" s="2171"/>
      <c r="P210" s="2171"/>
      <c r="Q210" s="2171"/>
      <c r="R210" s="2649"/>
      <c r="S210" s="2649"/>
      <c r="T210" s="2173"/>
      <c r="U210" s="2174">
        <f t="shared" si="68"/>
        <v>0</v>
      </c>
      <c r="V210" s="2174">
        <f t="shared" si="69"/>
        <v>0</v>
      </c>
      <c r="W210" s="2174"/>
      <c r="X210" s="2174">
        <f t="shared" si="62"/>
        <v>0</v>
      </c>
      <c r="Y210" s="2174" t="e">
        <f t="shared" si="70"/>
        <v>#DIV/0!</v>
      </c>
      <c r="Z210" s="2174">
        <f t="shared" si="71"/>
        <v>0</v>
      </c>
      <c r="AA210" s="2174">
        <f t="shared" si="72"/>
        <v>0</v>
      </c>
      <c r="AB210" s="2427"/>
      <c r="AC210" s="1504">
        <f t="shared" si="73"/>
        <v>0</v>
      </c>
      <c r="AD210" s="1503">
        <f t="shared" si="74"/>
        <v>0</v>
      </c>
      <c r="AE210" s="1503">
        <f t="shared" si="75"/>
        <v>0</v>
      </c>
      <c r="AF210" s="1502">
        <f t="shared" si="76"/>
        <v>0</v>
      </c>
    </row>
    <row r="211" spans="1:32" s="1474" customFormat="1" ht="23.25" customHeight="1">
      <c r="A211" s="2175"/>
      <c r="B211" s="2175"/>
      <c r="C211" s="2416"/>
      <c r="D211" s="2416"/>
      <c r="E211" s="2175"/>
      <c r="F211" s="2417">
        <f t="shared" si="16"/>
        <v>0</v>
      </c>
      <c r="G211" s="2418"/>
      <c r="H211" s="2419"/>
      <c r="I211" s="2164"/>
      <c r="J211" s="2164"/>
      <c r="K211" s="2164" t="e">
        <f t="shared" si="56"/>
        <v>#DIV/0!</v>
      </c>
      <c r="L211" s="2164" t="e">
        <f t="shared" si="57"/>
        <v>#DIV/0!</v>
      </c>
      <c r="M211" s="2172">
        <f t="shared" si="66"/>
        <v>0</v>
      </c>
      <c r="N211" s="2172">
        <f t="shared" si="67"/>
        <v>0</v>
      </c>
      <c r="O211" s="2171"/>
      <c r="P211" s="2171"/>
      <c r="Q211" s="2171"/>
      <c r="R211" s="2649"/>
      <c r="S211" s="2649"/>
      <c r="T211" s="2173"/>
      <c r="U211" s="2174">
        <f t="shared" si="68"/>
        <v>0</v>
      </c>
      <c r="V211" s="2174">
        <f t="shared" si="69"/>
        <v>0</v>
      </c>
      <c r="W211" s="2174"/>
      <c r="X211" s="2174">
        <f t="shared" si="62"/>
        <v>0</v>
      </c>
      <c r="Y211" s="2174" t="e">
        <f t="shared" si="70"/>
        <v>#DIV/0!</v>
      </c>
      <c r="Z211" s="2174">
        <f t="shared" si="71"/>
        <v>0</v>
      </c>
      <c r="AA211" s="2174">
        <f t="shared" si="72"/>
        <v>0</v>
      </c>
      <c r="AB211" s="2427"/>
      <c r="AC211" s="1504">
        <f t="shared" si="73"/>
        <v>0</v>
      </c>
      <c r="AD211" s="1503">
        <f t="shared" si="74"/>
        <v>0</v>
      </c>
      <c r="AE211" s="1503">
        <f t="shared" si="75"/>
        <v>0</v>
      </c>
      <c r="AF211" s="1502">
        <f t="shared" si="76"/>
        <v>0</v>
      </c>
    </row>
    <row r="212" spans="1:32" s="1474" customFormat="1" ht="23.25" customHeight="1">
      <c r="A212" s="2175"/>
      <c r="B212" s="2175"/>
      <c r="C212" s="2416"/>
      <c r="D212" s="2416"/>
      <c r="E212" s="2175"/>
      <c r="F212" s="2417">
        <f t="shared" si="16"/>
        <v>0</v>
      </c>
      <c r="G212" s="2418"/>
      <c r="H212" s="2419"/>
      <c r="I212" s="2164"/>
      <c r="J212" s="2164"/>
      <c r="K212" s="2164" t="e">
        <f t="shared" si="56"/>
        <v>#DIV/0!</v>
      </c>
      <c r="L212" s="2164" t="e">
        <f t="shared" si="57"/>
        <v>#DIV/0!</v>
      </c>
      <c r="M212" s="2172">
        <f t="shared" si="17"/>
        <v>0</v>
      </c>
      <c r="N212" s="2172">
        <f t="shared" si="18"/>
        <v>0</v>
      </c>
      <c r="O212" s="2171"/>
      <c r="P212" s="2171"/>
      <c r="Q212" s="2171"/>
      <c r="R212" s="2649"/>
      <c r="S212" s="2649"/>
      <c r="T212" s="2173"/>
      <c r="U212" s="2174">
        <f t="shared" si="19"/>
        <v>0</v>
      </c>
      <c r="V212" s="2174">
        <f t="shared" si="20"/>
        <v>0</v>
      </c>
      <c r="W212" s="2174"/>
      <c r="X212" s="2174">
        <f t="shared" si="62"/>
        <v>0</v>
      </c>
      <c r="Y212" s="2174" t="e">
        <f t="shared" si="23"/>
        <v>#DIV/0!</v>
      </c>
      <c r="Z212" s="2174">
        <f t="shared" si="24"/>
        <v>0</v>
      </c>
      <c r="AA212" s="2174">
        <f t="shared" si="25"/>
        <v>0</v>
      </c>
      <c r="AB212" s="2427"/>
      <c r="AC212" s="1504">
        <f t="shared" si="32"/>
        <v>0</v>
      </c>
      <c r="AD212" s="1503">
        <f t="shared" si="33"/>
        <v>0</v>
      </c>
      <c r="AE212" s="1503">
        <f t="shared" si="34"/>
        <v>0</v>
      </c>
      <c r="AF212" s="1502">
        <f t="shared" si="35"/>
        <v>0</v>
      </c>
    </row>
    <row r="213" spans="1:32" s="1474" customFormat="1" ht="23.25" customHeight="1" thickBot="1">
      <c r="A213" s="2173"/>
      <c r="B213" s="2173"/>
      <c r="C213" s="2416"/>
      <c r="D213" s="2423"/>
      <c r="E213" s="2173"/>
      <c r="F213" s="2417">
        <f t="shared" si="16"/>
        <v>0</v>
      </c>
      <c r="G213" s="2418"/>
      <c r="H213" s="2433"/>
      <c r="I213" s="2423"/>
      <c r="J213" s="2423"/>
      <c r="K213" s="2164"/>
      <c r="L213" s="2164"/>
      <c r="M213" s="2172">
        <f t="shared" si="17"/>
        <v>0</v>
      </c>
      <c r="N213" s="2172">
        <f t="shared" si="18"/>
        <v>0</v>
      </c>
      <c r="O213" s="2175"/>
      <c r="P213" s="2175"/>
      <c r="Q213" s="2175"/>
      <c r="R213" s="2173"/>
      <c r="S213" s="2173"/>
      <c r="T213" s="2173"/>
      <c r="U213" s="2174">
        <f t="shared" si="19"/>
        <v>0</v>
      </c>
      <c r="V213" s="2174">
        <f t="shared" si="20"/>
        <v>0</v>
      </c>
      <c r="W213" s="2174"/>
      <c r="X213" s="2174">
        <f t="shared" si="62"/>
        <v>0</v>
      </c>
      <c r="Y213" s="2174" t="e">
        <f t="shared" si="23"/>
        <v>#DIV/0!</v>
      </c>
      <c r="Z213" s="2174">
        <f t="shared" si="24"/>
        <v>0</v>
      </c>
      <c r="AA213" s="2174">
        <f t="shared" si="25"/>
        <v>0</v>
      </c>
      <c r="AB213" s="2428"/>
      <c r="AC213" s="1504">
        <f t="shared" ref="AC213" si="77">IF(AND(AB213&gt;0,AB213&lt;=2),X213,0)</f>
        <v>0</v>
      </c>
      <c r="AD213" s="1503">
        <f t="shared" ref="AD213" si="78">IF(AND(AB213&gt;=3,AB213&lt;=4),X213,0)</f>
        <v>0</v>
      </c>
      <c r="AE213" s="1503">
        <f t="shared" ref="AE213:AE214" si="79">IF(AND(AB213&gt;=5,AB213&lt;=6),X213,0)</f>
        <v>0</v>
      </c>
      <c r="AF213" s="1502">
        <f t="shared" ref="AF213" si="80">IF(AB213&gt;6,X213,0)</f>
        <v>0</v>
      </c>
    </row>
    <row r="214" spans="1:32" s="1474" customFormat="1" ht="11.25" customHeight="1" thickTop="1" thickBot="1">
      <c r="A214" s="2429"/>
      <c r="B214" s="2430"/>
      <c r="C214" s="2431"/>
      <c r="D214" s="2431"/>
      <c r="E214" s="2430"/>
      <c r="F214" s="2430"/>
      <c r="G214" s="2430"/>
      <c r="H214" s="2430"/>
      <c r="I214" s="2430"/>
      <c r="J214" s="2430"/>
      <c r="K214" s="2430"/>
      <c r="L214" s="2430"/>
      <c r="M214" s="2172">
        <f>IF(J214&lt;I214,J214*K214,IF(J214&gt;=I214,E214))</f>
        <v>0</v>
      </c>
      <c r="N214" s="2430"/>
      <c r="O214" s="2430"/>
      <c r="P214" s="2430"/>
      <c r="Q214" s="2430"/>
      <c r="R214" s="2430"/>
      <c r="S214" s="2430"/>
      <c r="T214" s="2430"/>
      <c r="U214" s="2430"/>
      <c r="V214" s="2430"/>
      <c r="W214" s="2430"/>
      <c r="X214" s="2430"/>
      <c r="Y214" s="2174" t="e">
        <f t="shared" ref="Y214" si="81">SUM(U214/M214)*100</f>
        <v>#DIV/0!</v>
      </c>
      <c r="Z214" s="2174">
        <f t="shared" ref="Z214" si="82">SUM(M214-U214)</f>
        <v>0</v>
      </c>
      <c r="AA214" s="2432"/>
      <c r="AB214" s="1484"/>
      <c r="AC214" s="1483"/>
      <c r="AD214" s="1483"/>
      <c r="AE214" s="1503">
        <f t="shared" si="79"/>
        <v>0</v>
      </c>
      <c r="AF214" s="1502">
        <f t="shared" ref="AF214" si="83">IF(AB214&gt;6,X214,0)</f>
        <v>0</v>
      </c>
    </row>
    <row r="215" spans="1:32" s="1474" customFormat="1" ht="33" customHeight="1" thickTop="1" thickBot="1">
      <c r="A215" s="3742" t="s">
        <v>934</v>
      </c>
      <c r="B215" s="3742"/>
      <c r="C215" s="3743"/>
      <c r="D215" s="1480">
        <f>SUM(D66:D213)</f>
        <v>853</v>
      </c>
      <c r="E215" s="1480">
        <f>SUM(E66:E213)</f>
        <v>2949100000</v>
      </c>
      <c r="F215" s="1480">
        <f>SUM(F66:F213)</f>
        <v>530838000</v>
      </c>
      <c r="G215" s="1481"/>
      <c r="H215" s="1481"/>
      <c r="I215" s="1481"/>
      <c r="J215" s="1481"/>
      <c r="K215" s="1481"/>
      <c r="L215" s="1481"/>
      <c r="M215" s="1480">
        <f t="shared" ref="M215:X215" si="84">SUM(M66:M213)</f>
        <v>2519300500</v>
      </c>
      <c r="N215" s="1480">
        <f t="shared" si="84"/>
        <v>427410000</v>
      </c>
      <c r="O215" s="1480">
        <f t="shared" si="84"/>
        <v>2417545300</v>
      </c>
      <c r="P215" s="1480">
        <f t="shared" si="84"/>
        <v>403621000</v>
      </c>
      <c r="Q215" s="1480">
        <f t="shared" si="84"/>
        <v>0</v>
      </c>
      <c r="R215" s="1480">
        <f t="shared" si="84"/>
        <v>60975100</v>
      </c>
      <c r="S215" s="1480">
        <f t="shared" si="84"/>
        <v>11244000</v>
      </c>
      <c r="T215" s="1480">
        <f t="shared" si="84"/>
        <v>0</v>
      </c>
      <c r="U215" s="1480">
        <f t="shared" si="84"/>
        <v>2478520400</v>
      </c>
      <c r="V215" s="2833">
        <f t="shared" si="84"/>
        <v>414865000</v>
      </c>
      <c r="W215" s="1480">
        <f t="shared" si="84"/>
        <v>0</v>
      </c>
      <c r="X215" s="1480">
        <f t="shared" si="84"/>
        <v>470579600</v>
      </c>
      <c r="Y215" s="1480">
        <f>SUM(U215/M215)*100</f>
        <v>98.38129274375963</v>
      </c>
      <c r="Z215" s="1480">
        <f>SUM(Z66:Z213)</f>
        <v>40780100</v>
      </c>
      <c r="AA215" s="1479">
        <f>SUM(AA66:AA213)</f>
        <v>6234500</v>
      </c>
      <c r="AB215" s="1478"/>
      <c r="AC215" s="1477">
        <f>SUM(AC66:AC213)</f>
        <v>8233200</v>
      </c>
      <c r="AD215" s="1476">
        <f>SUM(AD66:AD213)</f>
        <v>0</v>
      </c>
      <c r="AE215" s="1476">
        <f>SUM(AE66:AE213)</f>
        <v>0</v>
      </c>
      <c r="AF215" s="1475">
        <f>SUM(AF66:AF213)</f>
        <v>37255000</v>
      </c>
    </row>
    <row r="216" spans="1:32" s="1461" customFormat="1" ht="17.25" thickTop="1" thickBot="1">
      <c r="A216" s="3410" t="s">
        <v>1464</v>
      </c>
      <c r="B216" s="3410"/>
      <c r="C216" s="3410"/>
      <c r="D216" s="1473">
        <f>COUNT(D66:D213)</f>
        <v>80</v>
      </c>
      <c r="G216" s="1462"/>
      <c r="H216" s="1462"/>
      <c r="I216" s="1462"/>
      <c r="J216" s="1462"/>
      <c r="K216" s="1472"/>
      <c r="L216" s="1472"/>
      <c r="AB216" s="1462"/>
    </row>
    <row r="217" spans="1:32" s="1461" customFormat="1" ht="18.75" thickTop="1">
      <c r="A217" s="1465"/>
      <c r="B217" s="1465"/>
      <c r="C217" s="1466"/>
      <c r="D217" s="1466"/>
      <c r="E217" s="3410" t="s">
        <v>1463</v>
      </c>
      <c r="F217" s="3410"/>
      <c r="G217" s="3410"/>
      <c r="H217" s="3410"/>
      <c r="I217" s="3410"/>
      <c r="J217" s="3410"/>
      <c r="K217" s="3410"/>
      <c r="L217" s="3410"/>
      <c r="M217" s="3410"/>
      <c r="N217" s="3410"/>
      <c r="O217" s="1467"/>
      <c r="P217" s="1467"/>
      <c r="Q217" s="1467"/>
      <c r="R217" s="1467"/>
      <c r="S217" s="1467"/>
      <c r="T217" s="1467"/>
      <c r="U217" s="1471"/>
      <c r="V217" s="3410" t="s">
        <v>1462</v>
      </c>
      <c r="W217" s="3410"/>
      <c r="X217" s="3410"/>
      <c r="Y217" s="3410"/>
      <c r="Z217" s="1465"/>
      <c r="AA217" s="1465"/>
      <c r="AB217" s="1462"/>
    </row>
    <row r="218" spans="1:32" s="1461" customFormat="1" ht="57" customHeight="1">
      <c r="A218" s="1468"/>
      <c r="B218" s="1468"/>
      <c r="C218" s="1470"/>
      <c r="D218" s="1470"/>
      <c r="E218" s="1468"/>
      <c r="F218" s="1468"/>
      <c r="G218" s="1470"/>
      <c r="H218" s="1470"/>
      <c r="I218" s="1470"/>
      <c r="J218" s="1470"/>
      <c r="K218" s="1469"/>
      <c r="L218" s="1469"/>
      <c r="M218" s="1468"/>
      <c r="N218" s="1468"/>
      <c r="O218" s="1468"/>
      <c r="P218" s="1468"/>
      <c r="Q218" s="1468"/>
      <c r="R218" s="1468"/>
      <c r="S218" s="1468"/>
      <c r="T218" s="1468"/>
      <c r="U218" s="1468"/>
      <c r="V218" s="1468"/>
      <c r="W218" s="1468"/>
      <c r="X218" s="1468"/>
      <c r="Y218" s="1468"/>
      <c r="Z218" s="1468"/>
      <c r="AA218" s="1468"/>
      <c r="AB218" s="1462"/>
    </row>
    <row r="219" spans="1:32" s="1461" customFormat="1" ht="18">
      <c r="A219" s="1465"/>
      <c r="B219" s="1465"/>
      <c r="C219" s="1466"/>
      <c r="D219" s="1466"/>
      <c r="E219" s="3410" t="str">
        <f>E52</f>
        <v>Endang Taryana</v>
      </c>
      <c r="F219" s="3410"/>
      <c r="G219" s="3410"/>
      <c r="H219" s="3410"/>
      <c r="I219" s="3410"/>
      <c r="J219" s="3410"/>
      <c r="K219" s="3410"/>
      <c r="L219" s="3410"/>
      <c r="M219" s="3410"/>
      <c r="N219" s="3410"/>
      <c r="O219" s="1467" t="s">
        <v>1461</v>
      </c>
      <c r="P219" s="3410"/>
      <c r="Q219" s="3410"/>
      <c r="R219" s="3410"/>
      <c r="S219" s="1465"/>
      <c r="T219" s="1465"/>
      <c r="U219" s="1465"/>
      <c r="V219" s="3410" t="str">
        <f>V52</f>
        <v>Arin Yustini, SE</v>
      </c>
      <c r="W219" s="3410"/>
      <c r="X219" s="3410"/>
      <c r="Y219" s="3410"/>
      <c r="Z219" s="1465"/>
      <c r="AA219" s="1465"/>
      <c r="AB219" s="1462"/>
    </row>
    <row r="220" spans="1:32" ht="18">
      <c r="A220" s="1465"/>
      <c r="B220" s="1465"/>
      <c r="C220" s="1466"/>
      <c r="D220" s="1466"/>
      <c r="E220" s="3410" t="s">
        <v>23</v>
      </c>
      <c r="F220" s="3410"/>
      <c r="G220" s="3410"/>
      <c r="H220" s="3410"/>
      <c r="I220" s="3410"/>
      <c r="J220" s="3410"/>
      <c r="K220" s="3410"/>
      <c r="L220" s="3410"/>
      <c r="M220" s="3410"/>
      <c r="N220" s="3410"/>
      <c r="O220" s="1465"/>
      <c r="P220" s="3410"/>
      <c r="Q220" s="3410"/>
      <c r="R220" s="3410"/>
      <c r="S220" s="1465"/>
      <c r="T220" s="1465"/>
      <c r="U220" s="1465"/>
      <c r="V220" s="3410" t="s">
        <v>24</v>
      </c>
      <c r="W220" s="3410"/>
      <c r="X220" s="3410"/>
      <c r="Y220" s="3410"/>
      <c r="Z220" s="1465"/>
      <c r="AA220" s="1465"/>
      <c r="AE220" s="1461"/>
      <c r="AF220" s="1461"/>
    </row>
  </sheetData>
  <mergeCells count="74">
    <mergeCell ref="E220:N220"/>
    <mergeCell ref="K63:L63"/>
    <mergeCell ref="E63:F63"/>
    <mergeCell ref="G63:G64"/>
    <mergeCell ref="E219:N219"/>
    <mergeCell ref="E217:N217"/>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217:Y217"/>
    <mergeCell ref="U63:W63"/>
    <mergeCell ref="E52:N52"/>
    <mergeCell ref="A55:AA55"/>
    <mergeCell ref="E53:N53"/>
    <mergeCell ref="P53:R53"/>
    <mergeCell ref="R63:T63"/>
    <mergeCell ref="A216:C216"/>
    <mergeCell ref="A59:C59"/>
    <mergeCell ref="A60:C60"/>
    <mergeCell ref="A61:C61"/>
    <mergeCell ref="H63:H65"/>
    <mergeCell ref="V220:Y220"/>
    <mergeCell ref="Z63:AA63"/>
    <mergeCell ref="P52:R52"/>
    <mergeCell ref="V52:Y52"/>
    <mergeCell ref="V219:Y219"/>
    <mergeCell ref="P219:R219"/>
    <mergeCell ref="P220:R220"/>
    <mergeCell ref="V53:Y53"/>
    <mergeCell ref="A54:AA54"/>
    <mergeCell ref="A215:C215"/>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ageMargins left="0.47244094488188981" right="0.15748031496062992" top="0.23622047244094491" bottom="0.23622047244094491" header="0.51181102362204722" footer="0.51181102362204722"/>
  <pageSetup paperSize="5" scale="41" orientation="landscape" horizontalDpi="4294967293" verticalDpi="4294967293" r:id="rId1"/>
  <headerFooter alignWithMargins="0"/>
  <rowBreaks count="1" manualBreakCount="1">
    <brk id="53" max="16383" man="1"/>
  </rowBreaks>
  <drawing r:id="rId2"/>
  <legacyDrawing r:id="rId3"/>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162"/>
  <sheetViews>
    <sheetView topLeftCell="A135" zoomScale="59" zoomScaleNormal="59" workbookViewId="0">
      <selection activeCell="E152" sqref="E152:E153"/>
    </sheetView>
  </sheetViews>
  <sheetFormatPr defaultColWidth="9.140625" defaultRowHeight="15.75"/>
  <cols>
    <col min="1" max="1" width="7.14062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2" width="18.140625" style="1461" customWidth="1"/>
    <col min="23" max="23" width="9.42578125" style="1461" customWidth="1"/>
    <col min="24" max="24" width="20.57031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525" t="s">
        <v>0</v>
      </c>
      <c r="B1" s="3525"/>
      <c r="C1" s="3525"/>
      <c r="D1" s="3525"/>
      <c r="E1" s="3525"/>
      <c r="F1" s="3525"/>
      <c r="G1" s="3525"/>
      <c r="H1" s="3525"/>
      <c r="I1" s="3525"/>
      <c r="J1" s="3525"/>
      <c r="K1" s="3525"/>
      <c r="L1" s="3525"/>
      <c r="M1" s="3525"/>
      <c r="N1" s="3525"/>
      <c r="O1" s="3525"/>
      <c r="P1" s="3525"/>
      <c r="Q1" s="3525"/>
      <c r="R1" s="3525"/>
      <c r="S1" s="3525"/>
      <c r="T1" s="3525"/>
      <c r="U1" s="3525"/>
      <c r="V1" s="3525"/>
      <c r="W1" s="3525"/>
      <c r="X1" s="3525"/>
      <c r="Y1" s="3525"/>
      <c r="Z1" s="3525"/>
      <c r="AA1" s="3525"/>
      <c r="AB1" s="1562"/>
      <c r="AC1" s="1560"/>
      <c r="AD1" s="1560"/>
      <c r="AE1" s="1560"/>
      <c r="AF1" s="1560"/>
    </row>
    <row r="2" spans="1:32" s="1559" customFormat="1" ht="24.75" customHeight="1">
      <c r="A2" s="3525" t="str">
        <f>'LPP-SPP'!A2:W2</f>
        <v>LAPORAN PERKEMBANGAN PINJAMAN  SPP</v>
      </c>
      <c r="B2" s="3525"/>
      <c r="C2" s="3525"/>
      <c r="D2" s="3525"/>
      <c r="E2" s="3525"/>
      <c r="F2" s="3525"/>
      <c r="G2" s="3525"/>
      <c r="H2" s="3525"/>
      <c r="I2" s="3525"/>
      <c r="J2" s="3525"/>
      <c r="K2" s="3525"/>
      <c r="L2" s="3525"/>
      <c r="M2" s="3525"/>
      <c r="N2" s="3525"/>
      <c r="O2" s="3525"/>
      <c r="P2" s="3525"/>
      <c r="Q2" s="3525"/>
      <c r="R2" s="3525"/>
      <c r="S2" s="3525"/>
      <c r="T2" s="3525"/>
      <c r="U2" s="3525"/>
      <c r="V2" s="3525"/>
      <c r="W2" s="3525"/>
      <c r="X2" s="3525"/>
      <c r="Y2" s="3525"/>
      <c r="Z2" s="3525"/>
      <c r="AA2" s="3525"/>
      <c r="AB2" s="1562"/>
      <c r="AC2" s="1560"/>
      <c r="AD2" s="1560"/>
      <c r="AE2" s="1560"/>
      <c r="AF2" s="1560"/>
    </row>
    <row r="3" spans="1:32" s="1559" customFormat="1" ht="34.5">
      <c r="A3" s="3525" t="s">
        <v>1506</v>
      </c>
      <c r="B3" s="3525"/>
      <c r="C3" s="3525"/>
      <c r="D3" s="3525"/>
      <c r="E3" s="3525"/>
      <c r="F3" s="3525"/>
      <c r="G3" s="3525"/>
      <c r="H3" s="3525"/>
      <c r="I3" s="3525"/>
      <c r="J3" s="3525"/>
      <c r="K3" s="3525"/>
      <c r="L3" s="3525"/>
      <c r="M3" s="3525"/>
      <c r="N3" s="3525"/>
      <c r="O3" s="3525"/>
      <c r="P3" s="3525"/>
      <c r="Q3" s="3525"/>
      <c r="R3" s="3525"/>
      <c r="S3" s="3525"/>
      <c r="T3" s="3525"/>
      <c r="U3" s="3525"/>
      <c r="V3" s="3525"/>
      <c r="W3" s="3525"/>
      <c r="X3" s="3525"/>
      <c r="Y3" s="3525"/>
      <c r="Z3" s="3525"/>
      <c r="AA3" s="3525"/>
      <c r="AB3" s="1561"/>
      <c r="AC3" s="1560"/>
      <c r="AD3" s="1560"/>
      <c r="AE3" s="1560"/>
      <c r="AF3" s="1560"/>
    </row>
    <row r="4" spans="1:32" s="1542" customFormat="1" ht="24.75" customHeight="1">
      <c r="A4" s="3525" t="str">
        <f>'LPP-SPP'!A4</f>
        <v>Per - Februari 2016 2016</v>
      </c>
      <c r="B4" s="3525"/>
      <c r="C4" s="3525"/>
      <c r="D4" s="3525"/>
      <c r="E4" s="3525"/>
      <c r="F4" s="3525"/>
      <c r="G4" s="3525"/>
      <c r="H4" s="3525"/>
      <c r="I4" s="3525"/>
      <c r="J4" s="3525"/>
      <c r="K4" s="3525"/>
      <c r="L4" s="3525"/>
      <c r="M4" s="3525"/>
      <c r="N4" s="3525"/>
      <c r="O4" s="3525"/>
      <c r="P4" s="3525"/>
      <c r="Q4" s="3525"/>
      <c r="R4" s="3525"/>
      <c r="S4" s="3525"/>
      <c r="T4" s="3525"/>
      <c r="U4" s="3525"/>
      <c r="V4" s="3525"/>
      <c r="W4" s="3525"/>
      <c r="X4" s="3525"/>
      <c r="Y4" s="3525"/>
      <c r="Z4" s="3525"/>
      <c r="AA4" s="3525"/>
      <c r="AB4" s="1556"/>
      <c r="AC4" s="1555"/>
      <c r="AD4" s="1555"/>
      <c r="AE4" s="1555"/>
      <c r="AF4" s="1555"/>
    </row>
    <row r="5" spans="1:32" s="1542" customFormat="1" ht="24.75" customHeight="1">
      <c r="A5" s="3410" t="s">
        <v>1503</v>
      </c>
      <c r="B5" s="3410"/>
      <c r="C5" s="3410"/>
      <c r="D5" s="1553"/>
      <c r="E5" s="1558" t="str">
        <f>":  "&amp;DT!I6</f>
        <v>:  BALEKAMBANG</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3" t="s">
        <v>36</v>
      </c>
      <c r="B10" s="3413" t="s">
        <v>1499</v>
      </c>
      <c r="C10" s="3413"/>
      <c r="D10" s="3413" t="s">
        <v>1498</v>
      </c>
      <c r="E10" s="3413" t="s">
        <v>1497</v>
      </c>
      <c r="F10" s="3413"/>
      <c r="G10" s="3413" t="s">
        <v>1496</v>
      </c>
      <c r="H10" s="3413" t="s">
        <v>1495</v>
      </c>
      <c r="I10" s="3413" t="s">
        <v>1494</v>
      </c>
      <c r="J10" s="3413" t="s">
        <v>1493</v>
      </c>
      <c r="K10" s="3413" t="s">
        <v>1492</v>
      </c>
      <c r="L10" s="3413"/>
      <c r="M10" s="3413" t="s">
        <v>1491</v>
      </c>
      <c r="N10" s="3413"/>
      <c r="O10" s="3413" t="s">
        <v>1490</v>
      </c>
      <c r="P10" s="3413"/>
      <c r="Q10" s="3413"/>
      <c r="R10" s="3413" t="s">
        <v>1489</v>
      </c>
      <c r="S10" s="3413"/>
      <c r="T10" s="3413"/>
      <c r="U10" s="3413" t="s">
        <v>1488</v>
      </c>
      <c r="V10" s="3413"/>
      <c r="W10" s="3413"/>
      <c r="X10" s="3413" t="s">
        <v>1487</v>
      </c>
      <c r="Y10" s="3413" t="s">
        <v>1486</v>
      </c>
      <c r="Z10" s="3413" t="s">
        <v>1485</v>
      </c>
      <c r="AA10" s="3413"/>
      <c r="AB10" s="3410" t="s">
        <v>1484</v>
      </c>
      <c r="AC10" s="1541" t="s">
        <v>1483</v>
      </c>
      <c r="AD10" s="1540" t="s">
        <v>1482</v>
      </c>
      <c r="AE10" s="1540" t="s">
        <v>1481</v>
      </c>
      <c r="AF10" s="1539" t="s">
        <v>1480</v>
      </c>
    </row>
    <row r="11" spans="1:32" ht="31.5" customHeight="1">
      <c r="A11" s="3413"/>
      <c r="B11" s="1536" t="s">
        <v>1479</v>
      </c>
      <c r="C11" s="1536" t="s">
        <v>1478</v>
      </c>
      <c r="D11" s="3413"/>
      <c r="E11" s="1537" t="s">
        <v>16</v>
      </c>
      <c r="F11" s="1537" t="s">
        <v>1476</v>
      </c>
      <c r="G11" s="3413"/>
      <c r="H11" s="3413"/>
      <c r="I11" s="3413"/>
      <c r="J11" s="3413"/>
      <c r="K11" s="3413" t="s">
        <v>16</v>
      </c>
      <c r="L11" s="3413" t="s">
        <v>1476</v>
      </c>
      <c r="M11" s="1537" t="s">
        <v>16</v>
      </c>
      <c r="N11" s="1537" t="s">
        <v>1476</v>
      </c>
      <c r="O11" s="1537" t="s">
        <v>16</v>
      </c>
      <c r="P11" s="1537" t="s">
        <v>1476</v>
      </c>
      <c r="Q11" s="1537" t="s">
        <v>1477</v>
      </c>
      <c r="R11" s="1537" t="s">
        <v>16</v>
      </c>
      <c r="S11" s="1537" t="s">
        <v>1476</v>
      </c>
      <c r="T11" s="1537" t="s">
        <v>1477</v>
      </c>
      <c r="U11" s="1537" t="s">
        <v>16</v>
      </c>
      <c r="V11" s="1537" t="s">
        <v>1476</v>
      </c>
      <c r="W11" s="1537" t="s">
        <v>1477</v>
      </c>
      <c r="X11" s="3413"/>
      <c r="Y11" s="3413"/>
      <c r="Z11" s="1537" t="s">
        <v>16</v>
      </c>
      <c r="AA11" s="1537" t="s">
        <v>1476</v>
      </c>
      <c r="AB11" s="3410"/>
      <c r="AC11" s="1531" t="s">
        <v>1475</v>
      </c>
      <c r="AD11" s="1530" t="s">
        <v>1474</v>
      </c>
      <c r="AE11" s="1530" t="s">
        <v>1473</v>
      </c>
      <c r="AF11" s="1529" t="s">
        <v>1472</v>
      </c>
    </row>
    <row r="12" spans="1:32" s="1528" customFormat="1" ht="14.25" customHeight="1" thickBot="1">
      <c r="A12" s="2162">
        <v>1</v>
      </c>
      <c r="B12" s="2162">
        <v>2</v>
      </c>
      <c r="C12" s="2162">
        <v>3</v>
      </c>
      <c r="D12" s="3413"/>
      <c r="E12" s="2162">
        <v>4</v>
      </c>
      <c r="F12" s="2162">
        <v>5</v>
      </c>
      <c r="G12" s="2162">
        <v>6</v>
      </c>
      <c r="H12" s="3413"/>
      <c r="I12" s="3413"/>
      <c r="J12" s="3413"/>
      <c r="K12" s="3413"/>
      <c r="L12" s="3413"/>
      <c r="M12" s="2162">
        <v>7</v>
      </c>
      <c r="N12" s="2162">
        <v>8</v>
      </c>
      <c r="O12" s="2162">
        <v>9</v>
      </c>
      <c r="P12" s="2162">
        <v>10</v>
      </c>
      <c r="Q12" s="2162">
        <v>11</v>
      </c>
      <c r="R12" s="2162">
        <v>12</v>
      </c>
      <c r="S12" s="2162">
        <v>13</v>
      </c>
      <c r="T12" s="2162">
        <v>14</v>
      </c>
      <c r="U12" s="2162" t="s">
        <v>1471</v>
      </c>
      <c r="V12" s="2162" t="s">
        <v>1470</v>
      </c>
      <c r="W12" s="2162" t="s">
        <v>1469</v>
      </c>
      <c r="X12" s="2162" t="s">
        <v>1468</v>
      </c>
      <c r="Y12" s="2162" t="s">
        <v>1467</v>
      </c>
      <c r="Z12" s="2166" t="s">
        <v>1466</v>
      </c>
      <c r="AA12" s="2167" t="s">
        <v>1465</v>
      </c>
      <c r="AB12" s="2165">
        <v>22</v>
      </c>
      <c r="AC12" s="1518">
        <v>23</v>
      </c>
      <c r="AD12" s="1517">
        <v>24</v>
      </c>
      <c r="AE12" s="1517">
        <v>25</v>
      </c>
      <c r="AF12" s="1516">
        <v>26</v>
      </c>
    </row>
    <row r="13" spans="1:32" s="1474" customFormat="1" ht="23.25" customHeight="1" thickTop="1">
      <c r="A13" s="1515">
        <v>1</v>
      </c>
      <c r="B13" s="1513" t="s">
        <v>2014</v>
      </c>
      <c r="C13" s="1514" t="s">
        <v>1916</v>
      </c>
      <c r="D13" s="1514"/>
      <c r="E13" s="1513">
        <v>8000000</v>
      </c>
      <c r="F13" s="1512">
        <f t="shared" ref="F13:F46" si="0">E13*H13</f>
        <v>1440000</v>
      </c>
      <c r="G13" s="2141" t="s">
        <v>1921</v>
      </c>
      <c r="H13" s="1511">
        <v>0.18</v>
      </c>
      <c r="I13" s="1508">
        <v>12</v>
      </c>
      <c r="J13" s="1569">
        <v>12</v>
      </c>
      <c r="K13" s="1443">
        <v>666700</v>
      </c>
      <c r="L13" s="1443">
        <v>120000</v>
      </c>
      <c r="M13" s="1567">
        <f t="shared" ref="M13:M46" si="1">IF(J13&lt;I13,J13*K13,IF(J13&gt;=I13,E13))</f>
        <v>8000000</v>
      </c>
      <c r="N13" s="1510">
        <f t="shared" ref="N13:N46" si="2">IF(J13&lt;I13,J13*L13,IF(J13&gt;=I13,F13))</f>
        <v>1440000</v>
      </c>
      <c r="O13" s="1509">
        <v>8000000</v>
      </c>
      <c r="P13" s="1509">
        <v>1440000</v>
      </c>
      <c r="Q13" s="1509"/>
      <c r="R13" s="1508"/>
      <c r="S13" s="1508"/>
      <c r="T13" s="1507"/>
      <c r="U13" s="1495">
        <f t="shared" ref="U13:U46" si="3">SUM(O13+R13)</f>
        <v>8000000</v>
      </c>
      <c r="V13" s="1495">
        <f t="shared" ref="V13:V46" si="4">SUM(P13+S13)</f>
        <v>1440000</v>
      </c>
      <c r="W13" s="1495">
        <f t="shared" ref="W13:W46" si="5">SUM(Q13+T13)</f>
        <v>0</v>
      </c>
      <c r="X13" s="1495">
        <f t="shared" ref="X13:X46" si="6">SUM(E13-U13)</f>
        <v>0</v>
      </c>
      <c r="Y13" s="1495">
        <f t="shared" ref="Y13:Y46" si="7">SUM(U13/M13)*100</f>
        <v>100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v>2</v>
      </c>
      <c r="B14" s="1513" t="s">
        <v>2015</v>
      </c>
      <c r="C14" s="1514" t="s">
        <v>1916</v>
      </c>
      <c r="D14" s="1514"/>
      <c r="E14" s="1513">
        <v>6000000</v>
      </c>
      <c r="F14" s="1512">
        <f t="shared" si="0"/>
        <v>1080000</v>
      </c>
      <c r="G14" s="2141" t="s">
        <v>1921</v>
      </c>
      <c r="H14" s="1511">
        <v>0.18</v>
      </c>
      <c r="I14" s="1508">
        <v>12</v>
      </c>
      <c r="J14" s="1508">
        <v>12</v>
      </c>
      <c r="K14" s="1508">
        <v>500000</v>
      </c>
      <c r="L14" s="1508">
        <v>90000</v>
      </c>
      <c r="M14" s="1510">
        <f t="shared" si="1"/>
        <v>6000000</v>
      </c>
      <c r="N14" s="1510">
        <f t="shared" si="2"/>
        <v>1080000</v>
      </c>
      <c r="O14" s="1509">
        <v>6000000</v>
      </c>
      <c r="P14" s="1509">
        <v>1080000</v>
      </c>
      <c r="Q14" s="1509"/>
      <c r="R14" s="1508"/>
      <c r="S14" s="1508"/>
      <c r="T14" s="1507"/>
      <c r="U14" s="1495">
        <f t="shared" si="3"/>
        <v>6000000</v>
      </c>
      <c r="V14" s="1495">
        <f t="shared" si="4"/>
        <v>1080000</v>
      </c>
      <c r="W14" s="1495">
        <f t="shared" si="5"/>
        <v>0</v>
      </c>
      <c r="X14" s="1495">
        <f t="shared" si="6"/>
        <v>0</v>
      </c>
      <c r="Y14" s="1495">
        <f t="shared" si="7"/>
        <v>100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f>A14+1</f>
        <v>3</v>
      </c>
      <c r="B15" s="1513" t="s">
        <v>1941</v>
      </c>
      <c r="C15" s="1514" t="s">
        <v>1916</v>
      </c>
      <c r="D15" s="1514"/>
      <c r="E15" s="1513">
        <v>5000000</v>
      </c>
      <c r="F15" s="1512">
        <f t="shared" si="0"/>
        <v>900000</v>
      </c>
      <c r="G15" s="2141" t="s">
        <v>1921</v>
      </c>
      <c r="H15" s="1511">
        <v>0.18</v>
      </c>
      <c r="I15" s="1508">
        <v>12</v>
      </c>
      <c r="J15" s="1508">
        <v>12</v>
      </c>
      <c r="K15" s="1508">
        <v>416700</v>
      </c>
      <c r="L15" s="1508">
        <v>75000</v>
      </c>
      <c r="M15" s="1510">
        <f t="shared" si="1"/>
        <v>5000000</v>
      </c>
      <c r="N15" s="1510">
        <f t="shared" si="2"/>
        <v>900000</v>
      </c>
      <c r="O15" s="1509">
        <v>5000000</v>
      </c>
      <c r="P15" s="1509">
        <v>900000</v>
      </c>
      <c r="Q15" s="1509"/>
      <c r="R15" s="1508"/>
      <c r="S15" s="1508"/>
      <c r="T15" s="1507"/>
      <c r="U15" s="1495">
        <f t="shared" si="3"/>
        <v>5000000</v>
      </c>
      <c r="V15" s="1495">
        <f t="shared" si="4"/>
        <v>900000</v>
      </c>
      <c r="W15" s="1495">
        <f t="shared" si="5"/>
        <v>0</v>
      </c>
      <c r="X15" s="1495">
        <f t="shared" si="6"/>
        <v>0</v>
      </c>
      <c r="Y15" s="1495">
        <f t="shared" si="7"/>
        <v>100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f t="shared" ref="A16:A26" si="14">A15+1</f>
        <v>4</v>
      </c>
      <c r="B16" s="1513" t="s">
        <v>1898</v>
      </c>
      <c r="C16" s="1514" t="s">
        <v>1919</v>
      </c>
      <c r="D16" s="1514"/>
      <c r="E16" s="1513">
        <v>7000000</v>
      </c>
      <c r="F16" s="1512">
        <f t="shared" si="0"/>
        <v>1260000</v>
      </c>
      <c r="G16" s="2141">
        <v>40463</v>
      </c>
      <c r="H16" s="1511">
        <v>0.18</v>
      </c>
      <c r="I16" s="1508">
        <v>12</v>
      </c>
      <c r="J16" s="1508">
        <v>12</v>
      </c>
      <c r="K16" s="1508">
        <v>583300</v>
      </c>
      <c r="L16" s="1508">
        <v>105000</v>
      </c>
      <c r="M16" s="1510">
        <f t="shared" si="1"/>
        <v>7000000</v>
      </c>
      <c r="N16" s="1510">
        <f t="shared" si="2"/>
        <v>1260000</v>
      </c>
      <c r="O16" s="1509">
        <v>7000000</v>
      </c>
      <c r="P16" s="1509">
        <v>1260000</v>
      </c>
      <c r="Q16" s="1509"/>
      <c r="R16" s="1508"/>
      <c r="S16" s="1508"/>
      <c r="T16" s="1507"/>
      <c r="U16" s="1495">
        <f t="shared" si="3"/>
        <v>7000000</v>
      </c>
      <c r="V16" s="1495">
        <f t="shared" si="4"/>
        <v>1260000</v>
      </c>
      <c r="W16" s="1495">
        <f t="shared" si="5"/>
        <v>0</v>
      </c>
      <c r="X16" s="1495">
        <f t="shared" si="6"/>
        <v>0</v>
      </c>
      <c r="Y16" s="1495">
        <f t="shared" si="7"/>
        <v>100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f t="shared" si="14"/>
        <v>5</v>
      </c>
      <c r="B17" s="1513" t="s">
        <v>2016</v>
      </c>
      <c r="C17" s="1514" t="s">
        <v>1919</v>
      </c>
      <c r="D17" s="1514"/>
      <c r="E17" s="1513">
        <v>7000000</v>
      </c>
      <c r="F17" s="1512">
        <f t="shared" si="0"/>
        <v>1260000</v>
      </c>
      <c r="G17" s="2141">
        <v>40463</v>
      </c>
      <c r="H17" s="1511">
        <v>0.18</v>
      </c>
      <c r="I17" s="1508">
        <v>12</v>
      </c>
      <c r="J17" s="1508">
        <v>12</v>
      </c>
      <c r="K17" s="1508">
        <v>583300</v>
      </c>
      <c r="L17" s="1508">
        <v>105000</v>
      </c>
      <c r="M17" s="1510">
        <f t="shared" si="1"/>
        <v>7000000</v>
      </c>
      <c r="N17" s="1510">
        <f t="shared" si="2"/>
        <v>1260000</v>
      </c>
      <c r="O17" s="1509">
        <v>7000000</v>
      </c>
      <c r="P17" s="1509">
        <v>1260000</v>
      </c>
      <c r="Q17" s="1509"/>
      <c r="R17" s="1508"/>
      <c r="S17" s="1508"/>
      <c r="T17" s="1507"/>
      <c r="U17" s="1495">
        <f t="shared" si="3"/>
        <v>7000000</v>
      </c>
      <c r="V17" s="1495">
        <f t="shared" si="4"/>
        <v>1260000</v>
      </c>
      <c r="W17" s="1495">
        <f t="shared" si="5"/>
        <v>0</v>
      </c>
      <c r="X17" s="1495">
        <f t="shared" si="6"/>
        <v>0</v>
      </c>
      <c r="Y17" s="1495">
        <f t="shared" si="7"/>
        <v>100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f t="shared" si="14"/>
        <v>6</v>
      </c>
      <c r="B18" s="1513" t="s">
        <v>2017</v>
      </c>
      <c r="C18" s="1514" t="s">
        <v>1919</v>
      </c>
      <c r="D18" s="1514"/>
      <c r="E18" s="1513">
        <v>6000000</v>
      </c>
      <c r="F18" s="1512">
        <f t="shared" si="0"/>
        <v>1080000</v>
      </c>
      <c r="G18" s="2141">
        <v>40463</v>
      </c>
      <c r="H18" s="1511">
        <v>0.18</v>
      </c>
      <c r="I18" s="1508">
        <v>12</v>
      </c>
      <c r="J18" s="1508">
        <v>12</v>
      </c>
      <c r="K18" s="1508">
        <v>500000</v>
      </c>
      <c r="L18" s="1508">
        <v>90000</v>
      </c>
      <c r="M18" s="1510">
        <f t="shared" si="1"/>
        <v>6000000</v>
      </c>
      <c r="N18" s="1510">
        <f t="shared" si="2"/>
        <v>1080000</v>
      </c>
      <c r="O18" s="1509">
        <v>6000000</v>
      </c>
      <c r="P18" s="1509">
        <v>1080000</v>
      </c>
      <c r="Q18" s="1509"/>
      <c r="R18" s="1508"/>
      <c r="S18" s="1508"/>
      <c r="T18" s="1507"/>
      <c r="U18" s="1495">
        <f t="shared" si="3"/>
        <v>6000000</v>
      </c>
      <c r="V18" s="1495">
        <f t="shared" si="4"/>
        <v>1080000</v>
      </c>
      <c r="W18" s="1495">
        <f t="shared" si="5"/>
        <v>0</v>
      </c>
      <c r="X18" s="1495">
        <f t="shared" si="6"/>
        <v>0</v>
      </c>
      <c r="Y18" s="1495">
        <f t="shared" si="7"/>
        <v>100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f t="shared" si="14"/>
        <v>7</v>
      </c>
      <c r="B19" s="1513" t="s">
        <v>2018</v>
      </c>
      <c r="C19" s="1514" t="s">
        <v>1919</v>
      </c>
      <c r="D19" s="1514"/>
      <c r="E19" s="1513">
        <v>8000000</v>
      </c>
      <c r="F19" s="1512">
        <f t="shared" si="0"/>
        <v>1440000</v>
      </c>
      <c r="G19" s="2141">
        <v>40463</v>
      </c>
      <c r="H19" s="1511">
        <v>0.18</v>
      </c>
      <c r="I19" s="1508">
        <v>12</v>
      </c>
      <c r="J19" s="1508">
        <v>12</v>
      </c>
      <c r="K19" s="1508">
        <v>666700</v>
      </c>
      <c r="L19" s="1508">
        <v>120000</v>
      </c>
      <c r="M19" s="1510">
        <f t="shared" si="1"/>
        <v>8000000</v>
      </c>
      <c r="N19" s="1510">
        <f t="shared" si="2"/>
        <v>1440000</v>
      </c>
      <c r="O19" s="1509">
        <v>8000000</v>
      </c>
      <c r="P19" s="1509">
        <v>1440000</v>
      </c>
      <c r="Q19" s="1509"/>
      <c r="R19" s="1508"/>
      <c r="S19" s="1508"/>
      <c r="T19" s="1507"/>
      <c r="U19" s="1495">
        <f t="shared" si="3"/>
        <v>8000000</v>
      </c>
      <c r="V19" s="1495">
        <f t="shared" si="4"/>
        <v>1440000</v>
      </c>
      <c r="W19" s="1495">
        <f t="shared" si="5"/>
        <v>0</v>
      </c>
      <c r="X19" s="1495">
        <f t="shared" si="6"/>
        <v>0</v>
      </c>
      <c r="Y19" s="1495">
        <f t="shared" si="7"/>
        <v>100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f t="shared" si="14"/>
        <v>8</v>
      </c>
      <c r="B20" s="1513" t="s">
        <v>2019</v>
      </c>
      <c r="C20" s="1514" t="s">
        <v>1919</v>
      </c>
      <c r="D20" s="1514"/>
      <c r="E20" s="1513">
        <v>6000000</v>
      </c>
      <c r="F20" s="1512">
        <f t="shared" si="0"/>
        <v>1080000</v>
      </c>
      <c r="G20" s="2141">
        <v>40463</v>
      </c>
      <c r="H20" s="1511">
        <v>0.18</v>
      </c>
      <c r="I20" s="1508">
        <v>12</v>
      </c>
      <c r="J20" s="1508">
        <v>12</v>
      </c>
      <c r="K20" s="1508">
        <v>500000</v>
      </c>
      <c r="L20" s="1508">
        <v>90000</v>
      </c>
      <c r="M20" s="1510">
        <f t="shared" si="1"/>
        <v>6000000</v>
      </c>
      <c r="N20" s="1510">
        <f t="shared" si="2"/>
        <v>1080000</v>
      </c>
      <c r="O20" s="1509">
        <v>6000000</v>
      </c>
      <c r="P20" s="1509">
        <v>1080000</v>
      </c>
      <c r="Q20" s="1509"/>
      <c r="R20" s="1508"/>
      <c r="S20" s="1508"/>
      <c r="T20" s="1507"/>
      <c r="U20" s="1495">
        <f t="shared" si="3"/>
        <v>6000000</v>
      </c>
      <c r="V20" s="1495">
        <f t="shared" si="4"/>
        <v>1080000</v>
      </c>
      <c r="W20" s="1495">
        <f t="shared" si="5"/>
        <v>0</v>
      </c>
      <c r="X20" s="1495">
        <f t="shared" si="6"/>
        <v>0</v>
      </c>
      <c r="Y20" s="1495">
        <f t="shared" si="7"/>
        <v>100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f t="shared" si="14"/>
        <v>9</v>
      </c>
      <c r="B21" s="1513" t="s">
        <v>1956</v>
      </c>
      <c r="C21" s="1514" t="s">
        <v>1919</v>
      </c>
      <c r="D21" s="1514"/>
      <c r="E21" s="1513">
        <v>7000000</v>
      </c>
      <c r="F21" s="1512">
        <f t="shared" si="0"/>
        <v>1260000</v>
      </c>
      <c r="G21" s="2141">
        <v>40463</v>
      </c>
      <c r="H21" s="1511">
        <v>0.18</v>
      </c>
      <c r="I21" s="1508">
        <v>12</v>
      </c>
      <c r="J21" s="1508">
        <v>12</v>
      </c>
      <c r="K21" s="1508">
        <v>583300</v>
      </c>
      <c r="L21" s="1508">
        <v>105000</v>
      </c>
      <c r="M21" s="1510">
        <f t="shared" si="1"/>
        <v>7000000</v>
      </c>
      <c r="N21" s="1510">
        <f t="shared" si="2"/>
        <v>1260000</v>
      </c>
      <c r="O21" s="1509">
        <v>7000000</v>
      </c>
      <c r="P21" s="1509">
        <v>1260000</v>
      </c>
      <c r="Q21" s="1509"/>
      <c r="R21" s="1508"/>
      <c r="S21" s="1508"/>
      <c r="T21" s="1507"/>
      <c r="U21" s="1495">
        <f t="shared" si="3"/>
        <v>7000000</v>
      </c>
      <c r="V21" s="1495">
        <f t="shared" si="4"/>
        <v>1260000</v>
      </c>
      <c r="W21" s="1495">
        <f t="shared" si="5"/>
        <v>0</v>
      </c>
      <c r="X21" s="1495">
        <f t="shared" si="6"/>
        <v>0</v>
      </c>
      <c r="Y21" s="1495">
        <f t="shared" si="7"/>
        <v>100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f t="shared" si="14"/>
        <v>10</v>
      </c>
      <c r="B22" s="1513" t="s">
        <v>1944</v>
      </c>
      <c r="C22" s="1514" t="s">
        <v>1919</v>
      </c>
      <c r="D22" s="1514"/>
      <c r="E22" s="1513">
        <v>7500000</v>
      </c>
      <c r="F22" s="1512">
        <f t="shared" si="0"/>
        <v>1350000</v>
      </c>
      <c r="G22" s="2141">
        <v>40463</v>
      </c>
      <c r="H22" s="1511">
        <v>0.18</v>
      </c>
      <c r="I22" s="1508">
        <v>12</v>
      </c>
      <c r="J22" s="1508">
        <v>12</v>
      </c>
      <c r="K22" s="1508">
        <v>625000</v>
      </c>
      <c r="L22" s="1508">
        <v>112500</v>
      </c>
      <c r="M22" s="1510">
        <f t="shared" si="1"/>
        <v>7500000</v>
      </c>
      <c r="N22" s="1510">
        <f t="shared" si="2"/>
        <v>1350000</v>
      </c>
      <c r="O22" s="1509">
        <v>7500000</v>
      </c>
      <c r="P22" s="1509">
        <v>1350000</v>
      </c>
      <c r="Q22" s="1509"/>
      <c r="R22" s="1508"/>
      <c r="S22" s="1508"/>
      <c r="T22" s="1507"/>
      <c r="U22" s="1495">
        <f t="shared" si="3"/>
        <v>7500000</v>
      </c>
      <c r="V22" s="1495">
        <f t="shared" si="4"/>
        <v>1350000</v>
      </c>
      <c r="W22" s="1495">
        <f t="shared" si="5"/>
        <v>0</v>
      </c>
      <c r="X22" s="1495">
        <f t="shared" si="6"/>
        <v>0</v>
      </c>
      <c r="Y22" s="1495">
        <f t="shared" si="7"/>
        <v>100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f t="shared" si="14"/>
        <v>11</v>
      </c>
      <c r="B23" s="1513" t="s">
        <v>2020</v>
      </c>
      <c r="C23" s="1514" t="s">
        <v>1919</v>
      </c>
      <c r="D23" s="1514"/>
      <c r="E23" s="1513">
        <v>10000000</v>
      </c>
      <c r="F23" s="1512">
        <f t="shared" si="0"/>
        <v>1800000</v>
      </c>
      <c r="G23" s="2141">
        <v>40463</v>
      </c>
      <c r="H23" s="1511">
        <v>0.18</v>
      </c>
      <c r="I23" s="1508">
        <v>12</v>
      </c>
      <c r="J23" s="1508">
        <v>12</v>
      </c>
      <c r="K23" s="1508">
        <v>833300</v>
      </c>
      <c r="L23" s="1508">
        <v>150000</v>
      </c>
      <c r="M23" s="1510">
        <f t="shared" si="1"/>
        <v>10000000</v>
      </c>
      <c r="N23" s="1510">
        <f t="shared" si="2"/>
        <v>1800000</v>
      </c>
      <c r="O23" s="1509">
        <v>10000000</v>
      </c>
      <c r="P23" s="1509">
        <v>1800000</v>
      </c>
      <c r="Q23" s="1509"/>
      <c r="R23" s="2164"/>
      <c r="S23" s="2164"/>
      <c r="T23" s="1507"/>
      <c r="U23" s="1495">
        <f t="shared" si="3"/>
        <v>10000000</v>
      </c>
      <c r="V23" s="1495">
        <f t="shared" si="4"/>
        <v>1800000</v>
      </c>
      <c r="W23" s="1495">
        <f t="shared" si="5"/>
        <v>0</v>
      </c>
      <c r="X23" s="1495">
        <f t="shared" si="6"/>
        <v>0</v>
      </c>
      <c r="Y23" s="1495">
        <f t="shared" si="7"/>
        <v>100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f t="shared" si="14"/>
        <v>12</v>
      </c>
      <c r="B24" s="1513" t="s">
        <v>2021</v>
      </c>
      <c r="C24" s="1514" t="s">
        <v>1996</v>
      </c>
      <c r="D24" s="1514"/>
      <c r="E24" s="1513">
        <v>24000000</v>
      </c>
      <c r="F24" s="1512">
        <f t="shared" si="0"/>
        <v>4320000</v>
      </c>
      <c r="G24" s="2141">
        <v>40486</v>
      </c>
      <c r="H24" s="1511">
        <v>0.18</v>
      </c>
      <c r="I24" s="1508">
        <v>12</v>
      </c>
      <c r="J24" s="1508">
        <v>12</v>
      </c>
      <c r="K24" s="1508">
        <v>2000000</v>
      </c>
      <c r="L24" s="1508">
        <v>360000</v>
      </c>
      <c r="M24" s="1510">
        <f t="shared" si="1"/>
        <v>24000000</v>
      </c>
      <c r="N24" s="1510">
        <f t="shared" si="2"/>
        <v>4320000</v>
      </c>
      <c r="O24" s="1509">
        <v>24000000</v>
      </c>
      <c r="P24" s="1509">
        <v>4320000</v>
      </c>
      <c r="Q24" s="1509"/>
      <c r="R24" s="2844"/>
      <c r="S24" s="2844"/>
      <c r="T24" s="1507"/>
      <c r="U24" s="1495">
        <f t="shared" si="3"/>
        <v>24000000</v>
      </c>
      <c r="V24" s="1495">
        <f t="shared" si="4"/>
        <v>4320000</v>
      </c>
      <c r="W24" s="1495">
        <f t="shared" si="5"/>
        <v>0</v>
      </c>
      <c r="X24" s="1495">
        <f t="shared" si="6"/>
        <v>0</v>
      </c>
      <c r="Y24" s="1495">
        <f t="shared" si="7"/>
        <v>100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f t="shared" si="14"/>
        <v>13</v>
      </c>
      <c r="B25" s="1513" t="s">
        <v>2022</v>
      </c>
      <c r="C25" s="1514" t="s">
        <v>2002</v>
      </c>
      <c r="D25" s="1514"/>
      <c r="E25" s="1513">
        <v>6500000</v>
      </c>
      <c r="F25" s="1512">
        <f t="shared" si="0"/>
        <v>1170000</v>
      </c>
      <c r="G25" s="2141">
        <v>40528</v>
      </c>
      <c r="H25" s="1511">
        <v>0.18</v>
      </c>
      <c r="I25" s="1508">
        <v>12</v>
      </c>
      <c r="J25" s="1508">
        <v>12</v>
      </c>
      <c r="K25" s="1508">
        <v>541700</v>
      </c>
      <c r="L25" s="1508">
        <v>97500</v>
      </c>
      <c r="M25" s="1510">
        <f t="shared" si="1"/>
        <v>6500000</v>
      </c>
      <c r="N25" s="1510">
        <f t="shared" si="2"/>
        <v>1170000</v>
      </c>
      <c r="O25" s="1509">
        <v>6500000</v>
      </c>
      <c r="P25" s="1509">
        <v>1170000</v>
      </c>
      <c r="Q25" s="1509"/>
      <c r="R25" s="2844"/>
      <c r="S25" s="2844"/>
      <c r="T25" s="1507"/>
      <c r="U25" s="1495">
        <f t="shared" si="3"/>
        <v>6500000</v>
      </c>
      <c r="V25" s="1495">
        <f t="shared" si="4"/>
        <v>1170000</v>
      </c>
      <c r="W25" s="1495">
        <f t="shared" si="5"/>
        <v>0</v>
      </c>
      <c r="X25" s="1495">
        <f t="shared" si="6"/>
        <v>0</v>
      </c>
      <c r="Y25" s="1495">
        <f t="shared" si="7"/>
        <v>100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f t="shared" si="14"/>
        <v>14</v>
      </c>
      <c r="B26" s="1513" t="s">
        <v>2023</v>
      </c>
      <c r="C26" s="1514" t="s">
        <v>2002</v>
      </c>
      <c r="D26" s="1514"/>
      <c r="E26" s="1513">
        <v>6000000</v>
      </c>
      <c r="F26" s="1512">
        <f t="shared" si="0"/>
        <v>1080000</v>
      </c>
      <c r="G26" s="2141">
        <v>40528</v>
      </c>
      <c r="H26" s="1511">
        <v>0.18</v>
      </c>
      <c r="I26" s="1508">
        <v>12</v>
      </c>
      <c r="J26" s="1508">
        <v>12</v>
      </c>
      <c r="K26" s="1508">
        <v>500000</v>
      </c>
      <c r="L26" s="1508">
        <v>90000</v>
      </c>
      <c r="M26" s="1510">
        <f t="shared" si="1"/>
        <v>6000000</v>
      </c>
      <c r="N26" s="1510">
        <f t="shared" si="2"/>
        <v>1080000</v>
      </c>
      <c r="O26" s="1509">
        <v>6000000</v>
      </c>
      <c r="P26" s="1509">
        <v>1080000</v>
      </c>
      <c r="Q26" s="1509"/>
      <c r="R26" s="2844"/>
      <c r="S26" s="2844"/>
      <c r="T26" s="1507"/>
      <c r="U26" s="1495">
        <f t="shared" si="3"/>
        <v>6000000</v>
      </c>
      <c r="V26" s="1495">
        <f t="shared" si="4"/>
        <v>1080000</v>
      </c>
      <c r="W26" s="1495">
        <f t="shared" si="5"/>
        <v>0</v>
      </c>
      <c r="X26" s="1495">
        <f t="shared" si="6"/>
        <v>0</v>
      </c>
      <c r="Y26" s="1495">
        <f t="shared" si="7"/>
        <v>100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v>15</v>
      </c>
      <c r="B27" s="1513" t="s">
        <v>2233</v>
      </c>
      <c r="C27" s="1514" t="s">
        <v>2227</v>
      </c>
      <c r="D27" s="1514">
        <v>10</v>
      </c>
      <c r="E27" s="1513">
        <v>7000000</v>
      </c>
      <c r="F27" s="1512">
        <f t="shared" si="0"/>
        <v>1260000</v>
      </c>
      <c r="G27" s="2141">
        <v>40883</v>
      </c>
      <c r="H27" s="1511">
        <v>0.18</v>
      </c>
      <c r="I27" s="1508">
        <v>12</v>
      </c>
      <c r="J27" s="1508">
        <v>12</v>
      </c>
      <c r="K27" s="1508">
        <v>583300</v>
      </c>
      <c r="L27" s="1508">
        <f>F27/I27</f>
        <v>105000</v>
      </c>
      <c r="M27" s="1510">
        <f t="shared" si="1"/>
        <v>7000000</v>
      </c>
      <c r="N27" s="1510">
        <f t="shared" si="2"/>
        <v>1260000</v>
      </c>
      <c r="O27" s="1509">
        <v>7000000</v>
      </c>
      <c r="P27" s="1509">
        <v>1260000</v>
      </c>
      <c r="Q27" s="1509"/>
      <c r="R27" s="2649"/>
      <c r="S27" s="2649"/>
      <c r="T27" s="1507"/>
      <c r="U27" s="1495">
        <f t="shared" si="3"/>
        <v>7000000</v>
      </c>
      <c r="V27" s="1495">
        <f t="shared" si="4"/>
        <v>1260000</v>
      </c>
      <c r="W27" s="1495">
        <f t="shared" si="5"/>
        <v>0</v>
      </c>
      <c r="X27" s="1495">
        <f t="shared" si="6"/>
        <v>0</v>
      </c>
      <c r="Y27" s="1495">
        <f t="shared" si="7"/>
        <v>100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v>16</v>
      </c>
      <c r="B28" s="1513" t="s">
        <v>2319</v>
      </c>
      <c r="C28" s="1514" t="s">
        <v>2245</v>
      </c>
      <c r="D28" s="1514">
        <v>8</v>
      </c>
      <c r="E28" s="1513">
        <v>10000000</v>
      </c>
      <c r="F28" s="1512">
        <f t="shared" si="0"/>
        <v>1800000</v>
      </c>
      <c r="G28" s="2141">
        <v>41171</v>
      </c>
      <c r="H28" s="1511">
        <v>0.18</v>
      </c>
      <c r="I28" s="1508">
        <v>12</v>
      </c>
      <c r="J28" s="1508">
        <v>12</v>
      </c>
      <c r="K28" s="1508">
        <v>833300</v>
      </c>
      <c r="L28" s="1508">
        <v>150000</v>
      </c>
      <c r="M28" s="1510">
        <f t="shared" si="1"/>
        <v>10000000</v>
      </c>
      <c r="N28" s="2401">
        <f>IF(J28&lt;I28,J28*L28,IF(J28&gt;=I28,F28))-150000</f>
        <v>1650000</v>
      </c>
      <c r="O28" s="1509">
        <v>10000000</v>
      </c>
      <c r="P28" s="1509">
        <v>1650000</v>
      </c>
      <c r="Q28" s="1509"/>
      <c r="R28" s="2649"/>
      <c r="S28" s="2649"/>
      <c r="T28" s="1507"/>
      <c r="U28" s="1495">
        <f t="shared" si="3"/>
        <v>10000000</v>
      </c>
      <c r="V28" s="1495">
        <f t="shared" si="4"/>
        <v>1650000</v>
      </c>
      <c r="W28" s="1495">
        <f t="shared" si="5"/>
        <v>0</v>
      </c>
      <c r="X28" s="1495">
        <f t="shared" si="6"/>
        <v>0</v>
      </c>
      <c r="Y28" s="1495">
        <f t="shared" si="7"/>
        <v>100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2141"/>
      <c r="H29" s="1511"/>
      <c r="I29" s="1508"/>
      <c r="J29" s="1508"/>
      <c r="K29" s="1508"/>
      <c r="L29" s="1508"/>
      <c r="M29" s="1510">
        <f t="shared" si="1"/>
        <v>0</v>
      </c>
      <c r="N29" s="1510">
        <f t="shared" si="2"/>
        <v>0</v>
      </c>
      <c r="O29" s="1509"/>
      <c r="P29" s="1509"/>
      <c r="Q29" s="1509"/>
      <c r="R29" s="2650"/>
      <c r="S29" s="2650"/>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2141"/>
      <c r="H30" s="1511"/>
      <c r="I30" s="1508"/>
      <c r="J30" s="1508"/>
      <c r="K30" s="1508"/>
      <c r="L30" s="1508"/>
      <c r="M30" s="1510">
        <f t="shared" si="1"/>
        <v>0</v>
      </c>
      <c r="N30" s="1510">
        <f t="shared" si="2"/>
        <v>0</v>
      </c>
      <c r="O30" s="1509"/>
      <c r="P30" s="1509"/>
      <c r="Q30" s="1509"/>
      <c r="R30" s="2650"/>
      <c r="S30" s="2650"/>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2141"/>
      <c r="H31" s="1511"/>
      <c r="I31" s="1508"/>
      <c r="J31" s="1508"/>
      <c r="K31" s="1508"/>
      <c r="L31" s="1508"/>
      <c r="M31" s="1510">
        <f t="shared" si="1"/>
        <v>0</v>
      </c>
      <c r="N31" s="1510">
        <f t="shared" si="2"/>
        <v>0</v>
      </c>
      <c r="O31" s="1509"/>
      <c r="P31" s="1509"/>
      <c r="Q31" s="1509"/>
      <c r="R31" s="2650"/>
      <c r="S31" s="2650"/>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2141"/>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2141"/>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2141"/>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2141"/>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2141"/>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2141"/>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2141"/>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2141"/>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2141"/>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2141"/>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2141"/>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2141"/>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2141"/>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2141"/>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2990"/>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18</v>
      </c>
      <c r="E48" s="1480">
        <f>SUM(E13:E46)</f>
        <v>131000000</v>
      </c>
      <c r="F48" s="1480">
        <f>SUM(F13:F46)</f>
        <v>23580000</v>
      </c>
      <c r="G48" s="1481"/>
      <c r="H48" s="1481"/>
      <c r="I48" s="1481"/>
      <c r="J48" s="1481"/>
      <c r="K48" s="1481"/>
      <c r="L48" s="1481"/>
      <c r="M48" s="1480">
        <f t="shared" ref="M48:X48" si="15">SUM(M13:M46)</f>
        <v>131000000</v>
      </c>
      <c r="N48" s="1480">
        <f t="shared" si="15"/>
        <v>23430000</v>
      </c>
      <c r="O48" s="1480">
        <f t="shared" si="15"/>
        <v>131000000</v>
      </c>
      <c r="P48" s="1480">
        <f t="shared" si="15"/>
        <v>23430000</v>
      </c>
      <c r="Q48" s="1480">
        <f t="shared" si="15"/>
        <v>0</v>
      </c>
      <c r="R48" s="1480">
        <f t="shared" si="15"/>
        <v>0</v>
      </c>
      <c r="S48" s="1480">
        <f t="shared" si="15"/>
        <v>0</v>
      </c>
      <c r="T48" s="1480">
        <f t="shared" si="15"/>
        <v>0</v>
      </c>
      <c r="U48" s="1480">
        <f t="shared" si="15"/>
        <v>131000000</v>
      </c>
      <c r="V48" s="1480">
        <f t="shared" si="15"/>
        <v>23430000</v>
      </c>
      <c r="W48" s="1480">
        <f t="shared" si="15"/>
        <v>0</v>
      </c>
      <c r="X48" s="1480">
        <f t="shared" si="15"/>
        <v>0</v>
      </c>
      <c r="Y48" s="1480">
        <f>SUM(U48/M48)*100</f>
        <v>100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2</v>
      </c>
      <c r="E49" s="1473">
        <f>COUNT(E13:E46)</f>
        <v>16</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525" t="s">
        <v>0</v>
      </c>
      <c r="B54" s="3525"/>
      <c r="C54" s="3525"/>
      <c r="D54" s="3525"/>
      <c r="E54" s="3525"/>
      <c r="F54" s="3525"/>
      <c r="G54" s="3525"/>
      <c r="H54" s="3525"/>
      <c r="I54" s="3525"/>
      <c r="J54" s="3525"/>
      <c r="K54" s="3525"/>
      <c r="L54" s="3525"/>
      <c r="M54" s="3525"/>
      <c r="N54" s="3525"/>
      <c r="O54" s="3525"/>
      <c r="P54" s="3525"/>
      <c r="Q54" s="3525"/>
      <c r="R54" s="3525"/>
      <c r="S54" s="3525"/>
      <c r="T54" s="3525"/>
      <c r="U54" s="3525"/>
      <c r="V54" s="3525"/>
      <c r="W54" s="3525"/>
      <c r="X54" s="3525"/>
      <c r="Y54" s="3525"/>
      <c r="Z54" s="3525"/>
      <c r="AA54" s="3525"/>
      <c r="AB54" s="1562"/>
      <c r="AC54" s="1560"/>
      <c r="AD54" s="1560"/>
      <c r="AE54" s="1560"/>
      <c r="AF54" s="1560"/>
    </row>
    <row r="55" spans="1:32" s="1559" customFormat="1" ht="24.75" customHeight="1">
      <c r="A55" s="3525" t="str">
        <f>A2</f>
        <v>LAPORAN PERKEMBANGAN PINJAMAN  SPP</v>
      </c>
      <c r="B55" s="3525"/>
      <c r="C55" s="3525"/>
      <c r="D55" s="3525"/>
      <c r="E55" s="3525"/>
      <c r="F55" s="3525"/>
      <c r="G55" s="3525"/>
      <c r="H55" s="3525"/>
      <c r="I55" s="3525"/>
      <c r="J55" s="3525"/>
      <c r="K55" s="3525"/>
      <c r="L55" s="3525"/>
      <c r="M55" s="3525"/>
      <c r="N55" s="3525"/>
      <c r="O55" s="3525"/>
      <c r="P55" s="3525"/>
      <c r="Q55" s="3525"/>
      <c r="R55" s="3525"/>
      <c r="S55" s="3525"/>
      <c r="T55" s="3525"/>
      <c r="U55" s="3525"/>
      <c r="V55" s="3525"/>
      <c r="W55" s="3525"/>
      <c r="X55" s="3525"/>
      <c r="Y55" s="3525"/>
      <c r="Z55" s="3525"/>
      <c r="AA55" s="3525"/>
      <c r="AB55" s="1562"/>
      <c r="AC55" s="1560"/>
      <c r="AD55" s="1560"/>
      <c r="AE55" s="1560"/>
      <c r="AF55" s="1560"/>
    </row>
    <row r="56" spans="1:32" s="1559" customFormat="1" ht="34.5">
      <c r="A56" s="3525" t="s">
        <v>1504</v>
      </c>
      <c r="B56" s="3525"/>
      <c r="C56" s="3525"/>
      <c r="D56" s="3525"/>
      <c r="E56" s="3525"/>
      <c r="F56" s="3525"/>
      <c r="G56" s="3525"/>
      <c r="H56" s="3525"/>
      <c r="I56" s="3525"/>
      <c r="J56" s="3525"/>
      <c r="K56" s="3525"/>
      <c r="L56" s="3525"/>
      <c r="M56" s="3525"/>
      <c r="N56" s="3525"/>
      <c r="O56" s="3525"/>
      <c r="P56" s="3525"/>
      <c r="Q56" s="3525"/>
      <c r="R56" s="3525"/>
      <c r="S56" s="3525"/>
      <c r="T56" s="3525"/>
      <c r="U56" s="3525"/>
      <c r="V56" s="3525"/>
      <c r="W56" s="3525"/>
      <c r="X56" s="3525"/>
      <c r="Y56" s="3525"/>
      <c r="Z56" s="3525"/>
      <c r="AA56" s="3525"/>
      <c r="AB56" s="1561"/>
      <c r="AC56" s="1560"/>
      <c r="AD56" s="1560"/>
      <c r="AE56" s="1560"/>
      <c r="AF56" s="1560"/>
    </row>
    <row r="57" spans="1:32" s="1547" customFormat="1" ht="26.25">
      <c r="A57" s="3525" t="str">
        <f>A4</f>
        <v>Per - Februari 2016 2016</v>
      </c>
      <c r="B57" s="3525"/>
      <c r="C57" s="3525"/>
      <c r="D57" s="3525"/>
      <c r="E57" s="3525"/>
      <c r="F57" s="3525"/>
      <c r="G57" s="3525"/>
      <c r="H57" s="3525"/>
      <c r="I57" s="3525"/>
      <c r="J57" s="3525"/>
      <c r="K57" s="3525"/>
      <c r="L57" s="3525"/>
      <c r="M57" s="3525"/>
      <c r="N57" s="3525"/>
      <c r="O57" s="3525"/>
      <c r="P57" s="3525"/>
      <c r="Q57" s="3525"/>
      <c r="R57" s="3525"/>
      <c r="S57" s="3525"/>
      <c r="T57" s="3525"/>
      <c r="U57" s="3525"/>
      <c r="V57" s="3525"/>
      <c r="W57" s="3525"/>
      <c r="X57" s="3525"/>
      <c r="Y57" s="3525"/>
      <c r="Z57" s="3525"/>
      <c r="AA57" s="3525"/>
      <c r="AB57" s="1556"/>
      <c r="AC57" s="1548"/>
      <c r="AD57" s="1548"/>
    </row>
    <row r="58" spans="1:32" s="1542" customFormat="1" ht="24.75" customHeight="1">
      <c r="A58" s="3744" t="s">
        <v>1503</v>
      </c>
      <c r="B58" s="3744"/>
      <c r="C58" s="3744"/>
      <c r="D58" s="1553"/>
      <c r="E58" s="1558" t="str">
        <f>E5</f>
        <v>:  BALEKAMBANG</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744" t="s">
        <v>1502</v>
      </c>
      <c r="B59" s="3744"/>
      <c r="C59" s="3744"/>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744" t="s">
        <v>1501</v>
      </c>
      <c r="B60" s="3744"/>
      <c r="C60" s="3744"/>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744" t="s">
        <v>1500</v>
      </c>
      <c r="B61" s="3744"/>
      <c r="C61" s="3744"/>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3" t="s">
        <v>36</v>
      </c>
      <c r="B63" s="3413" t="s">
        <v>1499</v>
      </c>
      <c r="C63" s="3413"/>
      <c r="D63" s="3413" t="s">
        <v>1498</v>
      </c>
      <c r="E63" s="3413" t="s">
        <v>1497</v>
      </c>
      <c r="F63" s="3413"/>
      <c r="G63" s="3413" t="s">
        <v>1496</v>
      </c>
      <c r="H63" s="3413" t="s">
        <v>1495</v>
      </c>
      <c r="I63" s="3413" t="s">
        <v>1494</v>
      </c>
      <c r="J63" s="3413" t="s">
        <v>1493</v>
      </c>
      <c r="K63" s="3413" t="s">
        <v>1492</v>
      </c>
      <c r="L63" s="3413"/>
      <c r="M63" s="3413" t="s">
        <v>1491</v>
      </c>
      <c r="N63" s="3413"/>
      <c r="O63" s="3413" t="s">
        <v>1490</v>
      </c>
      <c r="P63" s="3413"/>
      <c r="Q63" s="3413"/>
      <c r="R63" s="3413" t="s">
        <v>1489</v>
      </c>
      <c r="S63" s="3413"/>
      <c r="T63" s="3413"/>
      <c r="U63" s="3413" t="s">
        <v>1488</v>
      </c>
      <c r="V63" s="3413"/>
      <c r="W63" s="3413"/>
      <c r="X63" s="3413" t="s">
        <v>1487</v>
      </c>
      <c r="Y63" s="3413" t="s">
        <v>1486</v>
      </c>
      <c r="Z63" s="3413" t="s">
        <v>1485</v>
      </c>
      <c r="AA63" s="3413"/>
      <c r="AB63" s="3679" t="s">
        <v>1484</v>
      </c>
      <c r="AC63" s="1541" t="s">
        <v>1483</v>
      </c>
      <c r="AD63" s="1540" t="s">
        <v>1482</v>
      </c>
      <c r="AE63" s="1540" t="s">
        <v>1481</v>
      </c>
      <c r="AF63" s="1539" t="s">
        <v>1480</v>
      </c>
    </row>
    <row r="64" spans="1:32" s="1528" customFormat="1" ht="22.5" customHeight="1">
      <c r="A64" s="3413"/>
      <c r="B64" s="1536" t="s">
        <v>1479</v>
      </c>
      <c r="C64" s="1536" t="s">
        <v>1478</v>
      </c>
      <c r="D64" s="3413"/>
      <c r="E64" s="1537" t="s">
        <v>16</v>
      </c>
      <c r="F64" s="1537" t="s">
        <v>1476</v>
      </c>
      <c r="G64" s="3413"/>
      <c r="H64" s="3413"/>
      <c r="I64" s="3413"/>
      <c r="J64" s="3413"/>
      <c r="K64" s="3413" t="s">
        <v>16</v>
      </c>
      <c r="L64" s="3413" t="s">
        <v>1476</v>
      </c>
      <c r="M64" s="1537" t="s">
        <v>16</v>
      </c>
      <c r="N64" s="1537" t="s">
        <v>1476</v>
      </c>
      <c r="O64" s="1537" t="s">
        <v>16</v>
      </c>
      <c r="P64" s="1537" t="s">
        <v>1476</v>
      </c>
      <c r="Q64" s="1537" t="s">
        <v>1477</v>
      </c>
      <c r="R64" s="1537" t="s">
        <v>16</v>
      </c>
      <c r="S64" s="1537" t="s">
        <v>1476</v>
      </c>
      <c r="T64" s="1537" t="s">
        <v>1477</v>
      </c>
      <c r="U64" s="1537" t="s">
        <v>16</v>
      </c>
      <c r="V64" s="1537" t="s">
        <v>1476</v>
      </c>
      <c r="W64" s="1537" t="s">
        <v>1477</v>
      </c>
      <c r="X64" s="3413"/>
      <c r="Y64" s="3413"/>
      <c r="Z64" s="1537" t="s">
        <v>16</v>
      </c>
      <c r="AA64" s="1537" t="s">
        <v>1476</v>
      </c>
      <c r="AB64" s="3745"/>
      <c r="AC64" s="1531" t="s">
        <v>1475</v>
      </c>
      <c r="AD64" s="1530" t="s">
        <v>1474</v>
      </c>
      <c r="AE64" s="1530" t="s">
        <v>1473</v>
      </c>
      <c r="AF64" s="1529" t="s">
        <v>1472</v>
      </c>
    </row>
    <row r="65" spans="1:32" s="1461" customFormat="1" ht="13.5" customHeight="1" thickBot="1">
      <c r="A65" s="2162">
        <v>1</v>
      </c>
      <c r="B65" s="2162">
        <v>2</v>
      </c>
      <c r="C65" s="2162">
        <v>3</v>
      </c>
      <c r="D65" s="3413"/>
      <c r="E65" s="2162">
        <v>4</v>
      </c>
      <c r="F65" s="2162">
        <v>5</v>
      </c>
      <c r="G65" s="2162">
        <v>6</v>
      </c>
      <c r="H65" s="3413"/>
      <c r="I65" s="3413"/>
      <c r="J65" s="3413"/>
      <c r="K65" s="3413"/>
      <c r="L65" s="3413"/>
      <c r="M65" s="2162">
        <v>7</v>
      </c>
      <c r="N65" s="2162">
        <v>8</v>
      </c>
      <c r="O65" s="2162">
        <v>9</v>
      </c>
      <c r="P65" s="2162">
        <v>10</v>
      </c>
      <c r="Q65" s="2162">
        <v>11</v>
      </c>
      <c r="R65" s="2162">
        <v>12</v>
      </c>
      <c r="S65" s="2162">
        <v>13</v>
      </c>
      <c r="T65" s="2162">
        <v>14</v>
      </c>
      <c r="U65" s="2162" t="s">
        <v>1471</v>
      </c>
      <c r="V65" s="2162" t="s">
        <v>1470</v>
      </c>
      <c r="W65" s="2162" t="s">
        <v>1469</v>
      </c>
      <c r="X65" s="2162" t="s">
        <v>1468</v>
      </c>
      <c r="Y65" s="2162" t="s">
        <v>1467</v>
      </c>
      <c r="Z65" s="2166" t="s">
        <v>1466</v>
      </c>
      <c r="AA65" s="2167" t="s">
        <v>1465</v>
      </c>
      <c r="AB65" s="2165">
        <v>22</v>
      </c>
      <c r="AC65" s="1518">
        <v>23</v>
      </c>
      <c r="AD65" s="1517">
        <v>24</v>
      </c>
      <c r="AE65" s="1517">
        <v>25</v>
      </c>
      <c r="AF65" s="1516">
        <v>26</v>
      </c>
    </row>
    <row r="66" spans="1:32" s="1474" customFormat="1" ht="23.25" customHeight="1" thickTop="1">
      <c r="A66" s="1515">
        <v>1</v>
      </c>
      <c r="B66" s="1513" t="s">
        <v>2024</v>
      </c>
      <c r="C66" s="1514" t="s">
        <v>1925</v>
      </c>
      <c r="D66" s="1514"/>
      <c r="E66" s="1513">
        <v>12000000</v>
      </c>
      <c r="F66" s="1512">
        <f t="shared" ref="F66:F155" si="16">E66*H66</f>
        <v>2160000</v>
      </c>
      <c r="G66" s="2141">
        <v>40062</v>
      </c>
      <c r="H66" s="1511">
        <v>0.18</v>
      </c>
      <c r="I66" s="1508">
        <v>12</v>
      </c>
      <c r="J66" s="1508">
        <v>12</v>
      </c>
      <c r="K66" s="1508">
        <v>1000000</v>
      </c>
      <c r="L66" s="1508">
        <v>180000</v>
      </c>
      <c r="M66" s="1510">
        <f t="shared" ref="M66:M155" si="17">IF(J66&lt;I66,J66*K66,IF(J66&gt;=I66,E66))</f>
        <v>12000000</v>
      </c>
      <c r="N66" s="1510">
        <f t="shared" ref="N66:N155" si="18">IF(J66&lt;I66,J66*L66,IF(J66&gt;=I66,F66))</f>
        <v>2160000</v>
      </c>
      <c r="O66" s="1509">
        <v>12000000</v>
      </c>
      <c r="P66" s="1509">
        <v>2160000</v>
      </c>
      <c r="Q66" s="1509"/>
      <c r="R66" s="2650"/>
      <c r="S66" s="2650"/>
      <c r="T66" s="1507"/>
      <c r="U66" s="1495">
        <f t="shared" ref="U66:U155" si="19">SUM(O66+R66)</f>
        <v>12000000</v>
      </c>
      <c r="V66" s="1495">
        <f t="shared" ref="V66:V155" si="20">SUM(P66+S66)</f>
        <v>2160000</v>
      </c>
      <c r="W66" s="1495">
        <f t="shared" ref="W66:W98" si="21">SUM(Q66+T66)</f>
        <v>0</v>
      </c>
      <c r="X66" s="1495">
        <f t="shared" ref="X66:X155" si="22">SUM(E66-U66)</f>
        <v>0</v>
      </c>
      <c r="Y66" s="1495">
        <f t="shared" ref="Y66:Y155" si="23">SUM(U66/M66)*100</f>
        <v>100</v>
      </c>
      <c r="Z66" s="1495">
        <f t="shared" ref="Z66:Z155" si="24">SUM(M66-U66)</f>
        <v>0</v>
      </c>
      <c r="AA66" s="1506">
        <f t="shared" ref="AA66:AA155" si="25">SUM(N66-V66)</f>
        <v>0</v>
      </c>
      <c r="AB66" s="1505"/>
      <c r="AC66" s="1504">
        <f t="shared" ref="AC66:AC155" si="26">IF(AND(AB66&gt;0,AB66&lt;=2),X66,0)</f>
        <v>0</v>
      </c>
      <c r="AD66" s="1503">
        <f t="shared" ref="AD66:AD155" si="27">IF(AND(AB66&gt;=3,AB66&lt;=4),X66,0)</f>
        <v>0</v>
      </c>
      <c r="AE66" s="1503">
        <f t="shared" ref="AE66:AE155" si="28">IF(AND(AB66&gt;=5,AB66&lt;=6),X66,0)</f>
        <v>0</v>
      </c>
      <c r="AF66" s="1502">
        <f t="shared" ref="AF66:AF155" si="29">IF(AB66&gt;6,X66,0)</f>
        <v>0</v>
      </c>
    </row>
    <row r="67" spans="1:32" s="1474" customFormat="1" ht="23.25" customHeight="1">
      <c r="A67" s="1515">
        <f>A66+1</f>
        <v>2</v>
      </c>
      <c r="B67" s="1513" t="s">
        <v>2025</v>
      </c>
      <c r="C67" s="1514" t="s">
        <v>1925</v>
      </c>
      <c r="D67" s="1514"/>
      <c r="E67" s="1513">
        <v>10000000</v>
      </c>
      <c r="F67" s="1512">
        <f t="shared" si="16"/>
        <v>1800000</v>
      </c>
      <c r="G67" s="2141">
        <v>40062</v>
      </c>
      <c r="H67" s="1511">
        <v>0.18</v>
      </c>
      <c r="I67" s="1508">
        <v>12</v>
      </c>
      <c r="J67" s="1508">
        <v>12</v>
      </c>
      <c r="K67" s="1508">
        <v>833300</v>
      </c>
      <c r="L67" s="1508">
        <v>150000</v>
      </c>
      <c r="M67" s="1510">
        <f t="shared" si="17"/>
        <v>10000000</v>
      </c>
      <c r="N67" s="1510">
        <f t="shared" si="18"/>
        <v>1800000</v>
      </c>
      <c r="O67" s="1509">
        <v>10000000</v>
      </c>
      <c r="P67" s="1509">
        <v>1800000</v>
      </c>
      <c r="Q67" s="1509"/>
      <c r="R67" s="2650"/>
      <c r="S67" s="2650"/>
      <c r="T67" s="1507"/>
      <c r="U67" s="1495">
        <f t="shared" si="19"/>
        <v>10000000</v>
      </c>
      <c r="V67" s="1495">
        <f t="shared" si="20"/>
        <v>1800000</v>
      </c>
      <c r="W67" s="1495">
        <f t="shared" si="21"/>
        <v>0</v>
      </c>
      <c r="X67" s="1495">
        <f t="shared" si="22"/>
        <v>0</v>
      </c>
      <c r="Y67" s="1495">
        <f t="shared" si="23"/>
        <v>100</v>
      </c>
      <c r="Z67" s="1495">
        <f t="shared" si="24"/>
        <v>0</v>
      </c>
      <c r="AA67" s="1506">
        <f t="shared" si="25"/>
        <v>0</v>
      </c>
      <c r="AB67" s="1505"/>
      <c r="AC67" s="1504">
        <f t="shared" si="26"/>
        <v>0</v>
      </c>
      <c r="AD67" s="1503">
        <f t="shared" si="27"/>
        <v>0</v>
      </c>
      <c r="AE67" s="1503">
        <f t="shared" si="28"/>
        <v>0</v>
      </c>
      <c r="AF67" s="1502">
        <f t="shared" si="29"/>
        <v>0</v>
      </c>
    </row>
    <row r="68" spans="1:32" s="1474" customFormat="1" ht="23.25" customHeight="1">
      <c r="A68" s="1515">
        <f t="shared" ref="A68:A81" si="30">A67+1</f>
        <v>3</v>
      </c>
      <c r="B68" s="1513" t="s">
        <v>2026</v>
      </c>
      <c r="C68" s="1514" t="s">
        <v>1925</v>
      </c>
      <c r="D68" s="1514"/>
      <c r="E68" s="1513">
        <v>8000000</v>
      </c>
      <c r="F68" s="1512">
        <f t="shared" si="16"/>
        <v>1440000</v>
      </c>
      <c r="G68" s="2141">
        <v>40062</v>
      </c>
      <c r="H68" s="1511">
        <v>0.18</v>
      </c>
      <c r="I68" s="1508">
        <v>12</v>
      </c>
      <c r="J68" s="1508">
        <v>12</v>
      </c>
      <c r="K68" s="1508">
        <v>666700</v>
      </c>
      <c r="L68" s="1508">
        <v>120000</v>
      </c>
      <c r="M68" s="1510">
        <f t="shared" si="17"/>
        <v>8000000</v>
      </c>
      <c r="N68" s="1510">
        <f t="shared" si="18"/>
        <v>1440000</v>
      </c>
      <c r="O68" s="1509">
        <v>8000000</v>
      </c>
      <c r="P68" s="1509">
        <v>1440000</v>
      </c>
      <c r="Q68" s="1509"/>
      <c r="R68" s="2650"/>
      <c r="S68" s="2650"/>
      <c r="T68" s="1507"/>
      <c r="U68" s="1495">
        <f t="shared" si="19"/>
        <v>8000000</v>
      </c>
      <c r="V68" s="1495">
        <f t="shared" si="20"/>
        <v>1440000</v>
      </c>
      <c r="W68" s="1495">
        <f t="shared" si="21"/>
        <v>0</v>
      </c>
      <c r="X68" s="1495">
        <f t="shared" si="22"/>
        <v>0</v>
      </c>
      <c r="Y68" s="1495">
        <f t="shared" si="23"/>
        <v>100</v>
      </c>
      <c r="Z68" s="1495">
        <f t="shared" si="24"/>
        <v>0</v>
      </c>
      <c r="AA68" s="1506">
        <f t="shared" si="25"/>
        <v>0</v>
      </c>
      <c r="AB68" s="1505"/>
      <c r="AC68" s="1504">
        <f t="shared" si="26"/>
        <v>0</v>
      </c>
      <c r="AD68" s="1503">
        <f t="shared" si="27"/>
        <v>0</v>
      </c>
      <c r="AE68" s="1503">
        <f t="shared" si="28"/>
        <v>0</v>
      </c>
      <c r="AF68" s="1502">
        <f t="shared" si="29"/>
        <v>0</v>
      </c>
    </row>
    <row r="69" spans="1:32" s="1474" customFormat="1" ht="23.25" customHeight="1">
      <c r="A69" s="1515">
        <f t="shared" si="30"/>
        <v>4</v>
      </c>
      <c r="B69" s="1513" t="s">
        <v>1941</v>
      </c>
      <c r="C69" s="1514" t="s">
        <v>1928</v>
      </c>
      <c r="D69" s="1514"/>
      <c r="E69" s="1513">
        <v>10000000</v>
      </c>
      <c r="F69" s="1512">
        <f t="shared" si="16"/>
        <v>1800000</v>
      </c>
      <c r="G69" s="2141">
        <v>40217</v>
      </c>
      <c r="H69" s="1511">
        <v>0.18</v>
      </c>
      <c r="I69" s="1508">
        <v>12</v>
      </c>
      <c r="J69" s="1508">
        <v>12</v>
      </c>
      <c r="K69" s="1508">
        <v>833300</v>
      </c>
      <c r="L69" s="1508">
        <v>150000</v>
      </c>
      <c r="M69" s="1510">
        <f t="shared" si="17"/>
        <v>10000000</v>
      </c>
      <c r="N69" s="1510">
        <f t="shared" si="18"/>
        <v>1800000</v>
      </c>
      <c r="O69" s="1509">
        <v>10000000</v>
      </c>
      <c r="P69" s="1509">
        <v>1800000</v>
      </c>
      <c r="Q69" s="1509"/>
      <c r="R69" s="2650"/>
      <c r="S69" s="2650"/>
      <c r="T69" s="1507"/>
      <c r="U69" s="1495">
        <f t="shared" si="19"/>
        <v>10000000</v>
      </c>
      <c r="V69" s="1495">
        <f t="shared" si="20"/>
        <v>1800000</v>
      </c>
      <c r="W69" s="1495">
        <f t="shared" si="21"/>
        <v>0</v>
      </c>
      <c r="X69" s="1495">
        <f t="shared" si="22"/>
        <v>0</v>
      </c>
      <c r="Y69" s="1495">
        <f t="shared" si="23"/>
        <v>100</v>
      </c>
      <c r="Z69" s="1495">
        <f t="shared" si="24"/>
        <v>0</v>
      </c>
      <c r="AA69" s="1506">
        <f t="shared" si="25"/>
        <v>0</v>
      </c>
      <c r="AB69" s="1505"/>
      <c r="AC69" s="1504">
        <f t="shared" si="26"/>
        <v>0</v>
      </c>
      <c r="AD69" s="1503">
        <f t="shared" si="27"/>
        <v>0</v>
      </c>
      <c r="AE69" s="1503">
        <f t="shared" si="28"/>
        <v>0</v>
      </c>
      <c r="AF69" s="1502">
        <f t="shared" si="29"/>
        <v>0</v>
      </c>
    </row>
    <row r="70" spans="1:32" s="1474" customFormat="1" ht="23.25" customHeight="1">
      <c r="A70" s="1515">
        <f t="shared" si="30"/>
        <v>5</v>
      </c>
      <c r="B70" s="1513" t="s">
        <v>2027</v>
      </c>
      <c r="C70" s="1514" t="s">
        <v>1928</v>
      </c>
      <c r="D70" s="1514"/>
      <c r="E70" s="1513">
        <v>13000000</v>
      </c>
      <c r="F70" s="1512">
        <f t="shared" si="16"/>
        <v>2340000</v>
      </c>
      <c r="G70" s="2141">
        <v>40269</v>
      </c>
      <c r="H70" s="1511">
        <v>0.18</v>
      </c>
      <c r="I70" s="1508">
        <v>12</v>
      </c>
      <c r="J70" s="1508">
        <v>12</v>
      </c>
      <c r="K70" s="1508">
        <v>1083300</v>
      </c>
      <c r="L70" s="1508">
        <v>195000</v>
      </c>
      <c r="M70" s="1510">
        <f t="shared" si="17"/>
        <v>13000000</v>
      </c>
      <c r="N70" s="1510">
        <f t="shared" si="18"/>
        <v>2340000</v>
      </c>
      <c r="O70" s="1509">
        <v>13000000</v>
      </c>
      <c r="P70" s="1509">
        <v>2340000</v>
      </c>
      <c r="Q70" s="1509"/>
      <c r="R70" s="2650"/>
      <c r="S70" s="2650"/>
      <c r="T70" s="1507"/>
      <c r="U70" s="1495">
        <f t="shared" si="19"/>
        <v>13000000</v>
      </c>
      <c r="V70" s="1495">
        <f t="shared" si="20"/>
        <v>2340000</v>
      </c>
      <c r="W70" s="1495">
        <f t="shared" si="21"/>
        <v>0</v>
      </c>
      <c r="X70" s="1495">
        <f t="shared" si="22"/>
        <v>0</v>
      </c>
      <c r="Y70" s="1495">
        <f t="shared" si="23"/>
        <v>100</v>
      </c>
      <c r="Z70" s="1495">
        <f t="shared" si="24"/>
        <v>0</v>
      </c>
      <c r="AA70" s="1506">
        <f t="shared" si="25"/>
        <v>0</v>
      </c>
      <c r="AB70" s="1505"/>
      <c r="AC70" s="1504">
        <f t="shared" si="26"/>
        <v>0</v>
      </c>
      <c r="AD70" s="1503">
        <f t="shared" si="27"/>
        <v>0</v>
      </c>
      <c r="AE70" s="1503">
        <f t="shared" si="28"/>
        <v>0</v>
      </c>
      <c r="AF70" s="1502">
        <f t="shared" si="29"/>
        <v>0</v>
      </c>
    </row>
    <row r="71" spans="1:32" s="1474" customFormat="1" ht="23.25" customHeight="1">
      <c r="A71" s="1515">
        <f t="shared" si="30"/>
        <v>6</v>
      </c>
      <c r="B71" s="1513" t="s">
        <v>1957</v>
      </c>
      <c r="C71" s="1514" t="s">
        <v>1931</v>
      </c>
      <c r="D71" s="1514"/>
      <c r="E71" s="1513">
        <v>6000000</v>
      </c>
      <c r="F71" s="1512">
        <f t="shared" si="16"/>
        <v>1080000</v>
      </c>
      <c r="G71" s="2141">
        <v>40249</v>
      </c>
      <c r="H71" s="1511">
        <v>0.18</v>
      </c>
      <c r="I71" s="1508">
        <v>12</v>
      </c>
      <c r="J71" s="1508">
        <v>12</v>
      </c>
      <c r="K71" s="1508">
        <v>500000</v>
      </c>
      <c r="L71" s="1508">
        <v>90000</v>
      </c>
      <c r="M71" s="1510">
        <f t="shared" si="17"/>
        <v>6000000</v>
      </c>
      <c r="N71" s="1510">
        <f t="shared" si="18"/>
        <v>1080000</v>
      </c>
      <c r="O71" s="1509">
        <v>6090000</v>
      </c>
      <c r="P71" s="1509">
        <v>990000</v>
      </c>
      <c r="Q71" s="1509"/>
      <c r="R71" s="2650"/>
      <c r="S71" s="2650"/>
      <c r="T71" s="1507"/>
      <c r="U71" s="1495">
        <f t="shared" si="19"/>
        <v>6090000</v>
      </c>
      <c r="V71" s="1495">
        <f t="shared" si="20"/>
        <v>990000</v>
      </c>
      <c r="W71" s="1495">
        <f t="shared" si="21"/>
        <v>0</v>
      </c>
      <c r="X71" s="1495">
        <f t="shared" si="22"/>
        <v>-90000</v>
      </c>
      <c r="Y71" s="1495">
        <f t="shared" si="23"/>
        <v>101.49999999999999</v>
      </c>
      <c r="Z71" s="1495">
        <f t="shared" si="24"/>
        <v>-90000</v>
      </c>
      <c r="AA71" s="1506">
        <f t="shared" si="25"/>
        <v>90000</v>
      </c>
      <c r="AB71" s="1505"/>
      <c r="AC71" s="1504">
        <f t="shared" si="26"/>
        <v>0</v>
      </c>
      <c r="AD71" s="1503">
        <f t="shared" si="27"/>
        <v>0</v>
      </c>
      <c r="AE71" s="1503">
        <f t="shared" si="28"/>
        <v>0</v>
      </c>
      <c r="AF71" s="1502">
        <f t="shared" si="29"/>
        <v>0</v>
      </c>
    </row>
    <row r="72" spans="1:32" s="1474" customFormat="1" ht="23.25" customHeight="1">
      <c r="A72" s="1515">
        <f t="shared" si="30"/>
        <v>7</v>
      </c>
      <c r="B72" s="1513" t="s">
        <v>2028</v>
      </c>
      <c r="C72" s="1514" t="s">
        <v>1931</v>
      </c>
      <c r="D72" s="1514"/>
      <c r="E72" s="1513">
        <v>7500000</v>
      </c>
      <c r="F72" s="1512">
        <f t="shared" si="16"/>
        <v>1350000</v>
      </c>
      <c r="G72" s="2141">
        <v>40249</v>
      </c>
      <c r="H72" s="1511">
        <v>0.18</v>
      </c>
      <c r="I72" s="1508">
        <v>12</v>
      </c>
      <c r="J72" s="1508">
        <v>12</v>
      </c>
      <c r="K72" s="1508">
        <v>625000</v>
      </c>
      <c r="L72" s="1508">
        <v>112500</v>
      </c>
      <c r="M72" s="1510">
        <f t="shared" si="17"/>
        <v>7500000</v>
      </c>
      <c r="N72" s="1510">
        <f t="shared" si="18"/>
        <v>1350000</v>
      </c>
      <c r="O72" s="1509">
        <v>7500000</v>
      </c>
      <c r="P72" s="1509">
        <v>1350000</v>
      </c>
      <c r="Q72" s="1509"/>
      <c r="R72" s="2650"/>
      <c r="S72" s="2650"/>
      <c r="T72" s="1507"/>
      <c r="U72" s="1495">
        <f t="shared" si="19"/>
        <v>7500000</v>
      </c>
      <c r="V72" s="1495">
        <f t="shared" si="20"/>
        <v>1350000</v>
      </c>
      <c r="W72" s="1495">
        <f t="shared" si="21"/>
        <v>0</v>
      </c>
      <c r="X72" s="1495">
        <f t="shared" si="22"/>
        <v>0</v>
      </c>
      <c r="Y72" s="1495">
        <f t="shared" si="23"/>
        <v>100</v>
      </c>
      <c r="Z72" s="1495">
        <f t="shared" si="24"/>
        <v>0</v>
      </c>
      <c r="AA72" s="1506">
        <f t="shared" si="25"/>
        <v>0</v>
      </c>
      <c r="AB72" s="1505"/>
      <c r="AC72" s="1504">
        <f t="shared" si="26"/>
        <v>0</v>
      </c>
      <c r="AD72" s="1503">
        <f t="shared" si="27"/>
        <v>0</v>
      </c>
      <c r="AE72" s="1503">
        <f t="shared" si="28"/>
        <v>0</v>
      </c>
      <c r="AF72" s="1502">
        <f t="shared" si="29"/>
        <v>0</v>
      </c>
    </row>
    <row r="73" spans="1:32" s="1474" customFormat="1" ht="23.25" customHeight="1">
      <c r="A73" s="1515">
        <f t="shared" si="30"/>
        <v>8</v>
      </c>
      <c r="B73" s="1513" t="s">
        <v>2021</v>
      </c>
      <c r="C73" s="1514" t="s">
        <v>1931</v>
      </c>
      <c r="D73" s="1514"/>
      <c r="E73" s="1513">
        <v>7500000</v>
      </c>
      <c r="F73" s="1512">
        <f t="shared" si="16"/>
        <v>1350000</v>
      </c>
      <c r="G73" s="2141">
        <v>40249</v>
      </c>
      <c r="H73" s="1511">
        <v>0.18</v>
      </c>
      <c r="I73" s="1508">
        <v>6</v>
      </c>
      <c r="J73" s="1508">
        <v>6</v>
      </c>
      <c r="K73" s="1508">
        <v>1250000</v>
      </c>
      <c r="L73" s="1508">
        <v>225000</v>
      </c>
      <c r="M73" s="1510">
        <f t="shared" si="17"/>
        <v>7500000</v>
      </c>
      <c r="N73" s="1510">
        <f t="shared" si="18"/>
        <v>1350000</v>
      </c>
      <c r="O73" s="1509">
        <v>7500000</v>
      </c>
      <c r="P73" s="1509">
        <v>1350000</v>
      </c>
      <c r="Q73" s="1509"/>
      <c r="R73" s="2650"/>
      <c r="S73" s="2650"/>
      <c r="T73" s="1507"/>
      <c r="U73" s="1495">
        <f t="shared" si="19"/>
        <v>7500000</v>
      </c>
      <c r="V73" s="1495">
        <f t="shared" si="20"/>
        <v>1350000</v>
      </c>
      <c r="W73" s="1495">
        <f t="shared" si="21"/>
        <v>0</v>
      </c>
      <c r="X73" s="1495">
        <f t="shared" si="22"/>
        <v>0</v>
      </c>
      <c r="Y73" s="1495">
        <f t="shared" si="23"/>
        <v>100</v>
      </c>
      <c r="Z73" s="1495">
        <f t="shared" si="24"/>
        <v>0</v>
      </c>
      <c r="AA73" s="1506">
        <f t="shared" si="25"/>
        <v>0</v>
      </c>
      <c r="AB73" s="1505"/>
      <c r="AC73" s="1504">
        <f t="shared" si="26"/>
        <v>0</v>
      </c>
      <c r="AD73" s="1503">
        <f t="shared" si="27"/>
        <v>0</v>
      </c>
      <c r="AE73" s="1503">
        <f t="shared" si="28"/>
        <v>0</v>
      </c>
      <c r="AF73" s="1502">
        <f t="shared" si="29"/>
        <v>0</v>
      </c>
    </row>
    <row r="74" spans="1:32" s="1474" customFormat="1" ht="23.25" customHeight="1">
      <c r="A74" s="1515">
        <f t="shared" si="30"/>
        <v>9</v>
      </c>
      <c r="B74" s="1513" t="s">
        <v>2025</v>
      </c>
      <c r="C74" s="1514" t="s">
        <v>1932</v>
      </c>
      <c r="D74" s="1514"/>
      <c r="E74" s="1513">
        <v>17000000</v>
      </c>
      <c r="F74" s="1512">
        <f t="shared" si="16"/>
        <v>3060000</v>
      </c>
      <c r="G74" s="2141">
        <v>40364</v>
      </c>
      <c r="H74" s="1511">
        <v>0.18</v>
      </c>
      <c r="I74" s="1508">
        <v>12</v>
      </c>
      <c r="J74" s="1508">
        <v>12</v>
      </c>
      <c r="K74" s="1508">
        <v>1416700</v>
      </c>
      <c r="L74" s="1508">
        <v>255000</v>
      </c>
      <c r="M74" s="1510">
        <f t="shared" si="17"/>
        <v>17000000</v>
      </c>
      <c r="N74" s="1510">
        <f t="shared" si="18"/>
        <v>3060000</v>
      </c>
      <c r="O74" s="1509">
        <v>17000000</v>
      </c>
      <c r="P74" s="1509">
        <v>3060000</v>
      </c>
      <c r="Q74" s="1509"/>
      <c r="R74" s="2650"/>
      <c r="S74" s="2650"/>
      <c r="T74" s="1507"/>
      <c r="U74" s="1495">
        <f t="shared" si="19"/>
        <v>17000000</v>
      </c>
      <c r="V74" s="1495">
        <f t="shared" si="20"/>
        <v>3060000</v>
      </c>
      <c r="W74" s="1495">
        <f t="shared" si="21"/>
        <v>0</v>
      </c>
      <c r="X74" s="1495">
        <f t="shared" si="22"/>
        <v>0</v>
      </c>
      <c r="Y74" s="1495">
        <f t="shared" si="23"/>
        <v>100</v>
      </c>
      <c r="Z74" s="1495">
        <f t="shared" si="24"/>
        <v>0</v>
      </c>
      <c r="AA74" s="1506">
        <f t="shared" si="25"/>
        <v>0</v>
      </c>
      <c r="AB74" s="1505"/>
      <c r="AC74" s="1504">
        <f t="shared" si="26"/>
        <v>0</v>
      </c>
      <c r="AD74" s="1503">
        <f t="shared" si="27"/>
        <v>0</v>
      </c>
      <c r="AE74" s="1503">
        <f t="shared" si="28"/>
        <v>0</v>
      </c>
      <c r="AF74" s="1502">
        <f t="shared" si="29"/>
        <v>0</v>
      </c>
    </row>
    <row r="75" spans="1:32" s="1474" customFormat="1" ht="23.25" customHeight="1">
      <c r="A75" s="1515">
        <f t="shared" si="30"/>
        <v>10</v>
      </c>
      <c r="B75" s="1513" t="s">
        <v>2026</v>
      </c>
      <c r="C75" s="1514" t="s">
        <v>1932</v>
      </c>
      <c r="D75" s="1514"/>
      <c r="E75" s="1513">
        <v>8000000</v>
      </c>
      <c r="F75" s="1512">
        <f t="shared" si="16"/>
        <v>1440000</v>
      </c>
      <c r="G75" s="2141">
        <v>40364</v>
      </c>
      <c r="H75" s="1511">
        <v>0.18</v>
      </c>
      <c r="I75" s="1508">
        <v>12</v>
      </c>
      <c r="J75" s="1508">
        <v>12</v>
      </c>
      <c r="K75" s="1508">
        <v>666700</v>
      </c>
      <c r="L75" s="1508">
        <v>120000</v>
      </c>
      <c r="M75" s="1510">
        <f t="shared" si="17"/>
        <v>8000000</v>
      </c>
      <c r="N75" s="1510">
        <f t="shared" si="18"/>
        <v>1440000</v>
      </c>
      <c r="O75" s="1509">
        <v>8000000</v>
      </c>
      <c r="P75" s="1509">
        <v>1440000</v>
      </c>
      <c r="Q75" s="1509"/>
      <c r="R75" s="2650"/>
      <c r="S75" s="2650"/>
      <c r="T75" s="1507"/>
      <c r="U75" s="1495">
        <f t="shared" si="19"/>
        <v>8000000</v>
      </c>
      <c r="V75" s="1495">
        <f t="shared" si="20"/>
        <v>1440000</v>
      </c>
      <c r="W75" s="1495">
        <f t="shared" si="21"/>
        <v>0</v>
      </c>
      <c r="X75" s="1495">
        <f t="shared" si="22"/>
        <v>0</v>
      </c>
      <c r="Y75" s="1495">
        <f t="shared" si="23"/>
        <v>100</v>
      </c>
      <c r="Z75" s="1495">
        <f t="shared" si="24"/>
        <v>0</v>
      </c>
      <c r="AA75" s="1506">
        <f t="shared" si="25"/>
        <v>0</v>
      </c>
      <c r="AB75" s="1505"/>
      <c r="AC75" s="1504">
        <f t="shared" si="26"/>
        <v>0</v>
      </c>
      <c r="AD75" s="1503">
        <f t="shared" si="27"/>
        <v>0</v>
      </c>
      <c r="AE75" s="1503">
        <f t="shared" si="28"/>
        <v>0</v>
      </c>
      <c r="AF75" s="1502">
        <f t="shared" si="29"/>
        <v>0</v>
      </c>
    </row>
    <row r="76" spans="1:32" s="1474" customFormat="1" ht="23.25" customHeight="1">
      <c r="A76" s="1515">
        <f t="shared" si="30"/>
        <v>11</v>
      </c>
      <c r="B76" s="1513" t="s">
        <v>1898</v>
      </c>
      <c r="C76" s="1514" t="s">
        <v>1935</v>
      </c>
      <c r="D76" s="1514"/>
      <c r="E76" s="1513">
        <v>16000000</v>
      </c>
      <c r="F76" s="1512">
        <f t="shared" si="16"/>
        <v>2880000</v>
      </c>
      <c r="G76" s="2141">
        <v>40492</v>
      </c>
      <c r="H76" s="1511">
        <v>0.18</v>
      </c>
      <c r="I76" s="1508">
        <v>12</v>
      </c>
      <c r="J76" s="1508">
        <v>12</v>
      </c>
      <c r="K76" s="1508">
        <v>1333300</v>
      </c>
      <c r="L76" s="1508">
        <v>240000</v>
      </c>
      <c r="M76" s="1510">
        <f t="shared" si="17"/>
        <v>16000000</v>
      </c>
      <c r="N76" s="1510">
        <f t="shared" si="18"/>
        <v>2880000</v>
      </c>
      <c r="O76" s="1509">
        <v>16000000</v>
      </c>
      <c r="P76" s="1509">
        <v>2880000</v>
      </c>
      <c r="Q76" s="1509"/>
      <c r="R76" s="2650"/>
      <c r="S76" s="2650"/>
      <c r="T76" s="1507"/>
      <c r="U76" s="1495">
        <f t="shared" si="19"/>
        <v>16000000</v>
      </c>
      <c r="V76" s="1495">
        <f t="shared" si="20"/>
        <v>2880000</v>
      </c>
      <c r="W76" s="1495">
        <f t="shared" si="21"/>
        <v>0</v>
      </c>
      <c r="X76" s="1495">
        <f t="shared" si="22"/>
        <v>0</v>
      </c>
      <c r="Y76" s="1495">
        <f t="shared" si="23"/>
        <v>100</v>
      </c>
      <c r="Z76" s="1495">
        <f t="shared" si="24"/>
        <v>0</v>
      </c>
      <c r="AA76" s="1506">
        <f t="shared" si="25"/>
        <v>0</v>
      </c>
      <c r="AB76" s="1505"/>
      <c r="AC76" s="1504">
        <f t="shared" si="26"/>
        <v>0</v>
      </c>
      <c r="AD76" s="1503">
        <f t="shared" si="27"/>
        <v>0</v>
      </c>
      <c r="AE76" s="1503">
        <f t="shared" si="28"/>
        <v>0</v>
      </c>
      <c r="AF76" s="1502">
        <f t="shared" si="29"/>
        <v>0</v>
      </c>
    </row>
    <row r="77" spans="1:32" s="1474" customFormat="1" ht="23.25" customHeight="1">
      <c r="A77" s="1515">
        <f t="shared" si="30"/>
        <v>12</v>
      </c>
      <c r="B77" s="1513" t="s">
        <v>2019</v>
      </c>
      <c r="C77" s="1514" t="s">
        <v>1935</v>
      </c>
      <c r="D77" s="1514"/>
      <c r="E77" s="1513">
        <v>12000000</v>
      </c>
      <c r="F77" s="1512">
        <f t="shared" si="16"/>
        <v>2160000</v>
      </c>
      <c r="G77" s="2141">
        <v>40497</v>
      </c>
      <c r="H77" s="1511">
        <v>0.18</v>
      </c>
      <c r="I77" s="1508">
        <v>12</v>
      </c>
      <c r="J77" s="1508">
        <v>12</v>
      </c>
      <c r="K77" s="1508">
        <v>1000000</v>
      </c>
      <c r="L77" s="1508">
        <v>180000</v>
      </c>
      <c r="M77" s="1510">
        <f t="shared" si="17"/>
        <v>12000000</v>
      </c>
      <c r="N77" s="1510">
        <f t="shared" si="18"/>
        <v>2160000</v>
      </c>
      <c r="O77" s="1509">
        <v>12000000</v>
      </c>
      <c r="P77" s="1509">
        <v>2160000</v>
      </c>
      <c r="Q77" s="1509"/>
      <c r="R77" s="2650"/>
      <c r="S77" s="2650"/>
      <c r="T77" s="1507"/>
      <c r="U77" s="1495">
        <f t="shared" si="19"/>
        <v>12000000</v>
      </c>
      <c r="V77" s="1495">
        <f t="shared" si="20"/>
        <v>2160000</v>
      </c>
      <c r="W77" s="1495">
        <f t="shared" si="21"/>
        <v>0</v>
      </c>
      <c r="X77" s="1495">
        <f t="shared" si="22"/>
        <v>0</v>
      </c>
      <c r="Y77" s="1495">
        <f t="shared" si="23"/>
        <v>100</v>
      </c>
      <c r="Z77" s="1495">
        <f t="shared" si="24"/>
        <v>0</v>
      </c>
      <c r="AA77" s="1506">
        <f t="shared" si="25"/>
        <v>0</v>
      </c>
      <c r="AB77" s="1505"/>
      <c r="AC77" s="1504">
        <f t="shared" si="26"/>
        <v>0</v>
      </c>
      <c r="AD77" s="1503">
        <f t="shared" si="27"/>
        <v>0</v>
      </c>
      <c r="AE77" s="1503">
        <f t="shared" si="28"/>
        <v>0</v>
      </c>
      <c r="AF77" s="1502">
        <f t="shared" si="29"/>
        <v>0</v>
      </c>
    </row>
    <row r="78" spans="1:32" s="1474" customFormat="1" ht="23.25" customHeight="1">
      <c r="A78" s="1515">
        <f t="shared" si="30"/>
        <v>13</v>
      </c>
      <c r="B78" s="1513" t="s">
        <v>2027</v>
      </c>
      <c r="C78" s="1514" t="s">
        <v>1935</v>
      </c>
      <c r="D78" s="1514"/>
      <c r="E78" s="1513">
        <v>22500000</v>
      </c>
      <c r="F78" s="1512">
        <f t="shared" si="16"/>
        <v>4050000</v>
      </c>
      <c r="G78" s="2141">
        <v>40520</v>
      </c>
      <c r="H78" s="1511">
        <v>0.18</v>
      </c>
      <c r="I78" s="1508">
        <v>12</v>
      </c>
      <c r="J78" s="2404">
        <v>12</v>
      </c>
      <c r="K78" s="1508">
        <v>1875000</v>
      </c>
      <c r="L78" s="1508">
        <v>337500</v>
      </c>
      <c r="M78" s="1510">
        <f t="shared" si="17"/>
        <v>22500000</v>
      </c>
      <c r="N78" s="2401">
        <f>IF(J78&lt;I78,J78*L78,IF(J78&gt;=I78,F78))-337500</f>
        <v>3712500</v>
      </c>
      <c r="O78" s="1509">
        <v>22500000</v>
      </c>
      <c r="P78" s="1509">
        <v>3712500</v>
      </c>
      <c r="Q78" s="1509"/>
      <c r="R78" s="2650"/>
      <c r="S78" s="2650"/>
      <c r="T78" s="1507"/>
      <c r="U78" s="1495">
        <f t="shared" si="19"/>
        <v>22500000</v>
      </c>
      <c r="V78" s="1495">
        <f t="shared" si="20"/>
        <v>3712500</v>
      </c>
      <c r="W78" s="1495">
        <f t="shared" si="21"/>
        <v>0</v>
      </c>
      <c r="X78" s="1495">
        <f t="shared" si="22"/>
        <v>0</v>
      </c>
      <c r="Y78" s="1495">
        <f t="shared" si="23"/>
        <v>100</v>
      </c>
      <c r="Z78" s="1495">
        <f t="shared" si="24"/>
        <v>0</v>
      </c>
      <c r="AA78" s="1506">
        <f t="shared" si="25"/>
        <v>0</v>
      </c>
      <c r="AB78" s="1505"/>
      <c r="AC78" s="1504">
        <f t="shared" si="26"/>
        <v>0</v>
      </c>
      <c r="AD78" s="1503">
        <f t="shared" si="27"/>
        <v>0</v>
      </c>
      <c r="AE78" s="1503">
        <f t="shared" si="28"/>
        <v>0</v>
      </c>
      <c r="AF78" s="1502">
        <f t="shared" si="29"/>
        <v>0</v>
      </c>
    </row>
    <row r="79" spans="1:32" s="1474" customFormat="1" ht="23.25" customHeight="1">
      <c r="A79" s="1515">
        <f t="shared" si="30"/>
        <v>14</v>
      </c>
      <c r="B79" s="1513" t="s">
        <v>2017</v>
      </c>
      <c r="C79" s="1514" t="s">
        <v>1935</v>
      </c>
      <c r="D79" s="1514"/>
      <c r="E79" s="1513">
        <v>12000000</v>
      </c>
      <c r="F79" s="1512">
        <f t="shared" si="16"/>
        <v>2160000</v>
      </c>
      <c r="G79" s="2141">
        <v>40534</v>
      </c>
      <c r="H79" s="1511">
        <v>0.18</v>
      </c>
      <c r="I79" s="1508">
        <v>12</v>
      </c>
      <c r="J79" s="1508">
        <v>12</v>
      </c>
      <c r="K79" s="1508">
        <v>1000000</v>
      </c>
      <c r="L79" s="1508">
        <v>180000</v>
      </c>
      <c r="M79" s="1510">
        <f t="shared" si="17"/>
        <v>12000000</v>
      </c>
      <c r="N79" s="1510">
        <f t="shared" si="18"/>
        <v>2160000</v>
      </c>
      <c r="O79" s="1509">
        <v>12000000</v>
      </c>
      <c r="P79" s="1509">
        <v>2160000</v>
      </c>
      <c r="Q79" s="1509"/>
      <c r="R79" s="2650"/>
      <c r="S79" s="2650"/>
      <c r="T79" s="1507"/>
      <c r="U79" s="1495">
        <f t="shared" si="19"/>
        <v>12000000</v>
      </c>
      <c r="V79" s="1495">
        <f t="shared" si="20"/>
        <v>2160000</v>
      </c>
      <c r="W79" s="1495">
        <f t="shared" si="21"/>
        <v>0</v>
      </c>
      <c r="X79" s="1495">
        <f t="shared" si="22"/>
        <v>0</v>
      </c>
      <c r="Y79" s="1495">
        <f t="shared" si="23"/>
        <v>100</v>
      </c>
      <c r="Z79" s="1495">
        <f t="shared" si="24"/>
        <v>0</v>
      </c>
      <c r="AA79" s="1506">
        <f t="shared" si="25"/>
        <v>0</v>
      </c>
      <c r="AB79" s="1505"/>
      <c r="AC79" s="1504">
        <f t="shared" si="26"/>
        <v>0</v>
      </c>
      <c r="AD79" s="1503">
        <f t="shared" si="27"/>
        <v>0</v>
      </c>
      <c r="AE79" s="1503">
        <f t="shared" si="28"/>
        <v>0</v>
      </c>
      <c r="AF79" s="1502">
        <f t="shared" si="29"/>
        <v>0</v>
      </c>
    </row>
    <row r="80" spans="1:32" s="1474" customFormat="1" ht="23.25" customHeight="1">
      <c r="A80" s="1515">
        <f t="shared" si="30"/>
        <v>15</v>
      </c>
      <c r="B80" s="1513" t="s">
        <v>2018</v>
      </c>
      <c r="C80" s="1514" t="s">
        <v>1935</v>
      </c>
      <c r="D80" s="1514"/>
      <c r="E80" s="1513">
        <v>16000000</v>
      </c>
      <c r="F80" s="1512">
        <f t="shared" si="16"/>
        <v>2880000</v>
      </c>
      <c r="G80" s="2141">
        <v>40578</v>
      </c>
      <c r="H80" s="1511">
        <v>0.18</v>
      </c>
      <c r="I80" s="1508">
        <v>12</v>
      </c>
      <c r="J80" s="1508">
        <v>12</v>
      </c>
      <c r="K80" s="1508">
        <v>1333300</v>
      </c>
      <c r="L80" s="1508">
        <v>240000</v>
      </c>
      <c r="M80" s="1510">
        <f t="shared" si="17"/>
        <v>16000000</v>
      </c>
      <c r="N80" s="1510">
        <f t="shared" si="18"/>
        <v>2880000</v>
      </c>
      <c r="O80" s="1509">
        <v>16000000</v>
      </c>
      <c r="P80" s="1509">
        <v>2880000</v>
      </c>
      <c r="Q80" s="1509"/>
      <c r="R80" s="2650"/>
      <c r="S80" s="2650"/>
      <c r="T80" s="1507"/>
      <c r="U80" s="1495">
        <f t="shared" si="19"/>
        <v>16000000</v>
      </c>
      <c r="V80" s="1495">
        <f t="shared" si="20"/>
        <v>2880000</v>
      </c>
      <c r="W80" s="1495">
        <f t="shared" si="21"/>
        <v>0</v>
      </c>
      <c r="X80" s="1495">
        <f t="shared" si="22"/>
        <v>0</v>
      </c>
      <c r="Y80" s="1495">
        <f t="shared" si="23"/>
        <v>100</v>
      </c>
      <c r="Z80" s="1495">
        <f t="shared" si="24"/>
        <v>0</v>
      </c>
      <c r="AA80" s="1506">
        <f t="shared" si="25"/>
        <v>0</v>
      </c>
      <c r="AB80" s="1505"/>
      <c r="AC80" s="1504">
        <f t="shared" si="26"/>
        <v>0</v>
      </c>
      <c r="AD80" s="1503">
        <f t="shared" si="27"/>
        <v>0</v>
      </c>
      <c r="AE80" s="1503">
        <f t="shared" si="28"/>
        <v>0</v>
      </c>
      <c r="AF80" s="1502">
        <f t="shared" si="29"/>
        <v>0</v>
      </c>
    </row>
    <row r="81" spans="1:32" s="1474" customFormat="1" ht="23.25" customHeight="1">
      <c r="A81" s="1515">
        <f t="shared" si="30"/>
        <v>16</v>
      </c>
      <c r="B81" s="1513" t="s">
        <v>2029</v>
      </c>
      <c r="C81" s="1514" t="s">
        <v>1940</v>
      </c>
      <c r="D81" s="1514"/>
      <c r="E81" s="1513">
        <v>10000000</v>
      </c>
      <c r="F81" s="1512">
        <f t="shared" si="16"/>
        <v>1800000</v>
      </c>
      <c r="G81" s="2141">
        <v>40584</v>
      </c>
      <c r="H81" s="1511">
        <v>0.18</v>
      </c>
      <c r="I81" s="1508">
        <v>12</v>
      </c>
      <c r="J81" s="1508">
        <v>12</v>
      </c>
      <c r="K81" s="1508">
        <v>833300</v>
      </c>
      <c r="L81" s="1508">
        <v>150000</v>
      </c>
      <c r="M81" s="1510">
        <f t="shared" si="17"/>
        <v>10000000</v>
      </c>
      <c r="N81" s="1510">
        <f t="shared" si="18"/>
        <v>1800000</v>
      </c>
      <c r="O81" s="1509">
        <v>10000000</v>
      </c>
      <c r="P81" s="1509">
        <v>1800000</v>
      </c>
      <c r="Q81" s="1509"/>
      <c r="R81" s="2650"/>
      <c r="S81" s="2650"/>
      <c r="T81" s="1507"/>
      <c r="U81" s="1495">
        <f t="shared" si="19"/>
        <v>10000000</v>
      </c>
      <c r="V81" s="1495">
        <f t="shared" si="20"/>
        <v>1800000</v>
      </c>
      <c r="W81" s="1495">
        <f t="shared" si="21"/>
        <v>0</v>
      </c>
      <c r="X81" s="1495">
        <f t="shared" si="22"/>
        <v>0</v>
      </c>
      <c r="Y81" s="1495">
        <f t="shared" si="23"/>
        <v>100</v>
      </c>
      <c r="Z81" s="1495">
        <f t="shared" si="24"/>
        <v>0</v>
      </c>
      <c r="AA81" s="1506">
        <f t="shared" si="25"/>
        <v>0</v>
      </c>
      <c r="AB81" s="1505"/>
      <c r="AC81" s="1504">
        <f t="shared" si="26"/>
        <v>0</v>
      </c>
      <c r="AD81" s="1503">
        <f t="shared" si="27"/>
        <v>0</v>
      </c>
      <c r="AE81" s="1503">
        <f t="shared" si="28"/>
        <v>0</v>
      </c>
      <c r="AF81" s="1502">
        <f t="shared" si="29"/>
        <v>0</v>
      </c>
    </row>
    <row r="82" spans="1:32" s="1474" customFormat="1" ht="23.25" customHeight="1">
      <c r="A82" s="1515">
        <v>17</v>
      </c>
      <c r="B82" s="1513" t="s">
        <v>2028</v>
      </c>
      <c r="C82" s="1514" t="s">
        <v>1940</v>
      </c>
      <c r="D82" s="1514"/>
      <c r="E82" s="1513">
        <v>15000000</v>
      </c>
      <c r="F82" s="1512">
        <f t="shared" si="16"/>
        <v>2700000</v>
      </c>
      <c r="G82" s="2141">
        <v>40665</v>
      </c>
      <c r="H82" s="1511">
        <v>0.18</v>
      </c>
      <c r="I82" s="1508">
        <v>12</v>
      </c>
      <c r="J82" s="2404">
        <v>12</v>
      </c>
      <c r="K82" s="1508">
        <v>1250000</v>
      </c>
      <c r="L82" s="1508">
        <v>225000</v>
      </c>
      <c r="M82" s="1510">
        <f t="shared" si="17"/>
        <v>15000000</v>
      </c>
      <c r="N82" s="2401">
        <f>IF(J82&lt;I82,J82*L82,IF(J82&gt;=I82,F82))-225000</f>
        <v>2475000</v>
      </c>
      <c r="O82" s="1509">
        <v>15000000</v>
      </c>
      <c r="P82" s="1509">
        <v>2475000</v>
      </c>
      <c r="Q82" s="1509"/>
      <c r="R82" s="2650"/>
      <c r="S82" s="2650"/>
      <c r="T82" s="1507"/>
      <c r="U82" s="1495">
        <f t="shared" si="19"/>
        <v>15000000</v>
      </c>
      <c r="V82" s="1495">
        <f t="shared" si="20"/>
        <v>2475000</v>
      </c>
      <c r="W82" s="1495">
        <f t="shared" si="21"/>
        <v>0</v>
      </c>
      <c r="X82" s="1495">
        <f t="shared" si="22"/>
        <v>0</v>
      </c>
      <c r="Y82" s="1495">
        <f t="shared" si="23"/>
        <v>100</v>
      </c>
      <c r="Z82" s="1495">
        <f t="shared" si="24"/>
        <v>0</v>
      </c>
      <c r="AA82" s="1506">
        <f t="shared" si="25"/>
        <v>0</v>
      </c>
      <c r="AB82" s="1505"/>
      <c r="AC82" s="1504">
        <f t="shared" si="26"/>
        <v>0</v>
      </c>
      <c r="AD82" s="1503">
        <f t="shared" si="27"/>
        <v>0</v>
      </c>
      <c r="AE82" s="1503">
        <f t="shared" si="28"/>
        <v>0</v>
      </c>
      <c r="AF82" s="1502">
        <f t="shared" si="29"/>
        <v>0</v>
      </c>
    </row>
    <row r="83" spans="1:32" s="1474" customFormat="1" ht="23.25" customHeight="1">
      <c r="A83" s="1515">
        <v>18</v>
      </c>
      <c r="B83" s="1513" t="s">
        <v>2025</v>
      </c>
      <c r="C83" s="1514" t="s">
        <v>1985</v>
      </c>
      <c r="D83" s="1514"/>
      <c r="E83" s="1513">
        <v>22500000</v>
      </c>
      <c r="F83" s="1512">
        <f t="shared" si="16"/>
        <v>4050000</v>
      </c>
      <c r="G83" s="2141">
        <v>40766</v>
      </c>
      <c r="H83" s="1511">
        <v>0.18</v>
      </c>
      <c r="I83" s="1508">
        <v>12</v>
      </c>
      <c r="J83" s="1508">
        <v>12</v>
      </c>
      <c r="K83" s="1508">
        <f>E83/I83</f>
        <v>1875000</v>
      </c>
      <c r="L83" s="1508">
        <f>F83/I83</f>
        <v>337500</v>
      </c>
      <c r="M83" s="1510">
        <f t="shared" si="17"/>
        <v>22500000</v>
      </c>
      <c r="N83" s="1510">
        <f>IF(J83&lt;I83,J83*L83,IF(J83&gt;=I83,F83))-337500</f>
        <v>3712500</v>
      </c>
      <c r="O83" s="1509">
        <v>22500000</v>
      </c>
      <c r="P83" s="1509">
        <v>3712500</v>
      </c>
      <c r="Q83" s="1509"/>
      <c r="R83" s="2650"/>
      <c r="S83" s="2650"/>
      <c r="T83" s="1507"/>
      <c r="U83" s="1495">
        <f t="shared" si="19"/>
        <v>22500000</v>
      </c>
      <c r="V83" s="1495">
        <f t="shared" si="20"/>
        <v>3712500</v>
      </c>
      <c r="W83" s="1495">
        <f t="shared" si="21"/>
        <v>0</v>
      </c>
      <c r="X83" s="1495">
        <f t="shared" si="22"/>
        <v>0</v>
      </c>
      <c r="Y83" s="1495">
        <f t="shared" si="23"/>
        <v>100</v>
      </c>
      <c r="Z83" s="1495">
        <f t="shared" si="24"/>
        <v>0</v>
      </c>
      <c r="AA83" s="1506">
        <f t="shared" si="25"/>
        <v>0</v>
      </c>
      <c r="AB83" s="1505"/>
      <c r="AC83" s="1504">
        <f t="shared" si="26"/>
        <v>0</v>
      </c>
      <c r="AD83" s="1503">
        <f t="shared" si="27"/>
        <v>0</v>
      </c>
      <c r="AE83" s="1503">
        <f t="shared" si="28"/>
        <v>0</v>
      </c>
      <c r="AF83" s="1502">
        <f t="shared" si="29"/>
        <v>0</v>
      </c>
    </row>
    <row r="84" spans="1:32" s="1474" customFormat="1" ht="23.25" customHeight="1">
      <c r="A84" s="1515">
        <v>19</v>
      </c>
      <c r="B84" s="1513" t="s">
        <v>2026</v>
      </c>
      <c r="C84" s="1514" t="s">
        <v>1985</v>
      </c>
      <c r="D84" s="1514"/>
      <c r="E84" s="1513">
        <v>18000000</v>
      </c>
      <c r="F84" s="1512">
        <f t="shared" si="16"/>
        <v>3240000</v>
      </c>
      <c r="G84" s="2141">
        <v>40766</v>
      </c>
      <c r="H84" s="1511">
        <v>0.18</v>
      </c>
      <c r="I84" s="1508">
        <v>12</v>
      </c>
      <c r="J84" s="1508">
        <v>12</v>
      </c>
      <c r="K84" s="1508">
        <f>E84/I84</f>
        <v>1500000</v>
      </c>
      <c r="L84" s="1508">
        <f>F84/I84</f>
        <v>270000</v>
      </c>
      <c r="M84" s="1510">
        <f t="shared" si="17"/>
        <v>18000000</v>
      </c>
      <c r="N84" s="1510">
        <f>IF(J84&lt;I84,J84*L84,IF(J84&gt;=I84,F84))-270000</f>
        <v>2970000</v>
      </c>
      <c r="O84" s="1509">
        <v>18000000</v>
      </c>
      <c r="P84" s="1509">
        <v>2970000</v>
      </c>
      <c r="Q84" s="1509"/>
      <c r="R84" s="2650"/>
      <c r="S84" s="2650"/>
      <c r="T84" s="1507"/>
      <c r="U84" s="1495">
        <f t="shared" si="19"/>
        <v>18000000</v>
      </c>
      <c r="V84" s="1495">
        <f t="shared" si="20"/>
        <v>2970000</v>
      </c>
      <c r="W84" s="1495">
        <f t="shared" si="21"/>
        <v>0</v>
      </c>
      <c r="X84" s="1495">
        <f t="shared" si="22"/>
        <v>0</v>
      </c>
      <c r="Y84" s="1495">
        <f t="shared" si="23"/>
        <v>100</v>
      </c>
      <c r="Z84" s="1495">
        <f t="shared" si="24"/>
        <v>0</v>
      </c>
      <c r="AA84" s="1506">
        <f t="shared" si="25"/>
        <v>0</v>
      </c>
      <c r="AB84" s="1505"/>
      <c r="AC84" s="1504">
        <f t="shared" si="26"/>
        <v>0</v>
      </c>
      <c r="AD84" s="1503">
        <f t="shared" si="27"/>
        <v>0</v>
      </c>
      <c r="AE84" s="1503">
        <f t="shared" si="28"/>
        <v>0</v>
      </c>
      <c r="AF84" s="1502">
        <f t="shared" si="29"/>
        <v>0</v>
      </c>
    </row>
    <row r="85" spans="1:32" s="1474" customFormat="1" ht="23.25" customHeight="1">
      <c r="A85" s="1515">
        <v>20</v>
      </c>
      <c r="B85" s="1513" t="s">
        <v>2019</v>
      </c>
      <c r="C85" s="1514" t="s">
        <v>2195</v>
      </c>
      <c r="D85" s="1514"/>
      <c r="E85" s="1513">
        <v>16000000</v>
      </c>
      <c r="F85" s="1512">
        <f t="shared" si="16"/>
        <v>2880000</v>
      </c>
      <c r="G85" s="2141">
        <v>40861</v>
      </c>
      <c r="H85" s="1511">
        <v>0.18</v>
      </c>
      <c r="I85" s="1508">
        <v>12</v>
      </c>
      <c r="J85" s="1508">
        <v>12</v>
      </c>
      <c r="K85" s="1508">
        <v>1333300</v>
      </c>
      <c r="L85" s="1508">
        <f>F85/I85</f>
        <v>240000</v>
      </c>
      <c r="M85" s="1510">
        <f t="shared" si="17"/>
        <v>16000000</v>
      </c>
      <c r="N85" s="2401">
        <f>IF(J85&lt;I85,J85*L85,IF(J85&gt;=I85,F85))-240000</f>
        <v>2640000</v>
      </c>
      <c r="O85" s="1509">
        <v>16000000</v>
      </c>
      <c r="P85" s="1509">
        <v>2640000</v>
      </c>
      <c r="Q85" s="1509"/>
      <c r="R85" s="2650"/>
      <c r="S85" s="2650"/>
      <c r="T85" s="1507"/>
      <c r="U85" s="1495">
        <f t="shared" si="19"/>
        <v>16000000</v>
      </c>
      <c r="V85" s="1495">
        <f t="shared" si="20"/>
        <v>2640000</v>
      </c>
      <c r="W85" s="1495">
        <f t="shared" si="21"/>
        <v>0</v>
      </c>
      <c r="X85" s="1495">
        <f t="shared" si="22"/>
        <v>0</v>
      </c>
      <c r="Y85" s="1495">
        <f t="shared" si="23"/>
        <v>100</v>
      </c>
      <c r="Z85" s="1495">
        <f t="shared" si="24"/>
        <v>0</v>
      </c>
      <c r="AA85" s="1506">
        <f t="shared" si="25"/>
        <v>0</v>
      </c>
      <c r="AB85" s="1505"/>
      <c r="AC85" s="1504">
        <f t="shared" si="26"/>
        <v>0</v>
      </c>
      <c r="AD85" s="1503">
        <f t="shared" si="27"/>
        <v>0</v>
      </c>
      <c r="AE85" s="1503">
        <f t="shared" si="28"/>
        <v>0</v>
      </c>
      <c r="AF85" s="1502">
        <f t="shared" si="29"/>
        <v>0</v>
      </c>
    </row>
    <row r="86" spans="1:32" s="1474" customFormat="1" ht="23.25" customHeight="1">
      <c r="A86" s="1515">
        <v>21</v>
      </c>
      <c r="B86" s="1513" t="s">
        <v>1898</v>
      </c>
      <c r="C86" s="1514" t="s">
        <v>2195</v>
      </c>
      <c r="D86" s="1514"/>
      <c r="E86" s="1513">
        <v>20000000</v>
      </c>
      <c r="F86" s="1512">
        <f t="shared" si="16"/>
        <v>3600000</v>
      </c>
      <c r="G86" s="2141">
        <v>40861</v>
      </c>
      <c r="H86" s="1511">
        <v>0.18</v>
      </c>
      <c r="I86" s="1508">
        <v>12</v>
      </c>
      <c r="J86" s="1508">
        <v>12</v>
      </c>
      <c r="K86" s="1508">
        <v>1666700</v>
      </c>
      <c r="L86" s="1508">
        <f t="shared" ref="L86:L93" si="31">F86/I86</f>
        <v>300000</v>
      </c>
      <c r="M86" s="1510">
        <f t="shared" si="17"/>
        <v>20000000</v>
      </c>
      <c r="N86" s="1510">
        <f t="shared" si="18"/>
        <v>3600000</v>
      </c>
      <c r="O86" s="1509">
        <v>20000000</v>
      </c>
      <c r="P86" s="1509">
        <v>3600000</v>
      </c>
      <c r="Q86" s="1509"/>
      <c r="R86" s="2650"/>
      <c r="S86" s="2650"/>
      <c r="T86" s="1507"/>
      <c r="U86" s="1495">
        <f t="shared" si="19"/>
        <v>20000000</v>
      </c>
      <c r="V86" s="1495">
        <f t="shared" si="20"/>
        <v>3600000</v>
      </c>
      <c r="W86" s="1495">
        <f t="shared" si="21"/>
        <v>0</v>
      </c>
      <c r="X86" s="1495">
        <f t="shared" si="22"/>
        <v>0</v>
      </c>
      <c r="Y86" s="1495">
        <f t="shared" si="23"/>
        <v>100</v>
      </c>
      <c r="Z86" s="1495">
        <f t="shared" si="24"/>
        <v>0</v>
      </c>
      <c r="AA86" s="1506">
        <f t="shared" si="25"/>
        <v>0</v>
      </c>
      <c r="AB86" s="1505"/>
      <c r="AC86" s="1504">
        <f t="shared" si="26"/>
        <v>0</v>
      </c>
      <c r="AD86" s="1503">
        <f t="shared" si="27"/>
        <v>0</v>
      </c>
      <c r="AE86" s="1503">
        <f t="shared" si="28"/>
        <v>0</v>
      </c>
      <c r="AF86" s="1502">
        <f t="shared" si="29"/>
        <v>0</v>
      </c>
    </row>
    <row r="87" spans="1:32" s="1474" customFormat="1" ht="23.25" customHeight="1">
      <c r="A87" s="1515">
        <v>22</v>
      </c>
      <c r="B87" s="1513" t="s">
        <v>2021</v>
      </c>
      <c r="C87" s="1514" t="s">
        <v>2195</v>
      </c>
      <c r="D87" s="1514"/>
      <c r="E87" s="1513">
        <v>25000000</v>
      </c>
      <c r="F87" s="1512">
        <f t="shared" si="16"/>
        <v>4500000</v>
      </c>
      <c r="G87" s="2141">
        <v>40864</v>
      </c>
      <c r="H87" s="1511">
        <v>0.18</v>
      </c>
      <c r="I87" s="1508">
        <v>12</v>
      </c>
      <c r="J87" s="1508">
        <v>12</v>
      </c>
      <c r="K87" s="1508">
        <v>2083300</v>
      </c>
      <c r="L87" s="1508">
        <f t="shared" si="31"/>
        <v>375000</v>
      </c>
      <c r="M87" s="1510">
        <f t="shared" si="17"/>
        <v>25000000</v>
      </c>
      <c r="N87" s="1510">
        <f t="shared" si="18"/>
        <v>4500000</v>
      </c>
      <c r="O87" s="1509">
        <v>25000000</v>
      </c>
      <c r="P87" s="1509">
        <v>4500000</v>
      </c>
      <c r="Q87" s="1509"/>
      <c r="R87" s="2650"/>
      <c r="S87" s="2650"/>
      <c r="T87" s="1507"/>
      <c r="U87" s="1495">
        <f t="shared" si="19"/>
        <v>25000000</v>
      </c>
      <c r="V87" s="1495">
        <f t="shared" si="20"/>
        <v>4500000</v>
      </c>
      <c r="W87" s="1495">
        <f t="shared" si="21"/>
        <v>0</v>
      </c>
      <c r="X87" s="1495">
        <f t="shared" si="22"/>
        <v>0</v>
      </c>
      <c r="Y87" s="1495">
        <f t="shared" si="23"/>
        <v>100</v>
      </c>
      <c r="Z87" s="1495">
        <f t="shared" si="24"/>
        <v>0</v>
      </c>
      <c r="AA87" s="1506">
        <f t="shared" si="25"/>
        <v>0</v>
      </c>
      <c r="AB87" s="1505"/>
      <c r="AC87" s="1504">
        <f t="shared" si="26"/>
        <v>0</v>
      </c>
      <c r="AD87" s="1503">
        <f t="shared" si="27"/>
        <v>0</v>
      </c>
      <c r="AE87" s="1503">
        <f t="shared" si="28"/>
        <v>0</v>
      </c>
      <c r="AF87" s="1502">
        <f t="shared" si="29"/>
        <v>0</v>
      </c>
    </row>
    <row r="88" spans="1:32" s="1474" customFormat="1" ht="23.25" customHeight="1">
      <c r="A88" s="1515">
        <v>23</v>
      </c>
      <c r="B88" s="1513" t="s">
        <v>2022</v>
      </c>
      <c r="C88" s="1514" t="s">
        <v>2195</v>
      </c>
      <c r="D88" s="1514"/>
      <c r="E88" s="1513">
        <v>10000000</v>
      </c>
      <c r="F88" s="1512">
        <f t="shared" si="16"/>
        <v>1800000</v>
      </c>
      <c r="G88" s="2141">
        <v>40892</v>
      </c>
      <c r="H88" s="1511">
        <v>0.18</v>
      </c>
      <c r="I88" s="1508">
        <v>12</v>
      </c>
      <c r="J88" s="1508">
        <v>12</v>
      </c>
      <c r="K88" s="1508">
        <v>833300</v>
      </c>
      <c r="L88" s="1508">
        <f t="shared" si="31"/>
        <v>150000</v>
      </c>
      <c r="M88" s="1510">
        <f t="shared" si="17"/>
        <v>10000000</v>
      </c>
      <c r="N88" s="1510">
        <f t="shared" si="18"/>
        <v>1800000</v>
      </c>
      <c r="O88" s="1509">
        <v>10000000</v>
      </c>
      <c r="P88" s="1509">
        <v>1800000</v>
      </c>
      <c r="Q88" s="1509"/>
      <c r="R88" s="2650"/>
      <c r="S88" s="2650"/>
      <c r="T88" s="1507"/>
      <c r="U88" s="1495">
        <f t="shared" si="19"/>
        <v>10000000</v>
      </c>
      <c r="V88" s="1495">
        <f t="shared" si="20"/>
        <v>1800000</v>
      </c>
      <c r="W88" s="1495">
        <f t="shared" si="21"/>
        <v>0</v>
      </c>
      <c r="X88" s="1495">
        <f t="shared" si="22"/>
        <v>0</v>
      </c>
      <c r="Y88" s="1495">
        <f t="shared" si="23"/>
        <v>100</v>
      </c>
      <c r="Z88" s="1495">
        <f t="shared" si="24"/>
        <v>0</v>
      </c>
      <c r="AA88" s="1506">
        <f t="shared" si="25"/>
        <v>0</v>
      </c>
      <c r="AB88" s="1505"/>
      <c r="AC88" s="1504">
        <f t="shared" si="26"/>
        <v>0</v>
      </c>
      <c r="AD88" s="1503">
        <f t="shared" si="27"/>
        <v>0</v>
      </c>
      <c r="AE88" s="1503">
        <f t="shared" si="28"/>
        <v>0</v>
      </c>
      <c r="AF88" s="1502">
        <f t="shared" si="29"/>
        <v>0</v>
      </c>
    </row>
    <row r="89" spans="1:32" s="1474" customFormat="1" ht="23.25" customHeight="1">
      <c r="A89" s="1515">
        <v>24</v>
      </c>
      <c r="B89" s="1513" t="s">
        <v>2027</v>
      </c>
      <c r="C89" s="1514" t="s">
        <v>2195</v>
      </c>
      <c r="D89" s="1514"/>
      <c r="E89" s="1513">
        <v>24000000</v>
      </c>
      <c r="F89" s="1512">
        <f t="shared" si="16"/>
        <v>4320000</v>
      </c>
      <c r="G89" s="2141">
        <v>40892</v>
      </c>
      <c r="H89" s="1511">
        <v>0.18</v>
      </c>
      <c r="I89" s="1508">
        <v>12</v>
      </c>
      <c r="J89" s="1508">
        <v>12</v>
      </c>
      <c r="K89" s="1508">
        <v>2000000</v>
      </c>
      <c r="L89" s="1508">
        <f t="shared" si="31"/>
        <v>360000</v>
      </c>
      <c r="M89" s="1510">
        <f t="shared" si="17"/>
        <v>24000000</v>
      </c>
      <c r="N89" s="1510">
        <f t="shared" si="18"/>
        <v>4320000</v>
      </c>
      <c r="O89" s="1509">
        <v>24000000</v>
      </c>
      <c r="P89" s="1509">
        <v>4320000</v>
      </c>
      <c r="Q89" s="1509"/>
      <c r="R89" s="2650"/>
      <c r="S89" s="2650"/>
      <c r="T89" s="1507"/>
      <c r="U89" s="1495">
        <f t="shared" si="19"/>
        <v>24000000</v>
      </c>
      <c r="V89" s="1495">
        <f t="shared" si="20"/>
        <v>4320000</v>
      </c>
      <c r="W89" s="1495">
        <f t="shared" si="21"/>
        <v>0</v>
      </c>
      <c r="X89" s="1495">
        <f t="shared" si="22"/>
        <v>0</v>
      </c>
      <c r="Y89" s="1495">
        <f t="shared" si="23"/>
        <v>100</v>
      </c>
      <c r="Z89" s="1495">
        <f t="shared" si="24"/>
        <v>0</v>
      </c>
      <c r="AA89" s="1506">
        <f t="shared" si="25"/>
        <v>0</v>
      </c>
      <c r="AB89" s="1505"/>
      <c r="AC89" s="1504">
        <f t="shared" si="26"/>
        <v>0</v>
      </c>
      <c r="AD89" s="1503">
        <f t="shared" si="27"/>
        <v>0</v>
      </c>
      <c r="AE89" s="1503">
        <f t="shared" si="28"/>
        <v>0</v>
      </c>
      <c r="AF89" s="1502">
        <f t="shared" si="29"/>
        <v>0</v>
      </c>
    </row>
    <row r="90" spans="1:32" s="1474" customFormat="1" ht="23.25" customHeight="1">
      <c r="A90" s="1515">
        <v>25</v>
      </c>
      <c r="B90" s="1513" t="s">
        <v>2017</v>
      </c>
      <c r="C90" s="1514" t="s">
        <v>2195</v>
      </c>
      <c r="D90" s="1514"/>
      <c r="E90" s="1513">
        <v>15000000</v>
      </c>
      <c r="F90" s="1512">
        <f t="shared" si="16"/>
        <v>2700000</v>
      </c>
      <c r="G90" s="2141">
        <v>40899</v>
      </c>
      <c r="H90" s="1511">
        <v>0.18</v>
      </c>
      <c r="I90" s="1508">
        <v>12</v>
      </c>
      <c r="J90" s="1508">
        <v>12</v>
      </c>
      <c r="K90" s="1508">
        <f>E90/I90</f>
        <v>1250000</v>
      </c>
      <c r="L90" s="1508">
        <f t="shared" si="31"/>
        <v>225000</v>
      </c>
      <c r="M90" s="1510">
        <f t="shared" si="17"/>
        <v>15000000</v>
      </c>
      <c r="N90" s="1510">
        <f>IF(J90&lt;I90,J90*L90,IF(J90&gt;=I90,F90))-225000</f>
        <v>2475000</v>
      </c>
      <c r="O90" s="1509">
        <v>15000000</v>
      </c>
      <c r="P90" s="1509">
        <v>2475000</v>
      </c>
      <c r="Q90" s="1509"/>
      <c r="R90" s="2650"/>
      <c r="S90" s="2650"/>
      <c r="T90" s="1507"/>
      <c r="U90" s="1495">
        <f t="shared" si="19"/>
        <v>15000000</v>
      </c>
      <c r="V90" s="1495">
        <f t="shared" si="20"/>
        <v>2475000</v>
      </c>
      <c r="W90" s="1495">
        <f t="shared" si="21"/>
        <v>0</v>
      </c>
      <c r="X90" s="1495">
        <f t="shared" si="22"/>
        <v>0</v>
      </c>
      <c r="Y90" s="1495">
        <f t="shared" si="23"/>
        <v>100</v>
      </c>
      <c r="Z90" s="1495">
        <f t="shared" si="24"/>
        <v>0</v>
      </c>
      <c r="AA90" s="1506">
        <f t="shared" si="25"/>
        <v>0</v>
      </c>
      <c r="AB90" s="1505"/>
      <c r="AC90" s="1504">
        <f t="shared" si="26"/>
        <v>0</v>
      </c>
      <c r="AD90" s="1503">
        <f t="shared" si="27"/>
        <v>0</v>
      </c>
      <c r="AE90" s="1503">
        <f t="shared" si="28"/>
        <v>0</v>
      </c>
      <c r="AF90" s="1502">
        <f t="shared" si="29"/>
        <v>0</v>
      </c>
    </row>
    <row r="91" spans="1:32" s="1474" customFormat="1" ht="23.25" customHeight="1">
      <c r="A91" s="1515">
        <v>26</v>
      </c>
      <c r="B91" s="1513" t="s">
        <v>2237</v>
      </c>
      <c r="C91" s="1514" t="s">
        <v>2195</v>
      </c>
      <c r="D91" s="1514"/>
      <c r="E91" s="1513">
        <v>12000000</v>
      </c>
      <c r="F91" s="1512">
        <f t="shared" si="16"/>
        <v>2160000</v>
      </c>
      <c r="G91" s="2141">
        <v>40914</v>
      </c>
      <c r="H91" s="1511">
        <v>0.18</v>
      </c>
      <c r="I91" s="1508">
        <v>12</v>
      </c>
      <c r="J91" s="1508">
        <v>12</v>
      </c>
      <c r="K91" s="1508">
        <v>1000000</v>
      </c>
      <c r="L91" s="1508">
        <f t="shared" si="31"/>
        <v>180000</v>
      </c>
      <c r="M91" s="1510">
        <f t="shared" si="17"/>
        <v>12000000</v>
      </c>
      <c r="N91" s="1510">
        <f>IF(J91&lt;I91,J91*L91,IF(J91&gt;=I91,F91))-180000</f>
        <v>1980000</v>
      </c>
      <c r="O91" s="1509">
        <v>12000000</v>
      </c>
      <c r="P91" s="1509">
        <v>1980000</v>
      </c>
      <c r="Q91" s="1509"/>
      <c r="R91" s="2650"/>
      <c r="S91" s="2650"/>
      <c r="T91" s="1507"/>
      <c r="U91" s="1495">
        <f t="shared" si="19"/>
        <v>12000000</v>
      </c>
      <c r="V91" s="1495">
        <f t="shared" si="20"/>
        <v>1980000</v>
      </c>
      <c r="W91" s="1495">
        <f t="shared" si="21"/>
        <v>0</v>
      </c>
      <c r="X91" s="1495">
        <f t="shared" si="22"/>
        <v>0</v>
      </c>
      <c r="Y91" s="1495">
        <f t="shared" si="23"/>
        <v>100</v>
      </c>
      <c r="Z91" s="1495">
        <f t="shared" si="24"/>
        <v>0</v>
      </c>
      <c r="AA91" s="1506">
        <f t="shared" si="25"/>
        <v>0</v>
      </c>
      <c r="AB91" s="1505"/>
      <c r="AC91" s="1504">
        <f t="shared" si="26"/>
        <v>0</v>
      </c>
      <c r="AD91" s="1503">
        <f t="shared" si="27"/>
        <v>0</v>
      </c>
      <c r="AE91" s="1503">
        <f t="shared" si="28"/>
        <v>0</v>
      </c>
      <c r="AF91" s="1502">
        <f t="shared" si="29"/>
        <v>0</v>
      </c>
    </row>
    <row r="92" spans="1:32" s="1474" customFormat="1" ht="23.25" customHeight="1">
      <c r="A92" s="1515">
        <v>27</v>
      </c>
      <c r="B92" s="1513" t="s">
        <v>2018</v>
      </c>
      <c r="C92" s="1514" t="s">
        <v>2248</v>
      </c>
      <c r="D92" s="1514"/>
      <c r="E92" s="1513">
        <v>20000000</v>
      </c>
      <c r="F92" s="1512">
        <f t="shared" si="16"/>
        <v>3600000</v>
      </c>
      <c r="G92" s="2141">
        <v>40946</v>
      </c>
      <c r="H92" s="1511">
        <v>0.18</v>
      </c>
      <c r="I92" s="1508">
        <v>12</v>
      </c>
      <c r="J92" s="1508">
        <v>12</v>
      </c>
      <c r="K92" s="1508">
        <v>1666700</v>
      </c>
      <c r="L92" s="1508">
        <f t="shared" si="31"/>
        <v>300000</v>
      </c>
      <c r="M92" s="1510">
        <f t="shared" si="17"/>
        <v>20000000</v>
      </c>
      <c r="N92" s="1510">
        <f t="shared" si="18"/>
        <v>3600000</v>
      </c>
      <c r="O92" s="1509">
        <v>20000000</v>
      </c>
      <c r="P92" s="1509">
        <v>3600000</v>
      </c>
      <c r="Q92" s="1509"/>
      <c r="R92" s="2650"/>
      <c r="S92" s="2650"/>
      <c r="T92" s="1507"/>
      <c r="U92" s="1495">
        <f t="shared" si="19"/>
        <v>20000000</v>
      </c>
      <c r="V92" s="1495">
        <f t="shared" si="20"/>
        <v>3600000</v>
      </c>
      <c r="W92" s="1495">
        <f t="shared" si="21"/>
        <v>0</v>
      </c>
      <c r="X92" s="1495">
        <f t="shared" si="22"/>
        <v>0</v>
      </c>
      <c r="Y92" s="1495">
        <f t="shared" si="23"/>
        <v>100</v>
      </c>
      <c r="Z92" s="1495">
        <f t="shared" si="24"/>
        <v>0</v>
      </c>
      <c r="AA92" s="1506">
        <f t="shared" si="25"/>
        <v>0</v>
      </c>
      <c r="AB92" s="1505"/>
      <c r="AC92" s="1504">
        <f t="shared" si="26"/>
        <v>0</v>
      </c>
      <c r="AD92" s="1503">
        <f t="shared" si="27"/>
        <v>0</v>
      </c>
      <c r="AE92" s="1503">
        <f t="shared" si="28"/>
        <v>0</v>
      </c>
      <c r="AF92" s="1502">
        <f t="shared" si="29"/>
        <v>0</v>
      </c>
    </row>
    <row r="93" spans="1:32" s="1474" customFormat="1" ht="23.25" customHeight="1">
      <c r="A93" s="1515">
        <v>28</v>
      </c>
      <c r="B93" s="1513" t="s">
        <v>2028</v>
      </c>
      <c r="C93" s="1514" t="s">
        <v>2248</v>
      </c>
      <c r="D93" s="1514"/>
      <c r="E93" s="1513">
        <v>20000000</v>
      </c>
      <c r="F93" s="1512">
        <f t="shared" si="16"/>
        <v>3600000</v>
      </c>
      <c r="G93" s="2141">
        <v>41017</v>
      </c>
      <c r="H93" s="1511">
        <v>0.18</v>
      </c>
      <c r="I93" s="1508">
        <v>12</v>
      </c>
      <c r="J93" s="1508">
        <v>12</v>
      </c>
      <c r="K93" s="1508">
        <v>1666700</v>
      </c>
      <c r="L93" s="1508">
        <f t="shared" si="31"/>
        <v>300000</v>
      </c>
      <c r="M93" s="1510">
        <f t="shared" si="17"/>
        <v>20000000</v>
      </c>
      <c r="N93" s="1510">
        <f t="shared" si="18"/>
        <v>3600000</v>
      </c>
      <c r="O93" s="1509">
        <v>20000000</v>
      </c>
      <c r="P93" s="1509">
        <v>3600000</v>
      </c>
      <c r="Q93" s="1509"/>
      <c r="R93" s="2650"/>
      <c r="S93" s="2650"/>
      <c r="T93" s="1507"/>
      <c r="U93" s="1495">
        <f t="shared" si="19"/>
        <v>20000000</v>
      </c>
      <c r="V93" s="1495">
        <f t="shared" si="20"/>
        <v>3600000</v>
      </c>
      <c r="W93" s="1495">
        <f t="shared" si="21"/>
        <v>0</v>
      </c>
      <c r="X93" s="1495">
        <f t="shared" si="22"/>
        <v>0</v>
      </c>
      <c r="Y93" s="1495">
        <f t="shared" si="23"/>
        <v>100</v>
      </c>
      <c r="Z93" s="1495">
        <f t="shared" si="24"/>
        <v>0</v>
      </c>
      <c r="AA93" s="1506">
        <f t="shared" si="25"/>
        <v>0</v>
      </c>
      <c r="AB93" s="1505"/>
      <c r="AC93" s="1504">
        <f t="shared" si="26"/>
        <v>0</v>
      </c>
      <c r="AD93" s="1503">
        <f t="shared" si="27"/>
        <v>0</v>
      </c>
      <c r="AE93" s="1503">
        <f t="shared" si="28"/>
        <v>0</v>
      </c>
      <c r="AF93" s="1502">
        <f t="shared" si="29"/>
        <v>0</v>
      </c>
    </row>
    <row r="94" spans="1:32" s="1474" customFormat="1" ht="23.25" customHeight="1">
      <c r="A94" s="1515">
        <v>29</v>
      </c>
      <c r="B94" s="1513" t="s">
        <v>2026</v>
      </c>
      <c r="C94" s="1514" t="s">
        <v>2277</v>
      </c>
      <c r="D94" s="1514"/>
      <c r="E94" s="1513">
        <v>24000000</v>
      </c>
      <c r="F94" s="1512">
        <v>4320000</v>
      </c>
      <c r="G94" s="2141">
        <v>41107</v>
      </c>
      <c r="H94" s="1511">
        <v>0.18</v>
      </c>
      <c r="I94" s="1508">
        <v>12</v>
      </c>
      <c r="J94" s="1508">
        <v>12</v>
      </c>
      <c r="K94" s="1508">
        <f>E94/I94</f>
        <v>2000000</v>
      </c>
      <c r="L94" s="1508">
        <f t="shared" ref="L94:L139" si="32">F94/I94</f>
        <v>360000</v>
      </c>
      <c r="M94" s="1510">
        <f t="shared" si="17"/>
        <v>24000000</v>
      </c>
      <c r="N94" s="2401">
        <f>IF(J94&lt;I94,J94*L94,IF(J94&gt;=I94,F94))-360000</f>
        <v>3960000</v>
      </c>
      <c r="O94" s="1509">
        <v>24000000</v>
      </c>
      <c r="P94" s="1509">
        <v>3960000</v>
      </c>
      <c r="Q94" s="1509"/>
      <c r="R94" s="2650"/>
      <c r="S94" s="2650"/>
      <c r="T94" s="1507"/>
      <c r="U94" s="1495">
        <f t="shared" si="19"/>
        <v>24000000</v>
      </c>
      <c r="V94" s="1495">
        <f t="shared" si="20"/>
        <v>3960000</v>
      </c>
      <c r="W94" s="1495">
        <f t="shared" si="21"/>
        <v>0</v>
      </c>
      <c r="X94" s="1495">
        <f t="shared" si="22"/>
        <v>0</v>
      </c>
      <c r="Y94" s="1495">
        <f t="shared" si="23"/>
        <v>100</v>
      </c>
      <c r="Z94" s="1495">
        <f t="shared" si="24"/>
        <v>0</v>
      </c>
      <c r="AA94" s="1506">
        <f t="shared" si="25"/>
        <v>0</v>
      </c>
      <c r="AB94" s="1505"/>
      <c r="AC94" s="1504">
        <f t="shared" si="26"/>
        <v>0</v>
      </c>
      <c r="AD94" s="1503">
        <f t="shared" si="27"/>
        <v>0</v>
      </c>
      <c r="AE94" s="1503">
        <f t="shared" si="28"/>
        <v>0</v>
      </c>
      <c r="AF94" s="1502">
        <f t="shared" si="29"/>
        <v>0</v>
      </c>
    </row>
    <row r="95" spans="1:32" s="1474" customFormat="1" ht="23.25" customHeight="1">
      <c r="A95" s="1515">
        <v>30</v>
      </c>
      <c r="B95" s="1513" t="s">
        <v>2310</v>
      </c>
      <c r="C95" s="1514" t="s">
        <v>2277</v>
      </c>
      <c r="D95" s="1514"/>
      <c r="E95" s="1513">
        <v>25000000</v>
      </c>
      <c r="F95" s="1512">
        <v>4500000</v>
      </c>
      <c r="G95" s="2141">
        <v>41107</v>
      </c>
      <c r="H95" s="1511">
        <v>0.18</v>
      </c>
      <c r="I95" s="1508">
        <v>12</v>
      </c>
      <c r="J95" s="1508">
        <v>12</v>
      </c>
      <c r="K95" s="1508">
        <v>2083300</v>
      </c>
      <c r="L95" s="1508">
        <f t="shared" si="32"/>
        <v>375000</v>
      </c>
      <c r="M95" s="1510">
        <f t="shared" si="17"/>
        <v>25000000</v>
      </c>
      <c r="N95" s="2401">
        <f>IF(J95&lt;I95,J95*L95,IF(J95&gt;=I95,F95))-375000</f>
        <v>4125000</v>
      </c>
      <c r="O95" s="1509">
        <v>25000000</v>
      </c>
      <c r="P95" s="1509">
        <v>4125000</v>
      </c>
      <c r="Q95" s="1509"/>
      <c r="R95" s="2650"/>
      <c r="S95" s="2650"/>
      <c r="T95" s="1507"/>
      <c r="U95" s="1495">
        <f t="shared" si="19"/>
        <v>25000000</v>
      </c>
      <c r="V95" s="1495">
        <f t="shared" si="20"/>
        <v>4125000</v>
      </c>
      <c r="W95" s="1495">
        <f t="shared" si="21"/>
        <v>0</v>
      </c>
      <c r="X95" s="1495">
        <f t="shared" si="22"/>
        <v>0</v>
      </c>
      <c r="Y95" s="1495">
        <f t="shared" si="23"/>
        <v>100</v>
      </c>
      <c r="Z95" s="1495">
        <f t="shared" si="24"/>
        <v>0</v>
      </c>
      <c r="AA95" s="1506">
        <f t="shared" si="25"/>
        <v>0</v>
      </c>
      <c r="AB95" s="1505"/>
      <c r="AC95" s="1504">
        <f t="shared" si="26"/>
        <v>0</v>
      </c>
      <c r="AD95" s="1503">
        <f t="shared" si="27"/>
        <v>0</v>
      </c>
      <c r="AE95" s="1503">
        <f t="shared" si="28"/>
        <v>0</v>
      </c>
      <c r="AF95" s="1502">
        <f t="shared" si="29"/>
        <v>0</v>
      </c>
    </row>
    <row r="96" spans="1:32" s="1474" customFormat="1" ht="23.25" customHeight="1">
      <c r="A96" s="1515">
        <v>31</v>
      </c>
      <c r="B96" s="1513" t="s">
        <v>2019</v>
      </c>
      <c r="C96" s="1514" t="s">
        <v>2312</v>
      </c>
      <c r="D96" s="1514"/>
      <c r="E96" s="1513">
        <v>20000000</v>
      </c>
      <c r="F96" s="1512">
        <f t="shared" si="16"/>
        <v>3600000</v>
      </c>
      <c r="G96" s="2141">
        <v>41198</v>
      </c>
      <c r="H96" s="1511">
        <v>0.18</v>
      </c>
      <c r="I96" s="1508">
        <v>12</v>
      </c>
      <c r="J96" s="1508">
        <v>12</v>
      </c>
      <c r="K96" s="1508">
        <v>1666700</v>
      </c>
      <c r="L96" s="1508">
        <f t="shared" si="32"/>
        <v>300000</v>
      </c>
      <c r="M96" s="1510">
        <f t="shared" si="17"/>
        <v>20000000</v>
      </c>
      <c r="N96" s="2401">
        <f>IF(J96&lt;I96,J96*L96,IF(J96&gt;=I96,F96))-300000</f>
        <v>3300000</v>
      </c>
      <c r="O96" s="1509">
        <v>20000000</v>
      </c>
      <c r="P96" s="1509">
        <v>3300000</v>
      </c>
      <c r="Q96" s="1509"/>
      <c r="R96" s="2650"/>
      <c r="S96" s="2650"/>
      <c r="T96" s="1507"/>
      <c r="U96" s="1495">
        <f t="shared" si="19"/>
        <v>20000000</v>
      </c>
      <c r="V96" s="1495">
        <f t="shared" si="20"/>
        <v>3300000</v>
      </c>
      <c r="W96" s="1495">
        <f t="shared" si="21"/>
        <v>0</v>
      </c>
      <c r="X96" s="1495">
        <f t="shared" si="22"/>
        <v>0</v>
      </c>
      <c r="Y96" s="1495">
        <f t="shared" si="23"/>
        <v>100</v>
      </c>
      <c r="Z96" s="1495">
        <f t="shared" si="24"/>
        <v>0</v>
      </c>
      <c r="AA96" s="1506">
        <f t="shared" si="25"/>
        <v>0</v>
      </c>
      <c r="AB96" s="1505"/>
      <c r="AC96" s="1504">
        <f t="shared" si="26"/>
        <v>0</v>
      </c>
      <c r="AD96" s="1503">
        <f t="shared" si="27"/>
        <v>0</v>
      </c>
      <c r="AE96" s="1503">
        <f t="shared" si="28"/>
        <v>0</v>
      </c>
      <c r="AF96" s="1502">
        <f t="shared" si="29"/>
        <v>0</v>
      </c>
    </row>
    <row r="97" spans="1:32" s="1474" customFormat="1" ht="23.25" customHeight="1">
      <c r="A97" s="1515">
        <v>32</v>
      </c>
      <c r="B97" s="1513" t="s">
        <v>1898</v>
      </c>
      <c r="C97" s="1514" t="s">
        <v>2312</v>
      </c>
      <c r="D97" s="1514"/>
      <c r="E97" s="1513">
        <v>25000000</v>
      </c>
      <c r="F97" s="1512">
        <f t="shared" si="16"/>
        <v>4500000</v>
      </c>
      <c r="G97" s="2141">
        <v>41226</v>
      </c>
      <c r="H97" s="1511">
        <v>0.18</v>
      </c>
      <c r="I97" s="1508">
        <v>12</v>
      </c>
      <c r="J97" s="1508">
        <v>12</v>
      </c>
      <c r="K97" s="1508">
        <v>2083300</v>
      </c>
      <c r="L97" s="1508">
        <f t="shared" si="32"/>
        <v>375000</v>
      </c>
      <c r="M97" s="1510">
        <f t="shared" si="17"/>
        <v>25000000</v>
      </c>
      <c r="N97" s="1510">
        <f t="shared" si="18"/>
        <v>4500000</v>
      </c>
      <c r="O97" s="1509">
        <v>25000000</v>
      </c>
      <c r="P97" s="1509">
        <v>4500000</v>
      </c>
      <c r="Q97" s="1509"/>
      <c r="R97" s="2650"/>
      <c r="S97" s="2650"/>
      <c r="T97" s="1507"/>
      <c r="U97" s="1495">
        <f t="shared" si="19"/>
        <v>25000000</v>
      </c>
      <c r="V97" s="1495">
        <f t="shared" si="20"/>
        <v>4500000</v>
      </c>
      <c r="W97" s="1495">
        <f t="shared" si="21"/>
        <v>0</v>
      </c>
      <c r="X97" s="1495">
        <f t="shared" si="22"/>
        <v>0</v>
      </c>
      <c r="Y97" s="1495">
        <f t="shared" si="23"/>
        <v>100</v>
      </c>
      <c r="Z97" s="1495">
        <f t="shared" si="24"/>
        <v>0</v>
      </c>
      <c r="AA97" s="1506">
        <f t="shared" si="25"/>
        <v>0</v>
      </c>
      <c r="AB97" s="1505"/>
      <c r="AC97" s="1504">
        <f t="shared" si="26"/>
        <v>0</v>
      </c>
      <c r="AD97" s="1503">
        <f t="shared" si="27"/>
        <v>0</v>
      </c>
      <c r="AE97" s="1503">
        <f t="shared" si="28"/>
        <v>0</v>
      </c>
      <c r="AF97" s="1502">
        <f t="shared" si="29"/>
        <v>0</v>
      </c>
    </row>
    <row r="98" spans="1:32" s="1474" customFormat="1" ht="23.25" customHeight="1">
      <c r="A98" s="1515">
        <v>33</v>
      </c>
      <c r="B98" s="1513" t="s">
        <v>2021</v>
      </c>
      <c r="C98" s="1514" t="s">
        <v>2312</v>
      </c>
      <c r="D98" s="1514"/>
      <c r="E98" s="1513">
        <v>26000000</v>
      </c>
      <c r="F98" s="1512">
        <f t="shared" si="16"/>
        <v>4680000</v>
      </c>
      <c r="G98" s="2141">
        <v>41220</v>
      </c>
      <c r="H98" s="1511">
        <v>0.18</v>
      </c>
      <c r="I98" s="1508">
        <v>12</v>
      </c>
      <c r="J98" s="1508">
        <v>12</v>
      </c>
      <c r="K98" s="1508">
        <v>2166700</v>
      </c>
      <c r="L98" s="1508">
        <f t="shared" si="32"/>
        <v>390000</v>
      </c>
      <c r="M98" s="1510">
        <f t="shared" si="17"/>
        <v>26000000</v>
      </c>
      <c r="N98" s="1510">
        <f t="shared" si="18"/>
        <v>4680000</v>
      </c>
      <c r="O98" s="1509">
        <v>26000000</v>
      </c>
      <c r="P98" s="1509">
        <v>4680000</v>
      </c>
      <c r="Q98" s="1509"/>
      <c r="R98" s="2650"/>
      <c r="S98" s="2650"/>
      <c r="T98" s="1507"/>
      <c r="U98" s="1495">
        <f t="shared" si="19"/>
        <v>26000000</v>
      </c>
      <c r="V98" s="1495">
        <f t="shared" si="20"/>
        <v>4680000</v>
      </c>
      <c r="W98" s="1495">
        <f t="shared" si="21"/>
        <v>0</v>
      </c>
      <c r="X98" s="1495">
        <f t="shared" si="22"/>
        <v>0</v>
      </c>
      <c r="Y98" s="1495">
        <f t="shared" si="23"/>
        <v>100</v>
      </c>
      <c r="Z98" s="1495">
        <f t="shared" si="24"/>
        <v>0</v>
      </c>
      <c r="AA98" s="1506">
        <f t="shared" si="25"/>
        <v>0</v>
      </c>
      <c r="AB98" s="1505"/>
      <c r="AC98" s="1504">
        <f t="shared" si="26"/>
        <v>0</v>
      </c>
      <c r="AD98" s="1503">
        <f t="shared" si="27"/>
        <v>0</v>
      </c>
      <c r="AE98" s="1503">
        <f t="shared" si="28"/>
        <v>0</v>
      </c>
      <c r="AF98" s="1502">
        <f t="shared" si="29"/>
        <v>0</v>
      </c>
    </row>
    <row r="99" spans="1:32" s="1474" customFormat="1" ht="23.25" customHeight="1">
      <c r="A99" s="1515">
        <v>34</v>
      </c>
      <c r="B99" s="1513" t="s">
        <v>2017</v>
      </c>
      <c r="C99" s="1514" t="s">
        <v>2340</v>
      </c>
      <c r="D99" s="1514"/>
      <c r="E99" s="1513">
        <v>20000000</v>
      </c>
      <c r="F99" s="1512">
        <f t="shared" si="16"/>
        <v>3600000</v>
      </c>
      <c r="G99" s="2141">
        <v>37959</v>
      </c>
      <c r="H99" s="1511">
        <v>0.18</v>
      </c>
      <c r="I99" s="1508">
        <v>12</v>
      </c>
      <c r="J99" s="1508">
        <v>12</v>
      </c>
      <c r="K99" s="1508">
        <v>1666700</v>
      </c>
      <c r="L99" s="1508">
        <f t="shared" si="32"/>
        <v>300000</v>
      </c>
      <c r="M99" s="1510">
        <f t="shared" si="17"/>
        <v>20000000</v>
      </c>
      <c r="N99" s="1510">
        <f t="shared" si="18"/>
        <v>3600000</v>
      </c>
      <c r="O99" s="1509">
        <v>20000000</v>
      </c>
      <c r="P99" s="1509">
        <v>3600000</v>
      </c>
      <c r="Q99" s="1509"/>
      <c r="R99" s="2650"/>
      <c r="S99" s="2650"/>
      <c r="T99" s="1507"/>
      <c r="U99" s="1495">
        <f t="shared" si="19"/>
        <v>20000000</v>
      </c>
      <c r="V99" s="1495">
        <f t="shared" si="20"/>
        <v>3600000</v>
      </c>
      <c r="W99" s="1495"/>
      <c r="X99" s="1495">
        <f t="shared" si="22"/>
        <v>0</v>
      </c>
      <c r="Y99" s="1495">
        <f t="shared" si="23"/>
        <v>100</v>
      </c>
      <c r="Z99" s="1495">
        <f t="shared" si="24"/>
        <v>0</v>
      </c>
      <c r="AA99" s="1506">
        <f t="shared" si="25"/>
        <v>0</v>
      </c>
      <c r="AB99" s="1505"/>
      <c r="AC99" s="1504">
        <f t="shared" si="26"/>
        <v>0</v>
      </c>
      <c r="AD99" s="1503">
        <f t="shared" si="27"/>
        <v>0</v>
      </c>
      <c r="AE99" s="1503">
        <f t="shared" si="28"/>
        <v>0</v>
      </c>
      <c r="AF99" s="1502">
        <f t="shared" si="29"/>
        <v>0</v>
      </c>
    </row>
    <row r="100" spans="1:32" s="1474" customFormat="1" ht="23.25" customHeight="1">
      <c r="A100" s="1515">
        <v>35</v>
      </c>
      <c r="B100" s="1513" t="s">
        <v>2233</v>
      </c>
      <c r="C100" s="1514" t="s">
        <v>2340</v>
      </c>
      <c r="D100" s="1514"/>
      <c r="E100" s="1513">
        <v>10500000</v>
      </c>
      <c r="F100" s="1512">
        <f t="shared" si="16"/>
        <v>1890000</v>
      </c>
      <c r="G100" s="2141">
        <v>41249</v>
      </c>
      <c r="H100" s="1511">
        <v>0.18</v>
      </c>
      <c r="I100" s="1508">
        <v>12</v>
      </c>
      <c r="J100" s="1508">
        <v>12</v>
      </c>
      <c r="K100" s="1508">
        <f>E100/I100</f>
        <v>875000</v>
      </c>
      <c r="L100" s="1508">
        <f t="shared" si="32"/>
        <v>157500</v>
      </c>
      <c r="M100" s="1510">
        <f t="shared" si="17"/>
        <v>10500000</v>
      </c>
      <c r="N100" s="1510">
        <f t="shared" si="18"/>
        <v>1890000</v>
      </c>
      <c r="O100" s="1509">
        <v>10500000</v>
      </c>
      <c r="P100" s="1509">
        <v>1890000</v>
      </c>
      <c r="Q100" s="1509"/>
      <c r="R100" s="2650"/>
      <c r="S100" s="2650"/>
      <c r="T100" s="1507"/>
      <c r="U100" s="1495">
        <f t="shared" si="19"/>
        <v>10500000</v>
      </c>
      <c r="V100" s="1495">
        <f t="shared" si="20"/>
        <v>1890000</v>
      </c>
      <c r="W100" s="1495"/>
      <c r="X100" s="1495">
        <f t="shared" si="22"/>
        <v>0</v>
      </c>
      <c r="Y100" s="1495">
        <f t="shared" si="23"/>
        <v>100</v>
      </c>
      <c r="Z100" s="1495">
        <f t="shared" si="24"/>
        <v>0</v>
      </c>
      <c r="AA100" s="1506">
        <f t="shared" si="25"/>
        <v>0</v>
      </c>
      <c r="AB100" s="1505"/>
      <c r="AC100" s="1504">
        <f t="shared" si="26"/>
        <v>0</v>
      </c>
      <c r="AD100" s="1503">
        <f t="shared" si="27"/>
        <v>0</v>
      </c>
      <c r="AE100" s="1503">
        <f t="shared" si="28"/>
        <v>0</v>
      </c>
      <c r="AF100" s="1502">
        <f t="shared" si="29"/>
        <v>0</v>
      </c>
    </row>
    <row r="101" spans="1:32" s="1474" customFormat="1" ht="23.25" customHeight="1">
      <c r="A101" s="1515">
        <v>36</v>
      </c>
      <c r="B101" s="1513" t="s">
        <v>2022</v>
      </c>
      <c r="C101" s="1514" t="s">
        <v>2340</v>
      </c>
      <c r="D101" s="1514"/>
      <c r="E101" s="1513">
        <v>15000000</v>
      </c>
      <c r="F101" s="1512">
        <f t="shared" si="16"/>
        <v>2700000</v>
      </c>
      <c r="G101" s="2141">
        <v>41249</v>
      </c>
      <c r="H101" s="1511">
        <v>0.18</v>
      </c>
      <c r="I101" s="1508">
        <v>12</v>
      </c>
      <c r="J101" s="1508">
        <v>12</v>
      </c>
      <c r="K101" s="1508">
        <f>E101/I101</f>
        <v>1250000</v>
      </c>
      <c r="L101" s="1508">
        <f t="shared" si="32"/>
        <v>225000</v>
      </c>
      <c r="M101" s="1510">
        <f t="shared" si="17"/>
        <v>15000000</v>
      </c>
      <c r="N101" s="1510">
        <f t="shared" si="18"/>
        <v>2700000</v>
      </c>
      <c r="O101" s="1509">
        <v>15000000</v>
      </c>
      <c r="P101" s="1509">
        <v>2700000</v>
      </c>
      <c r="Q101" s="1509"/>
      <c r="R101" s="1508"/>
      <c r="S101" s="1508"/>
      <c r="T101" s="1507"/>
      <c r="U101" s="1495">
        <f t="shared" si="19"/>
        <v>15000000</v>
      </c>
      <c r="V101" s="1495">
        <f t="shared" si="20"/>
        <v>2700000</v>
      </c>
      <c r="W101" s="1495"/>
      <c r="X101" s="1495">
        <f t="shared" si="22"/>
        <v>0</v>
      </c>
      <c r="Y101" s="1495">
        <f t="shared" si="23"/>
        <v>100</v>
      </c>
      <c r="Z101" s="1495">
        <f t="shared" si="24"/>
        <v>0</v>
      </c>
      <c r="AA101" s="1506">
        <f t="shared" si="25"/>
        <v>0</v>
      </c>
      <c r="AB101" s="1505"/>
      <c r="AC101" s="1504">
        <f t="shared" si="26"/>
        <v>0</v>
      </c>
      <c r="AD101" s="1503">
        <f t="shared" si="27"/>
        <v>0</v>
      </c>
      <c r="AE101" s="1503">
        <f t="shared" si="28"/>
        <v>0</v>
      </c>
      <c r="AF101" s="1502">
        <f t="shared" si="29"/>
        <v>0</v>
      </c>
    </row>
    <row r="102" spans="1:32" s="1474" customFormat="1" ht="23.25" customHeight="1">
      <c r="A102" s="1515">
        <v>37</v>
      </c>
      <c r="B102" s="1513" t="s">
        <v>2027</v>
      </c>
      <c r="C102" s="1514" t="s">
        <v>2340</v>
      </c>
      <c r="D102" s="1514"/>
      <c r="E102" s="1513">
        <v>30000000</v>
      </c>
      <c r="F102" s="1512">
        <f t="shared" si="16"/>
        <v>5400000</v>
      </c>
      <c r="G102" s="2141">
        <v>41257</v>
      </c>
      <c r="H102" s="1511">
        <v>0.18</v>
      </c>
      <c r="I102" s="1508">
        <v>12</v>
      </c>
      <c r="J102" s="1508">
        <v>12</v>
      </c>
      <c r="K102" s="1508">
        <f>E102/I102</f>
        <v>2500000</v>
      </c>
      <c r="L102" s="1508">
        <f t="shared" si="32"/>
        <v>450000</v>
      </c>
      <c r="M102" s="1510">
        <f t="shared" si="17"/>
        <v>30000000</v>
      </c>
      <c r="N102" s="1510">
        <f t="shared" si="18"/>
        <v>5400000</v>
      </c>
      <c r="O102" s="1509">
        <v>30000000</v>
      </c>
      <c r="P102" s="1509">
        <v>5400000</v>
      </c>
      <c r="Q102" s="1509"/>
      <c r="R102" s="1508"/>
      <c r="S102" s="1508"/>
      <c r="T102" s="1507"/>
      <c r="U102" s="1495">
        <f t="shared" si="19"/>
        <v>30000000</v>
      </c>
      <c r="V102" s="1495">
        <f t="shared" si="20"/>
        <v>5400000</v>
      </c>
      <c r="W102" s="1495"/>
      <c r="X102" s="1495">
        <f t="shared" si="22"/>
        <v>0</v>
      </c>
      <c r="Y102" s="1495">
        <f t="shared" si="23"/>
        <v>100</v>
      </c>
      <c r="Z102" s="1495">
        <f t="shared" si="24"/>
        <v>0</v>
      </c>
      <c r="AA102" s="1506">
        <f t="shared" si="25"/>
        <v>0</v>
      </c>
      <c r="AB102" s="1505"/>
      <c r="AC102" s="1504">
        <f t="shared" si="26"/>
        <v>0</v>
      </c>
      <c r="AD102" s="1503">
        <f t="shared" si="27"/>
        <v>0</v>
      </c>
      <c r="AE102" s="1503">
        <f t="shared" si="28"/>
        <v>0</v>
      </c>
      <c r="AF102" s="1502">
        <f t="shared" si="29"/>
        <v>0</v>
      </c>
    </row>
    <row r="103" spans="1:32" s="1474" customFormat="1" ht="23.25" customHeight="1">
      <c r="A103" s="1515">
        <v>38</v>
      </c>
      <c r="B103" s="1513" t="s">
        <v>2237</v>
      </c>
      <c r="C103" s="1514" t="s">
        <v>2340</v>
      </c>
      <c r="D103" s="1514"/>
      <c r="E103" s="1513">
        <v>15000000</v>
      </c>
      <c r="F103" s="1512">
        <f t="shared" si="16"/>
        <v>2700000</v>
      </c>
      <c r="G103" s="2141">
        <v>41260</v>
      </c>
      <c r="H103" s="1511">
        <v>0.18</v>
      </c>
      <c r="I103" s="1508">
        <v>12</v>
      </c>
      <c r="J103" s="1508">
        <v>12</v>
      </c>
      <c r="K103" s="1508">
        <f>E103/I103</f>
        <v>1250000</v>
      </c>
      <c r="L103" s="1508">
        <f t="shared" si="32"/>
        <v>225000</v>
      </c>
      <c r="M103" s="1510">
        <f t="shared" si="17"/>
        <v>15000000</v>
      </c>
      <c r="N103" s="1510">
        <f t="shared" si="18"/>
        <v>2700000</v>
      </c>
      <c r="O103" s="1509">
        <v>15000000</v>
      </c>
      <c r="P103" s="1509">
        <v>2700000</v>
      </c>
      <c r="Q103" s="1509"/>
      <c r="R103" s="1508"/>
      <c r="S103" s="1508"/>
      <c r="T103" s="1507"/>
      <c r="U103" s="1495">
        <f t="shared" si="19"/>
        <v>15000000</v>
      </c>
      <c r="V103" s="1495">
        <f t="shared" si="20"/>
        <v>2700000</v>
      </c>
      <c r="W103" s="1495"/>
      <c r="X103" s="1495">
        <f t="shared" si="22"/>
        <v>0</v>
      </c>
      <c r="Y103" s="1495">
        <f t="shared" si="23"/>
        <v>100</v>
      </c>
      <c r="Z103" s="1495">
        <f t="shared" si="24"/>
        <v>0</v>
      </c>
      <c r="AA103" s="1506">
        <f t="shared" si="25"/>
        <v>0</v>
      </c>
      <c r="AB103" s="1505"/>
      <c r="AC103" s="1504">
        <f t="shared" si="26"/>
        <v>0</v>
      </c>
      <c r="AD103" s="1503">
        <f t="shared" si="27"/>
        <v>0</v>
      </c>
      <c r="AE103" s="1503">
        <f t="shared" si="28"/>
        <v>0</v>
      </c>
      <c r="AF103" s="1502">
        <f t="shared" si="29"/>
        <v>0</v>
      </c>
    </row>
    <row r="104" spans="1:32" s="1474" customFormat="1" ht="23.25" customHeight="1">
      <c r="A104" s="1515">
        <v>39</v>
      </c>
      <c r="B104" s="1513" t="s">
        <v>2018</v>
      </c>
      <c r="C104" s="1514" t="s">
        <v>2340</v>
      </c>
      <c r="D104" s="1514"/>
      <c r="E104" s="1513">
        <v>20000000</v>
      </c>
      <c r="F104" s="1512">
        <f t="shared" si="16"/>
        <v>3600000</v>
      </c>
      <c r="G104" s="2141">
        <v>41320</v>
      </c>
      <c r="H104" s="1511">
        <v>0.18</v>
      </c>
      <c r="I104" s="1508">
        <v>12</v>
      </c>
      <c r="J104" s="1508">
        <v>12</v>
      </c>
      <c r="K104" s="1508">
        <v>1666700</v>
      </c>
      <c r="L104" s="1508">
        <f t="shared" si="32"/>
        <v>300000</v>
      </c>
      <c r="M104" s="1510">
        <f t="shared" si="17"/>
        <v>20000000</v>
      </c>
      <c r="N104" s="1510">
        <f t="shared" si="18"/>
        <v>3600000</v>
      </c>
      <c r="O104" s="1509">
        <v>20000000</v>
      </c>
      <c r="P104" s="1509">
        <v>3600000</v>
      </c>
      <c r="Q104" s="1509"/>
      <c r="R104" s="2650"/>
      <c r="S104" s="2650"/>
      <c r="T104" s="1507"/>
      <c r="U104" s="1495">
        <f t="shared" si="19"/>
        <v>20000000</v>
      </c>
      <c r="V104" s="1495">
        <f t="shared" si="20"/>
        <v>3600000</v>
      </c>
      <c r="W104" s="1495"/>
      <c r="X104" s="1495">
        <f t="shared" si="22"/>
        <v>0</v>
      </c>
      <c r="Y104" s="1495">
        <f t="shared" si="23"/>
        <v>100</v>
      </c>
      <c r="Z104" s="1495">
        <f t="shared" si="24"/>
        <v>0</v>
      </c>
      <c r="AA104" s="1506">
        <f t="shared" si="25"/>
        <v>0</v>
      </c>
      <c r="AB104" s="1505"/>
      <c r="AC104" s="1504">
        <f t="shared" si="26"/>
        <v>0</v>
      </c>
      <c r="AD104" s="1503">
        <f t="shared" si="27"/>
        <v>0</v>
      </c>
      <c r="AE104" s="1503">
        <f t="shared" si="28"/>
        <v>0</v>
      </c>
      <c r="AF104" s="1502">
        <f t="shared" si="29"/>
        <v>0</v>
      </c>
    </row>
    <row r="105" spans="1:32" s="1474" customFormat="1" ht="23.25" customHeight="1">
      <c r="A105" s="3081">
        <v>40</v>
      </c>
      <c r="B105" s="3082" t="s">
        <v>1957</v>
      </c>
      <c r="C105" s="3083" t="s">
        <v>2387</v>
      </c>
      <c r="D105" s="3083"/>
      <c r="E105" s="3082">
        <v>5000000</v>
      </c>
      <c r="F105" s="3082">
        <f t="shared" si="16"/>
        <v>900000</v>
      </c>
      <c r="G105" s="3084">
        <v>41376</v>
      </c>
      <c r="H105" s="3085">
        <v>0.18</v>
      </c>
      <c r="I105" s="2408">
        <v>12</v>
      </c>
      <c r="J105" s="2408">
        <v>12</v>
      </c>
      <c r="K105" s="2408">
        <v>416700</v>
      </c>
      <c r="L105" s="2408">
        <f t="shared" si="32"/>
        <v>75000</v>
      </c>
      <c r="M105" s="2408">
        <f t="shared" si="17"/>
        <v>5000000</v>
      </c>
      <c r="N105" s="2408">
        <f t="shared" si="18"/>
        <v>900000</v>
      </c>
      <c r="O105" s="2408">
        <v>4583700</v>
      </c>
      <c r="P105" s="2408">
        <v>875200</v>
      </c>
      <c r="Q105" s="2408"/>
      <c r="R105" s="2650"/>
      <c r="S105" s="2650"/>
      <c r="T105" s="3082"/>
      <c r="U105" s="2831">
        <f t="shared" si="19"/>
        <v>4583700</v>
      </c>
      <c r="V105" s="2831">
        <f t="shared" si="20"/>
        <v>875200</v>
      </c>
      <c r="W105" s="2831"/>
      <c r="X105" s="2831">
        <f t="shared" si="22"/>
        <v>416300</v>
      </c>
      <c r="Y105" s="2831">
        <f t="shared" si="23"/>
        <v>91.674000000000007</v>
      </c>
      <c r="Z105" s="2831">
        <f t="shared" si="24"/>
        <v>416300</v>
      </c>
      <c r="AA105" s="2832">
        <f t="shared" si="25"/>
        <v>24800</v>
      </c>
      <c r="AB105" s="1505">
        <v>7</v>
      </c>
      <c r="AC105" s="1504">
        <f t="shared" si="26"/>
        <v>0</v>
      </c>
      <c r="AD105" s="1503">
        <f t="shared" si="27"/>
        <v>0</v>
      </c>
      <c r="AE105" s="1503">
        <f t="shared" si="28"/>
        <v>0</v>
      </c>
      <c r="AF105" s="1502">
        <f t="shared" si="29"/>
        <v>416300</v>
      </c>
    </row>
    <row r="106" spans="1:32" s="1474" customFormat="1" ht="23.25" customHeight="1">
      <c r="A106" s="1515">
        <v>41</v>
      </c>
      <c r="B106" s="1513" t="s">
        <v>2119</v>
      </c>
      <c r="C106" s="1514" t="s">
        <v>2387</v>
      </c>
      <c r="D106" s="1514"/>
      <c r="E106" s="1513">
        <v>6000000</v>
      </c>
      <c r="F106" s="1512">
        <f t="shared" si="16"/>
        <v>1080000</v>
      </c>
      <c r="G106" s="2141">
        <v>41376</v>
      </c>
      <c r="H106" s="1511">
        <v>0.18</v>
      </c>
      <c r="I106" s="1508">
        <v>12</v>
      </c>
      <c r="J106" s="1508">
        <v>12</v>
      </c>
      <c r="K106" s="1508">
        <f>E106/I106</f>
        <v>500000</v>
      </c>
      <c r="L106" s="1508">
        <f t="shared" si="32"/>
        <v>90000</v>
      </c>
      <c r="M106" s="1510">
        <f t="shared" si="17"/>
        <v>6000000</v>
      </c>
      <c r="N106" s="2401">
        <f>IF(J106&lt;I106,J106*L106,IF(J106&gt;=I106,F106))-90000</f>
        <v>990000</v>
      </c>
      <c r="O106" s="1509">
        <v>6000000</v>
      </c>
      <c r="P106" s="1509">
        <v>990000</v>
      </c>
      <c r="Q106" s="1509"/>
      <c r="R106" s="2650"/>
      <c r="S106" s="2650"/>
      <c r="T106" s="1507"/>
      <c r="U106" s="1495">
        <f t="shared" si="19"/>
        <v>6000000</v>
      </c>
      <c r="V106" s="1495">
        <f t="shared" si="20"/>
        <v>990000</v>
      </c>
      <c r="W106" s="1495"/>
      <c r="X106" s="1495">
        <f t="shared" si="22"/>
        <v>0</v>
      </c>
      <c r="Y106" s="1495">
        <f t="shared" si="23"/>
        <v>100</v>
      </c>
      <c r="Z106" s="1495">
        <f t="shared" si="24"/>
        <v>0</v>
      </c>
      <c r="AA106" s="1506">
        <f t="shared" si="25"/>
        <v>0</v>
      </c>
      <c r="AB106" s="1505"/>
      <c r="AC106" s="1504">
        <f t="shared" si="26"/>
        <v>0</v>
      </c>
      <c r="AD106" s="1503">
        <f t="shared" si="27"/>
        <v>0</v>
      </c>
      <c r="AE106" s="1503">
        <f t="shared" si="28"/>
        <v>0</v>
      </c>
      <c r="AF106" s="1502">
        <f t="shared" si="29"/>
        <v>0</v>
      </c>
    </row>
    <row r="107" spans="1:32" s="1474" customFormat="1" ht="23.25" customHeight="1">
      <c r="A107" s="1515">
        <v>42</v>
      </c>
      <c r="B107" s="1513" t="s">
        <v>2028</v>
      </c>
      <c r="C107" s="1514" t="s">
        <v>2377</v>
      </c>
      <c r="D107" s="1514"/>
      <c r="E107" s="1513">
        <v>25000000</v>
      </c>
      <c r="F107" s="1512">
        <f t="shared" si="16"/>
        <v>4500000</v>
      </c>
      <c r="G107" s="2141">
        <v>41383</v>
      </c>
      <c r="H107" s="1511">
        <v>0.18</v>
      </c>
      <c r="I107" s="1508">
        <v>12</v>
      </c>
      <c r="J107" s="1508">
        <v>12</v>
      </c>
      <c r="K107" s="1508">
        <f>E107/I107-33.333333333</f>
        <v>2083300.0000000002</v>
      </c>
      <c r="L107" s="1508">
        <f t="shared" si="32"/>
        <v>375000</v>
      </c>
      <c r="M107" s="1510">
        <f t="shared" si="17"/>
        <v>25000000</v>
      </c>
      <c r="N107" s="1510">
        <f t="shared" si="18"/>
        <v>4500000</v>
      </c>
      <c r="O107" s="1509">
        <v>25000000</v>
      </c>
      <c r="P107" s="1509">
        <v>4500000</v>
      </c>
      <c r="Q107" s="1509"/>
      <c r="R107" s="2650"/>
      <c r="S107" s="2650"/>
      <c r="T107" s="1507"/>
      <c r="U107" s="1495">
        <f t="shared" si="19"/>
        <v>25000000</v>
      </c>
      <c r="V107" s="1495">
        <f t="shared" si="20"/>
        <v>4500000</v>
      </c>
      <c r="W107" s="1495"/>
      <c r="X107" s="1495">
        <f t="shared" si="22"/>
        <v>0</v>
      </c>
      <c r="Y107" s="1495">
        <f t="shared" si="23"/>
        <v>100</v>
      </c>
      <c r="Z107" s="1495">
        <f>SUM(M107-U107)</f>
        <v>0</v>
      </c>
      <c r="AA107" s="1506">
        <f t="shared" si="25"/>
        <v>0</v>
      </c>
      <c r="AB107" s="1505"/>
      <c r="AC107" s="1504">
        <f t="shared" si="26"/>
        <v>0</v>
      </c>
      <c r="AD107" s="1503">
        <f t="shared" si="27"/>
        <v>0</v>
      </c>
      <c r="AE107" s="1503">
        <f t="shared" si="28"/>
        <v>0</v>
      </c>
      <c r="AF107" s="1502">
        <f t="shared" si="29"/>
        <v>0</v>
      </c>
    </row>
    <row r="108" spans="1:32" s="1474" customFormat="1" ht="23.25" customHeight="1">
      <c r="A108" s="1501">
        <v>43</v>
      </c>
      <c r="B108" s="1496" t="s">
        <v>2026</v>
      </c>
      <c r="C108" s="1499" t="s">
        <v>2377</v>
      </c>
      <c r="D108" s="1514">
        <v>10</v>
      </c>
      <c r="E108" s="1496">
        <v>28000000</v>
      </c>
      <c r="F108" s="1512">
        <f t="shared" si="16"/>
        <v>5040000</v>
      </c>
      <c r="G108" s="2141">
        <v>41432</v>
      </c>
      <c r="H108" s="1500">
        <v>0.18</v>
      </c>
      <c r="I108" s="1499">
        <v>12</v>
      </c>
      <c r="J108" s="1499">
        <v>12</v>
      </c>
      <c r="K108" s="1499">
        <f>E108/I108-33.333333333</f>
        <v>2333300.0000000005</v>
      </c>
      <c r="L108" s="1499">
        <f t="shared" si="32"/>
        <v>420000</v>
      </c>
      <c r="M108" s="1510">
        <f t="shared" si="17"/>
        <v>28000000</v>
      </c>
      <c r="N108" s="1510">
        <f t="shared" si="18"/>
        <v>5040000</v>
      </c>
      <c r="O108" s="1497">
        <v>28000000</v>
      </c>
      <c r="P108" s="1497">
        <v>5040000</v>
      </c>
      <c r="Q108" s="1497"/>
      <c r="R108" s="2983"/>
      <c r="S108" s="2983"/>
      <c r="T108" s="1496"/>
      <c r="U108" s="1495">
        <f t="shared" si="19"/>
        <v>28000000</v>
      </c>
      <c r="V108" s="1495">
        <f t="shared" si="20"/>
        <v>5040000</v>
      </c>
      <c r="W108" s="1495"/>
      <c r="X108" s="1495">
        <f t="shared" si="22"/>
        <v>0</v>
      </c>
      <c r="Y108" s="1495">
        <f t="shared" si="23"/>
        <v>100</v>
      </c>
      <c r="Z108" s="1495">
        <f t="shared" si="24"/>
        <v>0</v>
      </c>
      <c r="AA108" s="1506">
        <f t="shared" si="25"/>
        <v>0</v>
      </c>
      <c r="AB108" s="1505"/>
      <c r="AC108" s="1504">
        <f t="shared" si="26"/>
        <v>0</v>
      </c>
      <c r="AD108" s="1503">
        <f t="shared" si="27"/>
        <v>0</v>
      </c>
      <c r="AE108" s="1503">
        <f t="shared" si="28"/>
        <v>0</v>
      </c>
      <c r="AF108" s="1502">
        <f t="shared" si="29"/>
        <v>0</v>
      </c>
    </row>
    <row r="109" spans="1:32" s="1474" customFormat="1" ht="23.25" customHeight="1">
      <c r="A109" s="1501">
        <v>44</v>
      </c>
      <c r="B109" s="1496" t="s">
        <v>2310</v>
      </c>
      <c r="C109" s="1499" t="s">
        <v>2377</v>
      </c>
      <c r="D109" s="1514">
        <v>10</v>
      </c>
      <c r="E109" s="1496">
        <v>29000000</v>
      </c>
      <c r="F109" s="1512">
        <f t="shared" si="16"/>
        <v>5220000</v>
      </c>
      <c r="G109" s="2141">
        <v>41432</v>
      </c>
      <c r="H109" s="1500">
        <v>0.18</v>
      </c>
      <c r="I109" s="1499">
        <v>12</v>
      </c>
      <c r="J109" s="1499">
        <v>12</v>
      </c>
      <c r="K109" s="1499">
        <f>E109/I109+33.3333333</f>
        <v>2416699.9999999665</v>
      </c>
      <c r="L109" s="1499">
        <f t="shared" si="32"/>
        <v>435000</v>
      </c>
      <c r="M109" s="1510">
        <f t="shared" si="17"/>
        <v>29000000</v>
      </c>
      <c r="N109" s="2401">
        <f t="shared" si="18"/>
        <v>5220000</v>
      </c>
      <c r="O109" s="3096">
        <v>29000000</v>
      </c>
      <c r="P109" s="3096">
        <v>4785000</v>
      </c>
      <c r="Q109" s="3096"/>
      <c r="R109" s="3118"/>
      <c r="S109" s="3118"/>
      <c r="T109" s="3097"/>
      <c r="U109" s="3041">
        <f t="shared" si="19"/>
        <v>29000000</v>
      </c>
      <c r="V109" s="3041">
        <f t="shared" si="20"/>
        <v>4785000</v>
      </c>
      <c r="W109" s="3041"/>
      <c r="X109" s="3041">
        <f t="shared" si="22"/>
        <v>0</v>
      </c>
      <c r="Y109" s="3041">
        <f t="shared" si="23"/>
        <v>100</v>
      </c>
      <c r="Z109" s="3041">
        <f t="shared" si="24"/>
        <v>0</v>
      </c>
      <c r="AA109" s="3092">
        <f>SUM(N109-V109)-435000</f>
        <v>0</v>
      </c>
      <c r="AB109" s="1505"/>
      <c r="AC109" s="1504">
        <f t="shared" si="26"/>
        <v>0</v>
      </c>
      <c r="AD109" s="1503">
        <f t="shared" si="27"/>
        <v>0</v>
      </c>
      <c r="AE109" s="1503">
        <f t="shared" si="28"/>
        <v>0</v>
      </c>
      <c r="AF109" s="1502">
        <f t="shared" si="29"/>
        <v>0</v>
      </c>
    </row>
    <row r="110" spans="1:32" s="1474" customFormat="1" ht="23.25" customHeight="1">
      <c r="A110" s="1501">
        <v>45</v>
      </c>
      <c r="B110" s="1496" t="s">
        <v>2415</v>
      </c>
      <c r="C110" s="1499" t="s">
        <v>2411</v>
      </c>
      <c r="D110" s="1514">
        <v>10</v>
      </c>
      <c r="E110" s="1496">
        <v>7000000</v>
      </c>
      <c r="F110" s="1512">
        <f t="shared" si="16"/>
        <v>1260000</v>
      </c>
      <c r="G110" s="2141">
        <v>41463</v>
      </c>
      <c r="H110" s="1500">
        <v>0.18</v>
      </c>
      <c r="I110" s="1499">
        <v>12</v>
      </c>
      <c r="J110" s="1499">
        <v>12</v>
      </c>
      <c r="K110" s="1499">
        <v>583300</v>
      </c>
      <c r="L110" s="1499">
        <f t="shared" si="32"/>
        <v>105000</v>
      </c>
      <c r="M110" s="1510">
        <f t="shared" si="17"/>
        <v>7000000</v>
      </c>
      <c r="N110" s="2401">
        <f>IF(J110&lt;I110,J110*L110,IF(J110&gt;=I110,F110))-105000</f>
        <v>1155000</v>
      </c>
      <c r="O110" s="1497">
        <v>7000000</v>
      </c>
      <c r="P110" s="1497">
        <v>1155000</v>
      </c>
      <c r="Q110" s="1497"/>
      <c r="R110" s="2983"/>
      <c r="S110" s="2983"/>
      <c r="T110" s="1496"/>
      <c r="U110" s="1495">
        <f t="shared" si="19"/>
        <v>7000000</v>
      </c>
      <c r="V110" s="1495">
        <f t="shared" si="20"/>
        <v>1155000</v>
      </c>
      <c r="W110" s="1495"/>
      <c r="X110" s="1495">
        <f t="shared" si="22"/>
        <v>0</v>
      </c>
      <c r="Y110" s="1495">
        <f t="shared" si="23"/>
        <v>100</v>
      </c>
      <c r="Z110" s="1495">
        <f t="shared" si="24"/>
        <v>0</v>
      </c>
      <c r="AA110" s="1506">
        <f t="shared" si="25"/>
        <v>0</v>
      </c>
      <c r="AB110" s="2441"/>
      <c r="AC110" s="1504">
        <f t="shared" si="26"/>
        <v>0</v>
      </c>
      <c r="AD110" s="1503">
        <f t="shared" si="27"/>
        <v>0</v>
      </c>
      <c r="AE110" s="1503">
        <f t="shared" si="28"/>
        <v>0</v>
      </c>
      <c r="AF110" s="1502">
        <f t="shared" si="29"/>
        <v>0</v>
      </c>
    </row>
    <row r="111" spans="1:32" s="1474" customFormat="1" ht="23.25" customHeight="1">
      <c r="A111" s="1501">
        <v>46</v>
      </c>
      <c r="B111" s="1496" t="s">
        <v>2416</v>
      </c>
      <c r="C111" s="1499" t="s">
        <v>2411</v>
      </c>
      <c r="D111" s="1514">
        <v>10</v>
      </c>
      <c r="E111" s="1496">
        <v>10000000</v>
      </c>
      <c r="F111" s="1512">
        <f t="shared" si="16"/>
        <v>1800000</v>
      </c>
      <c r="G111" s="2141">
        <v>41463</v>
      </c>
      <c r="H111" s="1500">
        <v>0.18</v>
      </c>
      <c r="I111" s="1499">
        <v>12</v>
      </c>
      <c r="J111" s="1499">
        <v>12</v>
      </c>
      <c r="K111" s="1499">
        <v>833300</v>
      </c>
      <c r="L111" s="1499">
        <f t="shared" si="32"/>
        <v>150000</v>
      </c>
      <c r="M111" s="1510">
        <f t="shared" si="17"/>
        <v>10000000</v>
      </c>
      <c r="N111" s="1510">
        <f t="shared" si="18"/>
        <v>1800000</v>
      </c>
      <c r="O111" s="1497">
        <v>10000000</v>
      </c>
      <c r="P111" s="1497">
        <v>1800000</v>
      </c>
      <c r="Q111" s="1497"/>
      <c r="R111" s="2983"/>
      <c r="S111" s="2983"/>
      <c r="T111" s="1496"/>
      <c r="U111" s="1495">
        <f t="shared" si="19"/>
        <v>10000000</v>
      </c>
      <c r="V111" s="1495">
        <f t="shared" si="20"/>
        <v>1800000</v>
      </c>
      <c r="W111" s="1495"/>
      <c r="X111" s="1495">
        <f t="shared" si="22"/>
        <v>0</v>
      </c>
      <c r="Y111" s="1495">
        <f t="shared" si="23"/>
        <v>100</v>
      </c>
      <c r="Z111" s="1495">
        <f t="shared" si="24"/>
        <v>0</v>
      </c>
      <c r="AA111" s="1506">
        <f t="shared" si="25"/>
        <v>0</v>
      </c>
      <c r="AB111" s="2441"/>
      <c r="AC111" s="1504">
        <f t="shared" si="26"/>
        <v>0</v>
      </c>
      <c r="AD111" s="1503">
        <f t="shared" si="27"/>
        <v>0</v>
      </c>
      <c r="AE111" s="1503">
        <f t="shared" si="28"/>
        <v>0</v>
      </c>
      <c r="AF111" s="1502">
        <f t="shared" si="29"/>
        <v>0</v>
      </c>
    </row>
    <row r="112" spans="1:32" s="1474" customFormat="1" ht="23.25" customHeight="1">
      <c r="A112" s="1501">
        <v>47</v>
      </c>
      <c r="B112" s="1496" t="s">
        <v>2319</v>
      </c>
      <c r="C112" s="1499" t="s">
        <v>2411</v>
      </c>
      <c r="D112" s="1514">
        <v>10</v>
      </c>
      <c r="E112" s="1496">
        <v>15000000</v>
      </c>
      <c r="F112" s="1512">
        <f t="shared" si="16"/>
        <v>2700000</v>
      </c>
      <c r="G112" s="2990">
        <v>41499</v>
      </c>
      <c r="H112" s="1500">
        <v>0.18</v>
      </c>
      <c r="I112" s="1499">
        <v>12</v>
      </c>
      <c r="J112" s="1499">
        <v>12</v>
      </c>
      <c r="K112" s="1499">
        <v>1250000</v>
      </c>
      <c r="L112" s="1499">
        <f t="shared" si="32"/>
        <v>225000</v>
      </c>
      <c r="M112" s="1510">
        <f t="shared" si="17"/>
        <v>15000000</v>
      </c>
      <c r="N112" s="1510">
        <f t="shared" si="18"/>
        <v>2700000</v>
      </c>
      <c r="O112" s="1497">
        <v>15000000</v>
      </c>
      <c r="P112" s="1497">
        <v>2475000</v>
      </c>
      <c r="Q112" s="1497"/>
      <c r="R112" s="2983"/>
      <c r="S112" s="2983"/>
      <c r="T112" s="1496"/>
      <c r="U112" s="1495">
        <f t="shared" si="19"/>
        <v>15000000</v>
      </c>
      <c r="V112" s="1495">
        <f t="shared" si="20"/>
        <v>2475000</v>
      </c>
      <c r="W112" s="1495"/>
      <c r="X112" s="1495">
        <f t="shared" si="22"/>
        <v>0</v>
      </c>
      <c r="Y112" s="1495">
        <f t="shared" si="23"/>
        <v>100</v>
      </c>
      <c r="Z112" s="1495">
        <f t="shared" si="24"/>
        <v>0</v>
      </c>
      <c r="AA112" s="1506">
        <f>SUM(N112-V112)-225000</f>
        <v>0</v>
      </c>
      <c r="AB112" s="2441"/>
      <c r="AC112" s="1504">
        <f t="shared" si="26"/>
        <v>0</v>
      </c>
      <c r="AD112" s="1503">
        <f t="shared" si="27"/>
        <v>0</v>
      </c>
      <c r="AE112" s="1503">
        <f t="shared" si="28"/>
        <v>0</v>
      </c>
      <c r="AF112" s="1502">
        <f t="shared" si="29"/>
        <v>0</v>
      </c>
    </row>
    <row r="113" spans="1:32" s="1474" customFormat="1" ht="23.25" customHeight="1">
      <c r="A113" s="1501">
        <v>48</v>
      </c>
      <c r="B113" s="1496" t="s">
        <v>2454</v>
      </c>
      <c r="C113" s="1499" t="s">
        <v>2411</v>
      </c>
      <c r="D113" s="1514">
        <v>10</v>
      </c>
      <c r="E113" s="1496">
        <v>30000000</v>
      </c>
      <c r="F113" s="1512">
        <f t="shared" si="16"/>
        <v>5400000</v>
      </c>
      <c r="G113" s="2990">
        <v>41530</v>
      </c>
      <c r="H113" s="1500">
        <v>0.18</v>
      </c>
      <c r="I113" s="1499">
        <v>12</v>
      </c>
      <c r="J113" s="1499">
        <v>12</v>
      </c>
      <c r="K113" s="1499">
        <f t="shared" ref="K113:K119" si="33">E113/I113</f>
        <v>2500000</v>
      </c>
      <c r="L113" s="1499">
        <f t="shared" si="32"/>
        <v>450000</v>
      </c>
      <c r="M113" s="1510">
        <f t="shared" si="17"/>
        <v>30000000</v>
      </c>
      <c r="N113" s="2401">
        <f t="shared" si="18"/>
        <v>5400000</v>
      </c>
      <c r="O113" s="1497">
        <v>30000000</v>
      </c>
      <c r="P113" s="1497">
        <v>4950000</v>
      </c>
      <c r="Q113" s="1497"/>
      <c r="R113" s="2983"/>
      <c r="S113" s="2983"/>
      <c r="T113" s="1496"/>
      <c r="U113" s="1495">
        <f t="shared" si="19"/>
        <v>30000000</v>
      </c>
      <c r="V113" s="1495">
        <f t="shared" si="20"/>
        <v>4950000</v>
      </c>
      <c r="W113" s="1495"/>
      <c r="X113" s="1495">
        <f t="shared" si="22"/>
        <v>0</v>
      </c>
      <c r="Y113" s="1495">
        <f t="shared" si="23"/>
        <v>100</v>
      </c>
      <c r="Z113" s="1495">
        <f t="shared" si="24"/>
        <v>0</v>
      </c>
      <c r="AA113" s="1506">
        <f>SUM(N113-V113)-450000</f>
        <v>0</v>
      </c>
      <c r="AB113" s="2441"/>
      <c r="AC113" s="1504">
        <f t="shared" si="26"/>
        <v>0</v>
      </c>
      <c r="AD113" s="1503">
        <f t="shared" si="27"/>
        <v>0</v>
      </c>
      <c r="AE113" s="1503">
        <f t="shared" si="28"/>
        <v>0</v>
      </c>
      <c r="AF113" s="1502">
        <f t="shared" si="29"/>
        <v>0</v>
      </c>
    </row>
    <row r="114" spans="1:32" s="1474" customFormat="1" ht="23.25" customHeight="1">
      <c r="A114" s="1501">
        <v>49</v>
      </c>
      <c r="B114" s="1496" t="s">
        <v>2021</v>
      </c>
      <c r="C114" s="1499" t="s">
        <v>2474</v>
      </c>
      <c r="D114" s="1514">
        <v>10</v>
      </c>
      <c r="E114" s="1496">
        <v>35000000</v>
      </c>
      <c r="F114" s="1512">
        <f t="shared" si="16"/>
        <v>6300000</v>
      </c>
      <c r="G114" s="2990">
        <v>41585</v>
      </c>
      <c r="H114" s="1500">
        <v>0.18</v>
      </c>
      <c r="I114" s="1499">
        <v>12</v>
      </c>
      <c r="J114" s="1499">
        <v>12</v>
      </c>
      <c r="K114" s="1499">
        <v>2916700</v>
      </c>
      <c r="L114" s="1499">
        <f t="shared" si="32"/>
        <v>525000</v>
      </c>
      <c r="M114" s="1510">
        <f t="shared" si="17"/>
        <v>35000000</v>
      </c>
      <c r="N114" s="1510">
        <f t="shared" si="18"/>
        <v>6300000</v>
      </c>
      <c r="O114" s="1497">
        <v>35000000</v>
      </c>
      <c r="P114" s="1497">
        <v>6300000</v>
      </c>
      <c r="Q114" s="1497"/>
      <c r="R114" s="2983"/>
      <c r="S114" s="2983"/>
      <c r="T114" s="1496"/>
      <c r="U114" s="1495">
        <f t="shared" si="19"/>
        <v>35000000</v>
      </c>
      <c r="V114" s="1495">
        <f t="shared" si="20"/>
        <v>6300000</v>
      </c>
      <c r="W114" s="1495"/>
      <c r="X114" s="1495">
        <f t="shared" si="22"/>
        <v>0</v>
      </c>
      <c r="Y114" s="1495">
        <f t="shared" si="23"/>
        <v>100</v>
      </c>
      <c r="Z114" s="1495">
        <f t="shared" si="24"/>
        <v>0</v>
      </c>
      <c r="AA114" s="1506">
        <f t="shared" si="25"/>
        <v>0</v>
      </c>
      <c r="AB114" s="2441"/>
      <c r="AC114" s="1504">
        <f t="shared" si="26"/>
        <v>0</v>
      </c>
      <c r="AD114" s="1503">
        <f t="shared" si="27"/>
        <v>0</v>
      </c>
      <c r="AE114" s="1503">
        <f t="shared" si="28"/>
        <v>0</v>
      </c>
      <c r="AF114" s="1502">
        <f t="shared" si="29"/>
        <v>0</v>
      </c>
    </row>
    <row r="115" spans="1:32" s="1474" customFormat="1" ht="23.25" customHeight="1">
      <c r="A115" s="1501">
        <v>50</v>
      </c>
      <c r="B115" s="1496" t="s">
        <v>2476</v>
      </c>
      <c r="C115" s="1499" t="s">
        <v>2465</v>
      </c>
      <c r="D115" s="1514">
        <v>10</v>
      </c>
      <c r="E115" s="1496">
        <v>30000000</v>
      </c>
      <c r="F115" s="1512">
        <f t="shared" si="16"/>
        <v>5400000</v>
      </c>
      <c r="G115" s="2990">
        <v>41595</v>
      </c>
      <c r="H115" s="1500">
        <v>0.18</v>
      </c>
      <c r="I115" s="1499">
        <v>12</v>
      </c>
      <c r="J115" s="1499">
        <v>12</v>
      </c>
      <c r="K115" s="1499">
        <f t="shared" si="33"/>
        <v>2500000</v>
      </c>
      <c r="L115" s="1499">
        <f t="shared" si="32"/>
        <v>450000</v>
      </c>
      <c r="M115" s="1510">
        <f t="shared" si="17"/>
        <v>30000000</v>
      </c>
      <c r="N115" s="1510">
        <f t="shared" si="18"/>
        <v>5400000</v>
      </c>
      <c r="O115" s="1497">
        <v>30000000</v>
      </c>
      <c r="P115" s="1497">
        <v>5400000</v>
      </c>
      <c r="Q115" s="1497"/>
      <c r="R115" s="2983"/>
      <c r="S115" s="2983"/>
      <c r="T115" s="1496"/>
      <c r="U115" s="1495">
        <f t="shared" si="19"/>
        <v>30000000</v>
      </c>
      <c r="V115" s="1495">
        <f t="shared" si="20"/>
        <v>5400000</v>
      </c>
      <c r="W115" s="1495"/>
      <c r="X115" s="1495">
        <f t="shared" si="22"/>
        <v>0</v>
      </c>
      <c r="Y115" s="1495">
        <f t="shared" si="23"/>
        <v>100</v>
      </c>
      <c r="Z115" s="1495">
        <f t="shared" si="24"/>
        <v>0</v>
      </c>
      <c r="AA115" s="1506">
        <f t="shared" si="25"/>
        <v>0</v>
      </c>
      <c r="AB115" s="2441"/>
      <c r="AC115" s="1504">
        <f t="shared" si="26"/>
        <v>0</v>
      </c>
      <c r="AD115" s="1503">
        <f t="shared" si="27"/>
        <v>0</v>
      </c>
      <c r="AE115" s="1503">
        <f t="shared" si="28"/>
        <v>0</v>
      </c>
      <c r="AF115" s="1502">
        <f t="shared" si="29"/>
        <v>0</v>
      </c>
    </row>
    <row r="116" spans="1:32" s="1474" customFormat="1" ht="23.25" customHeight="1">
      <c r="A116" s="1501">
        <v>51</v>
      </c>
      <c r="B116" s="1496" t="s">
        <v>2483</v>
      </c>
      <c r="C116" s="1499" t="s">
        <v>2465</v>
      </c>
      <c r="D116" s="1514">
        <v>10</v>
      </c>
      <c r="E116" s="1496">
        <v>30000000</v>
      </c>
      <c r="F116" s="1512">
        <f t="shared" si="16"/>
        <v>5400000</v>
      </c>
      <c r="G116" s="2990">
        <v>41619</v>
      </c>
      <c r="H116" s="1500">
        <v>0.18</v>
      </c>
      <c r="I116" s="1499">
        <v>12</v>
      </c>
      <c r="J116" s="1499">
        <v>12</v>
      </c>
      <c r="K116" s="1499">
        <f t="shared" si="33"/>
        <v>2500000</v>
      </c>
      <c r="L116" s="1499">
        <f t="shared" si="32"/>
        <v>450000</v>
      </c>
      <c r="M116" s="1510">
        <f t="shared" si="17"/>
        <v>30000000</v>
      </c>
      <c r="N116" s="2401">
        <f>IF(J116&lt;I116,J116*L116,IF(J116&gt;=I116,F116))-450000</f>
        <v>4950000</v>
      </c>
      <c r="O116" s="1497">
        <v>30000000</v>
      </c>
      <c r="P116" s="1497">
        <v>4950000</v>
      </c>
      <c r="Q116" s="1497"/>
      <c r="R116" s="2983"/>
      <c r="S116" s="2983"/>
      <c r="T116" s="1496"/>
      <c r="U116" s="1495">
        <f t="shared" si="19"/>
        <v>30000000</v>
      </c>
      <c r="V116" s="1495">
        <f t="shared" si="20"/>
        <v>4950000</v>
      </c>
      <c r="W116" s="1495"/>
      <c r="X116" s="1495">
        <f t="shared" si="22"/>
        <v>0</v>
      </c>
      <c r="Y116" s="1495">
        <f t="shared" si="23"/>
        <v>100</v>
      </c>
      <c r="Z116" s="1495">
        <f t="shared" si="24"/>
        <v>0</v>
      </c>
      <c r="AA116" s="1506">
        <f t="shared" si="25"/>
        <v>0</v>
      </c>
      <c r="AB116" s="2441"/>
      <c r="AC116" s="1504">
        <f t="shared" si="26"/>
        <v>0</v>
      </c>
      <c r="AD116" s="1503">
        <f t="shared" si="27"/>
        <v>0</v>
      </c>
      <c r="AE116" s="1503">
        <f t="shared" si="28"/>
        <v>0</v>
      </c>
      <c r="AF116" s="1502">
        <f t="shared" si="29"/>
        <v>0</v>
      </c>
    </row>
    <row r="117" spans="1:32" s="1474" customFormat="1" ht="23.25" customHeight="1">
      <c r="A117" s="1501">
        <v>52</v>
      </c>
      <c r="B117" s="1496" t="s">
        <v>2017</v>
      </c>
      <c r="C117" s="1499" t="s">
        <v>2465</v>
      </c>
      <c r="D117" s="1514">
        <v>10</v>
      </c>
      <c r="E117" s="1496">
        <v>22000000</v>
      </c>
      <c r="F117" s="1512">
        <f t="shared" si="16"/>
        <v>3960000</v>
      </c>
      <c r="G117" s="2990">
        <v>41619</v>
      </c>
      <c r="H117" s="1500">
        <v>0.18</v>
      </c>
      <c r="I117" s="1499">
        <v>12</v>
      </c>
      <c r="J117" s="1499">
        <v>12</v>
      </c>
      <c r="K117" s="1499">
        <v>1833300</v>
      </c>
      <c r="L117" s="1499">
        <f t="shared" si="32"/>
        <v>330000</v>
      </c>
      <c r="M117" s="1510">
        <f t="shared" si="17"/>
        <v>22000000</v>
      </c>
      <c r="N117" s="1510">
        <f t="shared" si="18"/>
        <v>3960000</v>
      </c>
      <c r="O117" s="1497">
        <v>15269900</v>
      </c>
      <c r="P117" s="1497">
        <v>2970000</v>
      </c>
      <c r="Q117" s="1497"/>
      <c r="R117" s="3144"/>
      <c r="S117" s="3144"/>
      <c r="T117" s="1496"/>
      <c r="U117" s="1495">
        <f t="shared" si="19"/>
        <v>15269900</v>
      </c>
      <c r="V117" s="1495">
        <f t="shared" si="20"/>
        <v>2970000</v>
      </c>
      <c r="W117" s="1495"/>
      <c r="X117" s="1495">
        <f t="shared" si="22"/>
        <v>6730100</v>
      </c>
      <c r="Y117" s="1495">
        <f t="shared" si="23"/>
        <v>69.408636363636361</v>
      </c>
      <c r="Z117" s="1495">
        <f t="shared" si="24"/>
        <v>6730100</v>
      </c>
      <c r="AA117" s="1506">
        <f t="shared" si="25"/>
        <v>990000</v>
      </c>
      <c r="AB117" s="2441">
        <v>6</v>
      </c>
      <c r="AC117" s="1504">
        <f t="shared" si="26"/>
        <v>0</v>
      </c>
      <c r="AD117" s="1503">
        <f t="shared" si="27"/>
        <v>0</v>
      </c>
      <c r="AE117" s="1503">
        <f t="shared" si="28"/>
        <v>6730100</v>
      </c>
      <c r="AF117" s="1502">
        <f t="shared" si="29"/>
        <v>0</v>
      </c>
    </row>
    <row r="118" spans="1:32" s="2849" customFormat="1" ht="23.25" customHeight="1">
      <c r="A118" s="3133">
        <v>53</v>
      </c>
      <c r="B118" s="2858" t="s">
        <v>2237</v>
      </c>
      <c r="C118" s="2859" t="s">
        <v>2465</v>
      </c>
      <c r="D118" s="2685">
        <v>10</v>
      </c>
      <c r="E118" s="2858">
        <v>20000000</v>
      </c>
      <c r="F118" s="2684">
        <f t="shared" si="16"/>
        <v>3600000</v>
      </c>
      <c r="G118" s="3134">
        <v>41621</v>
      </c>
      <c r="H118" s="3135">
        <v>0.18</v>
      </c>
      <c r="I118" s="2859">
        <v>12</v>
      </c>
      <c r="J118" s="2859">
        <v>12</v>
      </c>
      <c r="K118" s="2859">
        <v>1666700</v>
      </c>
      <c r="L118" s="2859">
        <f t="shared" si="32"/>
        <v>300000</v>
      </c>
      <c r="M118" s="2688">
        <f t="shared" si="17"/>
        <v>20000000</v>
      </c>
      <c r="N118" s="2688">
        <f t="shared" si="18"/>
        <v>3600000</v>
      </c>
      <c r="O118" s="2858">
        <v>20000000</v>
      </c>
      <c r="P118" s="2858">
        <v>3600000</v>
      </c>
      <c r="Q118" s="2858"/>
      <c r="R118" s="3199"/>
      <c r="S118" s="2858"/>
      <c r="T118" s="2858"/>
      <c r="U118" s="2689">
        <f t="shared" si="19"/>
        <v>20000000</v>
      </c>
      <c r="V118" s="2689">
        <f t="shared" si="20"/>
        <v>3600000</v>
      </c>
      <c r="W118" s="2689"/>
      <c r="X118" s="2689">
        <f t="shared" si="22"/>
        <v>0</v>
      </c>
      <c r="Y118" s="2689">
        <f t="shared" si="23"/>
        <v>100</v>
      </c>
      <c r="Z118" s="2689">
        <f t="shared" si="24"/>
        <v>0</v>
      </c>
      <c r="AA118" s="2828">
        <f t="shared" si="25"/>
        <v>0</v>
      </c>
      <c r="AB118" s="2861"/>
      <c r="AC118" s="2846">
        <f t="shared" si="26"/>
        <v>0</v>
      </c>
      <c r="AD118" s="2847">
        <f t="shared" si="27"/>
        <v>0</v>
      </c>
      <c r="AE118" s="2847">
        <f t="shared" si="28"/>
        <v>0</v>
      </c>
      <c r="AF118" s="2848">
        <f t="shared" si="29"/>
        <v>0</v>
      </c>
    </row>
    <row r="119" spans="1:32" s="1474" customFormat="1" ht="23.25" customHeight="1">
      <c r="A119" s="1501">
        <v>54</v>
      </c>
      <c r="B119" s="1496" t="s">
        <v>2022</v>
      </c>
      <c r="C119" s="1499" t="s">
        <v>2465</v>
      </c>
      <c r="D119" s="1514">
        <v>10</v>
      </c>
      <c r="E119" s="1496">
        <v>15000000</v>
      </c>
      <c r="F119" s="1512">
        <f t="shared" si="16"/>
        <v>2700000</v>
      </c>
      <c r="G119" s="2990">
        <v>41617</v>
      </c>
      <c r="H119" s="1500">
        <v>0.18</v>
      </c>
      <c r="I119" s="1499">
        <v>12</v>
      </c>
      <c r="J119" s="1499">
        <v>12</v>
      </c>
      <c r="K119" s="1499">
        <f t="shared" si="33"/>
        <v>1250000</v>
      </c>
      <c r="L119" s="1499">
        <f t="shared" si="32"/>
        <v>225000</v>
      </c>
      <c r="M119" s="1510">
        <f t="shared" si="17"/>
        <v>15000000</v>
      </c>
      <c r="N119" s="2401">
        <f>IF(J119&lt;I119,J119*L119,IF(J119&gt;=I119,F119))-225000</f>
        <v>2475000</v>
      </c>
      <c r="O119" s="1497">
        <v>15000000</v>
      </c>
      <c r="P119" s="1497">
        <v>2475000</v>
      </c>
      <c r="Q119" s="1497"/>
      <c r="R119" s="2983"/>
      <c r="S119" s="2983"/>
      <c r="T119" s="1496"/>
      <c r="U119" s="1495">
        <f t="shared" si="19"/>
        <v>15000000</v>
      </c>
      <c r="V119" s="1495">
        <f t="shared" si="20"/>
        <v>2475000</v>
      </c>
      <c r="W119" s="1495"/>
      <c r="X119" s="1495">
        <f t="shared" si="22"/>
        <v>0</v>
      </c>
      <c r="Y119" s="1495">
        <f t="shared" si="23"/>
        <v>100</v>
      </c>
      <c r="Z119" s="1495">
        <f t="shared" si="24"/>
        <v>0</v>
      </c>
      <c r="AA119" s="1506">
        <f t="shared" si="25"/>
        <v>0</v>
      </c>
      <c r="AB119" s="2441"/>
      <c r="AC119" s="1504">
        <f t="shared" si="26"/>
        <v>0</v>
      </c>
      <c r="AD119" s="1503">
        <f t="shared" si="27"/>
        <v>0</v>
      </c>
      <c r="AE119" s="1503">
        <f t="shared" si="28"/>
        <v>0</v>
      </c>
      <c r="AF119" s="1502">
        <f t="shared" si="29"/>
        <v>0</v>
      </c>
    </row>
    <row r="120" spans="1:32" s="1474" customFormat="1" ht="23.25" customHeight="1">
      <c r="A120" s="1501">
        <v>55</v>
      </c>
      <c r="B120" s="1496" t="s">
        <v>2233</v>
      </c>
      <c r="C120" s="1499" t="s">
        <v>2465</v>
      </c>
      <c r="D120" s="1514">
        <v>10</v>
      </c>
      <c r="E120" s="1496">
        <v>11000000</v>
      </c>
      <c r="F120" s="1512">
        <f t="shared" si="16"/>
        <v>1980000</v>
      </c>
      <c r="G120" s="2990">
        <v>41628</v>
      </c>
      <c r="H120" s="1500">
        <v>0.18</v>
      </c>
      <c r="I120" s="1499">
        <v>12</v>
      </c>
      <c r="J120" s="1499">
        <v>12</v>
      </c>
      <c r="K120" s="1499">
        <v>916700</v>
      </c>
      <c r="L120" s="1499">
        <f t="shared" si="32"/>
        <v>165000</v>
      </c>
      <c r="M120" s="1510">
        <f t="shared" si="17"/>
        <v>11000000</v>
      </c>
      <c r="N120" s="1510">
        <f t="shared" si="18"/>
        <v>1980000</v>
      </c>
      <c r="O120" s="1497">
        <v>11000000</v>
      </c>
      <c r="P120" s="1497">
        <v>1980000</v>
      </c>
      <c r="Q120" s="1497"/>
      <c r="R120" s="2983"/>
      <c r="S120" s="2983"/>
      <c r="T120" s="1496"/>
      <c r="U120" s="1495">
        <f t="shared" si="19"/>
        <v>11000000</v>
      </c>
      <c r="V120" s="1495">
        <f t="shared" si="20"/>
        <v>1980000</v>
      </c>
      <c r="W120" s="1495"/>
      <c r="X120" s="1495">
        <f t="shared" si="22"/>
        <v>0</v>
      </c>
      <c r="Y120" s="1495">
        <f t="shared" si="23"/>
        <v>100</v>
      </c>
      <c r="Z120" s="1495">
        <f t="shared" si="24"/>
        <v>0</v>
      </c>
      <c r="AA120" s="1506">
        <f t="shared" si="25"/>
        <v>0</v>
      </c>
      <c r="AB120" s="2441"/>
      <c r="AC120" s="1504">
        <f t="shared" si="26"/>
        <v>0</v>
      </c>
      <c r="AD120" s="1503">
        <f t="shared" si="27"/>
        <v>0</v>
      </c>
      <c r="AE120" s="1503">
        <f t="shared" si="28"/>
        <v>0</v>
      </c>
      <c r="AF120" s="1502">
        <f t="shared" si="29"/>
        <v>0</v>
      </c>
    </row>
    <row r="121" spans="1:32" s="1474" customFormat="1" ht="23.25" customHeight="1">
      <c r="A121" s="1501">
        <v>56</v>
      </c>
      <c r="B121" s="1496" t="s">
        <v>2018</v>
      </c>
      <c r="C121" s="1499" t="s">
        <v>2465</v>
      </c>
      <c r="D121" s="1499">
        <v>10</v>
      </c>
      <c r="E121" s="1496">
        <v>25000000</v>
      </c>
      <c r="F121" s="1512">
        <f t="shared" si="16"/>
        <v>4500000</v>
      </c>
      <c r="G121" s="2990">
        <v>41687</v>
      </c>
      <c r="H121" s="1500">
        <v>0.18</v>
      </c>
      <c r="I121" s="1499">
        <v>12</v>
      </c>
      <c r="J121" s="1499">
        <v>12</v>
      </c>
      <c r="K121" s="1499">
        <v>2083300</v>
      </c>
      <c r="L121" s="1499">
        <f t="shared" si="32"/>
        <v>375000</v>
      </c>
      <c r="M121" s="1510">
        <f t="shared" si="17"/>
        <v>25000000</v>
      </c>
      <c r="N121" s="1510">
        <f t="shared" si="18"/>
        <v>4500000</v>
      </c>
      <c r="O121" s="1497">
        <v>25000000</v>
      </c>
      <c r="P121" s="1497">
        <v>4500000</v>
      </c>
      <c r="Q121" s="1497"/>
      <c r="R121" s="2983"/>
      <c r="S121" s="2983"/>
      <c r="T121" s="1496"/>
      <c r="U121" s="1495">
        <f t="shared" si="19"/>
        <v>25000000</v>
      </c>
      <c r="V121" s="1495">
        <f t="shared" si="20"/>
        <v>4500000</v>
      </c>
      <c r="W121" s="1495"/>
      <c r="X121" s="1495">
        <f t="shared" si="22"/>
        <v>0</v>
      </c>
      <c r="Y121" s="1495">
        <f t="shared" si="23"/>
        <v>100</v>
      </c>
      <c r="Z121" s="1495">
        <f t="shared" si="24"/>
        <v>0</v>
      </c>
      <c r="AA121" s="1506">
        <f t="shared" si="25"/>
        <v>0</v>
      </c>
      <c r="AB121" s="2441"/>
      <c r="AC121" s="1504">
        <f t="shared" si="26"/>
        <v>0</v>
      </c>
      <c r="AD121" s="1503">
        <f t="shared" si="27"/>
        <v>0</v>
      </c>
      <c r="AE121" s="1503">
        <f t="shared" si="28"/>
        <v>0</v>
      </c>
      <c r="AF121" s="1502">
        <f t="shared" si="29"/>
        <v>0</v>
      </c>
    </row>
    <row r="122" spans="1:32" s="1474" customFormat="1" ht="23.25" customHeight="1">
      <c r="A122" s="1501">
        <v>57</v>
      </c>
      <c r="B122" s="1496" t="s">
        <v>2119</v>
      </c>
      <c r="C122" s="1499" t="s">
        <v>2496</v>
      </c>
      <c r="D122" s="1499">
        <v>7</v>
      </c>
      <c r="E122" s="1496">
        <v>10000000</v>
      </c>
      <c r="F122" s="1512">
        <f t="shared" si="16"/>
        <v>1800000</v>
      </c>
      <c r="G122" s="2990">
        <v>41717</v>
      </c>
      <c r="H122" s="1500">
        <v>0.18</v>
      </c>
      <c r="I122" s="1499">
        <v>12</v>
      </c>
      <c r="J122" s="1499">
        <v>12</v>
      </c>
      <c r="K122" s="1499">
        <v>833300</v>
      </c>
      <c r="L122" s="1499">
        <f t="shared" si="32"/>
        <v>150000</v>
      </c>
      <c r="M122" s="1510">
        <f t="shared" si="17"/>
        <v>10000000</v>
      </c>
      <c r="N122" s="2401">
        <f>IF(J122&lt;I122,J122*L122,IF(J122&gt;=I122,F122))-150000</f>
        <v>1650000</v>
      </c>
      <c r="O122" s="1497">
        <v>10000000</v>
      </c>
      <c r="P122" s="1497">
        <v>1650000</v>
      </c>
      <c r="Q122" s="1497"/>
      <c r="R122" s="2983"/>
      <c r="S122" s="2983"/>
      <c r="T122" s="1496"/>
      <c r="U122" s="1495">
        <f t="shared" si="19"/>
        <v>10000000</v>
      </c>
      <c r="V122" s="1495">
        <f t="shared" si="20"/>
        <v>1650000</v>
      </c>
      <c r="W122" s="1495"/>
      <c r="X122" s="1495">
        <f t="shared" si="22"/>
        <v>0</v>
      </c>
      <c r="Y122" s="1495">
        <f t="shared" si="23"/>
        <v>100</v>
      </c>
      <c r="Z122" s="1495">
        <f t="shared" si="24"/>
        <v>0</v>
      </c>
      <c r="AA122" s="1506">
        <f t="shared" si="25"/>
        <v>0</v>
      </c>
      <c r="AB122" s="2441"/>
      <c r="AC122" s="1504">
        <f t="shared" si="26"/>
        <v>0</v>
      </c>
      <c r="AD122" s="1503">
        <f t="shared" si="27"/>
        <v>0</v>
      </c>
      <c r="AE122" s="1503">
        <f t="shared" si="28"/>
        <v>0</v>
      </c>
      <c r="AF122" s="1502">
        <f t="shared" si="29"/>
        <v>0</v>
      </c>
    </row>
    <row r="123" spans="1:32" s="1474" customFormat="1" ht="23.25" customHeight="1">
      <c r="A123" s="1501">
        <v>58</v>
      </c>
      <c r="B123" s="1496" t="s">
        <v>2028</v>
      </c>
      <c r="C123" s="1499" t="s">
        <v>2537</v>
      </c>
      <c r="D123" s="1499">
        <v>10</v>
      </c>
      <c r="E123" s="1496">
        <v>30000000</v>
      </c>
      <c r="F123" s="1512">
        <f t="shared" si="16"/>
        <v>5400000</v>
      </c>
      <c r="G123" s="2990">
        <v>41750</v>
      </c>
      <c r="H123" s="1500">
        <v>0.18</v>
      </c>
      <c r="I123" s="1499">
        <v>12</v>
      </c>
      <c r="J123" s="1499">
        <v>12</v>
      </c>
      <c r="K123" s="1499">
        <v>2500000</v>
      </c>
      <c r="L123" s="1499">
        <f t="shared" si="32"/>
        <v>450000</v>
      </c>
      <c r="M123" s="1510">
        <f t="shared" si="17"/>
        <v>30000000</v>
      </c>
      <c r="N123" s="1510">
        <f t="shared" si="18"/>
        <v>5400000</v>
      </c>
      <c r="O123" s="1497">
        <v>30000000</v>
      </c>
      <c r="P123" s="1497">
        <v>5400000</v>
      </c>
      <c r="Q123" s="1497"/>
      <c r="R123" s="2983"/>
      <c r="S123" s="2983"/>
      <c r="T123" s="1496"/>
      <c r="U123" s="1495">
        <f t="shared" si="19"/>
        <v>30000000</v>
      </c>
      <c r="V123" s="1495">
        <f t="shared" si="20"/>
        <v>5400000</v>
      </c>
      <c r="W123" s="1495"/>
      <c r="X123" s="1495">
        <f t="shared" si="22"/>
        <v>0</v>
      </c>
      <c r="Y123" s="1495">
        <f t="shared" si="23"/>
        <v>100</v>
      </c>
      <c r="Z123" s="1495">
        <f t="shared" si="24"/>
        <v>0</v>
      </c>
      <c r="AA123" s="1506">
        <f t="shared" si="25"/>
        <v>0</v>
      </c>
      <c r="AB123" s="2441"/>
      <c r="AC123" s="1504">
        <f t="shared" si="26"/>
        <v>0</v>
      </c>
      <c r="AD123" s="1503">
        <f t="shared" si="27"/>
        <v>0</v>
      </c>
      <c r="AE123" s="1503">
        <f t="shared" si="28"/>
        <v>0</v>
      </c>
      <c r="AF123" s="1502">
        <f t="shared" si="29"/>
        <v>0</v>
      </c>
    </row>
    <row r="124" spans="1:32" s="1474" customFormat="1" ht="23.25" customHeight="1">
      <c r="A124" s="1501">
        <v>59</v>
      </c>
      <c r="B124" s="1496" t="s">
        <v>2025</v>
      </c>
      <c r="C124" s="1499" t="s">
        <v>2537</v>
      </c>
      <c r="D124" s="1499">
        <v>14</v>
      </c>
      <c r="E124" s="1496">
        <v>36000000</v>
      </c>
      <c r="F124" s="1512">
        <f t="shared" si="16"/>
        <v>6480000</v>
      </c>
      <c r="G124" s="2990">
        <v>41778</v>
      </c>
      <c r="H124" s="1500">
        <v>0.18</v>
      </c>
      <c r="I124" s="1499">
        <v>12</v>
      </c>
      <c r="J124" s="1499">
        <v>12</v>
      </c>
      <c r="K124" s="1499">
        <f>E124/I124</f>
        <v>3000000</v>
      </c>
      <c r="L124" s="1499">
        <f t="shared" si="32"/>
        <v>540000</v>
      </c>
      <c r="M124" s="1510">
        <f t="shared" si="17"/>
        <v>36000000</v>
      </c>
      <c r="N124" s="1510">
        <f t="shared" si="18"/>
        <v>6480000</v>
      </c>
      <c r="O124" s="1497">
        <v>36000000</v>
      </c>
      <c r="P124" s="1497">
        <v>6480000</v>
      </c>
      <c r="Q124" s="1497"/>
      <c r="R124" s="2983"/>
      <c r="S124" s="2983"/>
      <c r="T124" s="1496"/>
      <c r="U124" s="1495">
        <f t="shared" si="19"/>
        <v>36000000</v>
      </c>
      <c r="V124" s="1495">
        <f t="shared" si="20"/>
        <v>6480000</v>
      </c>
      <c r="W124" s="1495"/>
      <c r="X124" s="1495">
        <f t="shared" si="22"/>
        <v>0</v>
      </c>
      <c r="Y124" s="1495">
        <f t="shared" si="23"/>
        <v>100</v>
      </c>
      <c r="Z124" s="1495">
        <f t="shared" si="24"/>
        <v>0</v>
      </c>
      <c r="AA124" s="1506">
        <f t="shared" si="25"/>
        <v>0</v>
      </c>
      <c r="AB124" s="2441"/>
      <c r="AC124" s="1504">
        <f t="shared" si="26"/>
        <v>0</v>
      </c>
      <c r="AD124" s="1503">
        <f t="shared" si="27"/>
        <v>0</v>
      </c>
      <c r="AE124" s="1503">
        <f t="shared" si="28"/>
        <v>0</v>
      </c>
      <c r="AF124" s="1502">
        <f t="shared" si="29"/>
        <v>0</v>
      </c>
    </row>
    <row r="125" spans="1:32" s="1474" customFormat="1" ht="23.25" customHeight="1">
      <c r="A125" s="1501">
        <v>60</v>
      </c>
      <c r="B125" s="1496" t="s">
        <v>2026</v>
      </c>
      <c r="C125" s="1499" t="s">
        <v>2537</v>
      </c>
      <c r="D125" s="1499">
        <v>10</v>
      </c>
      <c r="E125" s="1496">
        <v>30000000</v>
      </c>
      <c r="F125" s="1512">
        <f t="shared" si="16"/>
        <v>5400000</v>
      </c>
      <c r="G125" s="2990">
        <v>41806</v>
      </c>
      <c r="H125" s="1500">
        <v>0.18</v>
      </c>
      <c r="I125" s="1499">
        <v>12</v>
      </c>
      <c r="J125" s="1499">
        <v>12</v>
      </c>
      <c r="K125" s="1499">
        <f>E125/I125</f>
        <v>2500000</v>
      </c>
      <c r="L125" s="1499">
        <f t="shared" si="32"/>
        <v>450000</v>
      </c>
      <c r="M125" s="1510">
        <f t="shared" si="17"/>
        <v>30000000</v>
      </c>
      <c r="N125" s="1510">
        <f t="shared" si="18"/>
        <v>5400000</v>
      </c>
      <c r="O125" s="1497">
        <v>21795000</v>
      </c>
      <c r="P125" s="1497">
        <v>4050000</v>
      </c>
      <c r="Q125" s="1497"/>
      <c r="R125" s="1497"/>
      <c r="S125" s="1497"/>
      <c r="T125" s="1496"/>
      <c r="U125" s="1495">
        <f t="shared" si="19"/>
        <v>21795000</v>
      </c>
      <c r="V125" s="1495">
        <f t="shared" si="20"/>
        <v>4050000</v>
      </c>
      <c r="W125" s="1495"/>
      <c r="X125" s="1495">
        <f t="shared" si="22"/>
        <v>8205000</v>
      </c>
      <c r="Y125" s="1495">
        <f t="shared" si="23"/>
        <v>72.650000000000006</v>
      </c>
      <c r="Z125" s="1495">
        <f t="shared" si="24"/>
        <v>8205000</v>
      </c>
      <c r="AA125" s="1506">
        <f t="shared" si="25"/>
        <v>1350000</v>
      </c>
      <c r="AB125" s="2441">
        <v>5</v>
      </c>
      <c r="AC125" s="1504">
        <f t="shared" si="26"/>
        <v>0</v>
      </c>
      <c r="AD125" s="1503">
        <f t="shared" si="27"/>
        <v>0</v>
      </c>
      <c r="AE125" s="1503">
        <f t="shared" si="28"/>
        <v>8205000</v>
      </c>
      <c r="AF125" s="1502">
        <f t="shared" si="29"/>
        <v>0</v>
      </c>
    </row>
    <row r="126" spans="1:32" s="1474" customFormat="1" ht="23.25" customHeight="1">
      <c r="A126" s="1501">
        <v>61</v>
      </c>
      <c r="B126" s="1496" t="s">
        <v>2416</v>
      </c>
      <c r="C126" s="1499" t="s">
        <v>2563</v>
      </c>
      <c r="D126" s="1499">
        <v>8</v>
      </c>
      <c r="E126" s="1496">
        <v>15000000</v>
      </c>
      <c r="F126" s="1512">
        <f t="shared" si="16"/>
        <v>2700000</v>
      </c>
      <c r="G126" s="2990">
        <v>41834</v>
      </c>
      <c r="H126" s="1500">
        <v>0.18</v>
      </c>
      <c r="I126" s="1499">
        <v>12</v>
      </c>
      <c r="J126" s="1499">
        <v>12</v>
      </c>
      <c r="K126" s="1499">
        <f>E126/I126</f>
        <v>1250000</v>
      </c>
      <c r="L126" s="1499">
        <f t="shared" si="32"/>
        <v>225000</v>
      </c>
      <c r="M126" s="1510">
        <f t="shared" si="17"/>
        <v>15000000</v>
      </c>
      <c r="N126" s="1510">
        <f t="shared" si="18"/>
        <v>2700000</v>
      </c>
      <c r="O126" s="1497">
        <v>15000000</v>
      </c>
      <c r="P126" s="1497">
        <v>2700000</v>
      </c>
      <c r="Q126" s="1497"/>
      <c r="R126" s="2983"/>
      <c r="S126" s="2983"/>
      <c r="T126" s="1496"/>
      <c r="U126" s="1495">
        <f t="shared" si="19"/>
        <v>15000000</v>
      </c>
      <c r="V126" s="1495">
        <f t="shared" si="20"/>
        <v>2700000</v>
      </c>
      <c r="W126" s="1495"/>
      <c r="X126" s="1495">
        <f t="shared" si="22"/>
        <v>0</v>
      </c>
      <c r="Y126" s="1495">
        <f t="shared" si="23"/>
        <v>100</v>
      </c>
      <c r="Z126" s="1495">
        <f t="shared" si="24"/>
        <v>0</v>
      </c>
      <c r="AA126" s="1506">
        <f t="shared" si="25"/>
        <v>0</v>
      </c>
      <c r="AB126" s="2441"/>
      <c r="AC126" s="1504">
        <f t="shared" si="26"/>
        <v>0</v>
      </c>
      <c r="AD126" s="1503">
        <f t="shared" si="27"/>
        <v>0</v>
      </c>
      <c r="AE126" s="1503">
        <f t="shared" si="28"/>
        <v>0</v>
      </c>
      <c r="AF126" s="1502">
        <f t="shared" si="29"/>
        <v>0</v>
      </c>
    </row>
    <row r="127" spans="1:32" s="1474" customFormat="1" ht="23.25" customHeight="1">
      <c r="A127" s="1501">
        <v>62</v>
      </c>
      <c r="B127" s="1496" t="s">
        <v>2319</v>
      </c>
      <c r="C127" s="1499" t="s">
        <v>2563</v>
      </c>
      <c r="D127" s="1499">
        <v>10</v>
      </c>
      <c r="E127" s="1496">
        <v>20000000</v>
      </c>
      <c r="F127" s="1512">
        <f t="shared" si="16"/>
        <v>3600000</v>
      </c>
      <c r="G127" s="2990">
        <v>41828</v>
      </c>
      <c r="H127" s="1500">
        <v>0.18</v>
      </c>
      <c r="I127" s="1499">
        <v>12</v>
      </c>
      <c r="J127" s="1499">
        <v>12</v>
      </c>
      <c r="K127" s="1499">
        <v>1666700</v>
      </c>
      <c r="L127" s="1499">
        <f t="shared" si="32"/>
        <v>300000</v>
      </c>
      <c r="M127" s="1510">
        <f t="shared" si="17"/>
        <v>20000000</v>
      </c>
      <c r="N127" s="1510">
        <f t="shared" si="18"/>
        <v>3600000</v>
      </c>
      <c r="O127" s="1497">
        <v>20000000</v>
      </c>
      <c r="P127" s="1497">
        <v>3600000</v>
      </c>
      <c r="Q127" s="1497"/>
      <c r="R127" s="2983"/>
      <c r="S127" s="2983"/>
      <c r="T127" s="1496"/>
      <c r="U127" s="1495">
        <f t="shared" si="19"/>
        <v>20000000</v>
      </c>
      <c r="V127" s="1495">
        <f t="shared" si="20"/>
        <v>3600000</v>
      </c>
      <c r="W127" s="1495"/>
      <c r="X127" s="1495">
        <f t="shared" si="22"/>
        <v>0</v>
      </c>
      <c r="Y127" s="1495">
        <f t="shared" si="23"/>
        <v>100</v>
      </c>
      <c r="Z127" s="1495">
        <f t="shared" si="24"/>
        <v>0</v>
      </c>
      <c r="AA127" s="1506">
        <f t="shared" si="25"/>
        <v>0</v>
      </c>
      <c r="AB127" s="2441"/>
      <c r="AC127" s="1504">
        <f t="shared" si="26"/>
        <v>0</v>
      </c>
      <c r="AD127" s="1503">
        <f t="shared" si="27"/>
        <v>0</v>
      </c>
      <c r="AE127" s="1503">
        <f t="shared" si="28"/>
        <v>0</v>
      </c>
      <c r="AF127" s="1502">
        <f t="shared" si="29"/>
        <v>0</v>
      </c>
    </row>
    <row r="128" spans="1:32" s="1474" customFormat="1" ht="23.25" customHeight="1">
      <c r="A128" s="1501">
        <v>63</v>
      </c>
      <c r="B128" s="1496" t="s">
        <v>2415</v>
      </c>
      <c r="C128" s="1499" t="s">
        <v>2563</v>
      </c>
      <c r="D128" s="1499">
        <v>10</v>
      </c>
      <c r="E128" s="1496">
        <v>14000000</v>
      </c>
      <c r="F128" s="1512">
        <f t="shared" si="16"/>
        <v>2520000</v>
      </c>
      <c r="G128" s="2990">
        <v>41827</v>
      </c>
      <c r="H128" s="1500">
        <v>0.18</v>
      </c>
      <c r="I128" s="1499">
        <v>12</v>
      </c>
      <c r="J128" s="1499">
        <v>12</v>
      </c>
      <c r="K128" s="1499">
        <v>1166700</v>
      </c>
      <c r="L128" s="1499">
        <f t="shared" si="32"/>
        <v>210000</v>
      </c>
      <c r="M128" s="1510">
        <f t="shared" si="17"/>
        <v>14000000</v>
      </c>
      <c r="N128" s="1510">
        <f t="shared" si="18"/>
        <v>2520000</v>
      </c>
      <c r="O128" s="1497">
        <v>14000000</v>
      </c>
      <c r="P128" s="1497">
        <v>2520000</v>
      </c>
      <c r="Q128" s="1497"/>
      <c r="R128" s="2983"/>
      <c r="S128" s="2983"/>
      <c r="T128" s="1496"/>
      <c r="U128" s="1495">
        <f t="shared" si="19"/>
        <v>14000000</v>
      </c>
      <c r="V128" s="1495">
        <f t="shared" si="20"/>
        <v>2520000</v>
      </c>
      <c r="W128" s="1495"/>
      <c r="X128" s="1495">
        <f t="shared" si="22"/>
        <v>0</v>
      </c>
      <c r="Y128" s="1495">
        <f t="shared" si="23"/>
        <v>100</v>
      </c>
      <c r="Z128" s="1495">
        <f t="shared" si="24"/>
        <v>0</v>
      </c>
      <c r="AA128" s="1506">
        <f t="shared" si="25"/>
        <v>0</v>
      </c>
      <c r="AB128" s="2441"/>
      <c r="AC128" s="1504">
        <f t="shared" si="26"/>
        <v>0</v>
      </c>
      <c r="AD128" s="1503">
        <f t="shared" si="27"/>
        <v>0</v>
      </c>
      <c r="AE128" s="1503">
        <f t="shared" si="28"/>
        <v>0</v>
      </c>
      <c r="AF128" s="1502">
        <f t="shared" si="29"/>
        <v>0</v>
      </c>
    </row>
    <row r="129" spans="1:32" s="1474" customFormat="1" ht="23.25" customHeight="1">
      <c r="A129" s="1501">
        <v>64</v>
      </c>
      <c r="B129" s="1496" t="s">
        <v>2454</v>
      </c>
      <c r="C129" s="1499" t="s">
        <v>2563</v>
      </c>
      <c r="D129" s="1499">
        <v>10</v>
      </c>
      <c r="E129" s="1496">
        <v>30000000</v>
      </c>
      <c r="F129" s="1512">
        <f t="shared" si="16"/>
        <v>5400000</v>
      </c>
      <c r="G129" s="2990">
        <v>41871</v>
      </c>
      <c r="H129" s="1500">
        <v>0.18</v>
      </c>
      <c r="I129" s="1499">
        <v>12</v>
      </c>
      <c r="J129" s="1499">
        <v>12</v>
      </c>
      <c r="K129" s="1499">
        <v>2500000</v>
      </c>
      <c r="L129" s="1499">
        <f t="shared" si="32"/>
        <v>450000</v>
      </c>
      <c r="M129" s="1510">
        <f t="shared" si="17"/>
        <v>30000000</v>
      </c>
      <c r="N129" s="1510">
        <f>IF(J129&lt;I129,J129*L129,IF(J129&gt;=I129,F129))-1*L129</f>
        <v>4950000</v>
      </c>
      <c r="O129" s="1497">
        <v>30000000</v>
      </c>
      <c r="P129" s="1497">
        <v>4950000</v>
      </c>
      <c r="Q129" s="1497"/>
      <c r="R129" s="2983"/>
      <c r="S129" s="2983"/>
      <c r="T129" s="1496"/>
      <c r="U129" s="1495">
        <f t="shared" si="19"/>
        <v>30000000</v>
      </c>
      <c r="V129" s="1495">
        <f t="shared" si="20"/>
        <v>4950000</v>
      </c>
      <c r="W129" s="1495"/>
      <c r="X129" s="1495">
        <f t="shared" si="22"/>
        <v>0</v>
      </c>
      <c r="Y129" s="1495">
        <f t="shared" si="23"/>
        <v>100</v>
      </c>
      <c r="Z129" s="1495">
        <f t="shared" si="24"/>
        <v>0</v>
      </c>
      <c r="AA129" s="1506">
        <f t="shared" si="25"/>
        <v>0</v>
      </c>
      <c r="AB129" s="2441"/>
      <c r="AC129" s="1504">
        <f t="shared" si="26"/>
        <v>0</v>
      </c>
      <c r="AD129" s="1503">
        <f t="shared" si="27"/>
        <v>0</v>
      </c>
      <c r="AE129" s="1503">
        <f t="shared" si="28"/>
        <v>0</v>
      </c>
      <c r="AF129" s="1502">
        <f t="shared" si="29"/>
        <v>0</v>
      </c>
    </row>
    <row r="130" spans="1:32" s="1474" customFormat="1" ht="23.25" customHeight="1">
      <c r="A130" s="1501">
        <v>65</v>
      </c>
      <c r="B130" s="1496" t="s">
        <v>1898</v>
      </c>
      <c r="C130" s="1499" t="s">
        <v>2582</v>
      </c>
      <c r="D130" s="1499">
        <v>12</v>
      </c>
      <c r="E130" s="1496">
        <v>45000000</v>
      </c>
      <c r="F130" s="1512">
        <f t="shared" si="16"/>
        <v>8100000</v>
      </c>
      <c r="G130" s="2990" t="s">
        <v>2596</v>
      </c>
      <c r="H130" s="1500">
        <v>0.18</v>
      </c>
      <c r="I130" s="1499">
        <v>12</v>
      </c>
      <c r="J130" s="1499">
        <v>12</v>
      </c>
      <c r="K130" s="1499">
        <f t="shared" ref="K130:K137" si="34">E130/I130</f>
        <v>3750000</v>
      </c>
      <c r="L130" s="1499">
        <f t="shared" si="32"/>
        <v>675000</v>
      </c>
      <c r="M130" s="1510">
        <f t="shared" si="17"/>
        <v>45000000</v>
      </c>
      <c r="N130" s="1510">
        <f t="shared" si="18"/>
        <v>8100000</v>
      </c>
      <c r="O130" s="1497">
        <v>45000000</v>
      </c>
      <c r="P130" s="1497">
        <v>8100000</v>
      </c>
      <c r="Q130" s="1497"/>
      <c r="R130" s="1497"/>
      <c r="S130" s="1497"/>
      <c r="T130" s="1496"/>
      <c r="U130" s="1495">
        <f t="shared" si="19"/>
        <v>45000000</v>
      </c>
      <c r="V130" s="1495">
        <f t="shared" si="20"/>
        <v>8100000</v>
      </c>
      <c r="W130" s="1495"/>
      <c r="X130" s="1495">
        <f t="shared" si="22"/>
        <v>0</v>
      </c>
      <c r="Y130" s="1495">
        <f t="shared" si="23"/>
        <v>100</v>
      </c>
      <c r="Z130" s="1495">
        <f t="shared" si="24"/>
        <v>0</v>
      </c>
      <c r="AA130" s="1506">
        <f t="shared" si="25"/>
        <v>0</v>
      </c>
      <c r="AB130" s="2441"/>
      <c r="AC130" s="1504">
        <f t="shared" si="26"/>
        <v>0</v>
      </c>
      <c r="AD130" s="1503">
        <f t="shared" si="27"/>
        <v>0</v>
      </c>
      <c r="AE130" s="1503">
        <f t="shared" si="28"/>
        <v>0</v>
      </c>
      <c r="AF130" s="1502">
        <f t="shared" si="29"/>
        <v>0</v>
      </c>
    </row>
    <row r="131" spans="1:32" s="1474" customFormat="1" ht="23.25" customHeight="1">
      <c r="A131" s="1501">
        <v>66</v>
      </c>
      <c r="B131" s="1496" t="s">
        <v>2021</v>
      </c>
      <c r="C131" s="1499" t="s">
        <v>2582</v>
      </c>
      <c r="D131" s="1499">
        <v>12</v>
      </c>
      <c r="E131" s="1496">
        <v>45000000</v>
      </c>
      <c r="F131" s="1512">
        <f t="shared" si="16"/>
        <v>8100000</v>
      </c>
      <c r="G131" s="2990" t="s">
        <v>2599</v>
      </c>
      <c r="H131" s="1500">
        <v>0.18</v>
      </c>
      <c r="I131" s="1499">
        <v>12</v>
      </c>
      <c r="J131" s="1499">
        <v>12</v>
      </c>
      <c r="K131" s="1499">
        <f t="shared" si="34"/>
        <v>3750000</v>
      </c>
      <c r="L131" s="1499">
        <f t="shared" si="32"/>
        <v>675000</v>
      </c>
      <c r="M131" s="1510">
        <f t="shared" si="17"/>
        <v>45000000</v>
      </c>
      <c r="N131" s="1510">
        <f t="shared" si="18"/>
        <v>8100000</v>
      </c>
      <c r="O131" s="1497">
        <v>45000000</v>
      </c>
      <c r="P131" s="1497">
        <v>8100000</v>
      </c>
      <c r="Q131" s="1497"/>
      <c r="R131" s="1497"/>
      <c r="S131" s="1497"/>
      <c r="T131" s="1496"/>
      <c r="U131" s="1495">
        <f t="shared" si="19"/>
        <v>45000000</v>
      </c>
      <c r="V131" s="1495">
        <f t="shared" si="20"/>
        <v>8100000</v>
      </c>
      <c r="W131" s="1495"/>
      <c r="X131" s="1495">
        <f t="shared" si="22"/>
        <v>0</v>
      </c>
      <c r="Y131" s="1495">
        <f t="shared" si="23"/>
        <v>100</v>
      </c>
      <c r="Z131" s="1495">
        <f t="shared" si="24"/>
        <v>0</v>
      </c>
      <c r="AA131" s="1506">
        <f t="shared" si="25"/>
        <v>0</v>
      </c>
      <c r="AB131" s="2441"/>
      <c r="AC131" s="1504">
        <f t="shared" si="26"/>
        <v>0</v>
      </c>
      <c r="AD131" s="1503">
        <f t="shared" si="27"/>
        <v>0</v>
      </c>
      <c r="AE131" s="1503">
        <f t="shared" si="28"/>
        <v>0</v>
      </c>
      <c r="AF131" s="1502">
        <f t="shared" si="29"/>
        <v>0</v>
      </c>
    </row>
    <row r="132" spans="1:32" s="1474" customFormat="1" ht="23.25" customHeight="1">
      <c r="A132" s="1501">
        <v>67</v>
      </c>
      <c r="B132" s="1496" t="s">
        <v>2022</v>
      </c>
      <c r="C132" s="1499" t="s">
        <v>2582</v>
      </c>
      <c r="D132" s="1499">
        <v>10</v>
      </c>
      <c r="E132" s="1496">
        <v>20000000</v>
      </c>
      <c r="F132" s="1512">
        <f t="shared" si="16"/>
        <v>3600000</v>
      </c>
      <c r="G132" s="2990"/>
      <c r="H132" s="1500">
        <v>0.18</v>
      </c>
      <c r="I132" s="1499">
        <v>12</v>
      </c>
      <c r="J132" s="1499">
        <v>12</v>
      </c>
      <c r="K132" s="1499">
        <v>1666700</v>
      </c>
      <c r="L132" s="1499">
        <f t="shared" si="32"/>
        <v>300000</v>
      </c>
      <c r="M132" s="1510">
        <f t="shared" si="17"/>
        <v>20000000</v>
      </c>
      <c r="N132" s="1510">
        <f t="shared" si="18"/>
        <v>3600000</v>
      </c>
      <c r="O132" s="1497">
        <v>20000000</v>
      </c>
      <c r="P132" s="1497">
        <v>3600000</v>
      </c>
      <c r="Q132" s="1497"/>
      <c r="R132" s="1497"/>
      <c r="S132" s="1497"/>
      <c r="T132" s="1496"/>
      <c r="U132" s="1495">
        <f t="shared" si="19"/>
        <v>20000000</v>
      </c>
      <c r="V132" s="1495">
        <f t="shared" si="20"/>
        <v>3600000</v>
      </c>
      <c r="W132" s="1495"/>
      <c r="X132" s="1495">
        <f t="shared" si="22"/>
        <v>0</v>
      </c>
      <c r="Y132" s="1495">
        <f t="shared" si="23"/>
        <v>100</v>
      </c>
      <c r="Z132" s="1495">
        <f t="shared" si="24"/>
        <v>0</v>
      </c>
      <c r="AA132" s="1506">
        <f t="shared" si="25"/>
        <v>0</v>
      </c>
      <c r="AB132" s="2441"/>
      <c r="AC132" s="1504">
        <f t="shared" si="26"/>
        <v>0</v>
      </c>
      <c r="AD132" s="1503">
        <f t="shared" si="27"/>
        <v>0</v>
      </c>
      <c r="AE132" s="1503">
        <f t="shared" si="28"/>
        <v>0</v>
      </c>
      <c r="AF132" s="1502">
        <f t="shared" si="29"/>
        <v>0</v>
      </c>
    </row>
    <row r="133" spans="1:32" s="1474" customFormat="1" ht="23.25" customHeight="1">
      <c r="A133" s="1501">
        <v>68</v>
      </c>
      <c r="B133" s="1496" t="s">
        <v>2237</v>
      </c>
      <c r="C133" s="1499" t="s">
        <v>2615</v>
      </c>
      <c r="D133" s="1499">
        <v>10</v>
      </c>
      <c r="E133" s="1496">
        <v>26000000</v>
      </c>
      <c r="F133" s="1512">
        <f t="shared" si="16"/>
        <v>4680000</v>
      </c>
      <c r="G133" s="2990">
        <v>41984</v>
      </c>
      <c r="H133" s="1500">
        <v>0.18</v>
      </c>
      <c r="I133" s="1499">
        <v>12</v>
      </c>
      <c r="J133" s="1499">
        <v>12</v>
      </c>
      <c r="K133" s="1499">
        <v>2166700</v>
      </c>
      <c r="L133" s="1499">
        <f t="shared" si="32"/>
        <v>390000</v>
      </c>
      <c r="M133" s="1510">
        <f t="shared" si="17"/>
        <v>26000000</v>
      </c>
      <c r="N133" s="1510">
        <f t="shared" si="18"/>
        <v>4680000</v>
      </c>
      <c r="O133" s="1497">
        <v>26000000</v>
      </c>
      <c r="P133" s="1497">
        <v>4680000</v>
      </c>
      <c r="Q133" s="1497"/>
      <c r="R133" s="1497"/>
      <c r="S133" s="1497"/>
      <c r="T133" s="1496"/>
      <c r="U133" s="1495">
        <f t="shared" si="19"/>
        <v>26000000</v>
      </c>
      <c r="V133" s="1495">
        <f t="shared" si="20"/>
        <v>4680000</v>
      </c>
      <c r="W133" s="1495"/>
      <c r="X133" s="1495">
        <f t="shared" si="22"/>
        <v>0</v>
      </c>
      <c r="Y133" s="1495">
        <f t="shared" si="23"/>
        <v>100</v>
      </c>
      <c r="Z133" s="1495">
        <f t="shared" si="24"/>
        <v>0</v>
      </c>
      <c r="AA133" s="1506">
        <f t="shared" si="25"/>
        <v>0</v>
      </c>
      <c r="AB133" s="2441"/>
      <c r="AC133" s="1504">
        <f t="shared" si="26"/>
        <v>0</v>
      </c>
      <c r="AD133" s="1503">
        <f t="shared" si="27"/>
        <v>0</v>
      </c>
      <c r="AE133" s="1503">
        <f t="shared" si="28"/>
        <v>0</v>
      </c>
      <c r="AF133" s="1502">
        <f t="shared" si="29"/>
        <v>0</v>
      </c>
    </row>
    <row r="134" spans="1:32" s="1474" customFormat="1" ht="23.25" customHeight="1">
      <c r="A134" s="1501">
        <v>69</v>
      </c>
      <c r="B134" s="1496" t="s">
        <v>2233</v>
      </c>
      <c r="C134" s="1499" t="s">
        <v>2615</v>
      </c>
      <c r="D134" s="1499">
        <v>10</v>
      </c>
      <c r="E134" s="1496">
        <v>16000000</v>
      </c>
      <c r="F134" s="1512">
        <f t="shared" si="16"/>
        <v>2880000</v>
      </c>
      <c r="G134" s="2990">
        <v>41991</v>
      </c>
      <c r="H134" s="1500">
        <v>0.18</v>
      </c>
      <c r="I134" s="1499">
        <v>12</v>
      </c>
      <c r="J134" s="1499">
        <v>12</v>
      </c>
      <c r="K134" s="1499">
        <v>1333300</v>
      </c>
      <c r="L134" s="1499">
        <f t="shared" si="32"/>
        <v>240000</v>
      </c>
      <c r="M134" s="1510">
        <f t="shared" si="17"/>
        <v>16000000</v>
      </c>
      <c r="N134" s="1510">
        <f t="shared" si="18"/>
        <v>2880000</v>
      </c>
      <c r="O134" s="1497">
        <v>16000000</v>
      </c>
      <c r="P134" s="1497">
        <v>2880000</v>
      </c>
      <c r="Q134" s="1497"/>
      <c r="R134" s="1497"/>
      <c r="S134" s="1497"/>
      <c r="T134" s="1496"/>
      <c r="U134" s="1495">
        <f t="shared" si="19"/>
        <v>16000000</v>
      </c>
      <c r="V134" s="1495">
        <f t="shared" si="20"/>
        <v>2880000</v>
      </c>
      <c r="W134" s="1495"/>
      <c r="X134" s="1495">
        <f t="shared" si="22"/>
        <v>0</v>
      </c>
      <c r="Y134" s="1495">
        <f t="shared" si="23"/>
        <v>100</v>
      </c>
      <c r="Z134" s="1495">
        <f t="shared" si="24"/>
        <v>0</v>
      </c>
      <c r="AA134" s="1506">
        <f t="shared" si="25"/>
        <v>0</v>
      </c>
      <c r="AB134" s="2441"/>
      <c r="AC134" s="1504">
        <f t="shared" si="26"/>
        <v>0</v>
      </c>
      <c r="AD134" s="1503">
        <f t="shared" si="27"/>
        <v>0</v>
      </c>
      <c r="AE134" s="1503">
        <f t="shared" si="28"/>
        <v>0</v>
      </c>
      <c r="AF134" s="1502">
        <f t="shared" si="29"/>
        <v>0</v>
      </c>
    </row>
    <row r="135" spans="1:32" s="1474" customFormat="1" ht="23.25" customHeight="1">
      <c r="A135" s="1501">
        <v>70</v>
      </c>
      <c r="B135" s="1496" t="s">
        <v>2620</v>
      </c>
      <c r="C135" s="1499" t="s">
        <v>2615</v>
      </c>
      <c r="D135" s="1499">
        <v>15</v>
      </c>
      <c r="E135" s="1496">
        <v>35000000</v>
      </c>
      <c r="F135" s="1512">
        <f t="shared" si="16"/>
        <v>6300000</v>
      </c>
      <c r="G135" s="2990">
        <v>41988</v>
      </c>
      <c r="H135" s="1500">
        <v>0.18</v>
      </c>
      <c r="I135" s="1499">
        <v>12</v>
      </c>
      <c r="J135" s="1499">
        <v>12</v>
      </c>
      <c r="K135" s="1499">
        <v>2916700</v>
      </c>
      <c r="L135" s="1499">
        <f t="shared" si="32"/>
        <v>525000</v>
      </c>
      <c r="M135" s="1510">
        <f t="shared" si="17"/>
        <v>35000000</v>
      </c>
      <c r="N135" s="1510">
        <f>IF(J135&lt;I135,J135*L135,IF(J135&gt;=I135,F135))-1*L135</f>
        <v>5775000</v>
      </c>
      <c r="O135" s="1497">
        <v>35000000</v>
      </c>
      <c r="P135" s="1497">
        <v>5775000</v>
      </c>
      <c r="Q135" s="1497"/>
      <c r="R135" s="1497"/>
      <c r="S135" s="1497"/>
      <c r="T135" s="1496"/>
      <c r="U135" s="1495">
        <f t="shared" si="19"/>
        <v>35000000</v>
      </c>
      <c r="V135" s="1495">
        <f t="shared" si="20"/>
        <v>5775000</v>
      </c>
      <c r="W135" s="1495"/>
      <c r="X135" s="1495">
        <f t="shared" si="22"/>
        <v>0</v>
      </c>
      <c r="Y135" s="1495">
        <f t="shared" si="23"/>
        <v>100</v>
      </c>
      <c r="Z135" s="1495">
        <f t="shared" si="24"/>
        <v>0</v>
      </c>
      <c r="AA135" s="1506">
        <f t="shared" si="25"/>
        <v>0</v>
      </c>
      <c r="AB135" s="2441"/>
      <c r="AC135" s="1504">
        <f t="shared" si="26"/>
        <v>0</v>
      </c>
      <c r="AD135" s="1503">
        <f t="shared" si="27"/>
        <v>0</v>
      </c>
      <c r="AE135" s="1503">
        <f t="shared" si="28"/>
        <v>0</v>
      </c>
      <c r="AF135" s="1502">
        <f t="shared" si="29"/>
        <v>0</v>
      </c>
    </row>
    <row r="136" spans="1:32" s="1474" customFormat="1" ht="23.25" customHeight="1">
      <c r="A136" s="1501">
        <v>71</v>
      </c>
      <c r="B136" s="1496" t="s">
        <v>2018</v>
      </c>
      <c r="C136" s="1499" t="s">
        <v>2615</v>
      </c>
      <c r="D136" s="1499">
        <v>12</v>
      </c>
      <c r="E136" s="1496">
        <v>35000000</v>
      </c>
      <c r="F136" s="1512">
        <f t="shared" si="16"/>
        <v>6300000</v>
      </c>
      <c r="G136" s="2990">
        <v>42055</v>
      </c>
      <c r="H136" s="1500">
        <v>0.18</v>
      </c>
      <c r="I136" s="1499">
        <v>12</v>
      </c>
      <c r="J136" s="1499">
        <v>12</v>
      </c>
      <c r="K136" s="1499">
        <v>2916700</v>
      </c>
      <c r="L136" s="1499">
        <f t="shared" si="32"/>
        <v>525000</v>
      </c>
      <c r="M136" s="1510">
        <f t="shared" si="17"/>
        <v>35000000</v>
      </c>
      <c r="N136" s="1510">
        <f>IF(J136&lt;I136,J136*L136,IF(J136&gt;=I136,F136))-1*L136</f>
        <v>5775000</v>
      </c>
      <c r="O136" s="1497">
        <v>35000000</v>
      </c>
      <c r="P136" s="1497">
        <v>5775000</v>
      </c>
      <c r="Q136" s="1497"/>
      <c r="R136" s="1497"/>
      <c r="S136" s="1497"/>
      <c r="T136" s="1496"/>
      <c r="U136" s="1495">
        <f t="shared" si="19"/>
        <v>35000000</v>
      </c>
      <c r="V136" s="1495">
        <f t="shared" si="20"/>
        <v>5775000</v>
      </c>
      <c r="W136" s="1495"/>
      <c r="X136" s="1495">
        <f t="shared" si="22"/>
        <v>0</v>
      </c>
      <c r="Y136" s="1495">
        <f t="shared" si="23"/>
        <v>100</v>
      </c>
      <c r="Z136" s="1495">
        <f t="shared" si="24"/>
        <v>0</v>
      </c>
      <c r="AA136" s="1506">
        <f t="shared" si="25"/>
        <v>0</v>
      </c>
      <c r="AB136" s="2441"/>
      <c r="AC136" s="1504">
        <f t="shared" si="26"/>
        <v>0</v>
      </c>
      <c r="AD136" s="1503">
        <f t="shared" si="27"/>
        <v>0</v>
      </c>
      <c r="AE136" s="1503">
        <f t="shared" si="28"/>
        <v>0</v>
      </c>
      <c r="AF136" s="1502">
        <f t="shared" si="29"/>
        <v>0</v>
      </c>
    </row>
    <row r="137" spans="1:32" s="1474" customFormat="1" ht="23.25" customHeight="1">
      <c r="A137" s="1501">
        <v>72</v>
      </c>
      <c r="B137" s="1496" t="s">
        <v>2119</v>
      </c>
      <c r="C137" s="1499" t="s">
        <v>2615</v>
      </c>
      <c r="D137" s="1499">
        <v>10</v>
      </c>
      <c r="E137" s="1496">
        <v>15000000</v>
      </c>
      <c r="F137" s="1512">
        <f t="shared" si="16"/>
        <v>2700000</v>
      </c>
      <c r="G137" s="2990">
        <v>42069</v>
      </c>
      <c r="H137" s="1500">
        <v>0.18</v>
      </c>
      <c r="I137" s="1499">
        <v>12</v>
      </c>
      <c r="J137" s="1499">
        <v>12</v>
      </c>
      <c r="K137" s="1499">
        <f t="shared" si="34"/>
        <v>1250000</v>
      </c>
      <c r="L137" s="1499">
        <f t="shared" si="32"/>
        <v>225000</v>
      </c>
      <c r="M137" s="1510">
        <f t="shared" si="17"/>
        <v>15000000</v>
      </c>
      <c r="N137" s="1510">
        <f t="shared" si="18"/>
        <v>2700000</v>
      </c>
      <c r="O137" s="1497">
        <v>12500000</v>
      </c>
      <c r="P137" s="1497">
        <v>2250000</v>
      </c>
      <c r="Q137" s="1497"/>
      <c r="R137" s="3144">
        <v>2500000</v>
      </c>
      <c r="S137" s="3144">
        <v>225000</v>
      </c>
      <c r="T137" s="1496"/>
      <c r="U137" s="1495">
        <f t="shared" si="19"/>
        <v>15000000</v>
      </c>
      <c r="V137" s="1495">
        <f t="shared" si="20"/>
        <v>2475000</v>
      </c>
      <c r="W137" s="1495"/>
      <c r="X137" s="1495">
        <f t="shared" si="22"/>
        <v>0</v>
      </c>
      <c r="Y137" s="1495">
        <f t="shared" si="23"/>
        <v>100</v>
      </c>
      <c r="Z137" s="1495">
        <f t="shared" si="24"/>
        <v>0</v>
      </c>
      <c r="AA137" s="1506">
        <f t="shared" si="25"/>
        <v>225000</v>
      </c>
      <c r="AB137" s="2441"/>
      <c r="AC137" s="1504">
        <f t="shared" si="26"/>
        <v>0</v>
      </c>
      <c r="AD137" s="1503">
        <f t="shared" si="27"/>
        <v>0</v>
      </c>
      <c r="AE137" s="1503">
        <f t="shared" si="28"/>
        <v>0</v>
      </c>
      <c r="AF137" s="1502">
        <f t="shared" si="29"/>
        <v>0</v>
      </c>
    </row>
    <row r="138" spans="1:32" s="1474" customFormat="1" ht="23.25" customHeight="1">
      <c r="A138" s="1501">
        <v>73</v>
      </c>
      <c r="B138" s="1496" t="s">
        <v>2028</v>
      </c>
      <c r="C138" s="1499" t="s">
        <v>2658</v>
      </c>
      <c r="D138" s="1499">
        <v>12</v>
      </c>
      <c r="E138" s="1496">
        <v>35000000</v>
      </c>
      <c r="F138" s="1512">
        <f t="shared" si="16"/>
        <v>6300000</v>
      </c>
      <c r="G138" s="2990">
        <v>42135</v>
      </c>
      <c r="H138" s="1500">
        <v>0.18</v>
      </c>
      <c r="I138" s="1499">
        <v>12</v>
      </c>
      <c r="J138" s="1499">
        <v>9</v>
      </c>
      <c r="K138" s="1499">
        <v>2916700</v>
      </c>
      <c r="L138" s="1499">
        <f t="shared" si="32"/>
        <v>525000</v>
      </c>
      <c r="M138" s="1510">
        <f t="shared" si="17"/>
        <v>26250300</v>
      </c>
      <c r="N138" s="1510">
        <f t="shared" si="18"/>
        <v>4725000</v>
      </c>
      <c r="O138" s="1497">
        <v>23333600</v>
      </c>
      <c r="P138" s="1497">
        <v>4200000</v>
      </c>
      <c r="Q138" s="1497"/>
      <c r="R138" s="3144">
        <v>2916700</v>
      </c>
      <c r="S138" s="3144">
        <v>525000</v>
      </c>
      <c r="T138" s="1496"/>
      <c r="U138" s="1495">
        <f t="shared" si="19"/>
        <v>26250300</v>
      </c>
      <c r="V138" s="1495">
        <f t="shared" si="20"/>
        <v>4725000</v>
      </c>
      <c r="W138" s="1495"/>
      <c r="X138" s="1495">
        <f t="shared" si="22"/>
        <v>8749700</v>
      </c>
      <c r="Y138" s="1495">
        <f t="shared" si="23"/>
        <v>100</v>
      </c>
      <c r="Z138" s="1495">
        <f t="shared" si="24"/>
        <v>0</v>
      </c>
      <c r="AA138" s="1506">
        <f t="shared" si="25"/>
        <v>0</v>
      </c>
      <c r="AB138" s="2441"/>
      <c r="AC138" s="1504">
        <f t="shared" si="26"/>
        <v>0</v>
      </c>
      <c r="AD138" s="1503">
        <f t="shared" si="27"/>
        <v>0</v>
      </c>
      <c r="AE138" s="1503">
        <f t="shared" si="28"/>
        <v>0</v>
      </c>
      <c r="AF138" s="1502">
        <f t="shared" si="29"/>
        <v>0</v>
      </c>
    </row>
    <row r="139" spans="1:32" s="1474" customFormat="1" ht="23.25" customHeight="1">
      <c r="A139" s="1501">
        <v>74</v>
      </c>
      <c r="B139" s="1496" t="s">
        <v>2025</v>
      </c>
      <c r="C139" s="1499" t="s">
        <v>2658</v>
      </c>
      <c r="D139" s="1499">
        <v>12</v>
      </c>
      <c r="E139" s="1496">
        <v>48000000</v>
      </c>
      <c r="F139" s="1512">
        <f t="shared" si="16"/>
        <v>8640000</v>
      </c>
      <c r="G139" s="2990" t="s">
        <v>2671</v>
      </c>
      <c r="H139" s="1500">
        <v>0.18</v>
      </c>
      <c r="I139" s="1499">
        <v>12</v>
      </c>
      <c r="J139" s="1499">
        <v>8</v>
      </c>
      <c r="K139" s="1499">
        <f>E139/I139</f>
        <v>4000000</v>
      </c>
      <c r="L139" s="1499">
        <f t="shared" si="32"/>
        <v>720000</v>
      </c>
      <c r="M139" s="1510">
        <f t="shared" si="17"/>
        <v>32000000</v>
      </c>
      <c r="N139" s="1510">
        <f t="shared" si="18"/>
        <v>5760000</v>
      </c>
      <c r="O139" s="1497">
        <v>28000000</v>
      </c>
      <c r="P139" s="1497">
        <v>5040000</v>
      </c>
      <c r="Q139" s="1497"/>
      <c r="R139" s="3144">
        <v>4000000</v>
      </c>
      <c r="S139" s="3144">
        <v>720000</v>
      </c>
      <c r="T139" s="1496"/>
      <c r="U139" s="1495">
        <f t="shared" si="19"/>
        <v>32000000</v>
      </c>
      <c r="V139" s="1495">
        <f t="shared" si="20"/>
        <v>5760000</v>
      </c>
      <c r="W139" s="1495"/>
      <c r="X139" s="1495">
        <f t="shared" si="22"/>
        <v>16000000</v>
      </c>
      <c r="Y139" s="1495">
        <f t="shared" si="23"/>
        <v>100</v>
      </c>
      <c r="Z139" s="1495">
        <f t="shared" si="24"/>
        <v>0</v>
      </c>
      <c r="AA139" s="1506">
        <f t="shared" si="25"/>
        <v>0</v>
      </c>
      <c r="AB139" s="2441"/>
      <c r="AC139" s="1504">
        <f t="shared" si="26"/>
        <v>0</v>
      </c>
      <c r="AD139" s="1503">
        <f t="shared" si="27"/>
        <v>0</v>
      </c>
      <c r="AE139" s="1503">
        <f t="shared" si="28"/>
        <v>0</v>
      </c>
      <c r="AF139" s="1502">
        <f t="shared" si="29"/>
        <v>0</v>
      </c>
    </row>
    <row r="140" spans="1:32" s="1474" customFormat="1" ht="23.25" customHeight="1">
      <c r="A140" s="1501">
        <v>75</v>
      </c>
      <c r="B140" s="1496" t="s">
        <v>2019</v>
      </c>
      <c r="C140" s="1499" t="s">
        <v>2689</v>
      </c>
      <c r="D140" s="1499">
        <v>12</v>
      </c>
      <c r="E140" s="1496">
        <v>30000000</v>
      </c>
      <c r="F140" s="1512">
        <f t="shared" si="16"/>
        <v>5400000</v>
      </c>
      <c r="G140" s="2990">
        <v>42234</v>
      </c>
      <c r="H140" s="1500">
        <v>0.18</v>
      </c>
      <c r="I140" s="1499">
        <v>12</v>
      </c>
      <c r="J140" s="1499">
        <v>6</v>
      </c>
      <c r="K140" s="1499">
        <f>ROUND(E140/I140,-2)</f>
        <v>2500000</v>
      </c>
      <c r="L140" s="1499">
        <f t="shared" ref="L140:L145" si="35">F140/I140</f>
        <v>450000</v>
      </c>
      <c r="M140" s="1510">
        <f t="shared" si="17"/>
        <v>15000000</v>
      </c>
      <c r="N140" s="1510">
        <f t="shared" si="18"/>
        <v>2700000</v>
      </c>
      <c r="O140" s="1497">
        <v>9050000</v>
      </c>
      <c r="P140" s="1497">
        <v>1800000</v>
      </c>
      <c r="Q140" s="1497"/>
      <c r="R140" s="3144">
        <v>1250000</v>
      </c>
      <c r="S140" s="3144">
        <v>450000</v>
      </c>
      <c r="T140" s="1496"/>
      <c r="U140" s="1495">
        <f t="shared" si="19"/>
        <v>10300000</v>
      </c>
      <c r="V140" s="1495">
        <f t="shared" si="20"/>
        <v>2250000</v>
      </c>
      <c r="W140" s="1495"/>
      <c r="X140" s="1495">
        <f t="shared" si="22"/>
        <v>19700000</v>
      </c>
      <c r="Y140" s="1495">
        <f t="shared" si="23"/>
        <v>68.666666666666671</v>
      </c>
      <c r="Z140" s="1495">
        <f t="shared" si="24"/>
        <v>4700000</v>
      </c>
      <c r="AA140" s="1506">
        <f t="shared" si="25"/>
        <v>450000</v>
      </c>
      <c r="AB140" s="2441"/>
      <c r="AC140" s="1504">
        <f t="shared" si="26"/>
        <v>0</v>
      </c>
      <c r="AD140" s="1503">
        <f t="shared" si="27"/>
        <v>0</v>
      </c>
      <c r="AE140" s="1503">
        <f t="shared" si="28"/>
        <v>0</v>
      </c>
      <c r="AF140" s="1502">
        <f t="shared" si="29"/>
        <v>0</v>
      </c>
    </row>
    <row r="141" spans="1:32" s="1474" customFormat="1" ht="23.25" customHeight="1">
      <c r="A141" s="1501">
        <v>76</v>
      </c>
      <c r="B141" s="1496" t="s">
        <v>2415</v>
      </c>
      <c r="C141" s="1499" t="s">
        <v>2689</v>
      </c>
      <c r="D141" s="1499">
        <v>7</v>
      </c>
      <c r="E141" s="1496">
        <v>17500000</v>
      </c>
      <c r="F141" s="1512">
        <f t="shared" si="16"/>
        <v>3150000</v>
      </c>
      <c r="G141" s="2990">
        <v>42234</v>
      </c>
      <c r="H141" s="1500">
        <v>0.18</v>
      </c>
      <c r="I141" s="1499">
        <v>10</v>
      </c>
      <c r="J141" s="1499">
        <v>6</v>
      </c>
      <c r="K141" s="1499">
        <f t="shared" ref="K141:K145" si="36">ROUND(E141/I141,-2)</f>
        <v>1750000</v>
      </c>
      <c r="L141" s="1499">
        <f t="shared" si="35"/>
        <v>315000</v>
      </c>
      <c r="M141" s="1510">
        <f t="shared" si="17"/>
        <v>10500000</v>
      </c>
      <c r="N141" s="1510">
        <f t="shared" si="18"/>
        <v>1890000</v>
      </c>
      <c r="O141" s="1497">
        <v>8750000</v>
      </c>
      <c r="P141" s="1497">
        <v>1575000</v>
      </c>
      <c r="Q141" s="1497"/>
      <c r="R141" s="3144">
        <v>1750000</v>
      </c>
      <c r="S141" s="3144">
        <v>315000</v>
      </c>
      <c r="T141" s="1496"/>
      <c r="U141" s="1495">
        <f t="shared" si="19"/>
        <v>10500000</v>
      </c>
      <c r="V141" s="1495">
        <f t="shared" si="20"/>
        <v>1890000</v>
      </c>
      <c r="W141" s="1495"/>
      <c r="X141" s="1495">
        <f t="shared" si="22"/>
        <v>7000000</v>
      </c>
      <c r="Y141" s="1495">
        <f t="shared" si="23"/>
        <v>100</v>
      </c>
      <c r="Z141" s="1495">
        <f t="shared" si="24"/>
        <v>0</v>
      </c>
      <c r="AA141" s="1506">
        <f t="shared" si="25"/>
        <v>0</v>
      </c>
      <c r="AB141" s="2441"/>
      <c r="AC141" s="1504">
        <f t="shared" si="26"/>
        <v>0</v>
      </c>
      <c r="AD141" s="1503">
        <f t="shared" si="27"/>
        <v>0</v>
      </c>
      <c r="AE141" s="1503">
        <f t="shared" si="28"/>
        <v>0</v>
      </c>
      <c r="AF141" s="1502">
        <f t="shared" si="29"/>
        <v>0</v>
      </c>
    </row>
    <row r="142" spans="1:32" s="1474" customFormat="1" ht="23.25" customHeight="1">
      <c r="A142" s="1501">
        <v>77</v>
      </c>
      <c r="B142" s="1496" t="s">
        <v>2319</v>
      </c>
      <c r="C142" s="1499" t="s">
        <v>2689</v>
      </c>
      <c r="D142" s="1499">
        <v>11</v>
      </c>
      <c r="E142" s="1496">
        <v>27500000</v>
      </c>
      <c r="F142" s="1512">
        <f t="shared" si="16"/>
        <v>4950000</v>
      </c>
      <c r="G142" s="2990">
        <v>42234</v>
      </c>
      <c r="H142" s="1500">
        <v>0.18</v>
      </c>
      <c r="I142" s="1499">
        <v>12</v>
      </c>
      <c r="J142" s="1499">
        <v>6</v>
      </c>
      <c r="K142" s="1499">
        <f t="shared" si="36"/>
        <v>2291700</v>
      </c>
      <c r="L142" s="1499">
        <f t="shared" si="35"/>
        <v>412500</v>
      </c>
      <c r="M142" s="1510">
        <f t="shared" si="17"/>
        <v>13750200</v>
      </c>
      <c r="N142" s="1510">
        <f t="shared" si="18"/>
        <v>2475000</v>
      </c>
      <c r="O142" s="1497">
        <v>11458500</v>
      </c>
      <c r="P142" s="1497">
        <v>2062500</v>
      </c>
      <c r="Q142" s="1497"/>
      <c r="R142" s="3144">
        <v>2291700</v>
      </c>
      <c r="S142" s="3144">
        <v>412500</v>
      </c>
      <c r="T142" s="1496"/>
      <c r="U142" s="1495">
        <f t="shared" si="19"/>
        <v>13750200</v>
      </c>
      <c r="V142" s="1495">
        <f t="shared" si="20"/>
        <v>2475000</v>
      </c>
      <c r="W142" s="1495"/>
      <c r="X142" s="1495">
        <f t="shared" si="22"/>
        <v>13749800</v>
      </c>
      <c r="Y142" s="1495">
        <f t="shared" si="23"/>
        <v>100</v>
      </c>
      <c r="Z142" s="1495">
        <f t="shared" si="24"/>
        <v>0</v>
      </c>
      <c r="AA142" s="1506">
        <f t="shared" si="25"/>
        <v>0</v>
      </c>
      <c r="AB142" s="2441"/>
      <c r="AC142" s="1504">
        <f t="shared" si="26"/>
        <v>0</v>
      </c>
      <c r="AD142" s="1503">
        <f t="shared" si="27"/>
        <v>0</v>
      </c>
      <c r="AE142" s="1503">
        <f t="shared" si="28"/>
        <v>0</v>
      </c>
      <c r="AF142" s="1502">
        <f t="shared" si="29"/>
        <v>0</v>
      </c>
    </row>
    <row r="143" spans="1:32" s="1474" customFormat="1" ht="23.25" customHeight="1">
      <c r="A143" s="1501">
        <v>78</v>
      </c>
      <c r="B143" s="1496" t="s">
        <v>2691</v>
      </c>
      <c r="C143" s="1499" t="s">
        <v>2670</v>
      </c>
      <c r="D143" s="1499">
        <v>8</v>
      </c>
      <c r="E143" s="1496">
        <v>14000000</v>
      </c>
      <c r="F143" s="1512">
        <f t="shared" si="16"/>
        <v>2520000</v>
      </c>
      <c r="G143" s="2990">
        <v>42234</v>
      </c>
      <c r="H143" s="1500">
        <v>0.18</v>
      </c>
      <c r="I143" s="1499">
        <v>12</v>
      </c>
      <c r="J143" s="1499">
        <v>6</v>
      </c>
      <c r="K143" s="1499">
        <f t="shared" si="36"/>
        <v>1166700</v>
      </c>
      <c r="L143" s="1499">
        <f t="shared" si="35"/>
        <v>210000</v>
      </c>
      <c r="M143" s="1510">
        <f t="shared" si="17"/>
        <v>7000200</v>
      </c>
      <c r="N143" s="1510">
        <f t="shared" si="18"/>
        <v>1260000</v>
      </c>
      <c r="O143" s="1497">
        <v>5833500</v>
      </c>
      <c r="P143" s="1497">
        <v>1050000</v>
      </c>
      <c r="Q143" s="1497"/>
      <c r="R143" s="3144">
        <v>1166700</v>
      </c>
      <c r="S143" s="3144">
        <v>210000</v>
      </c>
      <c r="T143" s="1496"/>
      <c r="U143" s="1495">
        <f t="shared" si="19"/>
        <v>7000200</v>
      </c>
      <c r="V143" s="1495">
        <f t="shared" si="20"/>
        <v>1260000</v>
      </c>
      <c r="W143" s="1495"/>
      <c r="X143" s="1495">
        <f t="shared" si="22"/>
        <v>6999800</v>
      </c>
      <c r="Y143" s="1495">
        <f t="shared" si="23"/>
        <v>100</v>
      </c>
      <c r="Z143" s="1495">
        <f t="shared" si="24"/>
        <v>0</v>
      </c>
      <c r="AA143" s="1506">
        <f t="shared" si="25"/>
        <v>0</v>
      </c>
      <c r="AB143" s="2441"/>
      <c r="AC143" s="1504">
        <f t="shared" si="26"/>
        <v>0</v>
      </c>
      <c r="AD143" s="1503">
        <f t="shared" si="27"/>
        <v>0</v>
      </c>
      <c r="AE143" s="1503">
        <f t="shared" si="28"/>
        <v>0</v>
      </c>
      <c r="AF143" s="1502">
        <f t="shared" si="29"/>
        <v>0</v>
      </c>
    </row>
    <row r="144" spans="1:32" s="1474" customFormat="1" ht="23.25" customHeight="1">
      <c r="A144" s="1501">
        <v>79</v>
      </c>
      <c r="B144" s="1496" t="s">
        <v>2416</v>
      </c>
      <c r="C144" s="1499" t="s">
        <v>2689</v>
      </c>
      <c r="D144" s="1499">
        <v>10</v>
      </c>
      <c r="E144" s="1496">
        <v>15000000</v>
      </c>
      <c r="F144" s="1512">
        <f t="shared" si="16"/>
        <v>2700000</v>
      </c>
      <c r="G144" s="2990">
        <v>42251</v>
      </c>
      <c r="H144" s="1500">
        <v>0.18</v>
      </c>
      <c r="I144" s="1499">
        <v>12</v>
      </c>
      <c r="J144" s="1499">
        <v>5</v>
      </c>
      <c r="K144" s="1499">
        <f t="shared" si="36"/>
        <v>1250000</v>
      </c>
      <c r="L144" s="1499">
        <f t="shared" si="35"/>
        <v>225000</v>
      </c>
      <c r="M144" s="1510">
        <f t="shared" si="17"/>
        <v>6250000</v>
      </c>
      <c r="N144" s="1510">
        <f t="shared" si="18"/>
        <v>1125000</v>
      </c>
      <c r="O144" s="1497">
        <v>5000000</v>
      </c>
      <c r="P144" s="1497">
        <v>900000</v>
      </c>
      <c r="Q144" s="1497"/>
      <c r="R144" s="3144">
        <v>1250000</v>
      </c>
      <c r="S144" s="3144">
        <v>225000</v>
      </c>
      <c r="T144" s="1496"/>
      <c r="U144" s="1495">
        <f t="shared" si="19"/>
        <v>6250000</v>
      </c>
      <c r="V144" s="1495">
        <f t="shared" si="20"/>
        <v>1125000</v>
      </c>
      <c r="W144" s="1495"/>
      <c r="X144" s="1495">
        <f t="shared" si="22"/>
        <v>8750000</v>
      </c>
      <c r="Y144" s="1495">
        <f t="shared" si="23"/>
        <v>100</v>
      </c>
      <c r="Z144" s="1495">
        <f t="shared" si="24"/>
        <v>0</v>
      </c>
      <c r="AA144" s="1506">
        <f t="shared" si="25"/>
        <v>0</v>
      </c>
      <c r="AB144" s="2441"/>
      <c r="AC144" s="1504">
        <f t="shared" si="26"/>
        <v>0</v>
      </c>
      <c r="AD144" s="1503">
        <f t="shared" si="27"/>
        <v>0</v>
      </c>
      <c r="AE144" s="1503">
        <f t="shared" si="28"/>
        <v>0</v>
      </c>
      <c r="AF144" s="1502">
        <f t="shared" si="29"/>
        <v>0</v>
      </c>
    </row>
    <row r="145" spans="1:32" s="1474" customFormat="1" ht="23.25" customHeight="1">
      <c r="A145" s="1501">
        <v>80</v>
      </c>
      <c r="B145" s="1496" t="s">
        <v>2022</v>
      </c>
      <c r="C145" s="1499" t="s">
        <v>2689</v>
      </c>
      <c r="D145" s="1499">
        <v>10</v>
      </c>
      <c r="E145" s="1496">
        <v>25000000</v>
      </c>
      <c r="F145" s="1512">
        <f t="shared" si="16"/>
        <v>4500000</v>
      </c>
      <c r="G145" s="2990">
        <v>42313</v>
      </c>
      <c r="H145" s="1500">
        <v>0.18</v>
      </c>
      <c r="I145" s="1499">
        <v>12</v>
      </c>
      <c r="J145" s="1499">
        <v>3</v>
      </c>
      <c r="K145" s="1499">
        <f t="shared" si="36"/>
        <v>2083300</v>
      </c>
      <c r="L145" s="1499">
        <f t="shared" si="35"/>
        <v>375000</v>
      </c>
      <c r="M145" s="1510">
        <f t="shared" si="17"/>
        <v>6249900</v>
      </c>
      <c r="N145" s="1510">
        <f t="shared" si="18"/>
        <v>1125000</v>
      </c>
      <c r="O145" s="1497">
        <v>4166600</v>
      </c>
      <c r="P145" s="1497">
        <v>750000</v>
      </c>
      <c r="Q145" s="1497"/>
      <c r="R145" s="3144">
        <v>2083300</v>
      </c>
      <c r="S145" s="3144">
        <v>375000</v>
      </c>
      <c r="T145" s="1496"/>
      <c r="U145" s="1495">
        <f t="shared" si="19"/>
        <v>6249900</v>
      </c>
      <c r="V145" s="1495">
        <f t="shared" si="20"/>
        <v>1125000</v>
      </c>
      <c r="W145" s="1495"/>
      <c r="X145" s="1495">
        <f t="shared" si="22"/>
        <v>18750100</v>
      </c>
      <c r="Y145" s="1495">
        <f t="shared" si="23"/>
        <v>100</v>
      </c>
      <c r="Z145" s="1495">
        <f t="shared" si="24"/>
        <v>0</v>
      </c>
      <c r="AA145" s="1506">
        <f t="shared" si="25"/>
        <v>0</v>
      </c>
      <c r="AB145" s="2441"/>
      <c r="AC145" s="1504">
        <f t="shared" si="26"/>
        <v>0</v>
      </c>
      <c r="AD145" s="1503">
        <f t="shared" si="27"/>
        <v>0</v>
      </c>
      <c r="AE145" s="1503">
        <f t="shared" si="28"/>
        <v>0</v>
      </c>
      <c r="AF145" s="1502">
        <f t="shared" si="29"/>
        <v>0</v>
      </c>
    </row>
    <row r="146" spans="1:32" s="1474" customFormat="1" ht="23.25" customHeight="1">
      <c r="A146" s="1501">
        <v>81</v>
      </c>
      <c r="B146" s="1496" t="s">
        <v>2027</v>
      </c>
      <c r="C146" s="1499" t="s">
        <v>2689</v>
      </c>
      <c r="D146" s="1499">
        <v>9</v>
      </c>
      <c r="E146" s="1496">
        <v>40000000</v>
      </c>
      <c r="F146" s="1512">
        <f t="shared" si="16"/>
        <v>7200000</v>
      </c>
      <c r="G146" s="2990">
        <v>42348</v>
      </c>
      <c r="H146" s="1500">
        <v>0.18</v>
      </c>
      <c r="I146" s="1499">
        <v>12</v>
      </c>
      <c r="J146" s="1499">
        <v>2</v>
      </c>
      <c r="K146" s="1499">
        <f t="shared" ref="K146:K155" si="37">ROUND(E146/I146,-2)</f>
        <v>3333300</v>
      </c>
      <c r="L146" s="1499">
        <f t="shared" ref="L146:L155" si="38">F146/I146</f>
        <v>600000</v>
      </c>
      <c r="M146" s="1510">
        <f t="shared" si="17"/>
        <v>6666600</v>
      </c>
      <c r="N146" s="1510">
        <f t="shared" si="18"/>
        <v>1200000</v>
      </c>
      <c r="O146" s="1497">
        <v>3333300</v>
      </c>
      <c r="P146" s="1497">
        <v>600000</v>
      </c>
      <c r="Q146" s="1497"/>
      <c r="R146" s="3144">
        <v>3333300</v>
      </c>
      <c r="S146" s="3144">
        <v>600000</v>
      </c>
      <c r="T146" s="1496"/>
      <c r="U146" s="1495">
        <f t="shared" si="19"/>
        <v>6666600</v>
      </c>
      <c r="V146" s="1495">
        <f t="shared" si="20"/>
        <v>1200000</v>
      </c>
      <c r="W146" s="1495"/>
      <c r="X146" s="1495">
        <f t="shared" si="22"/>
        <v>33333400</v>
      </c>
      <c r="Y146" s="1495">
        <f t="shared" si="23"/>
        <v>100</v>
      </c>
      <c r="Z146" s="1495">
        <f t="shared" si="24"/>
        <v>0</v>
      </c>
      <c r="AA146" s="1506">
        <f t="shared" si="25"/>
        <v>0</v>
      </c>
      <c r="AB146" s="2441"/>
      <c r="AC146" s="1504">
        <f t="shared" si="26"/>
        <v>0</v>
      </c>
      <c r="AD146" s="1503">
        <f t="shared" si="27"/>
        <v>0</v>
      </c>
      <c r="AE146" s="1503">
        <f t="shared" si="28"/>
        <v>0</v>
      </c>
      <c r="AF146" s="1502">
        <f t="shared" si="29"/>
        <v>0</v>
      </c>
    </row>
    <row r="147" spans="1:32" s="1474" customFormat="1" ht="23.25" customHeight="1">
      <c r="A147" s="1501">
        <v>82</v>
      </c>
      <c r="B147" s="1496" t="s">
        <v>2021</v>
      </c>
      <c r="C147" s="1499" t="s">
        <v>2689</v>
      </c>
      <c r="D147" s="1499">
        <v>13</v>
      </c>
      <c r="E147" s="1496">
        <v>50000000</v>
      </c>
      <c r="F147" s="1512">
        <f t="shared" si="16"/>
        <v>9000000</v>
      </c>
      <c r="G147" s="2990">
        <v>42348</v>
      </c>
      <c r="H147" s="1500">
        <v>0.18</v>
      </c>
      <c r="I147" s="1499">
        <v>12</v>
      </c>
      <c r="J147" s="1499">
        <v>2</v>
      </c>
      <c r="K147" s="1499">
        <f t="shared" si="37"/>
        <v>4166700</v>
      </c>
      <c r="L147" s="1499">
        <f t="shared" si="38"/>
        <v>750000</v>
      </c>
      <c r="M147" s="1510">
        <f t="shared" si="17"/>
        <v>8333400</v>
      </c>
      <c r="N147" s="1510">
        <f t="shared" si="18"/>
        <v>1500000</v>
      </c>
      <c r="O147" s="1497">
        <v>4166700</v>
      </c>
      <c r="P147" s="1497">
        <v>750000</v>
      </c>
      <c r="Q147" s="1497"/>
      <c r="R147" s="3144">
        <v>4166700</v>
      </c>
      <c r="S147" s="3144">
        <v>750000</v>
      </c>
      <c r="T147" s="1496"/>
      <c r="U147" s="1495">
        <f t="shared" si="19"/>
        <v>8333400</v>
      </c>
      <c r="V147" s="1495">
        <f t="shared" si="20"/>
        <v>1500000</v>
      </c>
      <c r="W147" s="1495"/>
      <c r="X147" s="1495">
        <f t="shared" si="22"/>
        <v>41666600</v>
      </c>
      <c r="Y147" s="1495">
        <f t="shared" si="23"/>
        <v>100</v>
      </c>
      <c r="Z147" s="1495">
        <f t="shared" si="24"/>
        <v>0</v>
      </c>
      <c r="AA147" s="1506">
        <f t="shared" si="25"/>
        <v>0</v>
      </c>
      <c r="AB147" s="2441"/>
      <c r="AC147" s="1504">
        <f t="shared" si="26"/>
        <v>0</v>
      </c>
      <c r="AD147" s="1503">
        <f t="shared" si="27"/>
        <v>0</v>
      </c>
      <c r="AE147" s="1503">
        <f t="shared" si="28"/>
        <v>0</v>
      </c>
      <c r="AF147" s="1502">
        <f t="shared" si="29"/>
        <v>0</v>
      </c>
    </row>
    <row r="148" spans="1:32" s="1474" customFormat="1" ht="23.25" customHeight="1">
      <c r="A148" s="1501">
        <v>83</v>
      </c>
      <c r="B148" s="1496" t="s">
        <v>2233</v>
      </c>
      <c r="C148" s="1499" t="s">
        <v>2714</v>
      </c>
      <c r="D148" s="1499">
        <v>8</v>
      </c>
      <c r="E148" s="1496">
        <v>21000000</v>
      </c>
      <c r="F148" s="1512">
        <f t="shared" si="16"/>
        <v>3780000</v>
      </c>
      <c r="G148" s="2990">
        <v>42352</v>
      </c>
      <c r="H148" s="1500">
        <v>0.18</v>
      </c>
      <c r="I148" s="1499">
        <v>12</v>
      </c>
      <c r="J148" s="1499">
        <v>2</v>
      </c>
      <c r="K148" s="1499">
        <f t="shared" si="37"/>
        <v>1750000</v>
      </c>
      <c r="L148" s="1499">
        <f t="shared" si="38"/>
        <v>315000</v>
      </c>
      <c r="M148" s="1510">
        <f t="shared" ref="M148:M152" si="39">IF(J148&lt;I148,J148*K148,IF(J148&gt;=I148,E148))</f>
        <v>3500000</v>
      </c>
      <c r="N148" s="1510">
        <f t="shared" ref="N148:N152" si="40">IF(J148&lt;I148,J148*L148,IF(J148&gt;=I148,F148))</f>
        <v>630000</v>
      </c>
      <c r="O148" s="1497">
        <v>1750000</v>
      </c>
      <c r="P148" s="1497">
        <v>315000</v>
      </c>
      <c r="Q148" s="1497"/>
      <c r="R148" s="3144">
        <v>1750000</v>
      </c>
      <c r="S148" s="3144">
        <v>315000</v>
      </c>
      <c r="T148" s="1496"/>
      <c r="U148" s="1495">
        <f t="shared" ref="U148:U152" si="41">SUM(O148+R148)</f>
        <v>3500000</v>
      </c>
      <c r="V148" s="1495">
        <f t="shared" ref="V148:V152" si="42">SUM(P148+S148)</f>
        <v>630000</v>
      </c>
      <c r="W148" s="1495"/>
      <c r="X148" s="1495">
        <f t="shared" ref="X148:X152" si="43">SUM(E148-U148)</f>
        <v>17500000</v>
      </c>
      <c r="Y148" s="1495">
        <f t="shared" ref="Y148:Y152" si="44">SUM(U148/M148)*100</f>
        <v>100</v>
      </c>
      <c r="Z148" s="1495">
        <f t="shared" ref="Z148:Z152" si="45">SUM(M148-U148)</f>
        <v>0</v>
      </c>
      <c r="AA148" s="1506">
        <f t="shared" ref="AA148:AA152" si="46">SUM(N148-V148)</f>
        <v>0</v>
      </c>
      <c r="AB148" s="2441"/>
      <c r="AC148" s="1504">
        <f t="shared" ref="AC148:AC153" si="47">IF(AND(AB148&gt;0,AB148&lt;=2),X148,0)</f>
        <v>0</v>
      </c>
      <c r="AD148" s="1503">
        <f t="shared" ref="AD148:AD153" si="48">IF(AND(AB148&gt;=3,AB148&lt;=4),X148,0)</f>
        <v>0</v>
      </c>
      <c r="AE148" s="1503">
        <f t="shared" ref="AE148:AE153" si="49">IF(AND(AB148&gt;=5,AB148&lt;=6),X148,0)</f>
        <v>0</v>
      </c>
      <c r="AF148" s="1502">
        <f t="shared" ref="AF148:AF153" si="50">IF(AB148&gt;6,X148,0)</f>
        <v>0</v>
      </c>
    </row>
    <row r="149" spans="1:32" s="1474" customFormat="1" ht="23.25" customHeight="1">
      <c r="A149" s="1501">
        <v>84</v>
      </c>
      <c r="B149" s="1496" t="s">
        <v>2237</v>
      </c>
      <c r="C149" s="1499" t="s">
        <v>2714</v>
      </c>
      <c r="D149" s="1499">
        <v>13</v>
      </c>
      <c r="E149" s="1496">
        <v>32500000</v>
      </c>
      <c r="F149" s="1512">
        <f t="shared" si="16"/>
        <v>5850000</v>
      </c>
      <c r="G149" s="2990">
        <v>42352</v>
      </c>
      <c r="H149" s="1500">
        <v>0.18</v>
      </c>
      <c r="I149" s="1499">
        <v>12</v>
      </c>
      <c r="J149" s="1499">
        <v>2</v>
      </c>
      <c r="K149" s="1499">
        <f t="shared" si="37"/>
        <v>2708300</v>
      </c>
      <c r="L149" s="1499">
        <f t="shared" si="38"/>
        <v>487500</v>
      </c>
      <c r="M149" s="1510">
        <f t="shared" si="39"/>
        <v>5416600</v>
      </c>
      <c r="N149" s="1510">
        <f t="shared" si="40"/>
        <v>975000</v>
      </c>
      <c r="O149" s="1497">
        <v>2708300</v>
      </c>
      <c r="P149" s="1497">
        <v>487500</v>
      </c>
      <c r="Q149" s="1497"/>
      <c r="R149" s="3144">
        <v>2708300</v>
      </c>
      <c r="S149" s="3144">
        <v>487500</v>
      </c>
      <c r="T149" s="1496"/>
      <c r="U149" s="1495">
        <f t="shared" si="41"/>
        <v>5416600</v>
      </c>
      <c r="V149" s="1495">
        <f t="shared" si="42"/>
        <v>975000</v>
      </c>
      <c r="W149" s="1495"/>
      <c r="X149" s="1495">
        <f t="shared" si="43"/>
        <v>27083400</v>
      </c>
      <c r="Y149" s="1495">
        <f t="shared" si="44"/>
        <v>100</v>
      </c>
      <c r="Z149" s="1495">
        <f t="shared" si="45"/>
        <v>0</v>
      </c>
      <c r="AA149" s="1506">
        <f t="shared" si="46"/>
        <v>0</v>
      </c>
      <c r="AB149" s="2441"/>
      <c r="AC149" s="1504">
        <f t="shared" si="47"/>
        <v>0</v>
      </c>
      <c r="AD149" s="1503">
        <f t="shared" si="48"/>
        <v>0</v>
      </c>
      <c r="AE149" s="1503">
        <f t="shared" si="49"/>
        <v>0</v>
      </c>
      <c r="AF149" s="1502">
        <f t="shared" si="50"/>
        <v>0</v>
      </c>
    </row>
    <row r="150" spans="1:32" s="1474" customFormat="1" ht="23.25" customHeight="1">
      <c r="A150" s="1501">
        <v>85</v>
      </c>
      <c r="B150" s="1496" t="s">
        <v>1898</v>
      </c>
      <c r="C150" s="1499" t="s">
        <v>2689</v>
      </c>
      <c r="D150" s="1499">
        <v>18</v>
      </c>
      <c r="E150" s="1496">
        <v>50000000</v>
      </c>
      <c r="F150" s="1512">
        <f t="shared" si="16"/>
        <v>9000000</v>
      </c>
      <c r="G150" s="2990">
        <v>42355</v>
      </c>
      <c r="H150" s="1500">
        <v>0.18</v>
      </c>
      <c r="I150" s="1499">
        <v>12</v>
      </c>
      <c r="J150" s="1499">
        <v>2</v>
      </c>
      <c r="K150" s="1499">
        <f t="shared" si="37"/>
        <v>4166700</v>
      </c>
      <c r="L150" s="1499">
        <f t="shared" si="38"/>
        <v>750000</v>
      </c>
      <c r="M150" s="1510">
        <f t="shared" si="39"/>
        <v>8333400</v>
      </c>
      <c r="N150" s="1510">
        <f t="shared" si="40"/>
        <v>1500000</v>
      </c>
      <c r="O150" s="1497">
        <v>4166700</v>
      </c>
      <c r="P150" s="1497">
        <v>750000</v>
      </c>
      <c r="Q150" s="1497"/>
      <c r="R150" s="3144">
        <v>4166700</v>
      </c>
      <c r="S150" s="3144">
        <v>750000</v>
      </c>
      <c r="T150" s="1496"/>
      <c r="U150" s="1495">
        <f t="shared" si="41"/>
        <v>8333400</v>
      </c>
      <c r="V150" s="1495">
        <f t="shared" si="42"/>
        <v>1500000</v>
      </c>
      <c r="W150" s="1495"/>
      <c r="X150" s="1495">
        <f t="shared" si="43"/>
        <v>41666600</v>
      </c>
      <c r="Y150" s="1495">
        <f t="shared" si="44"/>
        <v>100</v>
      </c>
      <c r="Z150" s="1495">
        <f t="shared" si="45"/>
        <v>0</v>
      </c>
      <c r="AA150" s="1506">
        <f t="shared" si="46"/>
        <v>0</v>
      </c>
      <c r="AB150" s="2441"/>
      <c r="AC150" s="1504">
        <f t="shared" si="47"/>
        <v>0</v>
      </c>
      <c r="AD150" s="1503">
        <f t="shared" si="48"/>
        <v>0</v>
      </c>
      <c r="AE150" s="1503">
        <f t="shared" si="49"/>
        <v>0</v>
      </c>
      <c r="AF150" s="1502">
        <f t="shared" si="50"/>
        <v>0</v>
      </c>
    </row>
    <row r="151" spans="1:32" s="1474" customFormat="1" ht="23.25" customHeight="1">
      <c r="A151" s="1501">
        <v>86</v>
      </c>
      <c r="B151" s="1496" t="s">
        <v>2018</v>
      </c>
      <c r="C151" s="1499" t="s">
        <v>2714</v>
      </c>
      <c r="D151" s="1499">
        <v>10</v>
      </c>
      <c r="E151" s="1496">
        <v>40000000</v>
      </c>
      <c r="F151" s="1512">
        <f t="shared" si="16"/>
        <v>7200000</v>
      </c>
      <c r="G151" s="2990">
        <v>42389</v>
      </c>
      <c r="H151" s="1500">
        <v>0.18</v>
      </c>
      <c r="I151" s="1499">
        <v>12</v>
      </c>
      <c r="J151" s="1499">
        <v>1</v>
      </c>
      <c r="K151" s="1499">
        <f t="shared" si="37"/>
        <v>3333300</v>
      </c>
      <c r="L151" s="1499">
        <f t="shared" si="38"/>
        <v>600000</v>
      </c>
      <c r="M151" s="1510">
        <f t="shared" si="39"/>
        <v>3333300</v>
      </c>
      <c r="N151" s="1510">
        <f t="shared" si="40"/>
        <v>600000</v>
      </c>
      <c r="O151" s="1497"/>
      <c r="P151" s="1497"/>
      <c r="Q151" s="1497"/>
      <c r="R151" s="3144">
        <v>3333300</v>
      </c>
      <c r="S151" s="3144">
        <v>600000</v>
      </c>
      <c r="T151" s="1496"/>
      <c r="U151" s="1495">
        <f t="shared" si="41"/>
        <v>3333300</v>
      </c>
      <c r="V151" s="1495">
        <f t="shared" si="42"/>
        <v>600000</v>
      </c>
      <c r="W151" s="1495"/>
      <c r="X151" s="1495">
        <f t="shared" si="43"/>
        <v>36666700</v>
      </c>
      <c r="Y151" s="1495">
        <f t="shared" si="44"/>
        <v>100</v>
      </c>
      <c r="Z151" s="1495">
        <f t="shared" si="45"/>
        <v>0</v>
      </c>
      <c r="AA151" s="1506">
        <f t="shared" si="46"/>
        <v>0</v>
      </c>
      <c r="AB151" s="2441"/>
      <c r="AC151" s="1504">
        <f t="shared" si="47"/>
        <v>0</v>
      </c>
      <c r="AD151" s="1503">
        <f t="shared" si="48"/>
        <v>0</v>
      </c>
      <c r="AE151" s="1503">
        <f t="shared" si="49"/>
        <v>0</v>
      </c>
      <c r="AF151" s="1502">
        <f t="shared" si="50"/>
        <v>0</v>
      </c>
    </row>
    <row r="152" spans="1:32" s="1474" customFormat="1" ht="23.25" customHeight="1">
      <c r="A152" s="1501">
        <v>87</v>
      </c>
      <c r="B152" s="1496" t="s">
        <v>2955</v>
      </c>
      <c r="C152" s="1499" t="s">
        <v>2954</v>
      </c>
      <c r="D152" s="1499">
        <v>10</v>
      </c>
      <c r="E152" s="1496">
        <v>8000000</v>
      </c>
      <c r="F152" s="1512">
        <f t="shared" si="16"/>
        <v>1440000</v>
      </c>
      <c r="G152" s="2990">
        <v>42402</v>
      </c>
      <c r="H152" s="1500">
        <v>0.18</v>
      </c>
      <c r="I152" s="1499">
        <v>12</v>
      </c>
      <c r="J152" s="1499"/>
      <c r="K152" s="1499">
        <f t="shared" si="37"/>
        <v>666700</v>
      </c>
      <c r="L152" s="1499">
        <f t="shared" si="38"/>
        <v>120000</v>
      </c>
      <c r="M152" s="1510">
        <f t="shared" si="39"/>
        <v>0</v>
      </c>
      <c r="N152" s="1510">
        <f t="shared" si="40"/>
        <v>0</v>
      </c>
      <c r="O152" s="1497"/>
      <c r="P152" s="1497"/>
      <c r="Q152" s="1497"/>
      <c r="R152" s="2983"/>
      <c r="S152" s="2983"/>
      <c r="T152" s="1496"/>
      <c r="U152" s="1495">
        <f t="shared" si="41"/>
        <v>0</v>
      </c>
      <c r="V152" s="1495">
        <f t="shared" si="42"/>
        <v>0</v>
      </c>
      <c r="W152" s="1495"/>
      <c r="X152" s="1495">
        <f t="shared" si="43"/>
        <v>8000000</v>
      </c>
      <c r="Y152" s="1495" t="e">
        <f t="shared" si="44"/>
        <v>#DIV/0!</v>
      </c>
      <c r="Z152" s="1495">
        <f t="shared" si="45"/>
        <v>0</v>
      </c>
      <c r="AA152" s="1506">
        <f t="shared" si="46"/>
        <v>0</v>
      </c>
      <c r="AB152" s="2441"/>
      <c r="AC152" s="1504">
        <f t="shared" si="47"/>
        <v>0</v>
      </c>
      <c r="AD152" s="1503">
        <f t="shared" si="48"/>
        <v>0</v>
      </c>
      <c r="AE152" s="1503">
        <f t="shared" si="49"/>
        <v>0</v>
      </c>
      <c r="AF152" s="1502">
        <f t="shared" si="50"/>
        <v>0</v>
      </c>
    </row>
    <row r="153" spans="1:32" s="1474" customFormat="1" ht="23.25" customHeight="1">
      <c r="A153" s="1501">
        <v>88</v>
      </c>
      <c r="B153" s="1496" t="s">
        <v>2119</v>
      </c>
      <c r="C153" s="1499" t="s">
        <v>2954</v>
      </c>
      <c r="D153" s="1499">
        <v>10</v>
      </c>
      <c r="E153" s="1496">
        <v>20000000</v>
      </c>
      <c r="F153" s="1512">
        <f t="shared" si="16"/>
        <v>3600000</v>
      </c>
      <c r="G153" s="2990">
        <v>42410</v>
      </c>
      <c r="H153" s="1500">
        <v>0.18</v>
      </c>
      <c r="I153" s="1499">
        <v>12</v>
      </c>
      <c r="J153" s="1499"/>
      <c r="K153" s="1499">
        <f t="shared" si="37"/>
        <v>1666700</v>
      </c>
      <c r="L153" s="1499">
        <f t="shared" si="38"/>
        <v>300000</v>
      </c>
      <c r="M153" s="1510">
        <f t="shared" si="17"/>
        <v>0</v>
      </c>
      <c r="N153" s="1510">
        <f t="shared" si="18"/>
        <v>0</v>
      </c>
      <c r="O153" s="1497"/>
      <c r="P153" s="1497"/>
      <c r="Q153" s="1497"/>
      <c r="R153" s="2983"/>
      <c r="S153" s="2983"/>
      <c r="T153" s="1496"/>
      <c r="U153" s="1495">
        <f t="shared" si="19"/>
        <v>0</v>
      </c>
      <c r="V153" s="1495">
        <f t="shared" si="20"/>
        <v>0</v>
      </c>
      <c r="W153" s="1495"/>
      <c r="X153" s="1495">
        <f t="shared" si="22"/>
        <v>20000000</v>
      </c>
      <c r="Y153" s="1495" t="e">
        <f t="shared" si="23"/>
        <v>#DIV/0!</v>
      </c>
      <c r="Z153" s="1495">
        <f t="shared" si="24"/>
        <v>0</v>
      </c>
      <c r="AA153" s="1506">
        <f t="shared" si="25"/>
        <v>0</v>
      </c>
      <c r="AB153" s="2441"/>
      <c r="AC153" s="1504">
        <f t="shared" si="47"/>
        <v>0</v>
      </c>
      <c r="AD153" s="1503">
        <f t="shared" si="48"/>
        <v>0</v>
      </c>
      <c r="AE153" s="1503">
        <f t="shared" si="49"/>
        <v>0</v>
      </c>
      <c r="AF153" s="1502">
        <f t="shared" si="50"/>
        <v>0</v>
      </c>
    </row>
    <row r="154" spans="1:32" s="1474" customFormat="1" ht="23.25" customHeight="1">
      <c r="A154" s="1501"/>
      <c r="B154" s="1496"/>
      <c r="C154" s="1499"/>
      <c r="D154" s="1499"/>
      <c r="E154" s="1496"/>
      <c r="F154" s="1512">
        <f t="shared" si="16"/>
        <v>0</v>
      </c>
      <c r="G154" s="1499"/>
      <c r="H154" s="1500"/>
      <c r="I154" s="1499"/>
      <c r="J154" s="1499"/>
      <c r="K154" s="1499" t="e">
        <f t="shared" si="37"/>
        <v>#DIV/0!</v>
      </c>
      <c r="L154" s="1499" t="e">
        <f t="shared" si="38"/>
        <v>#DIV/0!</v>
      </c>
      <c r="M154" s="1510">
        <f t="shared" si="17"/>
        <v>0</v>
      </c>
      <c r="N154" s="1510">
        <f t="shared" si="18"/>
        <v>0</v>
      </c>
      <c r="O154" s="1497"/>
      <c r="P154" s="1497"/>
      <c r="Q154" s="1497"/>
      <c r="R154" s="1496"/>
      <c r="S154" s="1496"/>
      <c r="T154" s="1496"/>
      <c r="U154" s="1495">
        <f t="shared" si="19"/>
        <v>0</v>
      </c>
      <c r="V154" s="1495">
        <f t="shared" si="20"/>
        <v>0</v>
      </c>
      <c r="W154" s="1495"/>
      <c r="X154" s="1495">
        <f t="shared" si="22"/>
        <v>0</v>
      </c>
      <c r="Y154" s="1495" t="e">
        <f t="shared" si="23"/>
        <v>#DIV/0!</v>
      </c>
      <c r="Z154" s="1495">
        <f t="shared" si="24"/>
        <v>0</v>
      </c>
      <c r="AA154" s="1506">
        <f t="shared" si="25"/>
        <v>0</v>
      </c>
      <c r="AB154" s="2441"/>
      <c r="AC154" s="1504">
        <f t="shared" si="26"/>
        <v>0</v>
      </c>
      <c r="AD154" s="1503">
        <f t="shared" si="27"/>
        <v>0</v>
      </c>
      <c r="AE154" s="1503">
        <f t="shared" si="28"/>
        <v>0</v>
      </c>
      <c r="AF154" s="1502">
        <f t="shared" si="29"/>
        <v>0</v>
      </c>
    </row>
    <row r="155" spans="1:32" s="1474" customFormat="1" ht="23.25" customHeight="1" thickBot="1">
      <c r="A155" s="1501"/>
      <c r="B155" s="1496"/>
      <c r="C155" s="1499"/>
      <c r="D155" s="1499"/>
      <c r="E155" s="1496"/>
      <c r="F155" s="1512">
        <f t="shared" si="16"/>
        <v>0</v>
      </c>
      <c r="G155" s="1499"/>
      <c r="H155" s="1500"/>
      <c r="I155" s="1499"/>
      <c r="J155" s="1499"/>
      <c r="K155" s="1499" t="e">
        <f t="shared" si="37"/>
        <v>#DIV/0!</v>
      </c>
      <c r="L155" s="1499" t="e">
        <f t="shared" si="38"/>
        <v>#DIV/0!</v>
      </c>
      <c r="M155" s="1510">
        <f t="shared" si="17"/>
        <v>0</v>
      </c>
      <c r="N155" s="1510">
        <f t="shared" si="18"/>
        <v>0</v>
      </c>
      <c r="O155" s="1497"/>
      <c r="P155" s="1497"/>
      <c r="Q155" s="1497"/>
      <c r="R155" s="1496"/>
      <c r="S155" s="1496"/>
      <c r="T155" s="1496"/>
      <c r="U155" s="1495">
        <f t="shared" si="19"/>
        <v>0</v>
      </c>
      <c r="V155" s="1495">
        <f t="shared" si="20"/>
        <v>0</v>
      </c>
      <c r="W155" s="1495"/>
      <c r="X155" s="1495">
        <f t="shared" si="22"/>
        <v>0</v>
      </c>
      <c r="Y155" s="1495" t="e">
        <f t="shared" si="23"/>
        <v>#DIV/0!</v>
      </c>
      <c r="Z155" s="1495">
        <f t="shared" si="24"/>
        <v>0</v>
      </c>
      <c r="AA155" s="1506">
        <f t="shared" si="25"/>
        <v>0</v>
      </c>
      <c r="AB155" s="1492"/>
      <c r="AC155" s="1504">
        <f t="shared" si="26"/>
        <v>0</v>
      </c>
      <c r="AD155" s="1503">
        <f t="shared" si="27"/>
        <v>0</v>
      </c>
      <c r="AE155" s="1503">
        <f t="shared" si="28"/>
        <v>0</v>
      </c>
      <c r="AF155" s="1502">
        <f t="shared" si="29"/>
        <v>0</v>
      </c>
    </row>
    <row r="156" spans="1:32" s="1474" customFormat="1" ht="11.25" customHeight="1" thickTop="1" thickBot="1">
      <c r="A156" s="1488"/>
      <c r="B156" s="1486"/>
      <c r="C156" s="1487"/>
      <c r="D156" s="1487"/>
      <c r="E156" s="1486"/>
      <c r="F156" s="1486"/>
      <c r="G156" s="1486"/>
      <c r="H156" s="1486"/>
      <c r="I156" s="1486"/>
      <c r="J156" s="1486"/>
      <c r="K156" s="1486"/>
      <c r="L156" s="1486"/>
      <c r="M156" s="1486"/>
      <c r="N156" s="1486"/>
      <c r="O156" s="1486"/>
      <c r="P156" s="1486"/>
      <c r="Q156" s="1486"/>
      <c r="R156" s="1486"/>
      <c r="S156" s="1486"/>
      <c r="T156" s="1486"/>
      <c r="U156" s="1486"/>
      <c r="V156" s="1486"/>
      <c r="W156" s="1495"/>
      <c r="X156" s="1495">
        <f>SUM(E156-U156)</f>
        <v>0</v>
      </c>
      <c r="Y156" s="1495" t="e">
        <f>SUM(U156/M156)*100</f>
        <v>#DIV/0!</v>
      </c>
      <c r="Z156" s="1486"/>
      <c r="AA156" s="1485"/>
      <c r="AB156" s="1484"/>
      <c r="AC156" s="1483"/>
      <c r="AD156" s="1483"/>
      <c r="AE156" s="1483"/>
      <c r="AF156" s="1482"/>
    </row>
    <row r="157" spans="1:32" s="1474" customFormat="1" ht="33" customHeight="1" thickTop="1" thickBot="1">
      <c r="A157" s="3410" t="s">
        <v>934</v>
      </c>
      <c r="B157" s="3410"/>
      <c r="C157" s="3410"/>
      <c r="D157" s="1480">
        <f>SUM(D66:D155)</f>
        <v>483</v>
      </c>
      <c r="E157" s="1480">
        <f>SUM(E66:E155)</f>
        <v>1874000000</v>
      </c>
      <c r="F157" s="1480">
        <f>SUM(F66:F155)</f>
        <v>337320000</v>
      </c>
      <c r="G157" s="1481"/>
      <c r="H157" s="1481"/>
      <c r="I157" s="1481"/>
      <c r="J157" s="1481"/>
      <c r="K157" s="1481"/>
      <c r="L157" s="1481"/>
      <c r="M157" s="1480">
        <f t="shared" ref="M157:X157" si="51">SUM(M66:M155)</f>
        <v>1553083900</v>
      </c>
      <c r="N157" s="1480">
        <f t="shared" si="51"/>
        <v>274185000</v>
      </c>
      <c r="O157" s="1480">
        <f t="shared" si="51"/>
        <v>1494455800</v>
      </c>
      <c r="P157" s="1480">
        <f t="shared" si="51"/>
        <v>262985200</v>
      </c>
      <c r="Q157" s="1480">
        <f t="shared" si="51"/>
        <v>0</v>
      </c>
      <c r="R157" s="1480">
        <f t="shared" si="51"/>
        <v>38666700</v>
      </c>
      <c r="S157" s="1480">
        <f t="shared" si="51"/>
        <v>6960000</v>
      </c>
      <c r="T157" s="1480">
        <f t="shared" si="51"/>
        <v>0</v>
      </c>
      <c r="U157" s="1480">
        <f t="shared" si="51"/>
        <v>1533122500</v>
      </c>
      <c r="V157" s="1480">
        <f t="shared" si="51"/>
        <v>269945200</v>
      </c>
      <c r="W157" s="1480">
        <f t="shared" si="51"/>
        <v>0</v>
      </c>
      <c r="X157" s="1480">
        <f t="shared" si="51"/>
        <v>340877500</v>
      </c>
      <c r="Y157" s="1480">
        <f>SUM(U157/M157)*100</f>
        <v>98.714724941775529</v>
      </c>
      <c r="Z157" s="1480">
        <f>SUM(Z66:Z155)</f>
        <v>19961400</v>
      </c>
      <c r="AA157" s="1479">
        <f>SUM(AA66:AA155)</f>
        <v>3129800</v>
      </c>
      <c r="AB157" s="1478"/>
      <c r="AC157" s="1477">
        <f>SUM(AC66:AC155)</f>
        <v>0</v>
      </c>
      <c r="AD157" s="1476">
        <f>SUM(AD66:AD155)</f>
        <v>0</v>
      </c>
      <c r="AE157" s="1476">
        <f>SUM(AE66:AE155)</f>
        <v>14935100</v>
      </c>
      <c r="AF157" s="1475">
        <f>SUM(AF66:AF155)</f>
        <v>416300</v>
      </c>
    </row>
    <row r="158" spans="1:32" s="1461" customFormat="1" ht="17.25" thickTop="1" thickBot="1">
      <c r="A158" s="3410" t="s">
        <v>1464</v>
      </c>
      <c r="B158" s="3410"/>
      <c r="C158" s="3410"/>
      <c r="D158" s="1473">
        <f>COUNT(D66:D155)</f>
        <v>46</v>
      </c>
      <c r="G158" s="1462"/>
      <c r="H158" s="1462"/>
      <c r="I158" s="1462"/>
      <c r="J158" s="1462"/>
      <c r="K158" s="1472"/>
      <c r="L158" s="1472"/>
      <c r="AB158" s="1462"/>
    </row>
    <row r="159" spans="1:32" s="1461" customFormat="1" ht="18.75" thickTop="1">
      <c r="A159" s="1465"/>
      <c r="B159" s="1465"/>
      <c r="C159" s="1466"/>
      <c r="D159" s="1466"/>
      <c r="E159" s="3410" t="s">
        <v>1463</v>
      </c>
      <c r="F159" s="3410"/>
      <c r="G159" s="3410"/>
      <c r="H159" s="3410"/>
      <c r="I159" s="3410"/>
      <c r="J159" s="3410"/>
      <c r="K159" s="3410"/>
      <c r="L159" s="3410"/>
      <c r="M159" s="3410"/>
      <c r="N159" s="3410"/>
      <c r="O159" s="1467"/>
      <c r="P159" s="1467"/>
      <c r="Q159" s="1467"/>
      <c r="R159" s="1467"/>
      <c r="S159" s="1467"/>
      <c r="T159" s="1467"/>
      <c r="U159" s="1471"/>
      <c r="V159" s="3410" t="s">
        <v>1462</v>
      </c>
      <c r="W159" s="3410"/>
      <c r="X159" s="3410"/>
      <c r="Y159" s="3410"/>
      <c r="Z159" s="1465"/>
      <c r="AA159" s="1465"/>
      <c r="AB159" s="1462"/>
    </row>
    <row r="160" spans="1:32" s="1461" customFormat="1" ht="57" customHeight="1">
      <c r="A160" s="1468"/>
      <c r="B160" s="1468"/>
      <c r="C160" s="1470"/>
      <c r="D160" s="1470"/>
      <c r="E160" s="1468"/>
      <c r="F160" s="1468"/>
      <c r="G160" s="1470"/>
      <c r="H160" s="1470"/>
      <c r="I160" s="1470"/>
      <c r="J160" s="1470"/>
      <c r="K160" s="1469"/>
      <c r="L160" s="1469"/>
      <c r="M160" s="1468"/>
      <c r="N160" s="1468"/>
      <c r="O160" s="1468"/>
      <c r="P160" s="1468"/>
      <c r="Q160" s="1468"/>
      <c r="R160" s="1468"/>
      <c r="S160" s="1468"/>
      <c r="T160" s="1468"/>
      <c r="U160" s="1468"/>
      <c r="V160" s="1468"/>
      <c r="W160" s="1468"/>
      <c r="X160" s="1468"/>
      <c r="Y160" s="1468"/>
      <c r="Z160" s="1468"/>
      <c r="AA160" s="1468"/>
      <c r="AB160" s="1462"/>
    </row>
    <row r="161" spans="1:32" s="1461" customFormat="1" ht="18">
      <c r="A161" s="1465"/>
      <c r="B161" s="1465"/>
      <c r="C161" s="1466"/>
      <c r="D161" s="1466"/>
      <c r="E161" s="3410" t="str">
        <f>E52</f>
        <v>Endang Taryana</v>
      </c>
      <c r="F161" s="3410"/>
      <c r="G161" s="3410"/>
      <c r="H161" s="3410"/>
      <c r="I161" s="3410"/>
      <c r="J161" s="3410"/>
      <c r="K161" s="3410"/>
      <c r="L161" s="3410"/>
      <c r="M161" s="3410"/>
      <c r="N161" s="3410"/>
      <c r="O161" s="1467" t="s">
        <v>1461</v>
      </c>
      <c r="P161" s="3410"/>
      <c r="Q161" s="3410"/>
      <c r="R161" s="3410"/>
      <c r="S161" s="1465"/>
      <c r="T161" s="1465"/>
      <c r="U161" s="1465"/>
      <c r="V161" s="3410" t="str">
        <f>V52</f>
        <v>Arin Yustini, SE</v>
      </c>
      <c r="W161" s="3410"/>
      <c r="X161" s="3410"/>
      <c r="Y161" s="3410"/>
      <c r="Z161" s="1465"/>
      <c r="AA161" s="1465"/>
      <c r="AB161" s="1462"/>
    </row>
    <row r="162" spans="1:32" ht="18">
      <c r="A162" s="1465"/>
      <c r="B162" s="1465"/>
      <c r="C162" s="1466"/>
      <c r="D162" s="1466"/>
      <c r="E162" s="3410" t="s">
        <v>23</v>
      </c>
      <c r="F162" s="3410"/>
      <c r="G162" s="3410"/>
      <c r="H162" s="3410"/>
      <c r="I162" s="3410"/>
      <c r="J162" s="3410"/>
      <c r="K162" s="3410"/>
      <c r="L162" s="3410"/>
      <c r="M162" s="3410"/>
      <c r="N162" s="3410"/>
      <c r="O162" s="1465"/>
      <c r="P162" s="3410"/>
      <c r="Q162" s="3410"/>
      <c r="R162" s="3410"/>
      <c r="S162" s="1465"/>
      <c r="T162" s="1465"/>
      <c r="U162" s="1465"/>
      <c r="V162" s="3410" t="s">
        <v>24</v>
      </c>
      <c r="W162" s="3410"/>
      <c r="X162" s="3410"/>
      <c r="Y162" s="3410"/>
      <c r="Z162" s="1465"/>
      <c r="AA162" s="1465"/>
      <c r="AE162" s="1461"/>
      <c r="AF162" s="1461"/>
    </row>
  </sheetData>
  <protectedRanges>
    <protectedRange sqref="M13:R25 Z13:Z46 A13:E46 M27:R46 M26:N26 Q26:R26 G13:J46 M66:R155 Z66:Z155 A66:E155 G66:J155" name="Range1"/>
  </protectedRanges>
  <mergeCells count="74">
    <mergeCell ref="E162:N162"/>
    <mergeCell ref="K63:L63"/>
    <mergeCell ref="E63:F63"/>
    <mergeCell ref="G63:G64"/>
    <mergeCell ref="E161:N161"/>
    <mergeCell ref="E159:N159"/>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59:Y159"/>
    <mergeCell ref="U63:W63"/>
    <mergeCell ref="E52:N52"/>
    <mergeCell ref="A55:AA55"/>
    <mergeCell ref="E53:N53"/>
    <mergeCell ref="P53:R53"/>
    <mergeCell ref="R63:T63"/>
    <mergeCell ref="A158:C158"/>
    <mergeCell ref="A59:C59"/>
    <mergeCell ref="A60:C60"/>
    <mergeCell ref="A61:C61"/>
    <mergeCell ref="H63:H65"/>
    <mergeCell ref="V162:Y162"/>
    <mergeCell ref="Z63:AA63"/>
    <mergeCell ref="P52:R52"/>
    <mergeCell ref="V52:Y52"/>
    <mergeCell ref="V161:Y161"/>
    <mergeCell ref="P161:R161"/>
    <mergeCell ref="P162:R162"/>
    <mergeCell ref="V53:Y53"/>
    <mergeCell ref="A54:AA54"/>
    <mergeCell ref="A157:C157"/>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verticalCentered="1"/>
  <pageMargins left="0.15748031496062992" right="0.11811023622047245" top="0.23622047244094491" bottom="0.23622047244094491" header="0.51181102362204722" footer="0.51181102362204722"/>
  <pageSetup paperSize="5" scale="41" orientation="landscape" r:id="rId1"/>
  <headerFooter alignWithMargins="0"/>
  <rowBreaks count="1" manualBreakCount="1">
    <brk id="53" max="26" man="1"/>
  </rowBreaks>
  <drawing r:id="rId2"/>
  <legacyDrawing r:id="rId3"/>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186"/>
  <sheetViews>
    <sheetView topLeftCell="A162" zoomScale="65" zoomScaleNormal="65" workbookViewId="0">
      <selection activeCell="I176" sqref="I176"/>
    </sheetView>
  </sheetViews>
  <sheetFormatPr defaultColWidth="9.140625" defaultRowHeight="15.75"/>
  <cols>
    <col min="1" max="1" width="8.14062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525" t="s">
        <v>0</v>
      </c>
      <c r="B1" s="3525"/>
      <c r="C1" s="3525"/>
      <c r="D1" s="3525"/>
      <c r="E1" s="3525"/>
      <c r="F1" s="3525"/>
      <c r="G1" s="3525"/>
      <c r="H1" s="3525"/>
      <c r="I1" s="3525"/>
      <c r="J1" s="3525"/>
      <c r="K1" s="3525"/>
      <c r="L1" s="3525"/>
      <c r="M1" s="3525"/>
      <c r="N1" s="3525"/>
      <c r="O1" s="3525"/>
      <c r="P1" s="3525"/>
      <c r="Q1" s="3525"/>
      <c r="R1" s="3525"/>
      <c r="S1" s="3525"/>
      <c r="T1" s="3525"/>
      <c r="U1" s="3525"/>
      <c r="V1" s="3525"/>
      <c r="W1" s="3525"/>
      <c r="X1" s="3525"/>
      <c r="Y1" s="3525"/>
      <c r="Z1" s="3525"/>
      <c r="AA1" s="3525"/>
      <c r="AB1" s="1562"/>
      <c r="AC1" s="1560"/>
      <c r="AD1" s="1560"/>
      <c r="AE1" s="1560"/>
      <c r="AF1" s="1560"/>
    </row>
    <row r="2" spans="1:32" s="1559" customFormat="1" ht="24.75" customHeight="1">
      <c r="A2" s="3525" t="str">
        <f>'LPP-SPP'!A2:W2</f>
        <v>LAPORAN PERKEMBANGAN PINJAMAN  SPP</v>
      </c>
      <c r="B2" s="3525"/>
      <c r="C2" s="3525"/>
      <c r="D2" s="3525"/>
      <c r="E2" s="3525"/>
      <c r="F2" s="3525"/>
      <c r="G2" s="3525"/>
      <c r="H2" s="3525"/>
      <c r="I2" s="3525"/>
      <c r="J2" s="3525"/>
      <c r="K2" s="3525"/>
      <c r="L2" s="3525"/>
      <c r="M2" s="3525"/>
      <c r="N2" s="3525"/>
      <c r="O2" s="3525"/>
      <c r="P2" s="3525"/>
      <c r="Q2" s="3525"/>
      <c r="R2" s="3525"/>
      <c r="S2" s="3525"/>
      <c r="T2" s="3525"/>
      <c r="U2" s="3525"/>
      <c r="V2" s="3525"/>
      <c r="W2" s="3525"/>
      <c r="X2" s="3525"/>
      <c r="Y2" s="3525"/>
      <c r="Z2" s="3525"/>
      <c r="AA2" s="3525"/>
      <c r="AB2" s="1562"/>
      <c r="AC2" s="1560"/>
      <c r="AD2" s="1560"/>
      <c r="AE2" s="1560"/>
      <c r="AF2" s="1560"/>
    </row>
    <row r="3" spans="1:32" s="1559" customFormat="1" ht="34.5">
      <c r="A3" s="3525" t="s">
        <v>1506</v>
      </c>
      <c r="B3" s="3525"/>
      <c r="C3" s="3525"/>
      <c r="D3" s="3525"/>
      <c r="E3" s="3525"/>
      <c r="F3" s="3525"/>
      <c r="G3" s="3525"/>
      <c r="H3" s="3525"/>
      <c r="I3" s="3525"/>
      <c r="J3" s="3525"/>
      <c r="K3" s="3525"/>
      <c r="L3" s="3525"/>
      <c r="M3" s="3525"/>
      <c r="N3" s="3525"/>
      <c r="O3" s="3525"/>
      <c r="P3" s="3525"/>
      <c r="Q3" s="3525"/>
      <c r="R3" s="3525"/>
      <c r="S3" s="3525"/>
      <c r="T3" s="3525"/>
      <c r="U3" s="3525"/>
      <c r="V3" s="3525"/>
      <c r="W3" s="3525"/>
      <c r="X3" s="3525"/>
      <c r="Y3" s="3525"/>
      <c r="Z3" s="3525"/>
      <c r="AA3" s="3525"/>
      <c r="AB3" s="1561"/>
      <c r="AC3" s="1560"/>
      <c r="AD3" s="1560"/>
      <c r="AE3" s="1560"/>
      <c r="AF3" s="1560"/>
    </row>
    <row r="4" spans="1:32" s="1542" customFormat="1" ht="24.75" customHeight="1">
      <c r="A4" s="3525" t="str">
        <f>'LPP-SPP'!A4</f>
        <v>Per - Februari 2016 2016</v>
      </c>
      <c r="B4" s="3525"/>
      <c r="C4" s="3525"/>
      <c r="D4" s="3525"/>
      <c r="E4" s="3525"/>
      <c r="F4" s="3525"/>
      <c r="G4" s="3525"/>
      <c r="H4" s="3525"/>
      <c r="I4" s="3525"/>
      <c r="J4" s="3525"/>
      <c r="K4" s="3525"/>
      <c r="L4" s="3525"/>
      <c r="M4" s="3525"/>
      <c r="N4" s="3525"/>
      <c r="O4" s="3525"/>
      <c r="P4" s="3525"/>
      <c r="Q4" s="3525"/>
      <c r="R4" s="3525"/>
      <c r="S4" s="3525"/>
      <c r="T4" s="3525"/>
      <c r="U4" s="3525"/>
      <c r="V4" s="3525"/>
      <c r="W4" s="3525"/>
      <c r="X4" s="3525"/>
      <c r="Y4" s="3525"/>
      <c r="Z4" s="3525"/>
      <c r="AA4" s="3525"/>
      <c r="AB4" s="1556"/>
      <c r="AC4" s="1555"/>
      <c r="AD4" s="1555"/>
      <c r="AE4" s="1555"/>
      <c r="AF4" s="1555"/>
    </row>
    <row r="5" spans="1:32" s="1542" customFormat="1" ht="24.75" customHeight="1">
      <c r="A5" s="3744" t="s">
        <v>1503</v>
      </c>
      <c r="B5" s="3744"/>
      <c r="C5" s="3744"/>
      <c r="D5" s="1553"/>
      <c r="E5" s="1558" t="str">
        <f>":  "&amp;DT!I7</f>
        <v>:  NAGRAK SELATAN</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744" t="s">
        <v>1502</v>
      </c>
      <c r="B6" s="3744"/>
      <c r="C6" s="3744"/>
      <c r="D6" s="1553"/>
      <c r="E6" s="1552" t="str">
        <f>'LPP-SPP'!F6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744" t="s">
        <v>1501</v>
      </c>
      <c r="B7" s="3744"/>
      <c r="C7" s="3744"/>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744" t="s">
        <v>1500</v>
      </c>
      <c r="B8" s="3744"/>
      <c r="C8" s="3744"/>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705" t="s">
        <v>36</v>
      </c>
      <c r="B10" s="3705" t="s">
        <v>1499</v>
      </c>
      <c r="C10" s="3705"/>
      <c r="D10" s="3705" t="s">
        <v>1498</v>
      </c>
      <c r="E10" s="3705" t="s">
        <v>1497</v>
      </c>
      <c r="F10" s="3705"/>
      <c r="G10" s="3705" t="s">
        <v>1496</v>
      </c>
      <c r="H10" s="3705" t="s">
        <v>1495</v>
      </c>
      <c r="I10" s="3705" t="s">
        <v>1494</v>
      </c>
      <c r="J10" s="3705" t="s">
        <v>1493</v>
      </c>
      <c r="K10" s="3705" t="s">
        <v>1492</v>
      </c>
      <c r="L10" s="3705"/>
      <c r="M10" s="3705" t="s">
        <v>1491</v>
      </c>
      <c r="N10" s="3705"/>
      <c r="O10" s="3705" t="s">
        <v>1490</v>
      </c>
      <c r="P10" s="3705"/>
      <c r="Q10" s="3705"/>
      <c r="R10" s="3705" t="s">
        <v>1489</v>
      </c>
      <c r="S10" s="3705"/>
      <c r="T10" s="3705"/>
      <c r="U10" s="3705" t="s">
        <v>1488</v>
      </c>
      <c r="V10" s="3705"/>
      <c r="W10" s="3705"/>
      <c r="X10" s="3705" t="s">
        <v>1487</v>
      </c>
      <c r="Y10" s="3705" t="s">
        <v>1486</v>
      </c>
      <c r="Z10" s="3705" t="s">
        <v>1485</v>
      </c>
      <c r="AA10" s="3705"/>
      <c r="AB10" s="3746" t="s">
        <v>1484</v>
      </c>
      <c r="AC10" s="1541" t="s">
        <v>1483</v>
      </c>
      <c r="AD10" s="1540" t="s">
        <v>1482</v>
      </c>
      <c r="AE10" s="1540" t="s">
        <v>1481</v>
      </c>
      <c r="AF10" s="1539" t="s">
        <v>1480</v>
      </c>
    </row>
    <row r="11" spans="1:32" ht="31.5" customHeight="1">
      <c r="A11" s="3705"/>
      <c r="B11" s="2543" t="s">
        <v>1479</v>
      </c>
      <c r="C11" s="2543" t="s">
        <v>1478</v>
      </c>
      <c r="D11" s="3705"/>
      <c r="E11" s="2544" t="s">
        <v>16</v>
      </c>
      <c r="F11" s="2544" t="s">
        <v>1476</v>
      </c>
      <c r="G11" s="3705"/>
      <c r="H11" s="3705"/>
      <c r="I11" s="3705"/>
      <c r="J11" s="3705"/>
      <c r="K11" s="3705" t="s">
        <v>16</v>
      </c>
      <c r="L11" s="3705" t="s">
        <v>1476</v>
      </c>
      <c r="M11" s="2544" t="s">
        <v>16</v>
      </c>
      <c r="N11" s="2544" t="s">
        <v>1476</v>
      </c>
      <c r="O11" s="2544" t="s">
        <v>16</v>
      </c>
      <c r="P11" s="2544" t="s">
        <v>1476</v>
      </c>
      <c r="Q11" s="2544" t="s">
        <v>1477</v>
      </c>
      <c r="R11" s="2544" t="s">
        <v>16</v>
      </c>
      <c r="S11" s="2544" t="s">
        <v>1476</v>
      </c>
      <c r="T11" s="2544" t="s">
        <v>1477</v>
      </c>
      <c r="U11" s="2544" t="s">
        <v>16</v>
      </c>
      <c r="V11" s="2544" t="s">
        <v>1476</v>
      </c>
      <c r="W11" s="2544" t="s">
        <v>1477</v>
      </c>
      <c r="X11" s="3705"/>
      <c r="Y11" s="3705"/>
      <c r="Z11" s="2544" t="s">
        <v>16</v>
      </c>
      <c r="AA11" s="2545" t="s">
        <v>1476</v>
      </c>
      <c r="AB11" s="3746"/>
      <c r="AC11" s="1531" t="s">
        <v>1475</v>
      </c>
      <c r="AD11" s="1530" t="s">
        <v>1474</v>
      </c>
      <c r="AE11" s="1530" t="s">
        <v>1473</v>
      </c>
      <c r="AF11" s="1529" t="s">
        <v>1472</v>
      </c>
    </row>
    <row r="12" spans="1:32" s="1528" customFormat="1" ht="14.25" customHeight="1" thickBot="1">
      <c r="A12" s="2545">
        <v>1</v>
      </c>
      <c r="B12" s="2545">
        <v>2</v>
      </c>
      <c r="C12" s="2545">
        <v>3</v>
      </c>
      <c r="D12" s="3705"/>
      <c r="E12" s="2545">
        <v>4</v>
      </c>
      <c r="F12" s="2545">
        <v>5</v>
      </c>
      <c r="G12" s="2545">
        <v>6</v>
      </c>
      <c r="H12" s="3705"/>
      <c r="I12" s="3705"/>
      <c r="J12" s="3705"/>
      <c r="K12" s="3705"/>
      <c r="L12" s="3705"/>
      <c r="M12" s="2545">
        <v>7</v>
      </c>
      <c r="N12" s="2545">
        <v>8</v>
      </c>
      <c r="O12" s="2545">
        <v>9</v>
      </c>
      <c r="P12" s="2545">
        <v>10</v>
      </c>
      <c r="Q12" s="2545">
        <v>11</v>
      </c>
      <c r="R12" s="2545">
        <v>12</v>
      </c>
      <c r="S12" s="2545">
        <v>13</v>
      </c>
      <c r="T12" s="2545">
        <v>14</v>
      </c>
      <c r="U12" s="2545" t="s">
        <v>1471</v>
      </c>
      <c r="V12" s="2545" t="s">
        <v>1470</v>
      </c>
      <c r="W12" s="2545" t="s">
        <v>1469</v>
      </c>
      <c r="X12" s="2545" t="s">
        <v>1468</v>
      </c>
      <c r="Y12" s="2545" t="s">
        <v>1467</v>
      </c>
      <c r="Z12" s="2545" t="s">
        <v>1466</v>
      </c>
      <c r="AA12" s="2545" t="s">
        <v>1465</v>
      </c>
      <c r="AB12" s="2920">
        <v>22</v>
      </c>
      <c r="AC12" s="1518">
        <v>23</v>
      </c>
      <c r="AD12" s="1517">
        <v>24</v>
      </c>
      <c r="AE12" s="1517">
        <v>25</v>
      </c>
      <c r="AF12" s="1516">
        <v>26</v>
      </c>
    </row>
    <row r="13" spans="1:32" s="1474" customFormat="1" ht="23.25" customHeight="1" thickTop="1">
      <c r="A13" s="1515">
        <v>1</v>
      </c>
      <c r="B13" s="1513" t="s">
        <v>2030</v>
      </c>
      <c r="C13" s="1514" t="s">
        <v>1916</v>
      </c>
      <c r="D13" s="1514"/>
      <c r="E13" s="1513">
        <v>10000000</v>
      </c>
      <c r="F13" s="1512">
        <f t="shared" ref="F13:F46" si="0">E13*H13</f>
        <v>1500000</v>
      </c>
      <c r="G13" s="1508" t="s">
        <v>1921</v>
      </c>
      <c r="H13" s="1511">
        <v>0.15</v>
      </c>
      <c r="I13" s="1508">
        <v>10</v>
      </c>
      <c r="J13" s="1508">
        <v>10</v>
      </c>
      <c r="K13" s="1508">
        <v>1000000</v>
      </c>
      <c r="L13" s="1508">
        <v>150000</v>
      </c>
      <c r="M13" s="1567">
        <f t="shared" ref="M13:M46" si="1">IF(J13&lt;I13,J13*K13,IF(J13&gt;=I13,E13))</f>
        <v>10000000</v>
      </c>
      <c r="N13" s="1510">
        <f t="shared" ref="N13:N46" si="2">IF(J13&lt;I13,J13*L13,IF(J13&gt;=I13,F13))</f>
        <v>1500000</v>
      </c>
      <c r="O13" s="1509">
        <v>10000000</v>
      </c>
      <c r="P13" s="1509">
        <v>1500000</v>
      </c>
      <c r="Q13" s="1509"/>
      <c r="R13" s="1508">
        <v>0</v>
      </c>
      <c r="S13" s="1508">
        <v>0</v>
      </c>
      <c r="T13" s="1507"/>
      <c r="U13" s="1495">
        <f t="shared" ref="U13:U46" si="3">SUM(O13+R13)</f>
        <v>10000000</v>
      </c>
      <c r="V13" s="1495">
        <f t="shared" ref="V13:V46" si="4">SUM(P13+S13)</f>
        <v>1500000</v>
      </c>
      <c r="W13" s="1495">
        <f t="shared" ref="W13:W46" si="5">SUM(Q13+T13)</f>
        <v>0</v>
      </c>
      <c r="X13" s="1495">
        <f t="shared" ref="X13:X46" si="6">SUM(E13-U13)</f>
        <v>0</v>
      </c>
      <c r="Y13" s="1495">
        <f t="shared" ref="Y13:Y46" si="7">SUM(U13/M13)*100</f>
        <v>100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f>A13+1</f>
        <v>2</v>
      </c>
      <c r="B14" s="1513" t="s">
        <v>2031</v>
      </c>
      <c r="C14" s="1514" t="s">
        <v>1916</v>
      </c>
      <c r="D14" s="1514"/>
      <c r="E14" s="1513">
        <v>8000000</v>
      </c>
      <c r="F14" s="1512">
        <f t="shared" si="0"/>
        <v>1440000</v>
      </c>
      <c r="G14" s="1508" t="s">
        <v>1921</v>
      </c>
      <c r="H14" s="1511">
        <v>0.18</v>
      </c>
      <c r="I14" s="1508">
        <v>12</v>
      </c>
      <c r="J14" s="1508">
        <v>12</v>
      </c>
      <c r="K14" s="1508">
        <v>666700</v>
      </c>
      <c r="L14" s="1508">
        <v>120000</v>
      </c>
      <c r="M14" s="1510">
        <f t="shared" si="1"/>
        <v>8000000</v>
      </c>
      <c r="N14" s="1510">
        <f t="shared" si="2"/>
        <v>1440000</v>
      </c>
      <c r="O14" s="1509">
        <v>8000000</v>
      </c>
      <c r="P14" s="1509">
        <v>1440000</v>
      </c>
      <c r="Q14" s="1509"/>
      <c r="R14" s="1508"/>
      <c r="S14" s="1508">
        <v>0</v>
      </c>
      <c r="T14" s="1507"/>
      <c r="U14" s="1495">
        <f t="shared" si="3"/>
        <v>8000000</v>
      </c>
      <c r="V14" s="1495">
        <f t="shared" si="4"/>
        <v>1440000</v>
      </c>
      <c r="W14" s="1495">
        <f t="shared" si="5"/>
        <v>0</v>
      </c>
      <c r="X14" s="1495">
        <f t="shared" si="6"/>
        <v>0</v>
      </c>
      <c r="Y14" s="1495">
        <f t="shared" si="7"/>
        <v>100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f t="shared" ref="A15:A28" si="14">A14+1</f>
        <v>3</v>
      </c>
      <c r="B15" s="1513" t="s">
        <v>2032</v>
      </c>
      <c r="C15" s="1514" t="s">
        <v>1916</v>
      </c>
      <c r="D15" s="1514"/>
      <c r="E15" s="1513">
        <v>14000000</v>
      </c>
      <c r="F15" s="1512">
        <f t="shared" si="0"/>
        <v>2520000</v>
      </c>
      <c r="G15" s="1508" t="s">
        <v>1921</v>
      </c>
      <c r="H15" s="1511">
        <v>0.18</v>
      </c>
      <c r="I15" s="1508">
        <v>10</v>
      </c>
      <c r="J15" s="1508">
        <v>10</v>
      </c>
      <c r="K15" s="1508">
        <v>1400000</v>
      </c>
      <c r="L15" s="1508">
        <v>252000</v>
      </c>
      <c r="M15" s="1510">
        <f t="shared" si="1"/>
        <v>14000000</v>
      </c>
      <c r="N15" s="1510">
        <f t="shared" si="2"/>
        <v>2520000</v>
      </c>
      <c r="O15" s="1509">
        <v>14000000</v>
      </c>
      <c r="P15" s="1509">
        <v>2520000</v>
      </c>
      <c r="Q15" s="1509"/>
      <c r="R15" s="1508">
        <v>0</v>
      </c>
      <c r="S15" s="1508">
        <v>0</v>
      </c>
      <c r="T15" s="1507"/>
      <c r="U15" s="1495">
        <f t="shared" si="3"/>
        <v>14000000</v>
      </c>
      <c r="V15" s="1495">
        <f t="shared" si="4"/>
        <v>2520000</v>
      </c>
      <c r="W15" s="1495">
        <f t="shared" si="5"/>
        <v>0</v>
      </c>
      <c r="X15" s="1495">
        <f t="shared" si="6"/>
        <v>0</v>
      </c>
      <c r="Y15" s="1495">
        <f t="shared" si="7"/>
        <v>100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f t="shared" si="14"/>
        <v>4</v>
      </c>
      <c r="B16" s="1513" t="s">
        <v>2033</v>
      </c>
      <c r="C16" s="1514" t="s">
        <v>1919</v>
      </c>
      <c r="D16" s="1514"/>
      <c r="E16" s="1513">
        <v>8000000</v>
      </c>
      <c r="F16" s="1512">
        <f t="shared" si="0"/>
        <v>1440000</v>
      </c>
      <c r="G16" s="2141">
        <v>40098</v>
      </c>
      <c r="H16" s="1511">
        <v>0.18</v>
      </c>
      <c r="I16" s="1508">
        <v>10</v>
      </c>
      <c r="J16" s="1508">
        <v>10</v>
      </c>
      <c r="K16" s="1508">
        <v>800000</v>
      </c>
      <c r="L16" s="1508">
        <v>144000</v>
      </c>
      <c r="M16" s="1510">
        <f t="shared" si="1"/>
        <v>8000000</v>
      </c>
      <c r="N16" s="1510">
        <f t="shared" si="2"/>
        <v>1440000</v>
      </c>
      <c r="O16" s="1509">
        <v>8000000</v>
      </c>
      <c r="P16" s="1509">
        <v>1440000</v>
      </c>
      <c r="Q16" s="1509"/>
      <c r="R16" s="1508">
        <v>0</v>
      </c>
      <c r="S16" s="1508">
        <v>0</v>
      </c>
      <c r="T16" s="1507"/>
      <c r="U16" s="1495">
        <f t="shared" si="3"/>
        <v>8000000</v>
      </c>
      <c r="V16" s="1495">
        <f t="shared" si="4"/>
        <v>1440000</v>
      </c>
      <c r="W16" s="1495">
        <f t="shared" si="5"/>
        <v>0</v>
      </c>
      <c r="X16" s="1495">
        <f t="shared" si="6"/>
        <v>0</v>
      </c>
      <c r="Y16" s="1495">
        <f t="shared" si="7"/>
        <v>100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f t="shared" si="14"/>
        <v>5</v>
      </c>
      <c r="B17" s="1513" t="s">
        <v>2034</v>
      </c>
      <c r="C17" s="1514" t="s">
        <v>1919</v>
      </c>
      <c r="D17" s="1514"/>
      <c r="E17" s="1513">
        <v>7000000</v>
      </c>
      <c r="F17" s="1512">
        <f t="shared" si="0"/>
        <v>1260000</v>
      </c>
      <c r="G17" s="2141">
        <v>40098</v>
      </c>
      <c r="H17" s="1511">
        <v>0.18</v>
      </c>
      <c r="I17" s="1508">
        <v>12</v>
      </c>
      <c r="J17" s="1508">
        <v>12</v>
      </c>
      <c r="K17" s="1508">
        <v>583300</v>
      </c>
      <c r="L17" s="1508">
        <v>105000</v>
      </c>
      <c r="M17" s="1510">
        <f t="shared" si="1"/>
        <v>7000000</v>
      </c>
      <c r="N17" s="1510">
        <f t="shared" si="2"/>
        <v>1260000</v>
      </c>
      <c r="O17" s="1509">
        <v>7000000</v>
      </c>
      <c r="P17" s="1509">
        <v>1260000</v>
      </c>
      <c r="Q17" s="1509"/>
      <c r="R17" s="1508">
        <v>0</v>
      </c>
      <c r="S17" s="1508">
        <v>0</v>
      </c>
      <c r="T17" s="1507"/>
      <c r="U17" s="1495">
        <f t="shared" si="3"/>
        <v>7000000</v>
      </c>
      <c r="V17" s="1495">
        <f t="shared" si="4"/>
        <v>1260000</v>
      </c>
      <c r="W17" s="1495">
        <f t="shared" si="5"/>
        <v>0</v>
      </c>
      <c r="X17" s="1495">
        <f t="shared" si="6"/>
        <v>0</v>
      </c>
      <c r="Y17" s="1495">
        <f t="shared" si="7"/>
        <v>100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f t="shared" si="14"/>
        <v>6</v>
      </c>
      <c r="B18" s="1513" t="s">
        <v>2035</v>
      </c>
      <c r="C18" s="1514" t="s">
        <v>1919</v>
      </c>
      <c r="D18" s="1514"/>
      <c r="E18" s="1513">
        <v>7000000</v>
      </c>
      <c r="F18" s="1512">
        <f t="shared" si="0"/>
        <v>1260000</v>
      </c>
      <c r="G18" s="2141">
        <v>40098</v>
      </c>
      <c r="H18" s="1511">
        <v>0.18</v>
      </c>
      <c r="I18" s="1508">
        <v>12</v>
      </c>
      <c r="J18" s="1508">
        <v>12</v>
      </c>
      <c r="K18" s="1508">
        <v>583300</v>
      </c>
      <c r="L18" s="1508">
        <v>105000</v>
      </c>
      <c r="M18" s="1510">
        <f t="shared" si="1"/>
        <v>7000000</v>
      </c>
      <c r="N18" s="1510">
        <f t="shared" si="2"/>
        <v>1260000</v>
      </c>
      <c r="O18" s="1509">
        <v>7000000</v>
      </c>
      <c r="P18" s="1509">
        <v>1260000</v>
      </c>
      <c r="Q18" s="1509"/>
      <c r="R18" s="1508">
        <v>0</v>
      </c>
      <c r="S18" s="1508">
        <v>0</v>
      </c>
      <c r="T18" s="1507"/>
      <c r="U18" s="1495">
        <f t="shared" si="3"/>
        <v>7000000</v>
      </c>
      <c r="V18" s="1495">
        <f t="shared" si="4"/>
        <v>1260000</v>
      </c>
      <c r="W18" s="1495">
        <f t="shared" si="5"/>
        <v>0</v>
      </c>
      <c r="X18" s="1495">
        <f t="shared" si="6"/>
        <v>0</v>
      </c>
      <c r="Y18" s="1495">
        <f t="shared" si="7"/>
        <v>100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f t="shared" si="14"/>
        <v>7</v>
      </c>
      <c r="B19" s="1513" t="s">
        <v>1951</v>
      </c>
      <c r="C19" s="1514" t="s">
        <v>1919</v>
      </c>
      <c r="D19" s="1514"/>
      <c r="E19" s="1513">
        <v>7000000</v>
      </c>
      <c r="F19" s="1512">
        <f t="shared" si="0"/>
        <v>1260000</v>
      </c>
      <c r="G19" s="2141">
        <v>40098</v>
      </c>
      <c r="H19" s="1511">
        <v>0.18</v>
      </c>
      <c r="I19" s="1508">
        <v>10</v>
      </c>
      <c r="J19" s="1508">
        <v>10</v>
      </c>
      <c r="K19" s="1508">
        <v>700000</v>
      </c>
      <c r="L19" s="1508">
        <v>126000</v>
      </c>
      <c r="M19" s="1510">
        <f t="shared" si="1"/>
        <v>7000000</v>
      </c>
      <c r="N19" s="1510">
        <f t="shared" si="2"/>
        <v>1260000</v>
      </c>
      <c r="O19" s="1509">
        <v>7000000</v>
      </c>
      <c r="P19" s="1509">
        <v>1260000</v>
      </c>
      <c r="Q19" s="1509"/>
      <c r="R19" s="1508">
        <v>0</v>
      </c>
      <c r="S19" s="1508">
        <v>0</v>
      </c>
      <c r="T19" s="1507"/>
      <c r="U19" s="1495">
        <f t="shared" si="3"/>
        <v>7000000</v>
      </c>
      <c r="V19" s="1495">
        <f t="shared" si="4"/>
        <v>1260000</v>
      </c>
      <c r="W19" s="1495">
        <f t="shared" si="5"/>
        <v>0</v>
      </c>
      <c r="X19" s="1495">
        <f t="shared" si="6"/>
        <v>0</v>
      </c>
      <c r="Y19" s="1495">
        <f t="shared" si="7"/>
        <v>100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f t="shared" si="14"/>
        <v>8</v>
      </c>
      <c r="B20" s="1513" t="s">
        <v>2036</v>
      </c>
      <c r="C20" s="1514" t="s">
        <v>1919</v>
      </c>
      <c r="D20" s="1514"/>
      <c r="E20" s="1513">
        <v>6000000</v>
      </c>
      <c r="F20" s="1512">
        <f t="shared" si="0"/>
        <v>1080000</v>
      </c>
      <c r="G20" s="2141">
        <v>40098</v>
      </c>
      <c r="H20" s="1511">
        <v>0.18</v>
      </c>
      <c r="I20" s="1508">
        <v>12</v>
      </c>
      <c r="J20" s="1508">
        <v>12</v>
      </c>
      <c r="K20" s="1508">
        <v>500000</v>
      </c>
      <c r="L20" s="1508">
        <v>90000</v>
      </c>
      <c r="M20" s="1510">
        <f t="shared" si="1"/>
        <v>6000000</v>
      </c>
      <c r="N20" s="1510">
        <f t="shared" si="2"/>
        <v>1080000</v>
      </c>
      <c r="O20" s="1509">
        <v>6000000</v>
      </c>
      <c r="P20" s="1509">
        <v>1080000</v>
      </c>
      <c r="Q20" s="1509"/>
      <c r="R20" s="1508">
        <v>0</v>
      </c>
      <c r="S20" s="1508">
        <v>0</v>
      </c>
      <c r="T20" s="1507"/>
      <c r="U20" s="1495">
        <f t="shared" si="3"/>
        <v>6000000</v>
      </c>
      <c r="V20" s="1495">
        <f t="shared" si="4"/>
        <v>1080000</v>
      </c>
      <c r="W20" s="1495">
        <f t="shared" si="5"/>
        <v>0</v>
      </c>
      <c r="X20" s="1495">
        <f t="shared" si="6"/>
        <v>0</v>
      </c>
      <c r="Y20" s="1495">
        <f t="shared" si="7"/>
        <v>100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f t="shared" si="14"/>
        <v>9</v>
      </c>
      <c r="B21" s="1513" t="s">
        <v>2032</v>
      </c>
      <c r="C21" s="1514" t="s">
        <v>1919</v>
      </c>
      <c r="D21" s="1514"/>
      <c r="E21" s="1513">
        <v>15000000</v>
      </c>
      <c r="F21" s="1512">
        <f t="shared" si="0"/>
        <v>2700000</v>
      </c>
      <c r="G21" s="2141">
        <v>40098</v>
      </c>
      <c r="H21" s="1511">
        <v>0.18</v>
      </c>
      <c r="I21" s="1508">
        <v>10</v>
      </c>
      <c r="J21" s="1508">
        <v>10</v>
      </c>
      <c r="K21" s="1508">
        <v>1500000</v>
      </c>
      <c r="L21" s="1508">
        <v>270000</v>
      </c>
      <c r="M21" s="1510">
        <f t="shared" si="1"/>
        <v>15000000</v>
      </c>
      <c r="N21" s="1510">
        <f t="shared" si="2"/>
        <v>2700000</v>
      </c>
      <c r="O21" s="1509">
        <v>15000000</v>
      </c>
      <c r="P21" s="1509">
        <v>2700000</v>
      </c>
      <c r="Q21" s="1509"/>
      <c r="R21" s="1508">
        <v>0</v>
      </c>
      <c r="S21" s="1508">
        <v>0</v>
      </c>
      <c r="T21" s="1507"/>
      <c r="U21" s="1495">
        <f t="shared" si="3"/>
        <v>15000000</v>
      </c>
      <c r="V21" s="1495">
        <f t="shared" si="4"/>
        <v>2700000</v>
      </c>
      <c r="W21" s="1495">
        <f t="shared" si="5"/>
        <v>0</v>
      </c>
      <c r="X21" s="1495">
        <f t="shared" si="6"/>
        <v>0</v>
      </c>
      <c r="Y21" s="1495">
        <f t="shared" si="7"/>
        <v>100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f t="shared" si="14"/>
        <v>10</v>
      </c>
      <c r="B22" s="1513" t="s">
        <v>2037</v>
      </c>
      <c r="C22" s="1514" t="s">
        <v>1996</v>
      </c>
      <c r="D22" s="1514"/>
      <c r="E22" s="1513">
        <v>7000000</v>
      </c>
      <c r="F22" s="1512">
        <f t="shared" si="0"/>
        <v>1260000</v>
      </c>
      <c r="G22" s="2141">
        <v>40486</v>
      </c>
      <c r="H22" s="1511">
        <v>0.18</v>
      </c>
      <c r="I22" s="1508">
        <v>10</v>
      </c>
      <c r="J22" s="2404">
        <v>10</v>
      </c>
      <c r="K22" s="1508">
        <v>700000</v>
      </c>
      <c r="L22" s="1508">
        <v>126000</v>
      </c>
      <c r="M22" s="1510">
        <f t="shared" si="1"/>
        <v>7000000</v>
      </c>
      <c r="N22" s="1510">
        <f t="shared" si="2"/>
        <v>1260000</v>
      </c>
      <c r="O22" s="1509">
        <v>7000000</v>
      </c>
      <c r="P22" s="1509">
        <v>1260000</v>
      </c>
      <c r="Q22" s="1509"/>
      <c r="R22" s="1508"/>
      <c r="S22" s="1508"/>
      <c r="T22" s="1507"/>
      <c r="U22" s="1495">
        <f t="shared" si="3"/>
        <v>7000000</v>
      </c>
      <c r="V22" s="1495">
        <f t="shared" si="4"/>
        <v>1260000</v>
      </c>
      <c r="W22" s="1495">
        <f t="shared" si="5"/>
        <v>0</v>
      </c>
      <c r="X22" s="1495">
        <f t="shared" si="6"/>
        <v>0</v>
      </c>
      <c r="Y22" s="1495">
        <f t="shared" si="7"/>
        <v>100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f t="shared" si="14"/>
        <v>11</v>
      </c>
      <c r="B23" s="1513" t="s">
        <v>2038</v>
      </c>
      <c r="C23" s="1514" t="s">
        <v>1996</v>
      </c>
      <c r="D23" s="1514"/>
      <c r="E23" s="1513">
        <v>6000000</v>
      </c>
      <c r="F23" s="1512">
        <f t="shared" si="0"/>
        <v>1080000</v>
      </c>
      <c r="G23" s="2141">
        <v>40486</v>
      </c>
      <c r="H23" s="1511">
        <v>0.18</v>
      </c>
      <c r="I23" s="1508">
        <v>10</v>
      </c>
      <c r="J23" s="2404">
        <v>10</v>
      </c>
      <c r="K23" s="1508">
        <v>600000</v>
      </c>
      <c r="L23" s="1508">
        <v>108000</v>
      </c>
      <c r="M23" s="1510">
        <f t="shared" si="1"/>
        <v>6000000</v>
      </c>
      <c r="N23" s="1510">
        <f t="shared" si="2"/>
        <v>1080000</v>
      </c>
      <c r="O23" s="1509">
        <v>6000000</v>
      </c>
      <c r="P23" s="1509">
        <v>1080000</v>
      </c>
      <c r="Q23" s="1509"/>
      <c r="R23" s="1508"/>
      <c r="S23" s="1508"/>
      <c r="T23" s="1507"/>
      <c r="U23" s="1495">
        <f t="shared" si="3"/>
        <v>6000000</v>
      </c>
      <c r="V23" s="1495">
        <f t="shared" si="4"/>
        <v>1080000</v>
      </c>
      <c r="W23" s="1495">
        <f t="shared" si="5"/>
        <v>0</v>
      </c>
      <c r="X23" s="1495">
        <f t="shared" si="6"/>
        <v>0</v>
      </c>
      <c r="Y23" s="1495">
        <f t="shared" si="7"/>
        <v>100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f t="shared" si="14"/>
        <v>12</v>
      </c>
      <c r="B24" s="1513" t="s">
        <v>2039</v>
      </c>
      <c r="C24" s="1514" t="s">
        <v>1996</v>
      </c>
      <c r="D24" s="1514"/>
      <c r="E24" s="1513">
        <v>8000000</v>
      </c>
      <c r="F24" s="1512">
        <f t="shared" si="0"/>
        <v>1440000</v>
      </c>
      <c r="G24" s="2141">
        <v>40486</v>
      </c>
      <c r="H24" s="1511">
        <v>0.18</v>
      </c>
      <c r="I24" s="1508">
        <v>12</v>
      </c>
      <c r="J24" s="2404">
        <v>12</v>
      </c>
      <c r="K24" s="1508">
        <v>666700</v>
      </c>
      <c r="L24" s="1508">
        <v>120000</v>
      </c>
      <c r="M24" s="1510">
        <f t="shared" si="1"/>
        <v>8000000</v>
      </c>
      <c r="N24" s="2403">
        <f>IF(J24&lt;I24,J24*L24,IF(J24&gt;=I24,F24))-120000</f>
        <v>1320000</v>
      </c>
      <c r="O24" s="1509">
        <v>8000000</v>
      </c>
      <c r="P24" s="1509">
        <v>1320000</v>
      </c>
      <c r="Q24" s="1509"/>
      <c r="R24" s="1508"/>
      <c r="S24" s="1508"/>
      <c r="T24" s="1507"/>
      <c r="U24" s="1495">
        <f t="shared" si="3"/>
        <v>8000000</v>
      </c>
      <c r="V24" s="1495">
        <f t="shared" si="4"/>
        <v>1320000</v>
      </c>
      <c r="W24" s="1495">
        <f t="shared" si="5"/>
        <v>0</v>
      </c>
      <c r="X24" s="1495">
        <f t="shared" si="6"/>
        <v>0</v>
      </c>
      <c r="Y24" s="1495">
        <f t="shared" si="7"/>
        <v>100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f t="shared" si="14"/>
        <v>13</v>
      </c>
      <c r="B25" s="1513" t="s">
        <v>2040</v>
      </c>
      <c r="C25" s="1514" t="s">
        <v>1996</v>
      </c>
      <c r="D25" s="1514"/>
      <c r="E25" s="1513">
        <v>8000000</v>
      </c>
      <c r="F25" s="1512">
        <f t="shared" si="0"/>
        <v>1440000</v>
      </c>
      <c r="G25" s="2141">
        <v>40486</v>
      </c>
      <c r="H25" s="1511">
        <v>0.18</v>
      </c>
      <c r="I25" s="1508">
        <v>10</v>
      </c>
      <c r="J25" s="2404">
        <v>10</v>
      </c>
      <c r="K25" s="1508">
        <v>800000</v>
      </c>
      <c r="L25" s="1508">
        <v>144000</v>
      </c>
      <c r="M25" s="1510">
        <f t="shared" si="1"/>
        <v>8000000</v>
      </c>
      <c r="N25" s="1510">
        <f t="shared" si="2"/>
        <v>1440000</v>
      </c>
      <c r="O25" s="1509">
        <v>8000000</v>
      </c>
      <c r="P25" s="1509">
        <v>1440000</v>
      </c>
      <c r="Q25" s="1509"/>
      <c r="R25" s="1508"/>
      <c r="S25" s="1508"/>
      <c r="T25" s="1507"/>
      <c r="U25" s="1495">
        <f t="shared" si="3"/>
        <v>8000000</v>
      </c>
      <c r="V25" s="1495">
        <f t="shared" si="4"/>
        <v>1440000</v>
      </c>
      <c r="W25" s="1495">
        <f t="shared" si="5"/>
        <v>0</v>
      </c>
      <c r="X25" s="1495">
        <f t="shared" si="6"/>
        <v>0</v>
      </c>
      <c r="Y25" s="1495">
        <f t="shared" si="7"/>
        <v>100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f t="shared" si="14"/>
        <v>14</v>
      </c>
      <c r="B26" s="1513" t="s">
        <v>1951</v>
      </c>
      <c r="C26" s="1514" t="s">
        <v>1996</v>
      </c>
      <c r="D26" s="1514"/>
      <c r="E26" s="1513">
        <v>18000000</v>
      </c>
      <c r="F26" s="1512">
        <f t="shared" si="0"/>
        <v>3240000</v>
      </c>
      <c r="G26" s="2141">
        <v>40486</v>
      </c>
      <c r="H26" s="1511">
        <v>0.18</v>
      </c>
      <c r="I26" s="1508">
        <v>12</v>
      </c>
      <c r="J26" s="1508">
        <v>12</v>
      </c>
      <c r="K26" s="1508">
        <v>1500000</v>
      </c>
      <c r="L26" s="1508">
        <v>270000</v>
      </c>
      <c r="M26" s="1510">
        <f t="shared" si="1"/>
        <v>18000000</v>
      </c>
      <c r="N26" s="1510">
        <f t="shared" si="2"/>
        <v>3240000</v>
      </c>
      <c r="O26" s="1509">
        <v>18000000</v>
      </c>
      <c r="P26" s="1509">
        <v>3240000</v>
      </c>
      <c r="Q26" s="1509"/>
      <c r="R26" s="1508"/>
      <c r="S26" s="1508"/>
      <c r="T26" s="1507"/>
      <c r="U26" s="1495">
        <f t="shared" si="3"/>
        <v>18000000</v>
      </c>
      <c r="V26" s="1495">
        <f t="shared" si="4"/>
        <v>3240000</v>
      </c>
      <c r="W26" s="1495">
        <f t="shared" si="5"/>
        <v>0</v>
      </c>
      <c r="X26" s="1495">
        <f t="shared" si="6"/>
        <v>0</v>
      </c>
      <c r="Y26" s="1495">
        <f t="shared" si="7"/>
        <v>100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f t="shared" si="14"/>
        <v>15</v>
      </c>
      <c r="B27" s="1513" t="s">
        <v>2041</v>
      </c>
      <c r="C27" s="1514" t="s">
        <v>2042</v>
      </c>
      <c r="D27" s="1514"/>
      <c r="E27" s="1513">
        <v>5450000</v>
      </c>
      <c r="F27" s="1512">
        <f t="shared" si="0"/>
        <v>981000</v>
      </c>
      <c r="G27" s="2376" t="s">
        <v>2005</v>
      </c>
      <c r="H27" s="1511">
        <v>0.18</v>
      </c>
      <c r="I27" s="1508">
        <v>10</v>
      </c>
      <c r="J27" s="2404">
        <v>10</v>
      </c>
      <c r="K27" s="1508">
        <v>545000</v>
      </c>
      <c r="L27" s="1508">
        <v>98100</v>
      </c>
      <c r="M27" s="1510">
        <f t="shared" si="1"/>
        <v>5450000</v>
      </c>
      <c r="N27" s="1510">
        <f t="shared" si="2"/>
        <v>981000</v>
      </c>
      <c r="O27" s="1509">
        <v>5450000</v>
      </c>
      <c r="P27" s="1509">
        <v>981000</v>
      </c>
      <c r="Q27" s="1509"/>
      <c r="R27" s="1508"/>
      <c r="S27" s="1508"/>
      <c r="T27" s="1507"/>
      <c r="U27" s="1495">
        <f t="shared" si="3"/>
        <v>5450000</v>
      </c>
      <c r="V27" s="1495">
        <f t="shared" si="4"/>
        <v>981000</v>
      </c>
      <c r="W27" s="1495">
        <f t="shared" si="5"/>
        <v>0</v>
      </c>
      <c r="X27" s="1495">
        <f t="shared" si="6"/>
        <v>0</v>
      </c>
      <c r="Y27" s="1495">
        <f t="shared" si="7"/>
        <v>100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f t="shared" si="14"/>
        <v>16</v>
      </c>
      <c r="B28" s="1513" t="s">
        <v>2043</v>
      </c>
      <c r="C28" s="1514" t="s">
        <v>2042</v>
      </c>
      <c r="D28" s="1514"/>
      <c r="E28" s="1513">
        <v>5200000</v>
      </c>
      <c r="F28" s="1512">
        <f t="shared" si="0"/>
        <v>936000</v>
      </c>
      <c r="G28" s="2376" t="s">
        <v>2005</v>
      </c>
      <c r="H28" s="1511">
        <v>0.18</v>
      </c>
      <c r="I28" s="1508">
        <v>10</v>
      </c>
      <c r="J28" s="1508">
        <v>10</v>
      </c>
      <c r="K28" s="1508">
        <v>520000</v>
      </c>
      <c r="L28" s="1508">
        <v>93600</v>
      </c>
      <c r="M28" s="1510">
        <f t="shared" si="1"/>
        <v>5200000</v>
      </c>
      <c r="N28" s="1510">
        <f t="shared" si="2"/>
        <v>936000</v>
      </c>
      <c r="O28" s="1509">
        <v>5200000</v>
      </c>
      <c r="P28" s="1509">
        <v>936000</v>
      </c>
      <c r="Q28" s="1509"/>
      <c r="R28" s="1508"/>
      <c r="S28" s="1508"/>
      <c r="T28" s="1507"/>
      <c r="U28" s="1495">
        <f t="shared" si="3"/>
        <v>5200000</v>
      </c>
      <c r="V28" s="1495">
        <f t="shared" si="4"/>
        <v>936000</v>
      </c>
      <c r="W28" s="1495">
        <f t="shared" si="5"/>
        <v>0</v>
      </c>
      <c r="X28" s="1495">
        <f t="shared" si="6"/>
        <v>0</v>
      </c>
      <c r="Y28" s="1495">
        <f t="shared" si="7"/>
        <v>100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v>17</v>
      </c>
      <c r="B29" s="1513" t="s">
        <v>2333</v>
      </c>
      <c r="C29" s="1514" t="s">
        <v>2245</v>
      </c>
      <c r="D29" s="1514"/>
      <c r="E29" s="1513">
        <v>5000000</v>
      </c>
      <c r="F29" s="1512">
        <f t="shared" si="0"/>
        <v>900000</v>
      </c>
      <c r="G29" s="2141">
        <v>37546</v>
      </c>
      <c r="H29" s="1511">
        <v>0.18</v>
      </c>
      <c r="I29" s="1508">
        <v>10</v>
      </c>
      <c r="J29" s="1508">
        <v>10</v>
      </c>
      <c r="K29" s="1508">
        <f>E29/I29</f>
        <v>500000</v>
      </c>
      <c r="L29" s="1508">
        <f>F29/I29</f>
        <v>90000</v>
      </c>
      <c r="M29" s="1510">
        <f t="shared" si="1"/>
        <v>5000000</v>
      </c>
      <c r="N29" s="2401">
        <f>IF(J29&lt;I29,J29*L29,IF(J29&gt;=I29,F29))-180000</f>
        <v>720000</v>
      </c>
      <c r="O29" s="1509">
        <v>5000000</v>
      </c>
      <c r="P29" s="1509">
        <v>720000</v>
      </c>
      <c r="Q29" s="1509"/>
      <c r="R29" s="1508"/>
      <c r="S29" s="1508"/>
      <c r="T29" s="1507"/>
      <c r="U29" s="1495">
        <f t="shared" si="3"/>
        <v>5000000</v>
      </c>
      <c r="V29" s="1495">
        <f t="shared" si="4"/>
        <v>720000</v>
      </c>
      <c r="W29" s="1495">
        <f t="shared" si="5"/>
        <v>0</v>
      </c>
      <c r="X29" s="1495">
        <f t="shared" si="6"/>
        <v>0</v>
      </c>
      <c r="Y29" s="1495">
        <f t="shared" si="7"/>
        <v>100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v>18</v>
      </c>
      <c r="B30" s="1513" t="s">
        <v>1971</v>
      </c>
      <c r="C30" s="1514" t="s">
        <v>2245</v>
      </c>
      <c r="D30" s="1514"/>
      <c r="E30" s="1513">
        <v>5600000</v>
      </c>
      <c r="F30" s="1512">
        <f t="shared" si="0"/>
        <v>1008000</v>
      </c>
      <c r="G30" s="2141">
        <v>41199</v>
      </c>
      <c r="H30" s="1511">
        <v>0.18</v>
      </c>
      <c r="I30" s="1508">
        <v>10</v>
      </c>
      <c r="J30" s="1508">
        <v>10</v>
      </c>
      <c r="K30" s="1508">
        <f>E30/I30</f>
        <v>560000</v>
      </c>
      <c r="L30" s="1508">
        <f>F30/I30</f>
        <v>100800</v>
      </c>
      <c r="M30" s="1510">
        <f t="shared" si="1"/>
        <v>5600000</v>
      </c>
      <c r="N30" s="2401">
        <f>IF(J30&lt;I30,J30*L30,IF(J30&gt;=I30,F30))-201600</f>
        <v>806400</v>
      </c>
      <c r="O30" s="1509">
        <v>5600000</v>
      </c>
      <c r="P30" s="1509">
        <v>806400</v>
      </c>
      <c r="Q30" s="1509"/>
      <c r="R30" s="1508"/>
      <c r="S30" s="1508"/>
      <c r="T30" s="1507"/>
      <c r="U30" s="1495">
        <f t="shared" si="3"/>
        <v>5600000</v>
      </c>
      <c r="V30" s="1495">
        <f t="shared" si="4"/>
        <v>806400</v>
      </c>
      <c r="W30" s="1495">
        <f t="shared" si="5"/>
        <v>0</v>
      </c>
      <c r="X30" s="1495">
        <f t="shared" si="6"/>
        <v>0</v>
      </c>
      <c r="Y30" s="1495">
        <f t="shared" si="7"/>
        <v>100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749" t="s">
        <v>934</v>
      </c>
      <c r="B48" s="3750"/>
      <c r="C48" s="3750"/>
      <c r="D48" s="2547">
        <f>SUM(D13:D46)</f>
        <v>0</v>
      </c>
      <c r="E48" s="2548">
        <f>SUM(E13:E46)</f>
        <v>150250000</v>
      </c>
      <c r="F48" s="2546">
        <f>SUM(F13:F46)</f>
        <v>26745000</v>
      </c>
      <c r="G48" s="1481"/>
      <c r="H48" s="1481"/>
      <c r="I48" s="1481"/>
      <c r="J48" s="1481"/>
      <c r="K48" s="1481"/>
      <c r="L48" s="1481"/>
      <c r="M48" s="1480">
        <f t="shared" ref="M48:X48" si="15">SUM(M13:M46)</f>
        <v>150250000</v>
      </c>
      <c r="N48" s="1480">
        <f t="shared" si="15"/>
        <v>26243400</v>
      </c>
      <c r="O48" s="1480">
        <f t="shared" si="15"/>
        <v>150250000</v>
      </c>
      <c r="P48" s="1480">
        <f t="shared" si="15"/>
        <v>26243400</v>
      </c>
      <c r="Q48" s="1480">
        <f t="shared" si="15"/>
        <v>0</v>
      </c>
      <c r="R48" s="1480">
        <f t="shared" si="15"/>
        <v>0</v>
      </c>
      <c r="S48" s="1480">
        <f t="shared" si="15"/>
        <v>0</v>
      </c>
      <c r="T48" s="1480">
        <f t="shared" si="15"/>
        <v>0</v>
      </c>
      <c r="U48" s="1480">
        <f t="shared" si="15"/>
        <v>150250000</v>
      </c>
      <c r="V48" s="1480">
        <f t="shared" si="15"/>
        <v>26243400</v>
      </c>
      <c r="W48" s="1480">
        <f t="shared" si="15"/>
        <v>0</v>
      </c>
      <c r="X48" s="1480">
        <f t="shared" si="15"/>
        <v>0</v>
      </c>
      <c r="Y48" s="1480">
        <f>SUM(U48/M48)*100</f>
        <v>100</v>
      </c>
      <c r="Z48" s="1480">
        <f>SUM(Z13:Z46)</f>
        <v>0</v>
      </c>
      <c r="AA48" s="1479">
        <f>SUM(AA13:AA46)</f>
        <v>0</v>
      </c>
      <c r="AB48" s="1478"/>
      <c r="AC48" s="1566">
        <f>SUM(AC13:AC46)</f>
        <v>0</v>
      </c>
      <c r="AD48" s="1565">
        <f>SUM(AD13:AD46)</f>
        <v>0</v>
      </c>
      <c r="AE48" s="1565">
        <f>SUM(AE13:AE46)</f>
        <v>0</v>
      </c>
      <c r="AF48" s="1564">
        <f>SUM(AF13:AF46)</f>
        <v>0</v>
      </c>
    </row>
    <row r="49" spans="1:32" s="1461" customFormat="1" ht="21" customHeight="1" thickTop="1" thickBot="1">
      <c r="A49" s="3747" t="s">
        <v>1505</v>
      </c>
      <c r="B49" s="3748"/>
      <c r="C49" s="3748"/>
      <c r="D49" s="2549">
        <f>COUNT(D13:D46)</f>
        <v>0</v>
      </c>
      <c r="E49" s="2549">
        <f>COUNT(E13:E46)</f>
        <v>18</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2178" customFormat="1" ht="24.75" customHeight="1">
      <c r="A54" s="3525" t="s">
        <v>0</v>
      </c>
      <c r="B54" s="3525"/>
      <c r="C54" s="3525"/>
      <c r="D54" s="3525"/>
      <c r="E54" s="3525"/>
      <c r="F54" s="3525"/>
      <c r="G54" s="3525"/>
      <c r="H54" s="3525"/>
      <c r="I54" s="3525"/>
      <c r="J54" s="3525"/>
      <c r="K54" s="3525"/>
      <c r="L54" s="3525"/>
      <c r="M54" s="3525"/>
      <c r="N54" s="3525"/>
      <c r="O54" s="3525"/>
      <c r="P54" s="3525"/>
      <c r="Q54" s="3525"/>
      <c r="R54" s="3525"/>
      <c r="S54" s="3525"/>
      <c r="T54" s="3525"/>
      <c r="U54" s="3525"/>
      <c r="V54" s="3525"/>
      <c r="W54" s="3525"/>
      <c r="X54" s="3525"/>
      <c r="Y54" s="3525"/>
      <c r="Z54" s="3525"/>
      <c r="AA54" s="3525"/>
      <c r="AB54" s="1562"/>
      <c r="AC54" s="1560"/>
      <c r="AD54" s="1560"/>
      <c r="AE54" s="1560"/>
      <c r="AF54" s="1560"/>
    </row>
    <row r="55" spans="1:32" s="2178" customFormat="1" ht="24.75" customHeight="1">
      <c r="A55" s="3525" t="str">
        <f>A2</f>
        <v>LAPORAN PERKEMBANGAN PINJAMAN  SPP</v>
      </c>
      <c r="B55" s="3525"/>
      <c r="C55" s="3525"/>
      <c r="D55" s="3525"/>
      <c r="E55" s="3525"/>
      <c r="F55" s="3525"/>
      <c r="G55" s="3525"/>
      <c r="H55" s="3525"/>
      <c r="I55" s="3525"/>
      <c r="J55" s="3525"/>
      <c r="K55" s="3525"/>
      <c r="L55" s="3525"/>
      <c r="M55" s="3525"/>
      <c r="N55" s="3525"/>
      <c r="O55" s="3525"/>
      <c r="P55" s="3525"/>
      <c r="Q55" s="3525"/>
      <c r="R55" s="3525"/>
      <c r="S55" s="3525"/>
      <c r="T55" s="3525"/>
      <c r="U55" s="3525"/>
      <c r="V55" s="3525"/>
      <c r="W55" s="3525"/>
      <c r="X55" s="3525"/>
      <c r="Y55" s="3525"/>
      <c r="Z55" s="3525"/>
      <c r="AA55" s="3525"/>
      <c r="AB55" s="1562"/>
      <c r="AC55" s="1560"/>
      <c r="AD55" s="1560"/>
      <c r="AE55" s="1560"/>
      <c r="AF55" s="1560"/>
    </row>
    <row r="56" spans="1:32" s="2178" customFormat="1" ht="34.5">
      <c r="A56" s="3525" t="s">
        <v>1504</v>
      </c>
      <c r="B56" s="3525"/>
      <c r="C56" s="3525"/>
      <c r="D56" s="3525"/>
      <c r="E56" s="3525"/>
      <c r="F56" s="3525"/>
      <c r="G56" s="3525"/>
      <c r="H56" s="3525"/>
      <c r="I56" s="3525"/>
      <c r="J56" s="3525"/>
      <c r="K56" s="3525"/>
      <c r="L56" s="3525"/>
      <c r="M56" s="3525"/>
      <c r="N56" s="3525"/>
      <c r="O56" s="3525"/>
      <c r="P56" s="3525"/>
      <c r="Q56" s="3525"/>
      <c r="R56" s="3525"/>
      <c r="S56" s="3525"/>
      <c r="T56" s="3525"/>
      <c r="U56" s="3525"/>
      <c r="V56" s="3525"/>
      <c r="W56" s="3525"/>
      <c r="X56" s="3525"/>
      <c r="Y56" s="3525"/>
      <c r="Z56" s="3525"/>
      <c r="AA56" s="3525"/>
      <c r="AB56" s="1561"/>
      <c r="AC56" s="1560"/>
      <c r="AD56" s="1560"/>
      <c r="AE56" s="1560"/>
      <c r="AF56" s="1560"/>
    </row>
    <row r="57" spans="1:32" s="2179" customFormat="1" ht="26.25">
      <c r="A57" s="3525" t="str">
        <f>A4</f>
        <v>Per - Februari 2016 2016</v>
      </c>
      <c r="B57" s="3525"/>
      <c r="C57" s="3525"/>
      <c r="D57" s="3525"/>
      <c r="E57" s="3525"/>
      <c r="F57" s="3525"/>
      <c r="G57" s="3525"/>
      <c r="H57" s="3525"/>
      <c r="I57" s="3525"/>
      <c r="J57" s="3525"/>
      <c r="K57" s="3525"/>
      <c r="L57" s="3525"/>
      <c r="M57" s="3525"/>
      <c r="N57" s="3525"/>
      <c r="O57" s="3525"/>
      <c r="P57" s="3525"/>
      <c r="Q57" s="3525"/>
      <c r="R57" s="3525"/>
      <c r="S57" s="3525"/>
      <c r="T57" s="3525"/>
      <c r="U57" s="3525"/>
      <c r="V57" s="3525"/>
      <c r="W57" s="3525"/>
      <c r="X57" s="3525"/>
      <c r="Y57" s="3525"/>
      <c r="Z57" s="3525"/>
      <c r="AA57" s="3525"/>
      <c r="AB57" s="1556"/>
      <c r="AC57" s="1552"/>
      <c r="AD57" s="1552"/>
    </row>
    <row r="58" spans="1:32" s="1542" customFormat="1" ht="24.75" customHeight="1">
      <c r="A58" s="3744" t="s">
        <v>1503</v>
      </c>
      <c r="B58" s="3744"/>
      <c r="C58" s="3744"/>
      <c r="D58" s="1553"/>
      <c r="E58" s="1558" t="str">
        <f>E5</f>
        <v>:  NAGRAK SELATAN</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744" t="s">
        <v>1502</v>
      </c>
      <c r="B59" s="3744"/>
      <c r="C59" s="3744"/>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744" t="s">
        <v>1501</v>
      </c>
      <c r="B60" s="3744"/>
      <c r="C60" s="3744"/>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744" t="s">
        <v>1500</v>
      </c>
      <c r="B61" s="3744"/>
      <c r="C61" s="3744"/>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3" t="s">
        <v>36</v>
      </c>
      <c r="B63" s="3413" t="s">
        <v>1499</v>
      </c>
      <c r="C63" s="3413"/>
      <c r="D63" s="3413" t="s">
        <v>1498</v>
      </c>
      <c r="E63" s="3413" t="s">
        <v>1497</v>
      </c>
      <c r="F63" s="3413"/>
      <c r="G63" s="3413" t="s">
        <v>1496</v>
      </c>
      <c r="H63" s="3413" t="s">
        <v>1495</v>
      </c>
      <c r="I63" s="3413" t="s">
        <v>1494</v>
      </c>
      <c r="J63" s="3413" t="s">
        <v>1493</v>
      </c>
      <c r="K63" s="3413" t="s">
        <v>1492</v>
      </c>
      <c r="L63" s="3413"/>
      <c r="M63" s="3413" t="s">
        <v>1491</v>
      </c>
      <c r="N63" s="3413"/>
      <c r="O63" s="3413" t="s">
        <v>1490</v>
      </c>
      <c r="P63" s="3413"/>
      <c r="Q63" s="3413"/>
      <c r="R63" s="3413" t="s">
        <v>1489</v>
      </c>
      <c r="S63" s="3413"/>
      <c r="T63" s="3413"/>
      <c r="U63" s="3413" t="s">
        <v>1488</v>
      </c>
      <c r="V63" s="3413"/>
      <c r="W63" s="3413"/>
      <c r="X63" s="3413" t="s">
        <v>1487</v>
      </c>
      <c r="Y63" s="3413" t="s">
        <v>1486</v>
      </c>
      <c r="Z63" s="3413" t="s">
        <v>1485</v>
      </c>
      <c r="AA63" s="3413"/>
      <c r="AB63" s="3746" t="s">
        <v>1484</v>
      </c>
      <c r="AC63" s="1541" t="s">
        <v>1483</v>
      </c>
      <c r="AD63" s="1540" t="s">
        <v>1482</v>
      </c>
      <c r="AE63" s="1540" t="s">
        <v>1481</v>
      </c>
      <c r="AF63" s="1539" t="s">
        <v>1480</v>
      </c>
    </row>
    <row r="64" spans="1:32" s="1528" customFormat="1" ht="22.5" customHeight="1">
      <c r="A64" s="3413"/>
      <c r="B64" s="1536" t="s">
        <v>1479</v>
      </c>
      <c r="C64" s="1536" t="s">
        <v>1478</v>
      </c>
      <c r="D64" s="3413"/>
      <c r="E64" s="1537" t="s">
        <v>16</v>
      </c>
      <c r="F64" s="1537" t="s">
        <v>1476</v>
      </c>
      <c r="G64" s="3413"/>
      <c r="H64" s="3413"/>
      <c r="I64" s="3413"/>
      <c r="J64" s="3413"/>
      <c r="K64" s="3413" t="s">
        <v>16</v>
      </c>
      <c r="L64" s="3413" t="s">
        <v>1476</v>
      </c>
      <c r="M64" s="1537" t="s">
        <v>16</v>
      </c>
      <c r="N64" s="1537" t="s">
        <v>1476</v>
      </c>
      <c r="O64" s="1537" t="s">
        <v>16</v>
      </c>
      <c r="P64" s="1537" t="s">
        <v>1476</v>
      </c>
      <c r="Q64" s="1537" t="s">
        <v>1477</v>
      </c>
      <c r="R64" s="1537" t="s">
        <v>16</v>
      </c>
      <c r="S64" s="1537" t="s">
        <v>1476</v>
      </c>
      <c r="T64" s="1537" t="s">
        <v>1477</v>
      </c>
      <c r="U64" s="1537" t="s">
        <v>16</v>
      </c>
      <c r="V64" s="1537" t="s">
        <v>1476</v>
      </c>
      <c r="W64" s="1537" t="s">
        <v>1477</v>
      </c>
      <c r="X64" s="3413"/>
      <c r="Y64" s="3413"/>
      <c r="Z64" s="1537" t="s">
        <v>16</v>
      </c>
      <c r="AA64" s="2162" t="s">
        <v>1476</v>
      </c>
      <c r="AB64" s="3746"/>
      <c r="AC64" s="1531" t="s">
        <v>1475</v>
      </c>
      <c r="AD64" s="1530" t="s">
        <v>1474</v>
      </c>
      <c r="AE64" s="1530" t="s">
        <v>1473</v>
      </c>
      <c r="AF64" s="1529" t="s">
        <v>1472</v>
      </c>
    </row>
    <row r="65" spans="1:32" s="1461" customFormat="1" ht="13.5" customHeight="1" thickBot="1">
      <c r="A65" s="2162">
        <v>1</v>
      </c>
      <c r="B65" s="2162">
        <v>2</v>
      </c>
      <c r="C65" s="2162">
        <v>3</v>
      </c>
      <c r="D65" s="3413"/>
      <c r="E65" s="2162">
        <v>4</v>
      </c>
      <c r="F65" s="2162">
        <v>5</v>
      </c>
      <c r="G65" s="2162">
        <v>6</v>
      </c>
      <c r="H65" s="3413"/>
      <c r="I65" s="3413"/>
      <c r="J65" s="3413"/>
      <c r="K65" s="3413"/>
      <c r="L65" s="3413"/>
      <c r="M65" s="2162">
        <v>7</v>
      </c>
      <c r="N65" s="2162">
        <v>8</v>
      </c>
      <c r="O65" s="2162">
        <v>9</v>
      </c>
      <c r="P65" s="2162">
        <v>10</v>
      </c>
      <c r="Q65" s="2162">
        <v>11</v>
      </c>
      <c r="R65" s="2162">
        <v>12</v>
      </c>
      <c r="S65" s="2162">
        <v>13</v>
      </c>
      <c r="T65" s="2162">
        <v>14</v>
      </c>
      <c r="U65" s="2162" t="s">
        <v>1471</v>
      </c>
      <c r="V65" s="2162" t="s">
        <v>1470</v>
      </c>
      <c r="W65" s="2162" t="s">
        <v>1469</v>
      </c>
      <c r="X65" s="2162" t="s">
        <v>1468</v>
      </c>
      <c r="Y65" s="2162" t="s">
        <v>1467</v>
      </c>
      <c r="Z65" s="2162" t="s">
        <v>1466</v>
      </c>
      <c r="AA65" s="2162" t="s">
        <v>1465</v>
      </c>
      <c r="AB65" s="2920">
        <v>22</v>
      </c>
      <c r="AC65" s="1518">
        <v>23</v>
      </c>
      <c r="AD65" s="1517">
        <v>24</v>
      </c>
      <c r="AE65" s="1517">
        <v>25</v>
      </c>
      <c r="AF65" s="1516">
        <v>26</v>
      </c>
    </row>
    <row r="66" spans="1:32" s="1474" customFormat="1" ht="23.25" customHeight="1" thickTop="1">
      <c r="A66" s="1515">
        <v>1</v>
      </c>
      <c r="B66" s="1513" t="s">
        <v>2044</v>
      </c>
      <c r="C66" s="1514" t="s">
        <v>1931</v>
      </c>
      <c r="D66" s="1514"/>
      <c r="E66" s="1513">
        <v>5500000</v>
      </c>
      <c r="F66" s="1512">
        <f t="shared" ref="F66:F179" si="16">E66*H66</f>
        <v>990000</v>
      </c>
      <c r="G66" s="2141">
        <v>40245</v>
      </c>
      <c r="H66" s="1511">
        <v>0.18</v>
      </c>
      <c r="I66" s="1508">
        <v>12</v>
      </c>
      <c r="J66" s="1508">
        <v>12</v>
      </c>
      <c r="K66" s="1508">
        <v>458300</v>
      </c>
      <c r="L66" s="1508">
        <v>82500</v>
      </c>
      <c r="M66" s="1510">
        <f t="shared" ref="M66:M179" si="17">IF(J66&lt;I66,J66*K66,IF(J66&gt;=I66,E66))</f>
        <v>5500000</v>
      </c>
      <c r="N66" s="1510">
        <f t="shared" ref="N66:N179" si="18">IF(J66&lt;I66,J66*L66,IF(J66&gt;=I66,F66))</f>
        <v>990000</v>
      </c>
      <c r="O66" s="1509">
        <v>5500000</v>
      </c>
      <c r="P66" s="1509">
        <v>990000</v>
      </c>
      <c r="Q66" s="1509"/>
      <c r="R66" s="2650"/>
      <c r="S66" s="2650"/>
      <c r="T66" s="1507"/>
      <c r="U66" s="1495">
        <f t="shared" ref="U66:U82" si="19">SUM(O66+R66)</f>
        <v>5500000</v>
      </c>
      <c r="V66" s="1495">
        <f t="shared" ref="V66:V85" si="20">SUM(P66+S66)</f>
        <v>990000</v>
      </c>
      <c r="W66" s="1495">
        <f t="shared" ref="W66:W179" si="21">SUM(Q66+T66)</f>
        <v>0</v>
      </c>
      <c r="X66" s="1495">
        <f t="shared" ref="X66:X179" si="22">SUM(E66-U66)</f>
        <v>0</v>
      </c>
      <c r="Y66" s="1495">
        <f t="shared" ref="Y66:Y179" si="23">SUM(U66/M66)*100</f>
        <v>100</v>
      </c>
      <c r="Z66" s="1495">
        <f t="shared" ref="Z66:Z179" si="24">SUM(M66-U66)</f>
        <v>0</v>
      </c>
      <c r="AA66" s="1506">
        <f t="shared" ref="AA66:AA179" si="25">SUM(N66-V66)</f>
        <v>0</v>
      </c>
      <c r="AB66" s="1505"/>
      <c r="AC66" s="1504">
        <f t="shared" ref="AC66:AC179" si="26">IF(AND(AB66&gt;0,AB66&lt;=2),X66,0)</f>
        <v>0</v>
      </c>
      <c r="AD66" s="1503">
        <f t="shared" ref="AD66:AD179" si="27">IF(AND(AB66&gt;=3,AB66&lt;=4),X66,0)</f>
        <v>0</v>
      </c>
      <c r="AE66" s="1503">
        <f t="shared" ref="AE66:AE179" si="28">IF(AND(AB66&gt;=5,AB66&lt;=6),X66,0)</f>
        <v>0</v>
      </c>
      <c r="AF66" s="1502">
        <f t="shared" ref="AF66:AF179" si="29">IF(AB66&gt;6,X66,0)</f>
        <v>0</v>
      </c>
    </row>
    <row r="67" spans="1:32" s="1474" customFormat="1" ht="23.25" customHeight="1">
      <c r="A67" s="1515">
        <f>A66+1</f>
        <v>2</v>
      </c>
      <c r="B67" s="1513" t="s">
        <v>2045</v>
      </c>
      <c r="C67" s="1514" t="s">
        <v>1931</v>
      </c>
      <c r="D67" s="1514"/>
      <c r="E67" s="1513">
        <v>6000000</v>
      </c>
      <c r="F67" s="1512">
        <f t="shared" si="16"/>
        <v>1080000</v>
      </c>
      <c r="G67" s="2141">
        <v>40245</v>
      </c>
      <c r="H67" s="1511">
        <v>0.18</v>
      </c>
      <c r="I67" s="1508">
        <v>12</v>
      </c>
      <c r="J67" s="1508">
        <v>12</v>
      </c>
      <c r="K67" s="1508">
        <v>500000</v>
      </c>
      <c r="L67" s="1508">
        <v>90000</v>
      </c>
      <c r="M67" s="1510">
        <f t="shared" si="17"/>
        <v>6000000</v>
      </c>
      <c r="N67" s="1510">
        <f t="shared" si="18"/>
        <v>1080000</v>
      </c>
      <c r="O67" s="1509">
        <v>6000000</v>
      </c>
      <c r="P67" s="1509">
        <v>1080000</v>
      </c>
      <c r="Q67" s="1509"/>
      <c r="R67" s="2650"/>
      <c r="S67" s="2650"/>
      <c r="T67" s="1507"/>
      <c r="U67" s="1495">
        <f t="shared" si="19"/>
        <v>6000000</v>
      </c>
      <c r="V67" s="1495">
        <f t="shared" si="20"/>
        <v>1080000</v>
      </c>
      <c r="W67" s="1495">
        <f t="shared" si="21"/>
        <v>0</v>
      </c>
      <c r="X67" s="1495">
        <f t="shared" si="22"/>
        <v>0</v>
      </c>
      <c r="Y67" s="1495">
        <f t="shared" si="23"/>
        <v>100</v>
      </c>
      <c r="Z67" s="1495">
        <f t="shared" si="24"/>
        <v>0</v>
      </c>
      <c r="AA67" s="1506">
        <f t="shared" si="25"/>
        <v>0</v>
      </c>
      <c r="AB67" s="1505"/>
      <c r="AC67" s="1504">
        <f t="shared" si="26"/>
        <v>0</v>
      </c>
      <c r="AD67" s="1503">
        <f t="shared" si="27"/>
        <v>0</v>
      </c>
      <c r="AE67" s="1503">
        <f t="shared" si="28"/>
        <v>0</v>
      </c>
      <c r="AF67" s="1502">
        <f t="shared" si="29"/>
        <v>0</v>
      </c>
    </row>
    <row r="68" spans="1:32" s="1474" customFormat="1" ht="23.25" customHeight="1">
      <c r="A68" s="1515">
        <f t="shared" ref="A68:A98" si="30">A67+1</f>
        <v>3</v>
      </c>
      <c r="B68" s="1513" t="s">
        <v>2046</v>
      </c>
      <c r="C68" s="1514" t="s">
        <v>1931</v>
      </c>
      <c r="D68" s="1514"/>
      <c r="E68" s="1513">
        <v>5500000</v>
      </c>
      <c r="F68" s="1512">
        <f t="shared" si="16"/>
        <v>990000</v>
      </c>
      <c r="G68" s="2141">
        <v>40245</v>
      </c>
      <c r="H68" s="1511">
        <v>0.18</v>
      </c>
      <c r="I68" s="1508">
        <v>12</v>
      </c>
      <c r="J68" s="1508">
        <v>12</v>
      </c>
      <c r="K68" s="1508">
        <v>458300</v>
      </c>
      <c r="L68" s="1508">
        <v>82500</v>
      </c>
      <c r="M68" s="1510">
        <f t="shared" si="17"/>
        <v>5500000</v>
      </c>
      <c r="N68" s="1510">
        <f t="shared" si="18"/>
        <v>990000</v>
      </c>
      <c r="O68" s="1509">
        <v>5500000</v>
      </c>
      <c r="P68" s="1509">
        <v>990000</v>
      </c>
      <c r="Q68" s="1509"/>
      <c r="R68" s="2650"/>
      <c r="S68" s="2650"/>
      <c r="T68" s="1507"/>
      <c r="U68" s="1495">
        <f t="shared" si="19"/>
        <v>5500000</v>
      </c>
      <c r="V68" s="1495">
        <f t="shared" si="20"/>
        <v>990000</v>
      </c>
      <c r="W68" s="1495">
        <f t="shared" si="21"/>
        <v>0</v>
      </c>
      <c r="X68" s="1495">
        <f t="shared" si="22"/>
        <v>0</v>
      </c>
      <c r="Y68" s="1495">
        <f t="shared" si="23"/>
        <v>100</v>
      </c>
      <c r="Z68" s="1495">
        <f t="shared" si="24"/>
        <v>0</v>
      </c>
      <c r="AA68" s="1506">
        <f t="shared" si="25"/>
        <v>0</v>
      </c>
      <c r="AB68" s="1505"/>
      <c r="AC68" s="1504">
        <f t="shared" si="26"/>
        <v>0</v>
      </c>
      <c r="AD68" s="1503">
        <f t="shared" si="27"/>
        <v>0</v>
      </c>
      <c r="AE68" s="1503">
        <f t="shared" si="28"/>
        <v>0</v>
      </c>
      <c r="AF68" s="1502">
        <f t="shared" si="29"/>
        <v>0</v>
      </c>
    </row>
    <row r="69" spans="1:32" s="1474" customFormat="1" ht="23.25" customHeight="1">
      <c r="A69" s="1515">
        <f t="shared" si="30"/>
        <v>4</v>
      </c>
      <c r="B69" s="1513" t="s">
        <v>2047</v>
      </c>
      <c r="C69" s="1514" t="s">
        <v>1931</v>
      </c>
      <c r="D69" s="1514"/>
      <c r="E69" s="1513">
        <v>5000000</v>
      </c>
      <c r="F69" s="1512">
        <f t="shared" si="16"/>
        <v>900000</v>
      </c>
      <c r="G69" s="2141">
        <v>40245</v>
      </c>
      <c r="H69" s="1511">
        <v>0.18</v>
      </c>
      <c r="I69" s="1508">
        <v>12</v>
      </c>
      <c r="J69" s="1508">
        <v>12</v>
      </c>
      <c r="K69" s="1508">
        <v>416700</v>
      </c>
      <c r="L69" s="1508">
        <v>75000</v>
      </c>
      <c r="M69" s="1510">
        <f t="shared" si="17"/>
        <v>5000000</v>
      </c>
      <c r="N69" s="1510">
        <f t="shared" si="18"/>
        <v>900000</v>
      </c>
      <c r="O69" s="1509">
        <v>5000000</v>
      </c>
      <c r="P69" s="1509">
        <v>900000</v>
      </c>
      <c r="Q69" s="1509"/>
      <c r="R69" s="2650"/>
      <c r="S69" s="2650"/>
      <c r="T69" s="1507"/>
      <c r="U69" s="1495">
        <f t="shared" si="19"/>
        <v>5000000</v>
      </c>
      <c r="V69" s="1495">
        <f t="shared" si="20"/>
        <v>900000</v>
      </c>
      <c r="W69" s="1495">
        <f t="shared" si="21"/>
        <v>0</v>
      </c>
      <c r="X69" s="1495">
        <f t="shared" si="22"/>
        <v>0</v>
      </c>
      <c r="Y69" s="1495">
        <f t="shared" si="23"/>
        <v>100</v>
      </c>
      <c r="Z69" s="1495">
        <f t="shared" si="24"/>
        <v>0</v>
      </c>
      <c r="AA69" s="1506">
        <f t="shared" si="25"/>
        <v>0</v>
      </c>
      <c r="AB69" s="1505"/>
      <c r="AC69" s="1504">
        <f t="shared" si="26"/>
        <v>0</v>
      </c>
      <c r="AD69" s="1503">
        <f t="shared" si="27"/>
        <v>0</v>
      </c>
      <c r="AE69" s="1503">
        <f t="shared" si="28"/>
        <v>0</v>
      </c>
      <c r="AF69" s="1502">
        <f t="shared" si="29"/>
        <v>0</v>
      </c>
    </row>
    <row r="70" spans="1:32" s="1474" customFormat="1" ht="23.25" customHeight="1">
      <c r="A70" s="1515">
        <f t="shared" si="30"/>
        <v>5</v>
      </c>
      <c r="B70" s="1513" t="s">
        <v>1991</v>
      </c>
      <c r="C70" s="1514" t="s">
        <v>1931</v>
      </c>
      <c r="D70" s="1514"/>
      <c r="E70" s="1513">
        <v>5500000</v>
      </c>
      <c r="F70" s="1512">
        <f t="shared" si="16"/>
        <v>990000</v>
      </c>
      <c r="G70" s="2141">
        <v>40245</v>
      </c>
      <c r="H70" s="1511">
        <v>0.18</v>
      </c>
      <c r="I70" s="1508">
        <v>12</v>
      </c>
      <c r="J70" s="1508">
        <v>12</v>
      </c>
      <c r="K70" s="1508">
        <v>458300</v>
      </c>
      <c r="L70" s="1508">
        <v>82500</v>
      </c>
      <c r="M70" s="1510">
        <f t="shared" si="17"/>
        <v>5500000</v>
      </c>
      <c r="N70" s="1510">
        <f t="shared" si="18"/>
        <v>990000</v>
      </c>
      <c r="O70" s="1509">
        <v>5500000</v>
      </c>
      <c r="P70" s="1509">
        <v>990000</v>
      </c>
      <c r="Q70" s="1509"/>
      <c r="R70" s="2650"/>
      <c r="S70" s="2650"/>
      <c r="T70" s="1507"/>
      <c r="U70" s="1495">
        <f t="shared" si="19"/>
        <v>5500000</v>
      </c>
      <c r="V70" s="1495">
        <f t="shared" si="20"/>
        <v>990000</v>
      </c>
      <c r="W70" s="1495">
        <f t="shared" si="21"/>
        <v>0</v>
      </c>
      <c r="X70" s="1495">
        <f t="shared" si="22"/>
        <v>0</v>
      </c>
      <c r="Y70" s="1495">
        <f t="shared" si="23"/>
        <v>100</v>
      </c>
      <c r="Z70" s="1495">
        <f t="shared" si="24"/>
        <v>0</v>
      </c>
      <c r="AA70" s="1506">
        <f t="shared" si="25"/>
        <v>0</v>
      </c>
      <c r="AB70" s="1505"/>
      <c r="AC70" s="1504">
        <f t="shared" si="26"/>
        <v>0</v>
      </c>
      <c r="AD70" s="1503">
        <f t="shared" si="27"/>
        <v>0</v>
      </c>
      <c r="AE70" s="1503">
        <f t="shared" si="28"/>
        <v>0</v>
      </c>
      <c r="AF70" s="1502">
        <f t="shared" si="29"/>
        <v>0</v>
      </c>
    </row>
    <row r="71" spans="1:32" s="1474" customFormat="1" ht="23.25" customHeight="1">
      <c r="A71" s="1515">
        <f t="shared" si="30"/>
        <v>6</v>
      </c>
      <c r="B71" s="1513" t="s">
        <v>2030</v>
      </c>
      <c r="C71" s="1514" t="s">
        <v>1932</v>
      </c>
      <c r="D71" s="1514"/>
      <c r="E71" s="1513">
        <v>15500000</v>
      </c>
      <c r="F71" s="1512">
        <f t="shared" si="16"/>
        <v>2790000</v>
      </c>
      <c r="G71" s="2141">
        <v>40340</v>
      </c>
      <c r="H71" s="1511">
        <v>0.18</v>
      </c>
      <c r="I71" s="1508">
        <v>10</v>
      </c>
      <c r="J71" s="1508">
        <v>10</v>
      </c>
      <c r="K71" s="1508">
        <v>1550000</v>
      </c>
      <c r="L71" s="1508">
        <v>279000</v>
      </c>
      <c r="M71" s="1510">
        <f t="shared" si="17"/>
        <v>15500000</v>
      </c>
      <c r="N71" s="1510">
        <f t="shared" si="18"/>
        <v>2790000</v>
      </c>
      <c r="O71" s="1509">
        <v>15500000</v>
      </c>
      <c r="P71" s="1509">
        <v>2790000</v>
      </c>
      <c r="Q71" s="1509"/>
      <c r="R71" s="2650"/>
      <c r="S71" s="2650"/>
      <c r="T71" s="1507"/>
      <c r="U71" s="1495">
        <f t="shared" si="19"/>
        <v>15500000</v>
      </c>
      <c r="V71" s="1495">
        <f t="shared" si="20"/>
        <v>2790000</v>
      </c>
      <c r="W71" s="1495">
        <f t="shared" si="21"/>
        <v>0</v>
      </c>
      <c r="X71" s="1495">
        <f t="shared" si="22"/>
        <v>0</v>
      </c>
      <c r="Y71" s="1495">
        <f t="shared" si="23"/>
        <v>100</v>
      </c>
      <c r="Z71" s="1495">
        <f t="shared" si="24"/>
        <v>0</v>
      </c>
      <c r="AA71" s="1506">
        <f t="shared" si="25"/>
        <v>0</v>
      </c>
      <c r="AB71" s="1505"/>
      <c r="AC71" s="1504">
        <f t="shared" si="26"/>
        <v>0</v>
      </c>
      <c r="AD71" s="1503">
        <f t="shared" si="27"/>
        <v>0</v>
      </c>
      <c r="AE71" s="1503">
        <f t="shared" si="28"/>
        <v>0</v>
      </c>
      <c r="AF71" s="1502">
        <f t="shared" si="29"/>
        <v>0</v>
      </c>
    </row>
    <row r="72" spans="1:32" s="1474" customFormat="1" ht="23.25" customHeight="1">
      <c r="A72" s="1515">
        <f t="shared" si="30"/>
        <v>7</v>
      </c>
      <c r="B72" s="1513" t="s">
        <v>2031</v>
      </c>
      <c r="C72" s="1514" t="s">
        <v>1932</v>
      </c>
      <c r="D72" s="1514"/>
      <c r="E72" s="1513">
        <v>8000000</v>
      </c>
      <c r="F72" s="1512">
        <f t="shared" si="16"/>
        <v>1440000</v>
      </c>
      <c r="G72" s="2141">
        <v>40340</v>
      </c>
      <c r="H72" s="1511">
        <v>0.18</v>
      </c>
      <c r="I72" s="1508">
        <v>10</v>
      </c>
      <c r="J72" s="1508">
        <v>10</v>
      </c>
      <c r="K72" s="1508">
        <v>800000</v>
      </c>
      <c r="L72" s="1508">
        <v>144000</v>
      </c>
      <c r="M72" s="1510">
        <f t="shared" si="17"/>
        <v>8000000</v>
      </c>
      <c r="N72" s="1510">
        <f t="shared" si="18"/>
        <v>1440000</v>
      </c>
      <c r="O72" s="1509">
        <v>8000000</v>
      </c>
      <c r="P72" s="1509">
        <v>1440000</v>
      </c>
      <c r="Q72" s="1509"/>
      <c r="R72" s="2650"/>
      <c r="S72" s="2650"/>
      <c r="T72" s="1507"/>
      <c r="U72" s="1495">
        <f t="shared" si="19"/>
        <v>8000000</v>
      </c>
      <c r="V72" s="1495">
        <f t="shared" si="20"/>
        <v>1440000</v>
      </c>
      <c r="W72" s="1495">
        <f t="shared" si="21"/>
        <v>0</v>
      </c>
      <c r="X72" s="1495">
        <f t="shared" si="22"/>
        <v>0</v>
      </c>
      <c r="Y72" s="1495">
        <f t="shared" si="23"/>
        <v>100</v>
      </c>
      <c r="Z72" s="1495">
        <f t="shared" si="24"/>
        <v>0</v>
      </c>
      <c r="AA72" s="1506">
        <f t="shared" si="25"/>
        <v>0</v>
      </c>
      <c r="AB72" s="1505"/>
      <c r="AC72" s="1504">
        <f t="shared" si="26"/>
        <v>0</v>
      </c>
      <c r="AD72" s="1503">
        <f t="shared" si="27"/>
        <v>0</v>
      </c>
      <c r="AE72" s="1503">
        <f t="shared" si="28"/>
        <v>0</v>
      </c>
      <c r="AF72" s="1502">
        <f t="shared" si="29"/>
        <v>0</v>
      </c>
    </row>
    <row r="73" spans="1:32" s="1474" customFormat="1" ht="23.25" customHeight="1">
      <c r="A73" s="1515">
        <f t="shared" si="30"/>
        <v>8</v>
      </c>
      <c r="B73" s="1513" t="s">
        <v>2048</v>
      </c>
      <c r="C73" s="1514" t="s">
        <v>1935</v>
      </c>
      <c r="D73" s="1514"/>
      <c r="E73" s="1513">
        <v>10000000</v>
      </c>
      <c r="F73" s="1512">
        <f t="shared" si="16"/>
        <v>1800000</v>
      </c>
      <c r="G73" s="2141">
        <v>40477</v>
      </c>
      <c r="H73" s="1511">
        <v>0.18</v>
      </c>
      <c r="I73" s="1508">
        <v>12</v>
      </c>
      <c r="J73" s="1508">
        <v>12</v>
      </c>
      <c r="K73" s="1508">
        <v>833300</v>
      </c>
      <c r="L73" s="1508">
        <v>150000</v>
      </c>
      <c r="M73" s="1510">
        <f t="shared" si="17"/>
        <v>10000000</v>
      </c>
      <c r="N73" s="1510">
        <f t="shared" si="18"/>
        <v>1800000</v>
      </c>
      <c r="O73" s="1509">
        <v>10000000</v>
      </c>
      <c r="P73" s="1509">
        <v>1800000</v>
      </c>
      <c r="Q73" s="1509"/>
      <c r="R73" s="2650"/>
      <c r="S73" s="2650"/>
      <c r="T73" s="1507"/>
      <c r="U73" s="1495">
        <f t="shared" si="19"/>
        <v>10000000</v>
      </c>
      <c r="V73" s="1495">
        <f t="shared" si="20"/>
        <v>1800000</v>
      </c>
      <c r="W73" s="1495">
        <f t="shared" si="21"/>
        <v>0</v>
      </c>
      <c r="X73" s="1495">
        <f t="shared" si="22"/>
        <v>0</v>
      </c>
      <c r="Y73" s="1495">
        <f t="shared" si="23"/>
        <v>100</v>
      </c>
      <c r="Z73" s="1495">
        <f t="shared" si="24"/>
        <v>0</v>
      </c>
      <c r="AA73" s="1506">
        <f t="shared" si="25"/>
        <v>0</v>
      </c>
      <c r="AB73" s="1505"/>
      <c r="AC73" s="1504">
        <f t="shared" si="26"/>
        <v>0</v>
      </c>
      <c r="AD73" s="1503">
        <f t="shared" si="27"/>
        <v>0</v>
      </c>
      <c r="AE73" s="1503">
        <f t="shared" si="28"/>
        <v>0</v>
      </c>
      <c r="AF73" s="1502">
        <f t="shared" si="29"/>
        <v>0</v>
      </c>
    </row>
    <row r="74" spans="1:32" s="1474" customFormat="1" ht="23.25" customHeight="1">
      <c r="A74" s="1515">
        <f t="shared" si="30"/>
        <v>9</v>
      </c>
      <c r="B74" s="1513" t="s">
        <v>2046</v>
      </c>
      <c r="C74" s="1514" t="s">
        <v>1935</v>
      </c>
      <c r="D74" s="1514">
        <v>10</v>
      </c>
      <c r="E74" s="1513">
        <v>22000000</v>
      </c>
      <c r="F74" s="1512">
        <f t="shared" si="16"/>
        <v>3960000</v>
      </c>
      <c r="G74" s="2141">
        <v>40477</v>
      </c>
      <c r="H74" s="1511">
        <v>0.18</v>
      </c>
      <c r="I74" s="1508">
        <v>12</v>
      </c>
      <c r="J74" s="1508">
        <v>12</v>
      </c>
      <c r="K74" s="1508">
        <v>1833300</v>
      </c>
      <c r="L74" s="1508">
        <v>330000</v>
      </c>
      <c r="M74" s="1510">
        <f t="shared" si="17"/>
        <v>22000000</v>
      </c>
      <c r="N74" s="1510">
        <f t="shared" si="18"/>
        <v>3960000</v>
      </c>
      <c r="O74" s="1509">
        <v>22000000</v>
      </c>
      <c r="P74" s="1509">
        <v>3960000</v>
      </c>
      <c r="Q74" s="1509"/>
      <c r="R74" s="2650"/>
      <c r="S74" s="2650"/>
      <c r="T74" s="1507"/>
      <c r="U74" s="1495">
        <f t="shared" si="19"/>
        <v>22000000</v>
      </c>
      <c r="V74" s="1495">
        <f t="shared" si="20"/>
        <v>3960000</v>
      </c>
      <c r="W74" s="1495">
        <f t="shared" si="21"/>
        <v>0</v>
      </c>
      <c r="X74" s="1495">
        <f t="shared" si="22"/>
        <v>0</v>
      </c>
      <c r="Y74" s="1495">
        <f t="shared" si="23"/>
        <v>100</v>
      </c>
      <c r="Z74" s="1495">
        <f t="shared" si="24"/>
        <v>0</v>
      </c>
      <c r="AA74" s="1506">
        <f t="shared" si="25"/>
        <v>0</v>
      </c>
      <c r="AB74" s="1505"/>
      <c r="AC74" s="1504">
        <f t="shared" si="26"/>
        <v>0</v>
      </c>
      <c r="AD74" s="1503">
        <f t="shared" si="27"/>
        <v>0</v>
      </c>
      <c r="AE74" s="1503">
        <f t="shared" si="28"/>
        <v>0</v>
      </c>
      <c r="AF74" s="1502">
        <f t="shared" si="29"/>
        <v>0</v>
      </c>
    </row>
    <row r="75" spans="1:32" s="1474" customFormat="1" ht="23.25" customHeight="1">
      <c r="A75" s="1515">
        <f t="shared" si="30"/>
        <v>10</v>
      </c>
      <c r="B75" s="1513" t="s">
        <v>2033</v>
      </c>
      <c r="C75" s="1514" t="s">
        <v>1935</v>
      </c>
      <c r="D75" s="1514"/>
      <c r="E75" s="1513">
        <v>16500000</v>
      </c>
      <c r="F75" s="1512">
        <f t="shared" si="16"/>
        <v>2970000</v>
      </c>
      <c r="G75" s="2141">
        <v>40484</v>
      </c>
      <c r="H75" s="1511">
        <v>0.18</v>
      </c>
      <c r="I75" s="1508">
        <v>10</v>
      </c>
      <c r="J75" s="2404">
        <v>10</v>
      </c>
      <c r="K75" s="1508">
        <v>1650000</v>
      </c>
      <c r="L75" s="1508">
        <v>297000</v>
      </c>
      <c r="M75" s="1510">
        <f t="shared" si="17"/>
        <v>16500000</v>
      </c>
      <c r="N75" s="1510">
        <f t="shared" si="18"/>
        <v>2970000</v>
      </c>
      <c r="O75" s="1509">
        <v>16500000</v>
      </c>
      <c r="P75" s="1509">
        <v>2970000</v>
      </c>
      <c r="Q75" s="1509"/>
      <c r="R75" s="2650"/>
      <c r="S75" s="2650"/>
      <c r="T75" s="1507"/>
      <c r="U75" s="1495">
        <f t="shared" si="19"/>
        <v>16500000</v>
      </c>
      <c r="V75" s="1495">
        <f t="shared" si="20"/>
        <v>2970000</v>
      </c>
      <c r="W75" s="1495">
        <f t="shared" si="21"/>
        <v>0</v>
      </c>
      <c r="X75" s="1495">
        <f t="shared" si="22"/>
        <v>0</v>
      </c>
      <c r="Y75" s="1495">
        <f t="shared" si="23"/>
        <v>100</v>
      </c>
      <c r="Z75" s="1495">
        <f t="shared" si="24"/>
        <v>0</v>
      </c>
      <c r="AA75" s="1506">
        <f t="shared" si="25"/>
        <v>0</v>
      </c>
      <c r="AB75" s="1505"/>
      <c r="AC75" s="1504">
        <f t="shared" si="26"/>
        <v>0</v>
      </c>
      <c r="AD75" s="1503">
        <f t="shared" si="27"/>
        <v>0</v>
      </c>
      <c r="AE75" s="1503">
        <f t="shared" si="28"/>
        <v>0</v>
      </c>
      <c r="AF75" s="1502">
        <f t="shared" si="29"/>
        <v>0</v>
      </c>
    </row>
    <row r="76" spans="1:32" s="1474" customFormat="1" ht="23.25" customHeight="1">
      <c r="A76" s="1515">
        <f t="shared" si="30"/>
        <v>11</v>
      </c>
      <c r="B76" s="1513" t="s">
        <v>2032</v>
      </c>
      <c r="C76" s="1514" t="s">
        <v>1935</v>
      </c>
      <c r="D76" s="1514"/>
      <c r="E76" s="1513">
        <v>24000000</v>
      </c>
      <c r="F76" s="1512">
        <f t="shared" si="16"/>
        <v>4320000</v>
      </c>
      <c r="G76" s="2141">
        <v>40484</v>
      </c>
      <c r="H76" s="1511">
        <v>0.18</v>
      </c>
      <c r="I76" s="1508">
        <v>12</v>
      </c>
      <c r="J76" s="1508">
        <v>12</v>
      </c>
      <c r="K76" s="1508">
        <v>2000000</v>
      </c>
      <c r="L76" s="1508">
        <v>360000</v>
      </c>
      <c r="M76" s="1510">
        <f t="shared" si="17"/>
        <v>24000000</v>
      </c>
      <c r="N76" s="1510">
        <f>IF(J76&lt;I76,J76*L76,IF(J76&gt;=I76,F76))</f>
        <v>4320000</v>
      </c>
      <c r="O76" s="1509">
        <v>24000000</v>
      </c>
      <c r="P76" s="1509">
        <v>4320000</v>
      </c>
      <c r="Q76" s="1509"/>
      <c r="R76" s="2650"/>
      <c r="S76" s="2650"/>
      <c r="T76" s="1507"/>
      <c r="U76" s="1495">
        <f t="shared" si="19"/>
        <v>24000000</v>
      </c>
      <c r="V76" s="1495">
        <f t="shared" si="20"/>
        <v>4320000</v>
      </c>
      <c r="W76" s="1495">
        <f t="shared" si="21"/>
        <v>0</v>
      </c>
      <c r="X76" s="1495">
        <f t="shared" si="22"/>
        <v>0</v>
      </c>
      <c r="Y76" s="1495">
        <f t="shared" si="23"/>
        <v>100</v>
      </c>
      <c r="Z76" s="1495">
        <f t="shared" si="24"/>
        <v>0</v>
      </c>
      <c r="AA76" s="1506">
        <f t="shared" si="25"/>
        <v>0</v>
      </c>
      <c r="AB76" s="1505"/>
      <c r="AC76" s="1504">
        <f t="shared" si="26"/>
        <v>0</v>
      </c>
      <c r="AD76" s="1503">
        <f t="shared" si="27"/>
        <v>0</v>
      </c>
      <c r="AE76" s="1503">
        <f t="shared" si="28"/>
        <v>0</v>
      </c>
      <c r="AF76" s="1502">
        <f t="shared" si="29"/>
        <v>0</v>
      </c>
    </row>
    <row r="77" spans="1:32" s="1474" customFormat="1" ht="23.25" customHeight="1">
      <c r="A77" s="1515">
        <f t="shared" si="30"/>
        <v>12</v>
      </c>
      <c r="B77" s="1513" t="s">
        <v>2036</v>
      </c>
      <c r="C77" s="1514" t="s">
        <v>1935</v>
      </c>
      <c r="D77" s="1514"/>
      <c r="E77" s="1513">
        <v>17000000</v>
      </c>
      <c r="F77" s="1512">
        <f t="shared" si="16"/>
        <v>3060000</v>
      </c>
      <c r="G77" s="2141">
        <v>40497</v>
      </c>
      <c r="H77" s="1511">
        <v>0.18</v>
      </c>
      <c r="I77" s="1508">
        <v>12</v>
      </c>
      <c r="J77" s="1508">
        <v>12</v>
      </c>
      <c r="K77" s="1508">
        <v>1416700</v>
      </c>
      <c r="L77" s="1508">
        <v>255000</v>
      </c>
      <c r="M77" s="1510">
        <f t="shared" si="17"/>
        <v>17000000</v>
      </c>
      <c r="N77" s="1510">
        <f t="shared" si="18"/>
        <v>3060000</v>
      </c>
      <c r="O77" s="1509">
        <v>17000000</v>
      </c>
      <c r="P77" s="1509">
        <v>3060000</v>
      </c>
      <c r="Q77" s="1509"/>
      <c r="R77" s="2650"/>
      <c r="S77" s="2650"/>
      <c r="T77" s="1507"/>
      <c r="U77" s="1495">
        <f t="shared" si="19"/>
        <v>17000000</v>
      </c>
      <c r="V77" s="1495">
        <f t="shared" si="20"/>
        <v>3060000</v>
      </c>
      <c r="W77" s="1495">
        <f t="shared" si="21"/>
        <v>0</v>
      </c>
      <c r="X77" s="1495">
        <f t="shared" si="22"/>
        <v>0</v>
      </c>
      <c r="Y77" s="1495">
        <f t="shared" si="23"/>
        <v>100</v>
      </c>
      <c r="Z77" s="1495">
        <f t="shared" si="24"/>
        <v>0</v>
      </c>
      <c r="AA77" s="1506">
        <f t="shared" si="25"/>
        <v>0</v>
      </c>
      <c r="AB77" s="1505"/>
      <c r="AC77" s="1504">
        <f t="shared" si="26"/>
        <v>0</v>
      </c>
      <c r="AD77" s="1503">
        <f t="shared" si="27"/>
        <v>0</v>
      </c>
      <c r="AE77" s="1503">
        <f t="shared" si="28"/>
        <v>0</v>
      </c>
      <c r="AF77" s="1502">
        <f t="shared" si="29"/>
        <v>0</v>
      </c>
    </row>
    <row r="78" spans="1:32" s="1474" customFormat="1" ht="23.25" customHeight="1">
      <c r="A78" s="1515">
        <f t="shared" si="30"/>
        <v>13</v>
      </c>
      <c r="B78" s="1513" t="s">
        <v>2034</v>
      </c>
      <c r="C78" s="1514" t="s">
        <v>1935</v>
      </c>
      <c r="D78" s="1514"/>
      <c r="E78" s="1513">
        <v>21000000</v>
      </c>
      <c r="F78" s="1512">
        <f t="shared" si="16"/>
        <v>3780000</v>
      </c>
      <c r="G78" s="2141">
        <v>40497</v>
      </c>
      <c r="H78" s="1511">
        <v>0.18</v>
      </c>
      <c r="I78" s="1508">
        <v>10</v>
      </c>
      <c r="J78" s="1508">
        <v>10</v>
      </c>
      <c r="K78" s="1508">
        <v>2100000</v>
      </c>
      <c r="L78" s="1508">
        <v>378000</v>
      </c>
      <c r="M78" s="1510">
        <f t="shared" si="17"/>
        <v>21000000</v>
      </c>
      <c r="N78" s="1510">
        <f t="shared" si="18"/>
        <v>3780000</v>
      </c>
      <c r="O78" s="1509">
        <v>21000000</v>
      </c>
      <c r="P78" s="1509">
        <v>3780000</v>
      </c>
      <c r="Q78" s="1509"/>
      <c r="R78" s="2650"/>
      <c r="S78" s="2650"/>
      <c r="T78" s="1507"/>
      <c r="U78" s="1495">
        <f t="shared" si="19"/>
        <v>21000000</v>
      </c>
      <c r="V78" s="1495">
        <f t="shared" si="20"/>
        <v>3780000</v>
      </c>
      <c r="W78" s="1495">
        <f t="shared" si="21"/>
        <v>0</v>
      </c>
      <c r="X78" s="1495">
        <f t="shared" si="22"/>
        <v>0</v>
      </c>
      <c r="Y78" s="1495">
        <f t="shared" si="23"/>
        <v>100</v>
      </c>
      <c r="Z78" s="1495">
        <f t="shared" si="24"/>
        <v>0</v>
      </c>
      <c r="AA78" s="1506">
        <f t="shared" si="25"/>
        <v>0</v>
      </c>
      <c r="AB78" s="1505"/>
      <c r="AC78" s="1504">
        <f t="shared" si="26"/>
        <v>0</v>
      </c>
      <c r="AD78" s="1503">
        <f t="shared" si="27"/>
        <v>0</v>
      </c>
      <c r="AE78" s="1503">
        <f t="shared" si="28"/>
        <v>0</v>
      </c>
      <c r="AF78" s="1502">
        <f t="shared" si="29"/>
        <v>0</v>
      </c>
    </row>
    <row r="79" spans="1:32" s="1474" customFormat="1" ht="23.25" customHeight="1">
      <c r="A79" s="1515">
        <f t="shared" si="30"/>
        <v>14</v>
      </c>
      <c r="B79" s="1513" t="s">
        <v>2035</v>
      </c>
      <c r="C79" s="1514" t="s">
        <v>1935</v>
      </c>
      <c r="D79" s="1514"/>
      <c r="E79" s="1513">
        <v>13000000</v>
      </c>
      <c r="F79" s="1512">
        <f t="shared" si="16"/>
        <v>2340000</v>
      </c>
      <c r="G79" s="2141">
        <v>40520</v>
      </c>
      <c r="H79" s="1511">
        <v>0.18</v>
      </c>
      <c r="I79" s="1508">
        <v>12</v>
      </c>
      <c r="J79" s="1508">
        <v>12</v>
      </c>
      <c r="K79" s="1508">
        <v>1083300</v>
      </c>
      <c r="L79" s="1508">
        <v>195000</v>
      </c>
      <c r="M79" s="1510">
        <f t="shared" si="17"/>
        <v>13000000</v>
      </c>
      <c r="N79" s="1510">
        <f t="shared" si="18"/>
        <v>2340000</v>
      </c>
      <c r="O79" s="1509">
        <v>13000000</v>
      </c>
      <c r="P79" s="1509">
        <v>2340000</v>
      </c>
      <c r="Q79" s="1509"/>
      <c r="R79" s="2650"/>
      <c r="S79" s="2650"/>
      <c r="T79" s="1507"/>
      <c r="U79" s="1495">
        <f t="shared" si="19"/>
        <v>13000000</v>
      </c>
      <c r="V79" s="1495">
        <f t="shared" si="20"/>
        <v>2340000</v>
      </c>
      <c r="W79" s="1495">
        <f t="shared" si="21"/>
        <v>0</v>
      </c>
      <c r="X79" s="1495">
        <f t="shared" si="22"/>
        <v>0</v>
      </c>
      <c r="Y79" s="1495">
        <f t="shared" si="23"/>
        <v>100</v>
      </c>
      <c r="Z79" s="1495">
        <f t="shared" si="24"/>
        <v>0</v>
      </c>
      <c r="AA79" s="1506">
        <f t="shared" si="25"/>
        <v>0</v>
      </c>
      <c r="AB79" s="1505"/>
      <c r="AC79" s="1504">
        <f t="shared" si="26"/>
        <v>0</v>
      </c>
      <c r="AD79" s="1503">
        <f t="shared" si="27"/>
        <v>0</v>
      </c>
      <c r="AE79" s="1503">
        <f t="shared" si="28"/>
        <v>0</v>
      </c>
      <c r="AF79" s="1502">
        <f t="shared" si="29"/>
        <v>0</v>
      </c>
    </row>
    <row r="80" spans="1:32" s="1474" customFormat="1" ht="23.25" customHeight="1">
      <c r="A80" s="1515">
        <f t="shared" si="30"/>
        <v>15</v>
      </c>
      <c r="B80" s="1513" t="s">
        <v>2049</v>
      </c>
      <c r="C80" s="1514" t="s">
        <v>1935</v>
      </c>
      <c r="D80" s="1514"/>
      <c r="E80" s="1513">
        <v>6000000</v>
      </c>
      <c r="F80" s="1512">
        <f t="shared" si="16"/>
        <v>1080000</v>
      </c>
      <c r="G80" s="2141">
        <v>40560</v>
      </c>
      <c r="H80" s="1511">
        <v>0.18</v>
      </c>
      <c r="I80" s="1508">
        <v>10</v>
      </c>
      <c r="J80" s="1508">
        <v>10</v>
      </c>
      <c r="K80" s="1508">
        <v>600000</v>
      </c>
      <c r="L80" s="1508">
        <v>108000</v>
      </c>
      <c r="M80" s="1510">
        <f t="shared" si="17"/>
        <v>6000000</v>
      </c>
      <c r="N80" s="1510">
        <f t="shared" si="18"/>
        <v>1080000</v>
      </c>
      <c r="O80" s="1509">
        <v>6000000</v>
      </c>
      <c r="P80" s="1509">
        <v>1080000</v>
      </c>
      <c r="Q80" s="1509"/>
      <c r="R80" s="2650"/>
      <c r="S80" s="2650"/>
      <c r="T80" s="1507"/>
      <c r="U80" s="1495">
        <f t="shared" si="19"/>
        <v>6000000</v>
      </c>
      <c r="V80" s="1495">
        <f t="shared" si="20"/>
        <v>1080000</v>
      </c>
      <c r="W80" s="1495">
        <f t="shared" si="21"/>
        <v>0</v>
      </c>
      <c r="X80" s="1495">
        <f t="shared" si="22"/>
        <v>0</v>
      </c>
      <c r="Y80" s="1495">
        <f t="shared" si="23"/>
        <v>100</v>
      </c>
      <c r="Z80" s="1495">
        <f t="shared" si="24"/>
        <v>0</v>
      </c>
      <c r="AA80" s="1506">
        <f t="shared" si="25"/>
        <v>0</v>
      </c>
      <c r="AB80" s="1505"/>
      <c r="AC80" s="1504">
        <f t="shared" si="26"/>
        <v>0</v>
      </c>
      <c r="AD80" s="1503">
        <f t="shared" si="27"/>
        <v>0</v>
      </c>
      <c r="AE80" s="1503">
        <f t="shared" si="28"/>
        <v>0</v>
      </c>
      <c r="AF80" s="1502">
        <f t="shared" si="29"/>
        <v>0</v>
      </c>
    </row>
    <row r="81" spans="1:32" s="1474" customFormat="1" ht="23.25" customHeight="1">
      <c r="A81" s="1515">
        <f t="shared" si="30"/>
        <v>16</v>
      </c>
      <c r="B81" s="1513" t="s">
        <v>2044</v>
      </c>
      <c r="C81" s="1514" t="s">
        <v>1940</v>
      </c>
      <c r="D81" s="1514"/>
      <c r="E81" s="1513">
        <v>12000000</v>
      </c>
      <c r="F81" s="1512">
        <f t="shared" si="16"/>
        <v>2160000</v>
      </c>
      <c r="G81" s="2141">
        <v>40620</v>
      </c>
      <c r="H81" s="1511">
        <v>0.18</v>
      </c>
      <c r="I81" s="1508">
        <v>12</v>
      </c>
      <c r="J81" s="1508">
        <v>12</v>
      </c>
      <c r="K81" s="1508">
        <v>1000000</v>
      </c>
      <c r="L81" s="1508">
        <v>180000</v>
      </c>
      <c r="M81" s="1510">
        <f t="shared" si="17"/>
        <v>12000000</v>
      </c>
      <c r="N81" s="1510">
        <f t="shared" si="18"/>
        <v>2160000</v>
      </c>
      <c r="O81" s="1509">
        <v>12000000</v>
      </c>
      <c r="P81" s="1509">
        <v>2160000</v>
      </c>
      <c r="Q81" s="1509"/>
      <c r="R81" s="2650"/>
      <c r="S81" s="2650"/>
      <c r="T81" s="1507"/>
      <c r="U81" s="1495">
        <f t="shared" si="19"/>
        <v>12000000</v>
      </c>
      <c r="V81" s="1495">
        <f t="shared" si="20"/>
        <v>2160000</v>
      </c>
      <c r="W81" s="1495">
        <f t="shared" si="21"/>
        <v>0</v>
      </c>
      <c r="X81" s="1495">
        <f t="shared" si="22"/>
        <v>0</v>
      </c>
      <c r="Y81" s="1495">
        <f t="shared" si="23"/>
        <v>100</v>
      </c>
      <c r="Z81" s="1495">
        <f t="shared" si="24"/>
        <v>0</v>
      </c>
      <c r="AA81" s="1506">
        <f t="shared" si="25"/>
        <v>0</v>
      </c>
      <c r="AB81" s="1505"/>
      <c r="AC81" s="1504">
        <f t="shared" si="26"/>
        <v>0</v>
      </c>
      <c r="AD81" s="1503">
        <f t="shared" si="27"/>
        <v>0</v>
      </c>
      <c r="AE81" s="1503">
        <f t="shared" si="28"/>
        <v>0</v>
      </c>
      <c r="AF81" s="1502">
        <f t="shared" si="29"/>
        <v>0</v>
      </c>
    </row>
    <row r="82" spans="1:32" s="1474" customFormat="1" ht="23.25" customHeight="1">
      <c r="A82" s="1515">
        <f t="shared" si="30"/>
        <v>17</v>
      </c>
      <c r="B82" s="1513" t="s">
        <v>2050</v>
      </c>
      <c r="C82" s="1514" t="s">
        <v>1940</v>
      </c>
      <c r="D82" s="1514"/>
      <c r="E82" s="1513">
        <v>15000000</v>
      </c>
      <c r="F82" s="1512">
        <f t="shared" si="16"/>
        <v>2700000</v>
      </c>
      <c r="G82" s="2141">
        <v>40620</v>
      </c>
      <c r="H82" s="1511">
        <v>0.18</v>
      </c>
      <c r="I82" s="1508">
        <v>12</v>
      </c>
      <c r="J82" s="1508">
        <v>12</v>
      </c>
      <c r="K82" s="1508">
        <v>1250000</v>
      </c>
      <c r="L82" s="1508">
        <v>225000</v>
      </c>
      <c r="M82" s="1510">
        <f t="shared" si="17"/>
        <v>15000000</v>
      </c>
      <c r="N82" s="1510">
        <f t="shared" si="18"/>
        <v>2700000</v>
      </c>
      <c r="O82" s="1509">
        <v>15000000</v>
      </c>
      <c r="P82" s="1509">
        <v>2700000</v>
      </c>
      <c r="Q82" s="1509"/>
      <c r="R82" s="2650"/>
      <c r="S82" s="2650"/>
      <c r="T82" s="1507"/>
      <c r="U82" s="1495">
        <f t="shared" si="19"/>
        <v>15000000</v>
      </c>
      <c r="V82" s="1495">
        <f t="shared" si="20"/>
        <v>2700000</v>
      </c>
      <c r="W82" s="1495">
        <f t="shared" si="21"/>
        <v>0</v>
      </c>
      <c r="X82" s="1495">
        <f t="shared" si="22"/>
        <v>0</v>
      </c>
      <c r="Y82" s="1495">
        <f t="shared" si="23"/>
        <v>100</v>
      </c>
      <c r="Z82" s="1495">
        <f t="shared" si="24"/>
        <v>0</v>
      </c>
      <c r="AA82" s="1506">
        <f t="shared" si="25"/>
        <v>0</v>
      </c>
      <c r="AB82" s="1505"/>
      <c r="AC82" s="1504">
        <f t="shared" si="26"/>
        <v>0</v>
      </c>
      <c r="AD82" s="1503">
        <f t="shared" si="27"/>
        <v>0</v>
      </c>
      <c r="AE82" s="1503">
        <f t="shared" si="28"/>
        <v>0</v>
      </c>
      <c r="AF82" s="1502">
        <f t="shared" si="29"/>
        <v>0</v>
      </c>
    </row>
    <row r="83" spans="1:32" s="1474" customFormat="1" ht="23.25" customHeight="1">
      <c r="A83" s="1515">
        <v>19</v>
      </c>
      <c r="B83" s="1513" t="s">
        <v>2047</v>
      </c>
      <c r="C83" s="1514" t="s">
        <v>1985</v>
      </c>
      <c r="D83" s="1514"/>
      <c r="E83" s="1513">
        <v>10000000</v>
      </c>
      <c r="F83" s="1512">
        <f t="shared" si="16"/>
        <v>1800000</v>
      </c>
      <c r="G83" s="2141">
        <v>40665</v>
      </c>
      <c r="H83" s="1511">
        <v>0.18</v>
      </c>
      <c r="I83" s="1508">
        <v>10</v>
      </c>
      <c r="J83" s="1508">
        <v>10</v>
      </c>
      <c r="K83" s="1508">
        <f>E83/I83</f>
        <v>1000000</v>
      </c>
      <c r="L83" s="1508">
        <f t="shared" ref="L83:L88" si="31">F83/I83</f>
        <v>180000</v>
      </c>
      <c r="M83" s="1510">
        <f t="shared" si="17"/>
        <v>10000000</v>
      </c>
      <c r="N83" s="1510">
        <f t="shared" si="18"/>
        <v>1800000</v>
      </c>
      <c r="O83" s="1509">
        <v>10000000</v>
      </c>
      <c r="P83" s="1509">
        <v>1800000</v>
      </c>
      <c r="Q83" s="1509"/>
      <c r="R83" s="2650"/>
      <c r="S83" s="2650"/>
      <c r="T83" s="1507"/>
      <c r="U83" s="1495">
        <f t="shared" ref="U83:U179" si="32">SUM(O83+R83)</f>
        <v>10000000</v>
      </c>
      <c r="V83" s="1495">
        <f t="shared" si="20"/>
        <v>1800000</v>
      </c>
      <c r="W83" s="1495">
        <f t="shared" ref="W83:W101" si="33">SUM(Q83+T83)</f>
        <v>0</v>
      </c>
      <c r="X83" s="1495">
        <f t="shared" si="22"/>
        <v>0</v>
      </c>
      <c r="Y83" s="1495">
        <f t="shared" si="23"/>
        <v>100</v>
      </c>
      <c r="Z83" s="1495">
        <f t="shared" si="24"/>
        <v>0</v>
      </c>
      <c r="AA83" s="1506">
        <f t="shared" si="25"/>
        <v>0</v>
      </c>
      <c r="AB83" s="1505"/>
      <c r="AC83" s="1504">
        <f t="shared" si="26"/>
        <v>0</v>
      </c>
      <c r="AD83" s="1503">
        <f t="shared" si="27"/>
        <v>0</v>
      </c>
      <c r="AE83" s="1503">
        <f t="shared" si="28"/>
        <v>0</v>
      </c>
      <c r="AF83" s="1502">
        <f t="shared" si="29"/>
        <v>0</v>
      </c>
    </row>
    <row r="84" spans="1:32" s="1474" customFormat="1" ht="23.25" customHeight="1">
      <c r="A84" s="1515">
        <f t="shared" si="30"/>
        <v>20</v>
      </c>
      <c r="B84" s="1513" t="s">
        <v>2155</v>
      </c>
      <c r="C84" s="1514" t="s">
        <v>2156</v>
      </c>
      <c r="D84" s="1514"/>
      <c r="E84" s="1513">
        <v>25000000</v>
      </c>
      <c r="F84" s="1512">
        <f t="shared" si="16"/>
        <v>4500000</v>
      </c>
      <c r="G84" s="2141">
        <v>40685</v>
      </c>
      <c r="H84" s="1511">
        <v>0.18</v>
      </c>
      <c r="I84" s="1508">
        <v>10</v>
      </c>
      <c r="J84" s="1508">
        <v>10</v>
      </c>
      <c r="K84" s="1508">
        <f>E84/I84</f>
        <v>2500000</v>
      </c>
      <c r="L84" s="1508">
        <f t="shared" si="31"/>
        <v>450000</v>
      </c>
      <c r="M84" s="1510">
        <f t="shared" si="17"/>
        <v>25000000</v>
      </c>
      <c r="N84" s="1510">
        <f t="shared" si="18"/>
        <v>4500000</v>
      </c>
      <c r="O84" s="1509">
        <v>25000000</v>
      </c>
      <c r="P84" s="1509">
        <v>4500000</v>
      </c>
      <c r="Q84" s="1509"/>
      <c r="R84" s="2650"/>
      <c r="S84" s="2650"/>
      <c r="T84" s="1507"/>
      <c r="U84" s="1495">
        <f t="shared" si="32"/>
        <v>25000000</v>
      </c>
      <c r="V84" s="1495">
        <f t="shared" si="20"/>
        <v>4500000</v>
      </c>
      <c r="W84" s="1495">
        <f t="shared" si="33"/>
        <v>0</v>
      </c>
      <c r="X84" s="1495">
        <f t="shared" si="22"/>
        <v>0</v>
      </c>
      <c r="Y84" s="1495">
        <f t="shared" si="23"/>
        <v>100</v>
      </c>
      <c r="Z84" s="1495">
        <f t="shared" si="24"/>
        <v>0</v>
      </c>
      <c r="AA84" s="1506">
        <f t="shared" si="25"/>
        <v>0</v>
      </c>
      <c r="AB84" s="1505"/>
      <c r="AC84" s="1504">
        <f t="shared" si="26"/>
        <v>0</v>
      </c>
      <c r="AD84" s="1503">
        <f t="shared" si="27"/>
        <v>0</v>
      </c>
      <c r="AE84" s="1503">
        <f t="shared" si="28"/>
        <v>0</v>
      </c>
      <c r="AF84" s="1502">
        <f t="shared" si="29"/>
        <v>0</v>
      </c>
    </row>
    <row r="85" spans="1:32" s="1474" customFormat="1" ht="23.25" customHeight="1">
      <c r="A85" s="1515">
        <f t="shared" si="30"/>
        <v>21</v>
      </c>
      <c r="B85" s="1513" t="s">
        <v>2031</v>
      </c>
      <c r="C85" s="1514" t="s">
        <v>1985</v>
      </c>
      <c r="D85" s="1514"/>
      <c r="E85" s="1513">
        <v>16500000</v>
      </c>
      <c r="F85" s="1512">
        <f t="shared" si="16"/>
        <v>2970000</v>
      </c>
      <c r="G85" s="2141">
        <v>40730</v>
      </c>
      <c r="H85" s="1511">
        <v>0.18</v>
      </c>
      <c r="I85" s="1508">
        <v>10</v>
      </c>
      <c r="J85" s="1508">
        <v>10</v>
      </c>
      <c r="K85" s="1508">
        <f>E85/I85</f>
        <v>1650000</v>
      </c>
      <c r="L85" s="1508">
        <f t="shared" si="31"/>
        <v>297000</v>
      </c>
      <c r="M85" s="1510">
        <f t="shared" si="17"/>
        <v>16500000</v>
      </c>
      <c r="N85" s="1510">
        <f t="shared" si="18"/>
        <v>2970000</v>
      </c>
      <c r="O85" s="1509">
        <v>16500000</v>
      </c>
      <c r="P85" s="1509">
        <v>2970000</v>
      </c>
      <c r="Q85" s="1509"/>
      <c r="R85" s="2650"/>
      <c r="S85" s="2650"/>
      <c r="T85" s="1507"/>
      <c r="U85" s="1495">
        <f t="shared" si="32"/>
        <v>16500000</v>
      </c>
      <c r="V85" s="1495">
        <f t="shared" si="20"/>
        <v>2970000</v>
      </c>
      <c r="W85" s="1495">
        <f t="shared" si="33"/>
        <v>0</v>
      </c>
      <c r="X85" s="1495">
        <f t="shared" si="22"/>
        <v>0</v>
      </c>
      <c r="Y85" s="1495">
        <f t="shared" si="23"/>
        <v>100</v>
      </c>
      <c r="Z85" s="1495">
        <f t="shared" si="24"/>
        <v>0</v>
      </c>
      <c r="AA85" s="1506">
        <f t="shared" si="25"/>
        <v>0</v>
      </c>
      <c r="AB85" s="1505"/>
      <c r="AC85" s="1504">
        <f t="shared" si="26"/>
        <v>0</v>
      </c>
      <c r="AD85" s="1503">
        <f t="shared" si="27"/>
        <v>0</v>
      </c>
      <c r="AE85" s="1503">
        <f t="shared" si="28"/>
        <v>0</v>
      </c>
      <c r="AF85" s="1502">
        <f t="shared" si="29"/>
        <v>0</v>
      </c>
    </row>
    <row r="86" spans="1:32" s="1474" customFormat="1" ht="23.25" customHeight="1">
      <c r="A86" s="1515">
        <f t="shared" si="30"/>
        <v>22</v>
      </c>
      <c r="B86" s="1513" t="s">
        <v>1952</v>
      </c>
      <c r="C86" s="1514" t="s">
        <v>1985</v>
      </c>
      <c r="D86" s="1514"/>
      <c r="E86" s="1513">
        <v>6600000</v>
      </c>
      <c r="F86" s="1512">
        <f t="shared" si="16"/>
        <v>1188000</v>
      </c>
      <c r="G86" s="2141">
        <v>40742</v>
      </c>
      <c r="H86" s="1511">
        <v>0.18</v>
      </c>
      <c r="I86" s="1508">
        <v>12</v>
      </c>
      <c r="J86" s="1508">
        <v>12</v>
      </c>
      <c r="K86" s="1508">
        <f>E86/I86</f>
        <v>550000</v>
      </c>
      <c r="L86" s="1508">
        <f t="shared" si="31"/>
        <v>99000</v>
      </c>
      <c r="M86" s="1510">
        <f t="shared" si="17"/>
        <v>6600000</v>
      </c>
      <c r="N86" s="1510">
        <f t="shared" si="18"/>
        <v>1188000</v>
      </c>
      <c r="O86" s="1509">
        <v>6600000</v>
      </c>
      <c r="P86" s="1509">
        <v>1188000</v>
      </c>
      <c r="Q86" s="1509"/>
      <c r="R86" s="2650"/>
      <c r="S86" s="2650"/>
      <c r="T86" s="1507"/>
      <c r="U86" s="1495">
        <f t="shared" si="32"/>
        <v>6600000</v>
      </c>
      <c r="V86" s="1495">
        <f t="shared" ref="V86:V179" si="34">SUM(P86+S86)</f>
        <v>1188000</v>
      </c>
      <c r="W86" s="1495">
        <f t="shared" si="33"/>
        <v>0</v>
      </c>
      <c r="X86" s="1495">
        <f t="shared" si="22"/>
        <v>0</v>
      </c>
      <c r="Y86" s="1495">
        <f t="shared" si="23"/>
        <v>100</v>
      </c>
      <c r="Z86" s="1495">
        <f t="shared" si="24"/>
        <v>0</v>
      </c>
      <c r="AA86" s="1506">
        <f t="shared" si="25"/>
        <v>0</v>
      </c>
      <c r="AB86" s="1505"/>
      <c r="AC86" s="1504">
        <f t="shared" si="26"/>
        <v>0</v>
      </c>
      <c r="AD86" s="1503">
        <f t="shared" si="27"/>
        <v>0</v>
      </c>
      <c r="AE86" s="1503">
        <f t="shared" si="28"/>
        <v>0</v>
      </c>
      <c r="AF86" s="1502">
        <f t="shared" si="29"/>
        <v>0</v>
      </c>
    </row>
    <row r="87" spans="1:32" s="1474" customFormat="1" ht="23.25" customHeight="1">
      <c r="A87" s="1515">
        <f t="shared" si="30"/>
        <v>23</v>
      </c>
      <c r="B87" s="1513" t="s">
        <v>2038</v>
      </c>
      <c r="C87" s="1514" t="s">
        <v>2195</v>
      </c>
      <c r="D87" s="1514"/>
      <c r="E87" s="1513">
        <v>9000000</v>
      </c>
      <c r="F87" s="1512">
        <f t="shared" si="16"/>
        <v>1620000</v>
      </c>
      <c r="G87" s="2141">
        <v>40926</v>
      </c>
      <c r="H87" s="1511">
        <v>0.18</v>
      </c>
      <c r="I87" s="1508">
        <v>12</v>
      </c>
      <c r="J87" s="1508">
        <v>12</v>
      </c>
      <c r="K87" s="1508">
        <f>E87/I87</f>
        <v>750000</v>
      </c>
      <c r="L87" s="1508">
        <f t="shared" si="31"/>
        <v>135000</v>
      </c>
      <c r="M87" s="1510">
        <f t="shared" si="17"/>
        <v>9000000</v>
      </c>
      <c r="N87" s="1510">
        <f>IF(J87&lt;I87,J87*L87,IF(J87&gt;=I87,F87))-135000</f>
        <v>1485000</v>
      </c>
      <c r="O87" s="1509">
        <v>9000000</v>
      </c>
      <c r="P87" s="1509">
        <v>1485000</v>
      </c>
      <c r="Q87" s="1509"/>
      <c r="R87" s="2650"/>
      <c r="S87" s="2650"/>
      <c r="T87" s="1507"/>
      <c r="U87" s="1495">
        <f t="shared" si="32"/>
        <v>9000000</v>
      </c>
      <c r="V87" s="1495">
        <f t="shared" si="34"/>
        <v>1485000</v>
      </c>
      <c r="W87" s="1495">
        <f t="shared" si="33"/>
        <v>0</v>
      </c>
      <c r="X87" s="1495">
        <f t="shared" si="22"/>
        <v>0</v>
      </c>
      <c r="Y87" s="1495">
        <f t="shared" si="23"/>
        <v>100</v>
      </c>
      <c r="Z87" s="1495">
        <f t="shared" si="24"/>
        <v>0</v>
      </c>
      <c r="AA87" s="1506">
        <f t="shared" si="25"/>
        <v>0</v>
      </c>
      <c r="AB87" s="1505"/>
      <c r="AC87" s="1504">
        <f t="shared" si="26"/>
        <v>0</v>
      </c>
      <c r="AD87" s="1503">
        <f t="shared" si="27"/>
        <v>0</v>
      </c>
      <c r="AE87" s="1503">
        <f t="shared" si="28"/>
        <v>0</v>
      </c>
      <c r="AF87" s="1502">
        <f t="shared" si="29"/>
        <v>0</v>
      </c>
    </row>
    <row r="88" spans="1:32" s="1474" customFormat="1" ht="23.25" customHeight="1">
      <c r="A88" s="1515">
        <f t="shared" si="30"/>
        <v>24</v>
      </c>
      <c r="B88" s="1513" t="s">
        <v>2040</v>
      </c>
      <c r="C88" s="1514" t="s">
        <v>2195</v>
      </c>
      <c r="D88" s="1514"/>
      <c r="E88" s="1513">
        <v>10000000</v>
      </c>
      <c r="F88" s="1512">
        <f t="shared" si="16"/>
        <v>1800000</v>
      </c>
      <c r="G88" s="2141">
        <v>40926</v>
      </c>
      <c r="H88" s="1511">
        <v>0.18</v>
      </c>
      <c r="I88" s="1508">
        <v>12</v>
      </c>
      <c r="J88" s="1508">
        <v>12</v>
      </c>
      <c r="K88" s="1508">
        <v>833300</v>
      </c>
      <c r="L88" s="1508">
        <f t="shared" si="31"/>
        <v>150000</v>
      </c>
      <c r="M88" s="1510">
        <f t="shared" si="17"/>
        <v>10000000</v>
      </c>
      <c r="N88" s="1510">
        <f t="shared" si="18"/>
        <v>1800000</v>
      </c>
      <c r="O88" s="1509">
        <v>10000000</v>
      </c>
      <c r="P88" s="1509">
        <v>1800000</v>
      </c>
      <c r="Q88" s="1509"/>
      <c r="R88" s="2650"/>
      <c r="S88" s="2650"/>
      <c r="T88" s="1507"/>
      <c r="U88" s="1495">
        <f t="shared" si="32"/>
        <v>10000000</v>
      </c>
      <c r="V88" s="1495">
        <f t="shared" si="34"/>
        <v>1800000</v>
      </c>
      <c r="W88" s="1495">
        <f t="shared" si="33"/>
        <v>0</v>
      </c>
      <c r="X88" s="1495">
        <f t="shared" si="22"/>
        <v>0</v>
      </c>
      <c r="Y88" s="1495">
        <f t="shared" si="23"/>
        <v>100</v>
      </c>
      <c r="Z88" s="1495">
        <f t="shared" si="24"/>
        <v>0</v>
      </c>
      <c r="AA88" s="1506">
        <f t="shared" si="25"/>
        <v>0</v>
      </c>
      <c r="AB88" s="1505"/>
      <c r="AC88" s="1504">
        <f t="shared" si="26"/>
        <v>0</v>
      </c>
      <c r="AD88" s="1503">
        <f t="shared" si="27"/>
        <v>0</v>
      </c>
      <c r="AE88" s="1503">
        <f t="shared" si="28"/>
        <v>0</v>
      </c>
      <c r="AF88" s="1502">
        <f t="shared" si="29"/>
        <v>0</v>
      </c>
    </row>
    <row r="89" spans="1:32" s="1474" customFormat="1" ht="23.25" customHeight="1">
      <c r="A89" s="1515">
        <f t="shared" si="30"/>
        <v>25</v>
      </c>
      <c r="B89" s="1513" t="s">
        <v>2037</v>
      </c>
      <c r="C89" s="1514" t="s">
        <v>2195</v>
      </c>
      <c r="D89" s="1514"/>
      <c r="E89" s="1513">
        <v>7000000</v>
      </c>
      <c r="F89" s="1512">
        <f t="shared" si="16"/>
        <v>1260000</v>
      </c>
      <c r="G89" s="2141">
        <v>40926</v>
      </c>
      <c r="H89" s="1511">
        <v>0.18</v>
      </c>
      <c r="I89" s="1508">
        <v>10</v>
      </c>
      <c r="J89" s="1508">
        <v>10</v>
      </c>
      <c r="K89" s="1508">
        <f t="shared" ref="K89:K102" si="35">E89/I89</f>
        <v>700000</v>
      </c>
      <c r="L89" s="1508">
        <f t="shared" ref="L89:L102" si="36">F89/I89</f>
        <v>126000</v>
      </c>
      <c r="M89" s="1510">
        <f t="shared" si="17"/>
        <v>7000000</v>
      </c>
      <c r="N89" s="1510">
        <f t="shared" si="18"/>
        <v>1260000</v>
      </c>
      <c r="O89" s="1509">
        <v>7000000</v>
      </c>
      <c r="P89" s="1509">
        <v>1260000</v>
      </c>
      <c r="Q89" s="1509"/>
      <c r="R89" s="2650"/>
      <c r="S89" s="2650"/>
      <c r="T89" s="1507"/>
      <c r="U89" s="1495">
        <f t="shared" si="32"/>
        <v>7000000</v>
      </c>
      <c r="V89" s="1495">
        <f t="shared" si="34"/>
        <v>1260000</v>
      </c>
      <c r="W89" s="1495">
        <f t="shared" si="33"/>
        <v>0</v>
      </c>
      <c r="X89" s="1495">
        <f t="shared" si="22"/>
        <v>0</v>
      </c>
      <c r="Y89" s="1495">
        <f t="shared" si="23"/>
        <v>100</v>
      </c>
      <c r="Z89" s="1495">
        <f t="shared" si="24"/>
        <v>0</v>
      </c>
      <c r="AA89" s="1506">
        <f t="shared" si="25"/>
        <v>0</v>
      </c>
      <c r="AB89" s="1505"/>
      <c r="AC89" s="1504">
        <f t="shared" si="26"/>
        <v>0</v>
      </c>
      <c r="AD89" s="1503">
        <f t="shared" si="27"/>
        <v>0</v>
      </c>
      <c r="AE89" s="1503">
        <f t="shared" si="28"/>
        <v>0</v>
      </c>
      <c r="AF89" s="1502">
        <f t="shared" si="29"/>
        <v>0</v>
      </c>
    </row>
    <row r="90" spans="1:32" s="1474" customFormat="1" ht="23.25" customHeight="1">
      <c r="A90" s="1515">
        <f t="shared" si="30"/>
        <v>26</v>
      </c>
      <c r="B90" s="1513" t="s">
        <v>2041</v>
      </c>
      <c r="C90" s="1514" t="s">
        <v>2195</v>
      </c>
      <c r="D90" s="1514"/>
      <c r="E90" s="1513">
        <v>8000000</v>
      </c>
      <c r="F90" s="1512">
        <f t="shared" si="16"/>
        <v>1440000</v>
      </c>
      <c r="G90" s="2141">
        <v>40926</v>
      </c>
      <c r="H90" s="1511">
        <v>0.18</v>
      </c>
      <c r="I90" s="1508">
        <v>10</v>
      </c>
      <c r="J90" s="1508">
        <v>10</v>
      </c>
      <c r="K90" s="1508">
        <f t="shared" si="35"/>
        <v>800000</v>
      </c>
      <c r="L90" s="1508">
        <f t="shared" si="36"/>
        <v>144000</v>
      </c>
      <c r="M90" s="1510">
        <f t="shared" si="17"/>
        <v>8000000</v>
      </c>
      <c r="N90" s="1510">
        <f t="shared" si="18"/>
        <v>1440000</v>
      </c>
      <c r="O90" s="1509">
        <v>8000000</v>
      </c>
      <c r="P90" s="1509">
        <v>1440000</v>
      </c>
      <c r="Q90" s="1509"/>
      <c r="R90" s="2650"/>
      <c r="S90" s="2650"/>
      <c r="T90" s="1507"/>
      <c r="U90" s="1495">
        <f t="shared" si="32"/>
        <v>8000000</v>
      </c>
      <c r="V90" s="1495">
        <f t="shared" si="34"/>
        <v>1440000</v>
      </c>
      <c r="W90" s="1495">
        <f t="shared" si="33"/>
        <v>0</v>
      </c>
      <c r="X90" s="1495">
        <f t="shared" si="22"/>
        <v>0</v>
      </c>
      <c r="Y90" s="1495">
        <f t="shared" si="23"/>
        <v>100</v>
      </c>
      <c r="Z90" s="1495">
        <f t="shared" si="24"/>
        <v>0</v>
      </c>
      <c r="AA90" s="1506">
        <f t="shared" si="25"/>
        <v>0</v>
      </c>
      <c r="AB90" s="1505"/>
      <c r="AC90" s="1504">
        <f t="shared" si="26"/>
        <v>0</v>
      </c>
      <c r="AD90" s="1503">
        <f t="shared" si="27"/>
        <v>0</v>
      </c>
      <c r="AE90" s="1503">
        <f t="shared" si="28"/>
        <v>0</v>
      </c>
      <c r="AF90" s="1502">
        <f t="shared" si="29"/>
        <v>0</v>
      </c>
    </row>
    <row r="91" spans="1:32" s="1474" customFormat="1" ht="23.25" customHeight="1">
      <c r="A91" s="1515">
        <f t="shared" si="30"/>
        <v>27</v>
      </c>
      <c r="B91" s="1513" t="s">
        <v>2039</v>
      </c>
      <c r="C91" s="1514" t="s">
        <v>2195</v>
      </c>
      <c r="D91" s="1514"/>
      <c r="E91" s="1513">
        <v>10000000</v>
      </c>
      <c r="F91" s="1512">
        <f t="shared" si="16"/>
        <v>1800000</v>
      </c>
      <c r="G91" s="2141">
        <v>40926</v>
      </c>
      <c r="H91" s="1511">
        <v>0.18</v>
      </c>
      <c r="I91" s="1508">
        <v>12</v>
      </c>
      <c r="J91" s="1508">
        <v>12</v>
      </c>
      <c r="K91" s="1508">
        <v>833300</v>
      </c>
      <c r="L91" s="1508">
        <f t="shared" si="36"/>
        <v>150000</v>
      </c>
      <c r="M91" s="1510">
        <f t="shared" si="17"/>
        <v>10000000</v>
      </c>
      <c r="N91" s="1510">
        <f>IF(J91&lt;I91,J91*L91,IF(J91&gt;=I91,F91))-150000</f>
        <v>1650000</v>
      </c>
      <c r="O91" s="1509">
        <v>10000000</v>
      </c>
      <c r="P91" s="1509">
        <v>1650000</v>
      </c>
      <c r="Q91" s="1509"/>
      <c r="R91" s="2650"/>
      <c r="S91" s="2650"/>
      <c r="T91" s="1507"/>
      <c r="U91" s="1495">
        <f t="shared" si="32"/>
        <v>10000000</v>
      </c>
      <c r="V91" s="1495">
        <f t="shared" si="34"/>
        <v>1650000</v>
      </c>
      <c r="W91" s="1495">
        <f t="shared" si="33"/>
        <v>0</v>
      </c>
      <c r="X91" s="1495">
        <f t="shared" si="22"/>
        <v>0</v>
      </c>
      <c r="Y91" s="1495">
        <f t="shared" si="23"/>
        <v>100</v>
      </c>
      <c r="Z91" s="1495">
        <f t="shared" si="24"/>
        <v>0</v>
      </c>
      <c r="AA91" s="1506">
        <f t="shared" si="25"/>
        <v>0</v>
      </c>
      <c r="AB91" s="1505"/>
      <c r="AC91" s="1504">
        <f t="shared" si="26"/>
        <v>0</v>
      </c>
      <c r="AD91" s="1503">
        <f t="shared" si="27"/>
        <v>0</v>
      </c>
      <c r="AE91" s="1503">
        <f t="shared" si="28"/>
        <v>0</v>
      </c>
      <c r="AF91" s="1502">
        <f t="shared" si="29"/>
        <v>0</v>
      </c>
    </row>
    <row r="92" spans="1:32" s="1474" customFormat="1" ht="23.25" customHeight="1">
      <c r="A92" s="1515">
        <f t="shared" si="30"/>
        <v>28</v>
      </c>
      <c r="B92" s="1513" t="s">
        <v>1951</v>
      </c>
      <c r="C92" s="1514" t="s">
        <v>2195</v>
      </c>
      <c r="D92" s="1514"/>
      <c r="E92" s="1513">
        <v>24000000</v>
      </c>
      <c r="F92" s="1512">
        <f t="shared" si="16"/>
        <v>4320000</v>
      </c>
      <c r="G92" s="2141">
        <v>40926</v>
      </c>
      <c r="H92" s="1511">
        <v>0.18</v>
      </c>
      <c r="I92" s="1508">
        <v>12</v>
      </c>
      <c r="J92" s="1508">
        <v>12</v>
      </c>
      <c r="K92" s="1508">
        <f t="shared" si="35"/>
        <v>2000000</v>
      </c>
      <c r="L92" s="1508">
        <f t="shared" si="36"/>
        <v>360000</v>
      </c>
      <c r="M92" s="1510">
        <f t="shared" si="17"/>
        <v>24000000</v>
      </c>
      <c r="N92" s="1510">
        <f t="shared" si="18"/>
        <v>4320000</v>
      </c>
      <c r="O92" s="1509">
        <v>24000000</v>
      </c>
      <c r="P92" s="1509">
        <v>4320000</v>
      </c>
      <c r="Q92" s="1509"/>
      <c r="R92" s="2650"/>
      <c r="S92" s="2650"/>
      <c r="T92" s="1507"/>
      <c r="U92" s="1495">
        <f t="shared" si="32"/>
        <v>24000000</v>
      </c>
      <c r="V92" s="1495">
        <f t="shared" si="34"/>
        <v>4320000</v>
      </c>
      <c r="W92" s="1495">
        <f t="shared" si="33"/>
        <v>0</v>
      </c>
      <c r="X92" s="1495">
        <f t="shared" si="22"/>
        <v>0</v>
      </c>
      <c r="Y92" s="1495">
        <f t="shared" si="23"/>
        <v>100</v>
      </c>
      <c r="Z92" s="1495">
        <f t="shared" si="24"/>
        <v>0</v>
      </c>
      <c r="AA92" s="1506">
        <f t="shared" si="25"/>
        <v>0</v>
      </c>
      <c r="AB92" s="1505"/>
      <c r="AC92" s="1504">
        <f t="shared" si="26"/>
        <v>0</v>
      </c>
      <c r="AD92" s="1503">
        <f t="shared" si="27"/>
        <v>0</v>
      </c>
      <c r="AE92" s="1503">
        <f t="shared" si="28"/>
        <v>0</v>
      </c>
      <c r="AF92" s="1502">
        <f t="shared" si="29"/>
        <v>0</v>
      </c>
    </row>
    <row r="93" spans="1:32" s="1474" customFormat="1" ht="23.25" customHeight="1">
      <c r="A93" s="2790">
        <f t="shared" si="30"/>
        <v>29</v>
      </c>
      <c r="B93" s="2175" t="s">
        <v>2033</v>
      </c>
      <c r="C93" s="2416" t="s">
        <v>2195</v>
      </c>
      <c r="D93" s="2416"/>
      <c r="E93" s="2175">
        <v>22500000</v>
      </c>
      <c r="F93" s="2417">
        <f t="shared" si="16"/>
        <v>4050000</v>
      </c>
      <c r="G93" s="2418">
        <v>40926</v>
      </c>
      <c r="H93" s="2419">
        <v>0.18</v>
      </c>
      <c r="I93" s="2164">
        <v>10</v>
      </c>
      <c r="J93" s="2164">
        <v>10</v>
      </c>
      <c r="K93" s="2164">
        <f t="shared" si="35"/>
        <v>2250000</v>
      </c>
      <c r="L93" s="2164">
        <f t="shared" si="36"/>
        <v>405000</v>
      </c>
      <c r="M93" s="2172">
        <f t="shared" si="17"/>
        <v>22500000</v>
      </c>
      <c r="N93" s="2172">
        <f t="shared" si="18"/>
        <v>4050000</v>
      </c>
      <c r="O93" s="2171">
        <v>22500000</v>
      </c>
      <c r="P93" s="2171">
        <v>4050000</v>
      </c>
      <c r="Q93" s="1509"/>
      <c r="R93" s="2650"/>
      <c r="S93" s="2650"/>
      <c r="T93" s="1507"/>
      <c r="U93" s="1495">
        <f t="shared" si="32"/>
        <v>22500000</v>
      </c>
      <c r="V93" s="1495">
        <f t="shared" si="34"/>
        <v>4050000</v>
      </c>
      <c r="W93" s="1495">
        <f t="shared" si="33"/>
        <v>0</v>
      </c>
      <c r="X93" s="1495">
        <f t="shared" si="22"/>
        <v>0</v>
      </c>
      <c r="Y93" s="1495">
        <f t="shared" si="23"/>
        <v>100</v>
      </c>
      <c r="Z93" s="1495">
        <f t="shared" si="24"/>
        <v>0</v>
      </c>
      <c r="AA93" s="1506">
        <f t="shared" si="25"/>
        <v>0</v>
      </c>
      <c r="AB93" s="1505"/>
      <c r="AC93" s="1504">
        <f t="shared" si="26"/>
        <v>0</v>
      </c>
      <c r="AD93" s="1503">
        <f t="shared" si="27"/>
        <v>0</v>
      </c>
      <c r="AE93" s="1503">
        <f t="shared" si="28"/>
        <v>0</v>
      </c>
      <c r="AF93" s="1502">
        <f t="shared" si="29"/>
        <v>0</v>
      </c>
    </row>
    <row r="94" spans="1:32" s="1474" customFormat="1" ht="23.25" customHeight="1">
      <c r="A94" s="2790">
        <f t="shared" si="30"/>
        <v>30</v>
      </c>
      <c r="B94" s="2175" t="s">
        <v>2032</v>
      </c>
      <c r="C94" s="2416" t="s">
        <v>2195</v>
      </c>
      <c r="D94" s="2416"/>
      <c r="E94" s="2175">
        <v>20000000</v>
      </c>
      <c r="F94" s="2417">
        <f t="shared" si="16"/>
        <v>3600000</v>
      </c>
      <c r="G94" s="2418">
        <v>40926</v>
      </c>
      <c r="H94" s="2419">
        <v>0.18</v>
      </c>
      <c r="I94" s="2164">
        <v>12</v>
      </c>
      <c r="J94" s="2164">
        <v>12</v>
      </c>
      <c r="K94" s="2164">
        <v>1666700</v>
      </c>
      <c r="L94" s="2164">
        <f t="shared" si="36"/>
        <v>300000</v>
      </c>
      <c r="M94" s="2172">
        <f t="shared" si="17"/>
        <v>20000000</v>
      </c>
      <c r="N94" s="2172">
        <f>IF(J94&lt;I94,J94*L94,IF(J94&gt;=I94,F94))-300000</f>
        <v>3300000</v>
      </c>
      <c r="O94" s="2171">
        <v>20000000</v>
      </c>
      <c r="P94" s="2171">
        <v>3300000</v>
      </c>
      <c r="Q94" s="1509"/>
      <c r="R94" s="2650"/>
      <c r="S94" s="2650"/>
      <c r="T94" s="1507"/>
      <c r="U94" s="1495">
        <f t="shared" si="32"/>
        <v>20000000</v>
      </c>
      <c r="V94" s="1495">
        <f t="shared" si="34"/>
        <v>3300000</v>
      </c>
      <c r="W94" s="1495">
        <f t="shared" si="33"/>
        <v>0</v>
      </c>
      <c r="X94" s="1495">
        <f t="shared" si="22"/>
        <v>0</v>
      </c>
      <c r="Y94" s="1495">
        <f t="shared" si="23"/>
        <v>100</v>
      </c>
      <c r="Z94" s="1495">
        <f t="shared" si="24"/>
        <v>0</v>
      </c>
      <c r="AA94" s="1506">
        <f t="shared" si="25"/>
        <v>0</v>
      </c>
      <c r="AB94" s="1505"/>
      <c r="AC94" s="1504">
        <f t="shared" si="26"/>
        <v>0</v>
      </c>
      <c r="AD94" s="1503">
        <f t="shared" si="27"/>
        <v>0</v>
      </c>
      <c r="AE94" s="1503">
        <f t="shared" si="28"/>
        <v>0</v>
      </c>
      <c r="AF94" s="1502">
        <f t="shared" si="29"/>
        <v>0</v>
      </c>
    </row>
    <row r="95" spans="1:32" s="1474" customFormat="1" ht="23.25" customHeight="1">
      <c r="A95" s="2790">
        <f t="shared" si="30"/>
        <v>31</v>
      </c>
      <c r="B95" s="2175" t="s">
        <v>2036</v>
      </c>
      <c r="C95" s="2416" t="s">
        <v>2195</v>
      </c>
      <c r="D95" s="2416"/>
      <c r="E95" s="2175">
        <v>22500000</v>
      </c>
      <c r="F95" s="2417">
        <f t="shared" si="16"/>
        <v>4050000</v>
      </c>
      <c r="G95" s="2418">
        <v>40926</v>
      </c>
      <c r="H95" s="2419">
        <v>0.18</v>
      </c>
      <c r="I95" s="2164">
        <v>12</v>
      </c>
      <c r="J95" s="2164">
        <v>12</v>
      </c>
      <c r="K95" s="2164">
        <f t="shared" si="35"/>
        <v>1875000</v>
      </c>
      <c r="L95" s="2164">
        <f t="shared" si="36"/>
        <v>337500</v>
      </c>
      <c r="M95" s="2172">
        <f t="shared" si="17"/>
        <v>22500000</v>
      </c>
      <c r="N95" s="2172">
        <f>IF(J95&lt;I95,J95*L95,IF(J95&gt;=I95,F95))-337500</f>
        <v>3712500</v>
      </c>
      <c r="O95" s="2171">
        <v>22500000</v>
      </c>
      <c r="P95" s="2171">
        <v>3712500</v>
      </c>
      <c r="Q95" s="1509"/>
      <c r="R95" s="2650"/>
      <c r="S95" s="2650"/>
      <c r="T95" s="1507"/>
      <c r="U95" s="1495">
        <f t="shared" si="32"/>
        <v>22500000</v>
      </c>
      <c r="V95" s="1495">
        <f t="shared" si="34"/>
        <v>3712500</v>
      </c>
      <c r="W95" s="1495">
        <f t="shared" si="33"/>
        <v>0</v>
      </c>
      <c r="X95" s="1495">
        <f t="shared" si="22"/>
        <v>0</v>
      </c>
      <c r="Y95" s="1495">
        <f t="shared" si="23"/>
        <v>100</v>
      </c>
      <c r="Z95" s="1495">
        <f t="shared" si="24"/>
        <v>0</v>
      </c>
      <c r="AA95" s="1506">
        <f t="shared" si="25"/>
        <v>0</v>
      </c>
      <c r="AB95" s="1505"/>
      <c r="AC95" s="1504">
        <f t="shared" si="26"/>
        <v>0</v>
      </c>
      <c r="AD95" s="1503">
        <f t="shared" si="27"/>
        <v>0</v>
      </c>
      <c r="AE95" s="1503">
        <f t="shared" si="28"/>
        <v>0</v>
      </c>
      <c r="AF95" s="1502">
        <f t="shared" si="29"/>
        <v>0</v>
      </c>
    </row>
    <row r="96" spans="1:32" s="1474" customFormat="1" ht="23.25" customHeight="1">
      <c r="A96" s="2790">
        <f t="shared" si="30"/>
        <v>32</v>
      </c>
      <c r="B96" s="2175" t="s">
        <v>2048</v>
      </c>
      <c r="C96" s="2416" t="s">
        <v>2195</v>
      </c>
      <c r="D96" s="2416">
        <v>10</v>
      </c>
      <c r="E96" s="2175">
        <v>12000000</v>
      </c>
      <c r="F96" s="2417">
        <f t="shared" si="16"/>
        <v>2160000</v>
      </c>
      <c r="G96" s="2418">
        <v>40926</v>
      </c>
      <c r="H96" s="2419">
        <v>0.18</v>
      </c>
      <c r="I96" s="2164">
        <v>12</v>
      </c>
      <c r="J96" s="2164">
        <v>12</v>
      </c>
      <c r="K96" s="2164">
        <f t="shared" si="35"/>
        <v>1000000</v>
      </c>
      <c r="L96" s="2164">
        <f t="shared" si="36"/>
        <v>180000</v>
      </c>
      <c r="M96" s="2172">
        <f t="shared" si="17"/>
        <v>12000000</v>
      </c>
      <c r="N96" s="2172">
        <f t="shared" si="18"/>
        <v>2160000</v>
      </c>
      <c r="O96" s="2171">
        <v>2640000</v>
      </c>
      <c r="P96" s="2171">
        <v>540000</v>
      </c>
      <c r="Q96" s="1509"/>
      <c r="R96" s="2650"/>
      <c r="S96" s="2650"/>
      <c r="T96" s="1507"/>
      <c r="U96" s="1495">
        <f t="shared" si="32"/>
        <v>2640000</v>
      </c>
      <c r="V96" s="1495">
        <f t="shared" si="34"/>
        <v>540000</v>
      </c>
      <c r="W96" s="1495">
        <f t="shared" si="33"/>
        <v>0</v>
      </c>
      <c r="X96" s="1495">
        <f t="shared" si="22"/>
        <v>9360000</v>
      </c>
      <c r="Y96" s="1495">
        <f t="shared" si="23"/>
        <v>22</v>
      </c>
      <c r="Z96" s="1495">
        <f t="shared" si="24"/>
        <v>9360000</v>
      </c>
      <c r="AA96" s="1506">
        <f t="shared" si="25"/>
        <v>1620000</v>
      </c>
      <c r="AB96" s="1505">
        <v>7</v>
      </c>
      <c r="AC96" s="1504">
        <f t="shared" si="26"/>
        <v>0</v>
      </c>
      <c r="AD96" s="1503">
        <f t="shared" si="27"/>
        <v>0</v>
      </c>
      <c r="AE96" s="1503">
        <f t="shared" si="28"/>
        <v>0</v>
      </c>
      <c r="AF96" s="1502">
        <f t="shared" si="29"/>
        <v>9360000</v>
      </c>
    </row>
    <row r="97" spans="1:32" s="1474" customFormat="1" ht="23.25" customHeight="1">
      <c r="A97" s="2790">
        <f t="shared" si="30"/>
        <v>33</v>
      </c>
      <c r="B97" s="2175" t="s">
        <v>2049</v>
      </c>
      <c r="C97" s="2416" t="s">
        <v>2195</v>
      </c>
      <c r="D97" s="2416">
        <v>10</v>
      </c>
      <c r="E97" s="2175">
        <v>10000000</v>
      </c>
      <c r="F97" s="2417">
        <f t="shared" si="16"/>
        <v>1800000</v>
      </c>
      <c r="G97" s="2418">
        <v>40926</v>
      </c>
      <c r="H97" s="2419">
        <v>0.18</v>
      </c>
      <c r="I97" s="2164">
        <v>10</v>
      </c>
      <c r="J97" s="2164">
        <v>10</v>
      </c>
      <c r="K97" s="2164">
        <f t="shared" si="35"/>
        <v>1000000</v>
      </c>
      <c r="L97" s="2164">
        <f t="shared" si="36"/>
        <v>180000</v>
      </c>
      <c r="M97" s="2172">
        <f t="shared" si="17"/>
        <v>10000000</v>
      </c>
      <c r="N97" s="2172">
        <f t="shared" si="18"/>
        <v>1800000</v>
      </c>
      <c r="O97" s="2171">
        <v>10000000</v>
      </c>
      <c r="P97" s="2171">
        <v>1800000</v>
      </c>
      <c r="Q97" s="1509"/>
      <c r="R97" s="2650"/>
      <c r="S97" s="2650"/>
      <c r="T97" s="1507"/>
      <c r="U97" s="1495">
        <f>SUM(O97+R97)</f>
        <v>10000000</v>
      </c>
      <c r="V97" s="1495">
        <f t="shared" si="34"/>
        <v>1800000</v>
      </c>
      <c r="W97" s="1495">
        <f t="shared" si="33"/>
        <v>0</v>
      </c>
      <c r="X97" s="1495">
        <f t="shared" si="22"/>
        <v>0</v>
      </c>
      <c r="Y97" s="1495">
        <f t="shared" si="23"/>
        <v>100</v>
      </c>
      <c r="Z97" s="1495">
        <f t="shared" si="24"/>
        <v>0</v>
      </c>
      <c r="AA97" s="1506">
        <f t="shared" si="25"/>
        <v>0</v>
      </c>
      <c r="AB97" s="1505"/>
      <c r="AC97" s="1504">
        <f t="shared" si="26"/>
        <v>0</v>
      </c>
      <c r="AD97" s="1503">
        <f t="shared" si="27"/>
        <v>0</v>
      </c>
      <c r="AE97" s="1503">
        <f t="shared" si="28"/>
        <v>0</v>
      </c>
      <c r="AF97" s="1502">
        <f t="shared" si="29"/>
        <v>0</v>
      </c>
    </row>
    <row r="98" spans="1:32" s="1474" customFormat="1" ht="23.25" customHeight="1">
      <c r="A98" s="2790">
        <f t="shared" si="30"/>
        <v>34</v>
      </c>
      <c r="B98" s="2175" t="s">
        <v>2238</v>
      </c>
      <c r="C98" s="2416" t="s">
        <v>2195</v>
      </c>
      <c r="D98" s="2416"/>
      <c r="E98" s="2175">
        <v>4000000</v>
      </c>
      <c r="F98" s="2417">
        <f t="shared" si="16"/>
        <v>720000</v>
      </c>
      <c r="G98" s="2418">
        <v>40926</v>
      </c>
      <c r="H98" s="2419">
        <v>0.18</v>
      </c>
      <c r="I98" s="2164">
        <v>10</v>
      </c>
      <c r="J98" s="2164">
        <v>10</v>
      </c>
      <c r="K98" s="2164">
        <f t="shared" si="35"/>
        <v>400000</v>
      </c>
      <c r="L98" s="2164">
        <f t="shared" si="36"/>
        <v>72000</v>
      </c>
      <c r="M98" s="2172">
        <f t="shared" si="17"/>
        <v>4000000</v>
      </c>
      <c r="N98" s="2172">
        <f t="shared" si="18"/>
        <v>720000</v>
      </c>
      <c r="O98" s="2171">
        <v>3862000</v>
      </c>
      <c r="P98" s="2171">
        <v>720000</v>
      </c>
      <c r="Q98" s="1509"/>
      <c r="R98" s="2837"/>
      <c r="S98" s="2650"/>
      <c r="T98" s="1507"/>
      <c r="U98" s="1495">
        <f t="shared" si="32"/>
        <v>3862000</v>
      </c>
      <c r="V98" s="1495">
        <f t="shared" si="34"/>
        <v>720000</v>
      </c>
      <c r="W98" s="1495">
        <f t="shared" si="33"/>
        <v>0</v>
      </c>
      <c r="X98" s="1495">
        <f t="shared" si="22"/>
        <v>138000</v>
      </c>
      <c r="Y98" s="1495">
        <f t="shared" si="23"/>
        <v>96.55</v>
      </c>
      <c r="Z98" s="1495">
        <f t="shared" si="24"/>
        <v>138000</v>
      </c>
      <c r="AA98" s="1506">
        <f t="shared" si="25"/>
        <v>0</v>
      </c>
      <c r="AB98" s="1505">
        <v>7</v>
      </c>
      <c r="AC98" s="1504">
        <f t="shared" si="26"/>
        <v>0</v>
      </c>
      <c r="AD98" s="1503">
        <f t="shared" si="27"/>
        <v>0</v>
      </c>
      <c r="AE98" s="1503">
        <f t="shared" si="28"/>
        <v>0</v>
      </c>
      <c r="AF98" s="1502">
        <f t="shared" si="29"/>
        <v>138000</v>
      </c>
    </row>
    <row r="99" spans="1:32" s="1474" customFormat="1" ht="23.25" customHeight="1">
      <c r="A99" s="2790">
        <v>35</v>
      </c>
      <c r="B99" s="2175" t="s">
        <v>2155</v>
      </c>
      <c r="C99" s="2416" t="s">
        <v>2248</v>
      </c>
      <c r="D99" s="2416"/>
      <c r="E99" s="2175">
        <v>25000000</v>
      </c>
      <c r="F99" s="2417">
        <f t="shared" si="16"/>
        <v>4500000</v>
      </c>
      <c r="G99" s="2418">
        <v>41012</v>
      </c>
      <c r="H99" s="2419">
        <v>0.18</v>
      </c>
      <c r="I99" s="2164">
        <v>10</v>
      </c>
      <c r="J99" s="2164">
        <v>10</v>
      </c>
      <c r="K99" s="2164">
        <f t="shared" si="35"/>
        <v>2500000</v>
      </c>
      <c r="L99" s="2164">
        <f t="shared" si="36"/>
        <v>450000</v>
      </c>
      <c r="M99" s="2172">
        <f t="shared" si="17"/>
        <v>25000000</v>
      </c>
      <c r="N99" s="2172">
        <f t="shared" si="18"/>
        <v>4500000</v>
      </c>
      <c r="O99" s="2171">
        <v>25000000</v>
      </c>
      <c r="P99" s="2171">
        <v>4500000</v>
      </c>
      <c r="Q99" s="1509"/>
      <c r="R99" s="2650"/>
      <c r="S99" s="2650"/>
      <c r="T99" s="1507"/>
      <c r="U99" s="1495">
        <f t="shared" si="32"/>
        <v>25000000</v>
      </c>
      <c r="V99" s="1495">
        <f t="shared" si="34"/>
        <v>4500000</v>
      </c>
      <c r="W99" s="1495">
        <f t="shared" si="33"/>
        <v>0</v>
      </c>
      <c r="X99" s="1495">
        <f t="shared" si="22"/>
        <v>0</v>
      </c>
      <c r="Y99" s="1495">
        <f t="shared" si="23"/>
        <v>100</v>
      </c>
      <c r="Z99" s="1495">
        <f t="shared" si="24"/>
        <v>0</v>
      </c>
      <c r="AA99" s="1506">
        <f t="shared" si="25"/>
        <v>0</v>
      </c>
      <c r="AB99" s="1505"/>
      <c r="AC99" s="1504">
        <f t="shared" si="26"/>
        <v>0</v>
      </c>
      <c r="AD99" s="1503">
        <f t="shared" si="27"/>
        <v>0</v>
      </c>
      <c r="AE99" s="1503">
        <f t="shared" si="28"/>
        <v>0</v>
      </c>
      <c r="AF99" s="1502">
        <f t="shared" si="29"/>
        <v>0</v>
      </c>
    </row>
    <row r="100" spans="1:32" s="1474" customFormat="1" ht="23.25" customHeight="1">
      <c r="A100" s="2790">
        <v>36</v>
      </c>
      <c r="B100" s="2175" t="s">
        <v>1991</v>
      </c>
      <c r="C100" s="2416" t="s">
        <v>2248</v>
      </c>
      <c r="D100" s="2416"/>
      <c r="E100" s="2175">
        <v>18500000</v>
      </c>
      <c r="F100" s="2417">
        <f t="shared" si="16"/>
        <v>3330000</v>
      </c>
      <c r="G100" s="2418">
        <v>41015</v>
      </c>
      <c r="H100" s="2419">
        <v>0.18</v>
      </c>
      <c r="I100" s="2164">
        <v>12</v>
      </c>
      <c r="J100" s="2164">
        <v>12</v>
      </c>
      <c r="K100" s="2164">
        <v>1541700</v>
      </c>
      <c r="L100" s="2164">
        <f t="shared" si="36"/>
        <v>277500</v>
      </c>
      <c r="M100" s="2172">
        <f t="shared" si="17"/>
        <v>18500000</v>
      </c>
      <c r="N100" s="2172">
        <f t="shared" si="18"/>
        <v>3330000</v>
      </c>
      <c r="O100" s="2171">
        <v>18500000</v>
      </c>
      <c r="P100" s="2171">
        <v>3330000</v>
      </c>
      <c r="Q100" s="2171"/>
      <c r="R100" s="2649"/>
      <c r="S100" s="2649"/>
      <c r="T100" s="1507"/>
      <c r="U100" s="1495">
        <f t="shared" si="32"/>
        <v>18500000</v>
      </c>
      <c r="V100" s="1495">
        <f t="shared" si="34"/>
        <v>3330000</v>
      </c>
      <c r="W100" s="1495">
        <f t="shared" si="33"/>
        <v>0</v>
      </c>
      <c r="X100" s="1495">
        <f t="shared" si="22"/>
        <v>0</v>
      </c>
      <c r="Y100" s="1495">
        <f t="shared" si="23"/>
        <v>100</v>
      </c>
      <c r="Z100" s="1495">
        <f t="shared" si="24"/>
        <v>0</v>
      </c>
      <c r="AA100" s="1506">
        <f t="shared" si="25"/>
        <v>0</v>
      </c>
      <c r="AB100" s="2441"/>
      <c r="AC100" s="1504">
        <f t="shared" si="26"/>
        <v>0</v>
      </c>
      <c r="AD100" s="1503">
        <f t="shared" si="27"/>
        <v>0</v>
      </c>
      <c r="AE100" s="1503">
        <f t="shared" si="28"/>
        <v>0</v>
      </c>
      <c r="AF100" s="1502">
        <f t="shared" si="29"/>
        <v>0</v>
      </c>
    </row>
    <row r="101" spans="1:32" s="1474" customFormat="1" ht="23.25" customHeight="1">
      <c r="A101" s="2790">
        <v>37</v>
      </c>
      <c r="B101" s="2175" t="s">
        <v>2044</v>
      </c>
      <c r="C101" s="2416" t="s">
        <v>2248</v>
      </c>
      <c r="D101" s="2416"/>
      <c r="E101" s="2175">
        <v>18000000</v>
      </c>
      <c r="F101" s="2417">
        <f t="shared" si="16"/>
        <v>3240000</v>
      </c>
      <c r="G101" s="2418">
        <v>41022</v>
      </c>
      <c r="H101" s="2419">
        <v>0.18</v>
      </c>
      <c r="I101" s="2164">
        <v>12</v>
      </c>
      <c r="J101" s="2164">
        <v>12</v>
      </c>
      <c r="K101" s="2164">
        <f t="shared" si="35"/>
        <v>1500000</v>
      </c>
      <c r="L101" s="2164">
        <f t="shared" si="36"/>
        <v>270000</v>
      </c>
      <c r="M101" s="2172">
        <f t="shared" si="17"/>
        <v>18000000</v>
      </c>
      <c r="N101" s="2172">
        <f t="shared" si="18"/>
        <v>3240000</v>
      </c>
      <c r="O101" s="2171">
        <v>16500000</v>
      </c>
      <c r="P101" s="2171">
        <v>2990000</v>
      </c>
      <c r="Q101" s="2171"/>
      <c r="R101" s="3023"/>
      <c r="S101" s="3023"/>
      <c r="T101" s="1507"/>
      <c r="U101" s="1495">
        <f t="shared" si="32"/>
        <v>16500000</v>
      </c>
      <c r="V101" s="1495">
        <f t="shared" si="34"/>
        <v>2990000</v>
      </c>
      <c r="W101" s="1495">
        <f t="shared" si="33"/>
        <v>0</v>
      </c>
      <c r="X101" s="1495">
        <f t="shared" si="22"/>
        <v>1500000</v>
      </c>
      <c r="Y101" s="1495">
        <f t="shared" si="23"/>
        <v>91.666666666666657</v>
      </c>
      <c r="Z101" s="1495">
        <f t="shared" si="24"/>
        <v>1500000</v>
      </c>
      <c r="AA101" s="1506">
        <f t="shared" si="25"/>
        <v>250000</v>
      </c>
      <c r="AB101" s="2441">
        <v>7</v>
      </c>
      <c r="AC101" s="1504">
        <f t="shared" si="26"/>
        <v>0</v>
      </c>
      <c r="AD101" s="1503">
        <f t="shared" si="27"/>
        <v>0</v>
      </c>
      <c r="AE101" s="1503">
        <f t="shared" si="28"/>
        <v>0</v>
      </c>
      <c r="AF101" s="1502">
        <f t="shared" si="29"/>
        <v>1500000</v>
      </c>
    </row>
    <row r="102" spans="1:32" s="1474" customFormat="1" ht="23.25" customHeight="1">
      <c r="A102" s="2790">
        <v>38</v>
      </c>
      <c r="B102" s="2175" t="s">
        <v>2035</v>
      </c>
      <c r="C102" s="2416" t="s">
        <v>2248</v>
      </c>
      <c r="D102" s="2416"/>
      <c r="E102" s="2175">
        <v>9000000</v>
      </c>
      <c r="F102" s="2417">
        <f t="shared" si="16"/>
        <v>1620000</v>
      </c>
      <c r="G102" s="2418">
        <v>41022</v>
      </c>
      <c r="H102" s="2419">
        <v>0.18</v>
      </c>
      <c r="I102" s="2164">
        <v>10</v>
      </c>
      <c r="J102" s="2164">
        <v>10</v>
      </c>
      <c r="K102" s="2164">
        <f t="shared" si="35"/>
        <v>900000</v>
      </c>
      <c r="L102" s="2164">
        <f t="shared" si="36"/>
        <v>162000</v>
      </c>
      <c r="M102" s="2172">
        <f t="shared" si="17"/>
        <v>9000000</v>
      </c>
      <c r="N102" s="2172">
        <f t="shared" si="18"/>
        <v>1620000</v>
      </c>
      <c r="O102" s="2171">
        <v>9000000</v>
      </c>
      <c r="P102" s="2171">
        <v>1620000</v>
      </c>
      <c r="Q102" s="2171"/>
      <c r="R102" s="2649"/>
      <c r="S102" s="2649"/>
      <c r="T102" s="1507"/>
      <c r="U102" s="1495">
        <f t="shared" si="32"/>
        <v>9000000</v>
      </c>
      <c r="V102" s="1495">
        <f t="shared" si="34"/>
        <v>1620000</v>
      </c>
      <c r="W102" s="1495">
        <f t="shared" si="21"/>
        <v>0</v>
      </c>
      <c r="X102" s="1495">
        <f t="shared" si="22"/>
        <v>0</v>
      </c>
      <c r="Y102" s="1495">
        <f t="shared" si="23"/>
        <v>100</v>
      </c>
      <c r="Z102" s="1495">
        <f t="shared" si="24"/>
        <v>0</v>
      </c>
      <c r="AA102" s="1506">
        <f t="shared" si="25"/>
        <v>0</v>
      </c>
      <c r="AB102" s="2441"/>
      <c r="AC102" s="1504">
        <f t="shared" si="26"/>
        <v>0</v>
      </c>
      <c r="AD102" s="1503">
        <f t="shared" si="27"/>
        <v>0</v>
      </c>
      <c r="AE102" s="1503">
        <f t="shared" si="28"/>
        <v>0</v>
      </c>
      <c r="AF102" s="1502">
        <f t="shared" si="29"/>
        <v>0</v>
      </c>
    </row>
    <row r="103" spans="1:32" s="1474" customFormat="1" ht="23.25" customHeight="1">
      <c r="A103" s="2790">
        <v>39</v>
      </c>
      <c r="B103" s="2175" t="s">
        <v>2031</v>
      </c>
      <c r="C103" s="2416" t="s">
        <v>2277</v>
      </c>
      <c r="D103" s="2416"/>
      <c r="E103" s="2175">
        <v>25000000</v>
      </c>
      <c r="F103" s="2417">
        <v>4500000</v>
      </c>
      <c r="G103" s="2418">
        <v>41101</v>
      </c>
      <c r="H103" s="2419">
        <v>0.18</v>
      </c>
      <c r="I103" s="2164">
        <v>10</v>
      </c>
      <c r="J103" s="2164">
        <v>10</v>
      </c>
      <c r="K103" s="2164">
        <f t="shared" ref="K103:K155" si="37">E103/I103</f>
        <v>2500000</v>
      </c>
      <c r="L103" s="2164">
        <f t="shared" ref="L103:L155" si="38">F103/I103</f>
        <v>450000</v>
      </c>
      <c r="M103" s="2172">
        <f t="shared" si="17"/>
        <v>25000000</v>
      </c>
      <c r="N103" s="2172">
        <f>IF(J103&lt;I103,J103*L103,IF(J103&gt;=I103,F103))</f>
        <v>4500000</v>
      </c>
      <c r="O103" s="2171">
        <v>25000000</v>
      </c>
      <c r="P103" s="2171">
        <v>4500000</v>
      </c>
      <c r="Q103" s="2171"/>
      <c r="R103" s="2649"/>
      <c r="S103" s="2649"/>
      <c r="T103" s="1507"/>
      <c r="U103" s="1495">
        <f t="shared" si="32"/>
        <v>25000000</v>
      </c>
      <c r="V103" s="1495">
        <f t="shared" si="34"/>
        <v>4500000</v>
      </c>
      <c r="W103" s="1495">
        <f t="shared" si="21"/>
        <v>0</v>
      </c>
      <c r="X103" s="1495">
        <f t="shared" si="22"/>
        <v>0</v>
      </c>
      <c r="Y103" s="1495">
        <f t="shared" si="23"/>
        <v>100</v>
      </c>
      <c r="Z103" s="1495">
        <f t="shared" si="24"/>
        <v>0</v>
      </c>
      <c r="AA103" s="1506">
        <f t="shared" si="25"/>
        <v>0</v>
      </c>
      <c r="AB103" s="2441"/>
      <c r="AC103" s="1504">
        <f t="shared" si="26"/>
        <v>0</v>
      </c>
      <c r="AD103" s="1503">
        <f t="shared" si="27"/>
        <v>0</v>
      </c>
      <c r="AE103" s="1503">
        <f t="shared" si="28"/>
        <v>0</v>
      </c>
      <c r="AF103" s="1502">
        <f t="shared" si="29"/>
        <v>0</v>
      </c>
    </row>
    <row r="104" spans="1:32" s="1474" customFormat="1" ht="23.25" customHeight="1">
      <c r="A104" s="2790">
        <v>40</v>
      </c>
      <c r="B104" s="2175" t="s">
        <v>2311</v>
      </c>
      <c r="C104" s="2416" t="s">
        <v>2277</v>
      </c>
      <c r="D104" s="2416">
        <v>10</v>
      </c>
      <c r="E104" s="2175">
        <v>15000000</v>
      </c>
      <c r="F104" s="2417">
        <v>2700000</v>
      </c>
      <c r="G104" s="2418">
        <v>41101</v>
      </c>
      <c r="H104" s="2419">
        <v>0.18</v>
      </c>
      <c r="I104" s="2164">
        <v>10</v>
      </c>
      <c r="J104" s="2164">
        <v>10</v>
      </c>
      <c r="K104" s="2164">
        <f t="shared" si="37"/>
        <v>1500000</v>
      </c>
      <c r="L104" s="2164">
        <f>F104/I104</f>
        <v>270000</v>
      </c>
      <c r="M104" s="2172">
        <f t="shared" si="17"/>
        <v>15000000</v>
      </c>
      <c r="N104" s="2172">
        <f>IF(J104&lt;I104,J104*L104,IF(J104&gt;=I104,F104))</f>
        <v>2700000</v>
      </c>
      <c r="O104" s="2171">
        <v>15000000</v>
      </c>
      <c r="P104" s="2171">
        <v>2700000</v>
      </c>
      <c r="Q104" s="2171"/>
      <c r="R104" s="2171"/>
      <c r="S104" s="2171"/>
      <c r="T104" s="1507"/>
      <c r="U104" s="1495">
        <f t="shared" si="32"/>
        <v>15000000</v>
      </c>
      <c r="V104" s="1495">
        <f t="shared" si="34"/>
        <v>2700000</v>
      </c>
      <c r="W104" s="1495">
        <f t="shared" si="21"/>
        <v>0</v>
      </c>
      <c r="X104" s="1495">
        <f t="shared" si="22"/>
        <v>0</v>
      </c>
      <c r="Y104" s="1495">
        <f t="shared" si="23"/>
        <v>100</v>
      </c>
      <c r="Z104" s="1495">
        <f t="shared" si="24"/>
        <v>0</v>
      </c>
      <c r="AA104" s="1506">
        <f t="shared" si="25"/>
        <v>0</v>
      </c>
      <c r="AB104" s="2441"/>
      <c r="AC104" s="1504">
        <f t="shared" si="26"/>
        <v>0</v>
      </c>
      <c r="AD104" s="1503">
        <f t="shared" si="27"/>
        <v>0</v>
      </c>
      <c r="AE104" s="1503">
        <f t="shared" si="28"/>
        <v>0</v>
      </c>
      <c r="AF104" s="1502">
        <f t="shared" si="29"/>
        <v>0</v>
      </c>
    </row>
    <row r="105" spans="1:32" s="1474" customFormat="1" ht="23.25" customHeight="1">
      <c r="A105" s="2790">
        <v>41</v>
      </c>
      <c r="B105" s="2175" t="s">
        <v>2041</v>
      </c>
      <c r="C105" s="2416" t="s">
        <v>2312</v>
      </c>
      <c r="D105" s="2416"/>
      <c r="E105" s="2175">
        <v>15000000</v>
      </c>
      <c r="F105" s="2417">
        <f t="shared" si="16"/>
        <v>2700000</v>
      </c>
      <c r="G105" s="2418">
        <v>41233</v>
      </c>
      <c r="H105" s="2419">
        <v>0.18</v>
      </c>
      <c r="I105" s="2164">
        <v>10</v>
      </c>
      <c r="J105" s="2164">
        <v>10</v>
      </c>
      <c r="K105" s="2164">
        <f t="shared" si="37"/>
        <v>1500000</v>
      </c>
      <c r="L105" s="2164">
        <f t="shared" si="38"/>
        <v>270000</v>
      </c>
      <c r="M105" s="2172">
        <f t="shared" si="17"/>
        <v>15000000</v>
      </c>
      <c r="N105" s="2172">
        <f t="shared" si="18"/>
        <v>2700000</v>
      </c>
      <c r="O105" s="2171">
        <v>15000000</v>
      </c>
      <c r="P105" s="2171">
        <v>2700000</v>
      </c>
      <c r="Q105" s="2171"/>
      <c r="R105" s="2649"/>
      <c r="S105" s="2649"/>
      <c r="T105" s="1507"/>
      <c r="U105" s="1495">
        <f t="shared" si="32"/>
        <v>15000000</v>
      </c>
      <c r="V105" s="1495">
        <f t="shared" si="34"/>
        <v>2700000</v>
      </c>
      <c r="W105" s="1495">
        <f t="shared" si="21"/>
        <v>0</v>
      </c>
      <c r="X105" s="1495">
        <f t="shared" si="22"/>
        <v>0</v>
      </c>
      <c r="Y105" s="1495">
        <f t="shared" si="23"/>
        <v>100</v>
      </c>
      <c r="Z105" s="1495">
        <f t="shared" si="24"/>
        <v>0</v>
      </c>
      <c r="AA105" s="1506">
        <f t="shared" si="25"/>
        <v>0</v>
      </c>
      <c r="AB105" s="2441"/>
      <c r="AC105" s="1504">
        <f t="shared" si="26"/>
        <v>0</v>
      </c>
      <c r="AD105" s="1503">
        <f t="shared" si="27"/>
        <v>0</v>
      </c>
      <c r="AE105" s="1503">
        <f t="shared" si="28"/>
        <v>0</v>
      </c>
      <c r="AF105" s="1502">
        <f t="shared" si="29"/>
        <v>0</v>
      </c>
    </row>
    <row r="106" spans="1:32" s="1474" customFormat="1" ht="23.25" customHeight="1">
      <c r="A106" s="2850">
        <v>42</v>
      </c>
      <c r="B106" s="1497" t="s">
        <v>2049</v>
      </c>
      <c r="C106" s="2706" t="s">
        <v>2312</v>
      </c>
      <c r="D106" s="2706"/>
      <c r="E106" s="1497">
        <v>15000000</v>
      </c>
      <c r="F106" s="2417">
        <f t="shared" si="16"/>
        <v>2700000</v>
      </c>
      <c r="G106" s="2707">
        <v>41236</v>
      </c>
      <c r="H106" s="2419">
        <v>0.18</v>
      </c>
      <c r="I106" s="2415">
        <v>10</v>
      </c>
      <c r="J106" s="2415">
        <v>10</v>
      </c>
      <c r="K106" s="2415">
        <f t="shared" si="37"/>
        <v>1500000</v>
      </c>
      <c r="L106" s="2164">
        <f t="shared" si="38"/>
        <v>270000</v>
      </c>
      <c r="M106" s="2172">
        <f t="shared" si="17"/>
        <v>15000000</v>
      </c>
      <c r="N106" s="2172">
        <f t="shared" si="18"/>
        <v>2700000</v>
      </c>
      <c r="O106" s="2708">
        <v>15000000</v>
      </c>
      <c r="P106" s="2708">
        <v>2700000</v>
      </c>
      <c r="Q106" s="2708"/>
      <c r="R106" s="2653"/>
      <c r="S106" s="2653"/>
      <c r="T106" s="1507"/>
      <c r="U106" s="1495">
        <f t="shared" si="32"/>
        <v>15000000</v>
      </c>
      <c r="V106" s="1495">
        <f t="shared" si="34"/>
        <v>2700000</v>
      </c>
      <c r="W106" s="1495">
        <f t="shared" si="21"/>
        <v>0</v>
      </c>
      <c r="X106" s="1495">
        <f t="shared" si="22"/>
        <v>0</v>
      </c>
      <c r="Y106" s="1495">
        <f t="shared" si="23"/>
        <v>100</v>
      </c>
      <c r="Z106" s="1495">
        <f t="shared" si="24"/>
        <v>0</v>
      </c>
      <c r="AA106" s="1506">
        <f t="shared" si="25"/>
        <v>0</v>
      </c>
      <c r="AB106" s="2441"/>
      <c r="AC106" s="1504">
        <f t="shared" si="26"/>
        <v>0</v>
      </c>
      <c r="AD106" s="1503">
        <f t="shared" si="27"/>
        <v>0</v>
      </c>
      <c r="AE106" s="1503">
        <f t="shared" si="28"/>
        <v>0</v>
      </c>
      <c r="AF106" s="1502">
        <f t="shared" si="29"/>
        <v>0</v>
      </c>
    </row>
    <row r="107" spans="1:32" s="1474" customFormat="1" ht="23.25" customHeight="1">
      <c r="A107" s="2850">
        <v>43</v>
      </c>
      <c r="B107" s="1497" t="s">
        <v>2033</v>
      </c>
      <c r="C107" s="2706" t="s">
        <v>2340</v>
      </c>
      <c r="D107" s="2706"/>
      <c r="E107" s="1497">
        <v>28000000</v>
      </c>
      <c r="F107" s="2417">
        <f t="shared" si="16"/>
        <v>5040000</v>
      </c>
      <c r="G107" s="2707">
        <v>41246</v>
      </c>
      <c r="H107" s="2419">
        <v>0.18</v>
      </c>
      <c r="I107" s="2415">
        <v>10</v>
      </c>
      <c r="J107" s="2415">
        <v>10</v>
      </c>
      <c r="K107" s="2415">
        <f t="shared" si="37"/>
        <v>2800000</v>
      </c>
      <c r="L107" s="2415">
        <f t="shared" si="38"/>
        <v>504000</v>
      </c>
      <c r="M107" s="2172">
        <f t="shared" si="17"/>
        <v>28000000</v>
      </c>
      <c r="N107" s="2172">
        <f t="shared" si="18"/>
        <v>5040000</v>
      </c>
      <c r="O107" s="2708">
        <v>28000000</v>
      </c>
      <c r="P107" s="2708">
        <v>5040000</v>
      </c>
      <c r="Q107" s="2708"/>
      <c r="R107" s="2653"/>
      <c r="S107" s="2653"/>
      <c r="T107" s="1507"/>
      <c r="U107" s="1495">
        <f t="shared" si="32"/>
        <v>28000000</v>
      </c>
      <c r="V107" s="1495">
        <f t="shared" si="34"/>
        <v>5040000</v>
      </c>
      <c r="W107" s="1495">
        <f t="shared" si="21"/>
        <v>0</v>
      </c>
      <c r="X107" s="1495">
        <f t="shared" si="22"/>
        <v>0</v>
      </c>
      <c r="Y107" s="1495">
        <f t="shared" si="23"/>
        <v>100</v>
      </c>
      <c r="Z107" s="1495">
        <f t="shared" si="24"/>
        <v>0</v>
      </c>
      <c r="AA107" s="1506">
        <f t="shared" si="25"/>
        <v>0</v>
      </c>
      <c r="AB107" s="2441"/>
      <c r="AC107" s="1504">
        <f t="shared" si="26"/>
        <v>0</v>
      </c>
      <c r="AD107" s="1503">
        <f t="shared" si="27"/>
        <v>0</v>
      </c>
      <c r="AE107" s="1503">
        <f t="shared" si="28"/>
        <v>0</v>
      </c>
      <c r="AF107" s="1502">
        <f t="shared" si="29"/>
        <v>0</v>
      </c>
    </row>
    <row r="108" spans="1:32" s="1474" customFormat="1" ht="23.25" customHeight="1">
      <c r="A108" s="2850">
        <v>44</v>
      </c>
      <c r="B108" s="1497" t="s">
        <v>2037</v>
      </c>
      <c r="C108" s="2706" t="s">
        <v>2312</v>
      </c>
      <c r="D108" s="2706"/>
      <c r="E108" s="1497">
        <v>7000000</v>
      </c>
      <c r="F108" s="2417">
        <f t="shared" si="16"/>
        <v>1260000</v>
      </c>
      <c r="G108" s="2707">
        <v>41261</v>
      </c>
      <c r="H108" s="2419">
        <v>0.18</v>
      </c>
      <c r="I108" s="2415">
        <v>10</v>
      </c>
      <c r="J108" s="2415">
        <v>10</v>
      </c>
      <c r="K108" s="2415">
        <f t="shared" si="37"/>
        <v>700000</v>
      </c>
      <c r="L108" s="2415">
        <f t="shared" si="38"/>
        <v>126000</v>
      </c>
      <c r="M108" s="2172">
        <f t="shared" si="17"/>
        <v>7000000</v>
      </c>
      <c r="N108" s="2172">
        <f t="shared" si="18"/>
        <v>1260000</v>
      </c>
      <c r="O108" s="2708">
        <v>1579000</v>
      </c>
      <c r="P108" s="2708">
        <v>378000</v>
      </c>
      <c r="Q108" s="2708"/>
      <c r="R108" s="2653"/>
      <c r="S108" s="2653"/>
      <c r="T108" s="1507"/>
      <c r="U108" s="1495">
        <f t="shared" si="32"/>
        <v>1579000</v>
      </c>
      <c r="V108" s="1495">
        <f>SUM(P108+S108)</f>
        <v>378000</v>
      </c>
      <c r="W108" s="1495">
        <f t="shared" si="21"/>
        <v>0</v>
      </c>
      <c r="X108" s="1495">
        <f t="shared" si="22"/>
        <v>5421000</v>
      </c>
      <c r="Y108" s="1495">
        <f t="shared" si="23"/>
        <v>22.557142857142857</v>
      </c>
      <c r="Z108" s="1495">
        <f t="shared" si="24"/>
        <v>5421000</v>
      </c>
      <c r="AA108" s="1506">
        <f t="shared" si="25"/>
        <v>882000</v>
      </c>
      <c r="AB108" s="2441">
        <v>7</v>
      </c>
      <c r="AC108" s="1504">
        <f t="shared" si="26"/>
        <v>0</v>
      </c>
      <c r="AD108" s="1503">
        <f t="shared" si="27"/>
        <v>0</v>
      </c>
      <c r="AE108" s="1503">
        <f t="shared" si="28"/>
        <v>0</v>
      </c>
      <c r="AF108" s="1502">
        <f t="shared" si="29"/>
        <v>5421000</v>
      </c>
    </row>
    <row r="109" spans="1:32" s="1474" customFormat="1" ht="23.25" customHeight="1">
      <c r="A109" s="2850">
        <v>45</v>
      </c>
      <c r="B109" s="1497" t="s">
        <v>2036</v>
      </c>
      <c r="C109" s="2706" t="s">
        <v>2340</v>
      </c>
      <c r="D109" s="2706"/>
      <c r="E109" s="1497">
        <v>25000000</v>
      </c>
      <c r="F109" s="2417">
        <f t="shared" si="16"/>
        <v>4500000</v>
      </c>
      <c r="G109" s="2707">
        <v>41278</v>
      </c>
      <c r="H109" s="2419">
        <v>0.18</v>
      </c>
      <c r="I109" s="2415">
        <v>12</v>
      </c>
      <c r="J109" s="2415">
        <v>12</v>
      </c>
      <c r="K109" s="2415">
        <v>2083300</v>
      </c>
      <c r="L109" s="2415">
        <f t="shared" si="38"/>
        <v>375000</v>
      </c>
      <c r="M109" s="2172">
        <f t="shared" si="17"/>
        <v>25000000</v>
      </c>
      <c r="N109" s="2407">
        <f>IF(J109&lt;I109,J109*L109,IF(J109&gt;=I109,F109))-375000-375000</f>
        <v>3750000</v>
      </c>
      <c r="O109" s="2708">
        <v>25000000</v>
      </c>
      <c r="P109" s="2708">
        <v>3750000</v>
      </c>
      <c r="Q109" s="2708"/>
      <c r="R109" s="2653"/>
      <c r="S109" s="2653"/>
      <c r="T109" s="1507"/>
      <c r="U109" s="1495">
        <f t="shared" si="32"/>
        <v>25000000</v>
      </c>
      <c r="V109" s="1495">
        <f t="shared" si="34"/>
        <v>3750000</v>
      </c>
      <c r="W109" s="1495">
        <f t="shared" si="21"/>
        <v>0</v>
      </c>
      <c r="X109" s="1495">
        <f t="shared" si="22"/>
        <v>0</v>
      </c>
      <c r="Y109" s="1495">
        <f t="shared" si="23"/>
        <v>100</v>
      </c>
      <c r="Z109" s="1495">
        <f t="shared" si="24"/>
        <v>0</v>
      </c>
      <c r="AA109" s="1506">
        <f t="shared" si="25"/>
        <v>0</v>
      </c>
      <c r="AB109" s="2441"/>
      <c r="AC109" s="1504">
        <f t="shared" si="26"/>
        <v>0</v>
      </c>
      <c r="AD109" s="1503">
        <f t="shared" si="27"/>
        <v>0</v>
      </c>
      <c r="AE109" s="1503">
        <f t="shared" si="28"/>
        <v>0</v>
      </c>
      <c r="AF109" s="1502">
        <f t="shared" si="29"/>
        <v>0</v>
      </c>
    </row>
    <row r="110" spans="1:32" s="1474" customFormat="1" ht="23.25" customHeight="1">
      <c r="A110" s="2850">
        <v>46</v>
      </c>
      <c r="B110" s="1497" t="s">
        <v>2350</v>
      </c>
      <c r="C110" s="2706" t="s">
        <v>2340</v>
      </c>
      <c r="D110" s="2706"/>
      <c r="E110" s="1497">
        <v>10000000</v>
      </c>
      <c r="F110" s="2417">
        <f t="shared" si="16"/>
        <v>1800000</v>
      </c>
      <c r="G110" s="2707">
        <v>41278</v>
      </c>
      <c r="H110" s="2419">
        <v>0.18</v>
      </c>
      <c r="I110" s="2415">
        <v>12</v>
      </c>
      <c r="J110" s="2415">
        <v>12</v>
      </c>
      <c r="K110" s="2415">
        <v>833300</v>
      </c>
      <c r="L110" s="2415">
        <f t="shared" si="38"/>
        <v>150000</v>
      </c>
      <c r="M110" s="2172">
        <f t="shared" si="17"/>
        <v>10000000</v>
      </c>
      <c r="N110" s="2407">
        <f>IF(J110&lt;I110,J110*L110,IF(J110&gt;=I110,F110))-150000-150000</f>
        <v>1500000</v>
      </c>
      <c r="O110" s="2708">
        <v>10000000</v>
      </c>
      <c r="P110" s="2708">
        <v>1500000</v>
      </c>
      <c r="Q110" s="2708"/>
      <c r="R110" s="2653"/>
      <c r="S110" s="2653"/>
      <c r="T110" s="1507"/>
      <c r="U110" s="1495">
        <f t="shared" si="32"/>
        <v>10000000</v>
      </c>
      <c r="V110" s="1495">
        <f t="shared" si="34"/>
        <v>1500000</v>
      </c>
      <c r="W110" s="1495">
        <f t="shared" si="21"/>
        <v>0</v>
      </c>
      <c r="X110" s="1495">
        <f t="shared" si="22"/>
        <v>0</v>
      </c>
      <c r="Y110" s="1495">
        <f t="shared" si="23"/>
        <v>100</v>
      </c>
      <c r="Z110" s="1495">
        <f t="shared" si="24"/>
        <v>0</v>
      </c>
      <c r="AA110" s="1506">
        <f t="shared" si="25"/>
        <v>0</v>
      </c>
      <c r="AB110" s="2441"/>
      <c r="AC110" s="1504">
        <f t="shared" si="26"/>
        <v>0</v>
      </c>
      <c r="AD110" s="1503">
        <f t="shared" si="27"/>
        <v>0</v>
      </c>
      <c r="AE110" s="1503">
        <f t="shared" si="28"/>
        <v>0</v>
      </c>
      <c r="AF110" s="1502">
        <f t="shared" si="29"/>
        <v>0</v>
      </c>
    </row>
    <row r="111" spans="1:32" s="1474" customFormat="1" ht="23.25" customHeight="1">
      <c r="A111" s="2850">
        <v>47</v>
      </c>
      <c r="B111" s="1497" t="s">
        <v>2038</v>
      </c>
      <c r="C111" s="2706" t="s">
        <v>2340</v>
      </c>
      <c r="D111" s="2706">
        <v>10</v>
      </c>
      <c r="E111" s="1497">
        <v>13000000</v>
      </c>
      <c r="F111" s="2417">
        <f t="shared" si="16"/>
        <v>2340000</v>
      </c>
      <c r="G111" s="2707">
        <v>41282</v>
      </c>
      <c r="H111" s="2419">
        <v>0.18</v>
      </c>
      <c r="I111" s="2415">
        <v>12</v>
      </c>
      <c r="J111" s="2415">
        <v>12</v>
      </c>
      <c r="K111" s="2415">
        <v>1083300</v>
      </c>
      <c r="L111" s="2415">
        <f t="shared" si="38"/>
        <v>195000</v>
      </c>
      <c r="M111" s="2172">
        <f t="shared" si="17"/>
        <v>13000000</v>
      </c>
      <c r="N111" s="2172">
        <f t="shared" si="18"/>
        <v>2340000</v>
      </c>
      <c r="O111" s="2708">
        <v>13000000</v>
      </c>
      <c r="P111" s="2708">
        <v>2340000</v>
      </c>
      <c r="Q111" s="2708"/>
      <c r="R111" s="2653"/>
      <c r="S111" s="2653"/>
      <c r="T111" s="1507"/>
      <c r="U111" s="1495">
        <f t="shared" si="32"/>
        <v>13000000</v>
      </c>
      <c r="V111" s="1495">
        <f t="shared" si="34"/>
        <v>2340000</v>
      </c>
      <c r="W111" s="1495">
        <f t="shared" si="21"/>
        <v>0</v>
      </c>
      <c r="X111" s="1495">
        <f t="shared" si="22"/>
        <v>0</v>
      </c>
      <c r="Y111" s="1495">
        <f t="shared" si="23"/>
        <v>100</v>
      </c>
      <c r="Z111" s="1495">
        <f t="shared" si="24"/>
        <v>0</v>
      </c>
      <c r="AA111" s="1506">
        <f t="shared" si="25"/>
        <v>0</v>
      </c>
      <c r="AB111" s="2441"/>
      <c r="AC111" s="1504">
        <f t="shared" si="26"/>
        <v>0</v>
      </c>
      <c r="AD111" s="1503">
        <f t="shared" si="27"/>
        <v>0</v>
      </c>
      <c r="AE111" s="1503">
        <f t="shared" si="28"/>
        <v>0</v>
      </c>
      <c r="AF111" s="1502">
        <f t="shared" si="29"/>
        <v>0</v>
      </c>
    </row>
    <row r="112" spans="1:32" s="1474" customFormat="1" ht="23.25" customHeight="1">
      <c r="A112" s="2850">
        <v>48</v>
      </c>
      <c r="B112" s="1497" t="s">
        <v>1951</v>
      </c>
      <c r="C112" s="2706" t="s">
        <v>2340</v>
      </c>
      <c r="D112" s="2706">
        <v>10</v>
      </c>
      <c r="E112" s="1497">
        <v>27000000</v>
      </c>
      <c r="F112" s="2417">
        <f t="shared" si="16"/>
        <v>4860000</v>
      </c>
      <c r="G112" s="2707">
        <v>41282</v>
      </c>
      <c r="H112" s="2419">
        <v>0.18</v>
      </c>
      <c r="I112" s="2415">
        <v>12</v>
      </c>
      <c r="J112" s="2415">
        <v>12</v>
      </c>
      <c r="K112" s="2415">
        <f t="shared" si="37"/>
        <v>2250000</v>
      </c>
      <c r="L112" s="2415">
        <f t="shared" si="38"/>
        <v>405000</v>
      </c>
      <c r="M112" s="2172">
        <f t="shared" si="17"/>
        <v>27000000</v>
      </c>
      <c r="N112" s="2172">
        <f t="shared" si="18"/>
        <v>4860000</v>
      </c>
      <c r="O112" s="2708">
        <v>27000000</v>
      </c>
      <c r="P112" s="2708">
        <v>4860000</v>
      </c>
      <c r="Q112" s="2708"/>
      <c r="R112" s="2653"/>
      <c r="S112" s="2653"/>
      <c r="T112" s="1507"/>
      <c r="U112" s="1495">
        <f t="shared" si="32"/>
        <v>27000000</v>
      </c>
      <c r="V112" s="1495">
        <f t="shared" si="34"/>
        <v>4860000</v>
      </c>
      <c r="W112" s="1495">
        <f t="shared" si="21"/>
        <v>0</v>
      </c>
      <c r="X112" s="1495">
        <f t="shared" si="22"/>
        <v>0</v>
      </c>
      <c r="Y112" s="1495">
        <f t="shared" si="23"/>
        <v>100</v>
      </c>
      <c r="Z112" s="1495">
        <f t="shared" si="24"/>
        <v>0</v>
      </c>
      <c r="AA112" s="1506">
        <f t="shared" si="25"/>
        <v>0</v>
      </c>
      <c r="AB112" s="2441"/>
      <c r="AC112" s="1504">
        <f t="shared" si="26"/>
        <v>0</v>
      </c>
      <c r="AD112" s="1503">
        <f t="shared" si="27"/>
        <v>0</v>
      </c>
      <c r="AE112" s="1503">
        <f t="shared" si="28"/>
        <v>0</v>
      </c>
      <c r="AF112" s="1502">
        <f t="shared" si="29"/>
        <v>0</v>
      </c>
    </row>
    <row r="113" spans="1:32" s="1474" customFormat="1" ht="23.25" customHeight="1">
      <c r="A113" s="2850">
        <v>49</v>
      </c>
      <c r="B113" s="1497" t="s">
        <v>2039</v>
      </c>
      <c r="C113" s="2706" t="s">
        <v>2340</v>
      </c>
      <c r="D113" s="2706"/>
      <c r="E113" s="1497">
        <v>10000000</v>
      </c>
      <c r="F113" s="2417">
        <f t="shared" si="16"/>
        <v>1800000</v>
      </c>
      <c r="G113" s="2707">
        <v>41288</v>
      </c>
      <c r="H113" s="2419">
        <v>0.18</v>
      </c>
      <c r="I113" s="2415">
        <v>12</v>
      </c>
      <c r="J113" s="2415">
        <v>12</v>
      </c>
      <c r="K113" s="2415">
        <v>833300</v>
      </c>
      <c r="L113" s="2415">
        <f t="shared" si="38"/>
        <v>150000</v>
      </c>
      <c r="M113" s="2172">
        <f t="shared" si="17"/>
        <v>10000000</v>
      </c>
      <c r="N113" s="2407">
        <f>IF(J113&lt;I113,J113*L113,IF(J113&gt;=I113,F113))-150000</f>
        <v>1650000</v>
      </c>
      <c r="O113" s="2708">
        <v>10000000</v>
      </c>
      <c r="P113" s="2708">
        <v>1650000</v>
      </c>
      <c r="Q113" s="2708"/>
      <c r="R113" s="2653"/>
      <c r="S113" s="2653"/>
      <c r="T113" s="1507"/>
      <c r="U113" s="1495">
        <f t="shared" si="32"/>
        <v>10000000</v>
      </c>
      <c r="V113" s="1495">
        <f t="shared" si="34"/>
        <v>1650000</v>
      </c>
      <c r="W113" s="1495">
        <f t="shared" si="21"/>
        <v>0</v>
      </c>
      <c r="X113" s="1495">
        <f t="shared" si="22"/>
        <v>0</v>
      </c>
      <c r="Y113" s="1495">
        <f t="shared" si="23"/>
        <v>100</v>
      </c>
      <c r="Z113" s="1495">
        <f t="shared" si="24"/>
        <v>0</v>
      </c>
      <c r="AA113" s="1506">
        <f t="shared" si="25"/>
        <v>0</v>
      </c>
      <c r="AB113" s="2441"/>
      <c r="AC113" s="1504">
        <f t="shared" si="26"/>
        <v>0</v>
      </c>
      <c r="AD113" s="1503">
        <f t="shared" si="27"/>
        <v>0</v>
      </c>
      <c r="AE113" s="1503">
        <f t="shared" si="28"/>
        <v>0</v>
      </c>
      <c r="AF113" s="1502">
        <f t="shared" si="29"/>
        <v>0</v>
      </c>
    </row>
    <row r="114" spans="1:32" s="1474" customFormat="1" ht="23.25" customHeight="1">
      <c r="A114" s="2850">
        <v>50</v>
      </c>
      <c r="B114" s="1497" t="s">
        <v>2032</v>
      </c>
      <c r="C114" s="2706" t="s">
        <v>2340</v>
      </c>
      <c r="D114" s="2706"/>
      <c r="E114" s="1497">
        <v>18000000</v>
      </c>
      <c r="F114" s="2417">
        <f t="shared" si="16"/>
        <v>3240000</v>
      </c>
      <c r="G114" s="2707">
        <v>41288</v>
      </c>
      <c r="H114" s="2419">
        <v>0.18</v>
      </c>
      <c r="I114" s="2415">
        <v>12</v>
      </c>
      <c r="J114" s="2415">
        <v>12</v>
      </c>
      <c r="K114" s="2415">
        <f t="shared" si="37"/>
        <v>1500000</v>
      </c>
      <c r="L114" s="2415">
        <f t="shared" si="38"/>
        <v>270000</v>
      </c>
      <c r="M114" s="2172">
        <f t="shared" si="17"/>
        <v>18000000</v>
      </c>
      <c r="N114" s="2407">
        <f>IF(J114&lt;I114,J114*L114,IF(J114&gt;=I114,F114))-270000</f>
        <v>2970000</v>
      </c>
      <c r="O114" s="2708">
        <v>18000000</v>
      </c>
      <c r="P114" s="2708">
        <v>2970000</v>
      </c>
      <c r="Q114" s="2708"/>
      <c r="R114" s="2653"/>
      <c r="S114" s="2653"/>
      <c r="T114" s="1507"/>
      <c r="U114" s="1495">
        <f t="shared" si="32"/>
        <v>18000000</v>
      </c>
      <c r="V114" s="1495">
        <f t="shared" si="34"/>
        <v>2970000</v>
      </c>
      <c r="W114" s="1495">
        <f t="shared" si="21"/>
        <v>0</v>
      </c>
      <c r="X114" s="1495">
        <f t="shared" si="22"/>
        <v>0</v>
      </c>
      <c r="Y114" s="1495">
        <f t="shared" si="23"/>
        <v>100</v>
      </c>
      <c r="Z114" s="1495">
        <f t="shared" si="24"/>
        <v>0</v>
      </c>
      <c r="AA114" s="1506">
        <f t="shared" si="25"/>
        <v>0</v>
      </c>
      <c r="AB114" s="2441"/>
      <c r="AC114" s="1504">
        <f t="shared" si="26"/>
        <v>0</v>
      </c>
      <c r="AD114" s="1503">
        <f t="shared" si="27"/>
        <v>0</v>
      </c>
      <c r="AE114" s="1503">
        <f t="shared" si="28"/>
        <v>0</v>
      </c>
      <c r="AF114" s="1502">
        <f t="shared" si="29"/>
        <v>0</v>
      </c>
    </row>
    <row r="115" spans="1:32" s="1474" customFormat="1" ht="23.25" customHeight="1">
      <c r="A115" s="2850">
        <v>51</v>
      </c>
      <c r="B115" s="1497" t="s">
        <v>2040</v>
      </c>
      <c r="C115" s="2706" t="s">
        <v>2340</v>
      </c>
      <c r="D115" s="2706"/>
      <c r="E115" s="1497">
        <v>15000000</v>
      </c>
      <c r="F115" s="2417">
        <f t="shared" si="16"/>
        <v>2700000</v>
      </c>
      <c r="G115" s="2707">
        <v>37657</v>
      </c>
      <c r="H115" s="2419">
        <v>0.18</v>
      </c>
      <c r="I115" s="2415">
        <v>10</v>
      </c>
      <c r="J115" s="2415">
        <v>10</v>
      </c>
      <c r="K115" s="2415">
        <f t="shared" si="37"/>
        <v>1500000</v>
      </c>
      <c r="L115" s="2415">
        <f t="shared" si="38"/>
        <v>270000</v>
      </c>
      <c r="M115" s="2172">
        <f t="shared" si="17"/>
        <v>15000000</v>
      </c>
      <c r="N115" s="2172">
        <f t="shared" si="18"/>
        <v>2700000</v>
      </c>
      <c r="O115" s="2708">
        <v>15000000</v>
      </c>
      <c r="P115" s="2708">
        <v>2700000</v>
      </c>
      <c r="Q115" s="2708"/>
      <c r="R115" s="2653"/>
      <c r="S115" s="2653"/>
      <c r="T115" s="1507"/>
      <c r="U115" s="1495">
        <f t="shared" si="32"/>
        <v>15000000</v>
      </c>
      <c r="V115" s="1495">
        <f t="shared" si="34"/>
        <v>2700000</v>
      </c>
      <c r="W115" s="1495">
        <f t="shared" si="21"/>
        <v>0</v>
      </c>
      <c r="X115" s="1495">
        <f t="shared" si="22"/>
        <v>0</v>
      </c>
      <c r="Y115" s="1495">
        <f t="shared" si="23"/>
        <v>100</v>
      </c>
      <c r="Z115" s="1495">
        <f t="shared" si="24"/>
        <v>0</v>
      </c>
      <c r="AA115" s="1506">
        <f t="shared" si="25"/>
        <v>0</v>
      </c>
      <c r="AB115" s="2441"/>
      <c r="AC115" s="1504">
        <f t="shared" si="26"/>
        <v>0</v>
      </c>
      <c r="AD115" s="1503">
        <f t="shared" si="27"/>
        <v>0</v>
      </c>
      <c r="AE115" s="1503">
        <f t="shared" si="28"/>
        <v>0</v>
      </c>
      <c r="AF115" s="1502">
        <f t="shared" si="29"/>
        <v>0</v>
      </c>
    </row>
    <row r="116" spans="1:32" s="1474" customFormat="1" ht="23.25" customHeight="1">
      <c r="A116" s="2850">
        <v>52</v>
      </c>
      <c r="B116" s="1497" t="s">
        <v>2155</v>
      </c>
      <c r="C116" s="2706" t="s">
        <v>2340</v>
      </c>
      <c r="D116" s="2706"/>
      <c r="E116" s="1497">
        <v>30000000</v>
      </c>
      <c r="F116" s="2417">
        <f t="shared" si="16"/>
        <v>5400000</v>
      </c>
      <c r="G116" s="2707">
        <v>41317</v>
      </c>
      <c r="H116" s="2419">
        <v>0.18</v>
      </c>
      <c r="I116" s="2415">
        <v>10</v>
      </c>
      <c r="J116" s="2415">
        <v>10</v>
      </c>
      <c r="K116" s="2415">
        <f t="shared" si="37"/>
        <v>3000000</v>
      </c>
      <c r="L116" s="2415">
        <f t="shared" si="38"/>
        <v>540000</v>
      </c>
      <c r="M116" s="2172">
        <f t="shared" si="17"/>
        <v>30000000</v>
      </c>
      <c r="N116" s="2407">
        <f>IF(J116&lt;I116,J116*L116,IF(J116&gt;=I116,F116))-540000</f>
        <v>4860000</v>
      </c>
      <c r="O116" s="2708">
        <v>30000000</v>
      </c>
      <c r="P116" s="2708">
        <v>4860000</v>
      </c>
      <c r="Q116" s="2708"/>
      <c r="R116" s="2653"/>
      <c r="S116" s="2653"/>
      <c r="T116" s="1507"/>
      <c r="U116" s="1495">
        <f t="shared" si="32"/>
        <v>30000000</v>
      </c>
      <c r="V116" s="1495">
        <f t="shared" si="34"/>
        <v>4860000</v>
      </c>
      <c r="W116" s="1495">
        <f t="shared" si="21"/>
        <v>0</v>
      </c>
      <c r="X116" s="1495">
        <f t="shared" si="22"/>
        <v>0</v>
      </c>
      <c r="Y116" s="1495">
        <f t="shared" si="23"/>
        <v>100</v>
      </c>
      <c r="Z116" s="1495">
        <f t="shared" si="24"/>
        <v>0</v>
      </c>
      <c r="AA116" s="1506">
        <f t="shared" si="25"/>
        <v>0</v>
      </c>
      <c r="AB116" s="2441"/>
      <c r="AC116" s="1504">
        <f t="shared" si="26"/>
        <v>0</v>
      </c>
      <c r="AD116" s="1503">
        <f t="shared" si="27"/>
        <v>0</v>
      </c>
      <c r="AE116" s="1503">
        <f t="shared" si="28"/>
        <v>0</v>
      </c>
      <c r="AF116" s="1502">
        <f t="shared" si="29"/>
        <v>0</v>
      </c>
    </row>
    <row r="117" spans="1:32" s="1474" customFormat="1" ht="23.25" customHeight="1">
      <c r="A117" s="2850">
        <v>53</v>
      </c>
      <c r="B117" s="1497" t="s">
        <v>2035</v>
      </c>
      <c r="C117" s="2706" t="s">
        <v>2377</v>
      </c>
      <c r="D117" s="2706">
        <v>12</v>
      </c>
      <c r="E117" s="1497">
        <v>15000000</v>
      </c>
      <c r="F117" s="2417">
        <f t="shared" si="16"/>
        <v>2700000</v>
      </c>
      <c r="G117" s="2707">
        <v>41338</v>
      </c>
      <c r="H117" s="2419">
        <v>0.18</v>
      </c>
      <c r="I117" s="2415">
        <v>10</v>
      </c>
      <c r="J117" s="2415">
        <v>10</v>
      </c>
      <c r="K117" s="2415">
        <f t="shared" si="37"/>
        <v>1500000</v>
      </c>
      <c r="L117" s="2415">
        <f t="shared" si="38"/>
        <v>270000</v>
      </c>
      <c r="M117" s="2172">
        <f t="shared" si="17"/>
        <v>15000000</v>
      </c>
      <c r="N117" s="2407">
        <f>IF(J117&lt;I117,J117*L117,IF(J117&gt;=I117,F117))-270000</f>
        <v>2430000</v>
      </c>
      <c r="O117" s="2708">
        <v>15000000</v>
      </c>
      <c r="P117" s="2708">
        <v>2430000</v>
      </c>
      <c r="Q117" s="2708"/>
      <c r="R117" s="2653"/>
      <c r="S117" s="2653"/>
      <c r="T117" s="1507"/>
      <c r="U117" s="1495">
        <f t="shared" si="32"/>
        <v>15000000</v>
      </c>
      <c r="V117" s="1495">
        <f t="shared" si="34"/>
        <v>2430000</v>
      </c>
      <c r="W117" s="1495">
        <f t="shared" si="21"/>
        <v>0</v>
      </c>
      <c r="X117" s="1495">
        <f t="shared" si="22"/>
        <v>0</v>
      </c>
      <c r="Y117" s="1495">
        <f t="shared" si="23"/>
        <v>100</v>
      </c>
      <c r="Z117" s="1495">
        <f t="shared" si="24"/>
        <v>0</v>
      </c>
      <c r="AA117" s="1506">
        <f t="shared" si="25"/>
        <v>0</v>
      </c>
      <c r="AB117" s="2441"/>
      <c r="AC117" s="1504">
        <f t="shared" si="26"/>
        <v>0</v>
      </c>
      <c r="AD117" s="1503">
        <f t="shared" si="27"/>
        <v>0</v>
      </c>
      <c r="AE117" s="1503">
        <f t="shared" si="28"/>
        <v>0</v>
      </c>
      <c r="AF117" s="1502">
        <f t="shared" si="29"/>
        <v>0</v>
      </c>
    </row>
    <row r="118" spans="1:32" s="1474" customFormat="1" ht="23.25" customHeight="1">
      <c r="A118" s="2850">
        <v>54</v>
      </c>
      <c r="B118" s="1497" t="s">
        <v>2031</v>
      </c>
      <c r="C118" s="2706" t="s">
        <v>2387</v>
      </c>
      <c r="D118" s="2706">
        <v>12</v>
      </c>
      <c r="E118" s="1497">
        <v>32000000</v>
      </c>
      <c r="F118" s="2417">
        <f t="shared" si="16"/>
        <v>5760000</v>
      </c>
      <c r="G118" s="2707">
        <v>41411</v>
      </c>
      <c r="H118" s="2419">
        <v>0.18</v>
      </c>
      <c r="I118" s="2415">
        <v>10</v>
      </c>
      <c r="J118" s="2415">
        <v>10</v>
      </c>
      <c r="K118" s="2415">
        <f t="shared" si="37"/>
        <v>3200000</v>
      </c>
      <c r="L118" s="2415">
        <f t="shared" si="38"/>
        <v>576000</v>
      </c>
      <c r="M118" s="2172">
        <f t="shared" si="17"/>
        <v>32000000</v>
      </c>
      <c r="N118" s="2172">
        <f t="shared" si="18"/>
        <v>5760000</v>
      </c>
      <c r="O118" s="2708">
        <v>32000000</v>
      </c>
      <c r="P118" s="2708">
        <v>5760000</v>
      </c>
      <c r="Q118" s="2708"/>
      <c r="R118" s="2653"/>
      <c r="S118" s="2653"/>
      <c r="T118" s="1507"/>
      <c r="U118" s="1495">
        <f t="shared" si="32"/>
        <v>32000000</v>
      </c>
      <c r="V118" s="1495">
        <f t="shared" si="34"/>
        <v>5760000</v>
      </c>
      <c r="W118" s="1495">
        <f t="shared" si="21"/>
        <v>0</v>
      </c>
      <c r="X118" s="1495">
        <f t="shared" si="22"/>
        <v>0</v>
      </c>
      <c r="Y118" s="1495">
        <f t="shared" si="23"/>
        <v>100</v>
      </c>
      <c r="Z118" s="1495">
        <f t="shared" si="24"/>
        <v>0</v>
      </c>
      <c r="AA118" s="1506">
        <f t="shared" si="25"/>
        <v>0</v>
      </c>
      <c r="AB118" s="2441"/>
      <c r="AC118" s="1504">
        <f t="shared" si="26"/>
        <v>0</v>
      </c>
      <c r="AD118" s="1503">
        <f t="shared" si="27"/>
        <v>0</v>
      </c>
      <c r="AE118" s="1503">
        <f t="shared" si="28"/>
        <v>0</v>
      </c>
      <c r="AF118" s="1502">
        <f t="shared" si="29"/>
        <v>0</v>
      </c>
    </row>
    <row r="119" spans="1:32" s="1474" customFormat="1" ht="23.25" customHeight="1">
      <c r="A119" s="2850">
        <v>55</v>
      </c>
      <c r="B119" s="1497" t="s">
        <v>1991</v>
      </c>
      <c r="C119" s="2706" t="s">
        <v>2377</v>
      </c>
      <c r="D119" s="2706">
        <v>12</v>
      </c>
      <c r="E119" s="1497">
        <v>20000000</v>
      </c>
      <c r="F119" s="2417">
        <f t="shared" si="16"/>
        <v>3600000</v>
      </c>
      <c r="G119" s="2707">
        <v>41411</v>
      </c>
      <c r="H119" s="2419">
        <v>0.18</v>
      </c>
      <c r="I119" s="2415">
        <v>12</v>
      </c>
      <c r="J119" s="2415">
        <v>12</v>
      </c>
      <c r="K119" s="2415">
        <v>1666700</v>
      </c>
      <c r="L119" s="2415">
        <f t="shared" si="38"/>
        <v>300000</v>
      </c>
      <c r="M119" s="2172">
        <f t="shared" si="17"/>
        <v>20000000</v>
      </c>
      <c r="N119" s="2172">
        <f t="shared" si="18"/>
        <v>3600000</v>
      </c>
      <c r="O119" s="2708">
        <v>20000000</v>
      </c>
      <c r="P119" s="2708">
        <v>3600000</v>
      </c>
      <c r="Q119" s="2708"/>
      <c r="R119" s="2653"/>
      <c r="S119" s="2653"/>
      <c r="T119" s="1507"/>
      <c r="U119" s="1495">
        <f t="shared" si="32"/>
        <v>20000000</v>
      </c>
      <c r="V119" s="1495">
        <f t="shared" si="34"/>
        <v>3600000</v>
      </c>
      <c r="W119" s="1495">
        <f t="shared" si="21"/>
        <v>0</v>
      </c>
      <c r="X119" s="1495">
        <f t="shared" si="22"/>
        <v>0</v>
      </c>
      <c r="Y119" s="1495">
        <f t="shared" si="23"/>
        <v>100</v>
      </c>
      <c r="Z119" s="1495">
        <f t="shared" si="24"/>
        <v>0</v>
      </c>
      <c r="AA119" s="1506">
        <f t="shared" si="25"/>
        <v>0</v>
      </c>
      <c r="AB119" s="2441"/>
      <c r="AC119" s="1504">
        <f t="shared" si="26"/>
        <v>0</v>
      </c>
      <c r="AD119" s="1503">
        <f t="shared" si="27"/>
        <v>0</v>
      </c>
      <c r="AE119" s="1503">
        <f t="shared" si="28"/>
        <v>0</v>
      </c>
      <c r="AF119" s="1502">
        <f t="shared" si="29"/>
        <v>0</v>
      </c>
    </row>
    <row r="120" spans="1:32" s="1474" customFormat="1" ht="23.25" customHeight="1">
      <c r="A120" s="2850">
        <v>56</v>
      </c>
      <c r="B120" s="1497" t="s">
        <v>2407</v>
      </c>
      <c r="C120" s="2706" t="s">
        <v>2377</v>
      </c>
      <c r="D120" s="2706">
        <v>12</v>
      </c>
      <c r="E120" s="1497">
        <v>10000000</v>
      </c>
      <c r="F120" s="2417">
        <f t="shared" si="16"/>
        <v>1800000</v>
      </c>
      <c r="G120" s="2707">
        <v>41432</v>
      </c>
      <c r="H120" s="2419">
        <v>0.18</v>
      </c>
      <c r="I120" s="2415">
        <v>10</v>
      </c>
      <c r="J120" s="2415">
        <v>10</v>
      </c>
      <c r="K120" s="2415">
        <f t="shared" si="37"/>
        <v>1000000</v>
      </c>
      <c r="L120" s="2415">
        <f t="shared" si="38"/>
        <v>180000</v>
      </c>
      <c r="M120" s="2172">
        <f t="shared" si="17"/>
        <v>10000000</v>
      </c>
      <c r="N120" s="2407">
        <f>IF(J120&lt;I120,J120*L120,IF(J120&gt;=I120,F120))-360000</f>
        <v>1440000</v>
      </c>
      <c r="O120" s="2708">
        <v>10000000</v>
      </c>
      <c r="P120" s="2708">
        <v>1440000</v>
      </c>
      <c r="Q120" s="2708"/>
      <c r="R120" s="2653"/>
      <c r="S120" s="2653"/>
      <c r="T120" s="1507"/>
      <c r="U120" s="1495">
        <f t="shared" si="32"/>
        <v>10000000</v>
      </c>
      <c r="V120" s="1495">
        <f t="shared" si="34"/>
        <v>1440000</v>
      </c>
      <c r="W120" s="1495">
        <f t="shared" si="21"/>
        <v>0</v>
      </c>
      <c r="X120" s="1495">
        <f t="shared" si="22"/>
        <v>0</v>
      </c>
      <c r="Y120" s="1495">
        <f t="shared" si="23"/>
        <v>100</v>
      </c>
      <c r="Z120" s="1495">
        <f t="shared" si="24"/>
        <v>0</v>
      </c>
      <c r="AA120" s="1506">
        <f t="shared" si="25"/>
        <v>0</v>
      </c>
      <c r="AB120" s="2441"/>
      <c r="AC120" s="1504">
        <f t="shared" si="26"/>
        <v>0</v>
      </c>
      <c r="AD120" s="1503">
        <f t="shared" si="27"/>
        <v>0</v>
      </c>
      <c r="AE120" s="1503">
        <f t="shared" si="28"/>
        <v>0</v>
      </c>
      <c r="AF120" s="1502">
        <f t="shared" si="29"/>
        <v>0</v>
      </c>
    </row>
    <row r="121" spans="1:32" s="1474" customFormat="1" ht="23.25" customHeight="1">
      <c r="A121" s="2850">
        <v>57</v>
      </c>
      <c r="B121" s="1497" t="s">
        <v>2333</v>
      </c>
      <c r="C121" s="2706" t="s">
        <v>2377</v>
      </c>
      <c r="D121" s="2706">
        <v>12</v>
      </c>
      <c r="E121" s="1497">
        <v>10500000</v>
      </c>
      <c r="F121" s="2417">
        <f t="shared" si="16"/>
        <v>1890000</v>
      </c>
      <c r="G121" s="2707">
        <v>41443</v>
      </c>
      <c r="H121" s="2419">
        <v>0.18</v>
      </c>
      <c r="I121" s="2415">
        <v>10</v>
      </c>
      <c r="J121" s="2415">
        <v>10</v>
      </c>
      <c r="K121" s="2415">
        <f t="shared" si="37"/>
        <v>1050000</v>
      </c>
      <c r="L121" s="2415">
        <f t="shared" si="38"/>
        <v>189000</v>
      </c>
      <c r="M121" s="2172">
        <f t="shared" si="17"/>
        <v>10500000</v>
      </c>
      <c r="N121" s="2407">
        <f>IF(J121&lt;I121,J121*L121,IF(J121&gt;=I121,F121))-378000</f>
        <v>1512000</v>
      </c>
      <c r="O121" s="2708">
        <v>10500000</v>
      </c>
      <c r="P121" s="2708">
        <v>1512000</v>
      </c>
      <c r="Q121" s="2708"/>
      <c r="R121" s="2653"/>
      <c r="S121" s="2653"/>
      <c r="T121" s="1507"/>
      <c r="U121" s="1495">
        <f t="shared" si="32"/>
        <v>10500000</v>
      </c>
      <c r="V121" s="1495">
        <f t="shared" si="34"/>
        <v>1512000</v>
      </c>
      <c r="W121" s="1495">
        <f t="shared" si="21"/>
        <v>0</v>
      </c>
      <c r="X121" s="1495">
        <f t="shared" si="22"/>
        <v>0</v>
      </c>
      <c r="Y121" s="1495">
        <f t="shared" si="23"/>
        <v>100</v>
      </c>
      <c r="Z121" s="1495">
        <f t="shared" si="24"/>
        <v>0</v>
      </c>
      <c r="AA121" s="1506">
        <f t="shared" si="25"/>
        <v>0</v>
      </c>
      <c r="AB121" s="2441"/>
      <c r="AC121" s="1504">
        <f t="shared" si="26"/>
        <v>0</v>
      </c>
      <c r="AD121" s="1503">
        <f t="shared" si="27"/>
        <v>0</v>
      </c>
      <c r="AE121" s="1503">
        <f t="shared" si="28"/>
        <v>0</v>
      </c>
      <c r="AF121" s="1502">
        <f t="shared" si="29"/>
        <v>0</v>
      </c>
    </row>
    <row r="122" spans="1:32" s="1474" customFormat="1" ht="23.25" customHeight="1">
      <c r="A122" s="2850">
        <v>58</v>
      </c>
      <c r="B122" s="1497" t="s">
        <v>2424</v>
      </c>
      <c r="C122" s="2706" t="s">
        <v>2411</v>
      </c>
      <c r="D122" s="2706">
        <v>12</v>
      </c>
      <c r="E122" s="1497">
        <v>8000000</v>
      </c>
      <c r="F122" s="2417">
        <f t="shared" si="16"/>
        <v>1440000</v>
      </c>
      <c r="G122" s="2707">
        <v>41465</v>
      </c>
      <c r="H122" s="2419">
        <v>0.18</v>
      </c>
      <c r="I122" s="2415">
        <v>10</v>
      </c>
      <c r="J122" s="2415">
        <v>10</v>
      </c>
      <c r="K122" s="2415">
        <f t="shared" si="37"/>
        <v>800000</v>
      </c>
      <c r="L122" s="2415">
        <f t="shared" si="38"/>
        <v>144000</v>
      </c>
      <c r="M122" s="2172">
        <f t="shared" si="17"/>
        <v>8000000</v>
      </c>
      <c r="N122" s="2407">
        <f>IF(J122&lt;I122,J122*L122,IF(J122&gt;=I122,F122))-144000</f>
        <v>1296000</v>
      </c>
      <c r="O122" s="2708">
        <v>8000000</v>
      </c>
      <c r="P122" s="2708">
        <v>1296000</v>
      </c>
      <c r="Q122" s="2708"/>
      <c r="R122" s="2653"/>
      <c r="S122" s="2653"/>
      <c r="T122" s="1507"/>
      <c r="U122" s="1495">
        <f t="shared" si="32"/>
        <v>8000000</v>
      </c>
      <c r="V122" s="1495">
        <f t="shared" si="34"/>
        <v>1296000</v>
      </c>
      <c r="W122" s="1495">
        <f t="shared" si="21"/>
        <v>0</v>
      </c>
      <c r="X122" s="1495">
        <f t="shared" si="22"/>
        <v>0</v>
      </c>
      <c r="Y122" s="1495">
        <f t="shared" si="23"/>
        <v>100</v>
      </c>
      <c r="Z122" s="1495">
        <f t="shared" si="24"/>
        <v>0</v>
      </c>
      <c r="AA122" s="1506">
        <f t="shared" si="25"/>
        <v>0</v>
      </c>
      <c r="AB122" s="2441"/>
      <c r="AC122" s="1504">
        <f t="shared" si="26"/>
        <v>0</v>
      </c>
      <c r="AD122" s="1503">
        <f t="shared" si="27"/>
        <v>0</v>
      </c>
      <c r="AE122" s="1503">
        <f t="shared" si="28"/>
        <v>0</v>
      </c>
      <c r="AF122" s="1502">
        <f t="shared" si="29"/>
        <v>0</v>
      </c>
    </row>
    <row r="123" spans="1:32" s="1474" customFormat="1" ht="23.25" customHeight="1">
      <c r="A123" s="2850">
        <v>59</v>
      </c>
      <c r="B123" s="1497" t="s">
        <v>2425</v>
      </c>
      <c r="C123" s="2706" t="s">
        <v>2411</v>
      </c>
      <c r="D123" s="2706">
        <v>12</v>
      </c>
      <c r="E123" s="1497">
        <v>16000000</v>
      </c>
      <c r="F123" s="2417">
        <f t="shared" si="16"/>
        <v>2880000</v>
      </c>
      <c r="G123" s="2707">
        <v>41465</v>
      </c>
      <c r="H123" s="2419">
        <v>0.18</v>
      </c>
      <c r="I123" s="2415">
        <v>10</v>
      </c>
      <c r="J123" s="2415">
        <v>10</v>
      </c>
      <c r="K123" s="2415">
        <f t="shared" si="37"/>
        <v>1600000</v>
      </c>
      <c r="L123" s="2415">
        <f t="shared" si="38"/>
        <v>288000</v>
      </c>
      <c r="M123" s="2172">
        <f t="shared" si="17"/>
        <v>16000000</v>
      </c>
      <c r="N123" s="2172">
        <f t="shared" si="18"/>
        <v>2880000</v>
      </c>
      <c r="O123" s="2708">
        <v>9828000</v>
      </c>
      <c r="P123" s="2708">
        <v>2016000</v>
      </c>
      <c r="Q123" s="2708"/>
      <c r="R123" s="3010"/>
      <c r="S123" s="3010"/>
      <c r="T123" s="1507"/>
      <c r="U123" s="1495">
        <f t="shared" si="32"/>
        <v>9828000</v>
      </c>
      <c r="V123" s="1495">
        <f t="shared" si="34"/>
        <v>2016000</v>
      </c>
      <c r="W123" s="1495">
        <f t="shared" si="21"/>
        <v>0</v>
      </c>
      <c r="X123" s="1495">
        <f t="shared" si="22"/>
        <v>6172000</v>
      </c>
      <c r="Y123" s="1495">
        <f t="shared" si="23"/>
        <v>61.424999999999997</v>
      </c>
      <c r="Z123" s="1495">
        <f t="shared" si="24"/>
        <v>6172000</v>
      </c>
      <c r="AA123" s="1506">
        <f t="shared" si="25"/>
        <v>864000</v>
      </c>
      <c r="AB123" s="2441">
        <v>7</v>
      </c>
      <c r="AC123" s="1504">
        <f t="shared" si="26"/>
        <v>0</v>
      </c>
      <c r="AD123" s="1503">
        <f t="shared" si="27"/>
        <v>0</v>
      </c>
      <c r="AE123" s="1503">
        <f t="shared" si="28"/>
        <v>0</v>
      </c>
      <c r="AF123" s="1502">
        <f t="shared" si="29"/>
        <v>6172000</v>
      </c>
    </row>
    <row r="124" spans="1:32" s="1474" customFormat="1" ht="23.25" customHeight="1">
      <c r="A124" s="2850">
        <v>60</v>
      </c>
      <c r="B124" s="1497" t="s">
        <v>2049</v>
      </c>
      <c r="C124" s="2706" t="s">
        <v>2411</v>
      </c>
      <c r="D124" s="2706">
        <v>12</v>
      </c>
      <c r="E124" s="1497">
        <v>22000000</v>
      </c>
      <c r="F124" s="2417">
        <f t="shared" si="16"/>
        <v>3960000</v>
      </c>
      <c r="G124" s="2707">
        <v>41537</v>
      </c>
      <c r="H124" s="2419">
        <v>0.18</v>
      </c>
      <c r="I124" s="2415">
        <v>10</v>
      </c>
      <c r="J124" s="2415">
        <v>10</v>
      </c>
      <c r="K124" s="2415">
        <f t="shared" si="37"/>
        <v>2200000</v>
      </c>
      <c r="L124" s="2415">
        <f t="shared" si="38"/>
        <v>396000</v>
      </c>
      <c r="M124" s="2172">
        <f t="shared" si="17"/>
        <v>22000000</v>
      </c>
      <c r="N124" s="2172">
        <f t="shared" si="18"/>
        <v>3960000</v>
      </c>
      <c r="O124" s="2708">
        <v>22000000</v>
      </c>
      <c r="P124" s="2708">
        <v>3960000</v>
      </c>
      <c r="Q124" s="2708"/>
      <c r="R124" s="2653"/>
      <c r="S124" s="2653"/>
      <c r="T124" s="1507"/>
      <c r="U124" s="1495">
        <f t="shared" si="32"/>
        <v>22000000</v>
      </c>
      <c r="V124" s="1495">
        <f t="shared" si="34"/>
        <v>3960000</v>
      </c>
      <c r="W124" s="1495">
        <f t="shared" si="21"/>
        <v>0</v>
      </c>
      <c r="X124" s="1495">
        <f t="shared" si="22"/>
        <v>0</v>
      </c>
      <c r="Y124" s="1495">
        <f t="shared" si="23"/>
        <v>100</v>
      </c>
      <c r="Z124" s="1495">
        <f t="shared" si="24"/>
        <v>0</v>
      </c>
      <c r="AA124" s="1506">
        <f t="shared" si="25"/>
        <v>0</v>
      </c>
      <c r="AB124" s="2441"/>
      <c r="AC124" s="1504">
        <f t="shared" si="26"/>
        <v>0</v>
      </c>
      <c r="AD124" s="1503">
        <f t="shared" si="27"/>
        <v>0</v>
      </c>
      <c r="AE124" s="1503">
        <f t="shared" si="28"/>
        <v>0</v>
      </c>
      <c r="AF124" s="1502">
        <f t="shared" si="29"/>
        <v>0</v>
      </c>
    </row>
    <row r="125" spans="1:32" s="1474" customFormat="1" ht="23.25" customHeight="1">
      <c r="A125" s="2850">
        <v>61</v>
      </c>
      <c r="B125" s="1497" t="s">
        <v>2041</v>
      </c>
      <c r="C125" s="2706" t="s">
        <v>2411</v>
      </c>
      <c r="D125" s="2706">
        <v>12</v>
      </c>
      <c r="E125" s="1497">
        <v>22000000</v>
      </c>
      <c r="F125" s="2417">
        <f t="shared" si="16"/>
        <v>3960000</v>
      </c>
      <c r="G125" s="2707">
        <v>41533</v>
      </c>
      <c r="H125" s="2419">
        <v>0.18</v>
      </c>
      <c r="I125" s="2415">
        <v>10</v>
      </c>
      <c r="J125" s="2415">
        <v>10</v>
      </c>
      <c r="K125" s="2415">
        <f t="shared" si="37"/>
        <v>2200000</v>
      </c>
      <c r="L125" s="2415">
        <f t="shared" si="38"/>
        <v>396000</v>
      </c>
      <c r="M125" s="2172">
        <f t="shared" si="17"/>
        <v>22000000</v>
      </c>
      <c r="N125" s="2172">
        <f t="shared" si="18"/>
        <v>3960000</v>
      </c>
      <c r="O125" s="2708">
        <v>22000000</v>
      </c>
      <c r="P125" s="2708">
        <v>3960000</v>
      </c>
      <c r="Q125" s="2708"/>
      <c r="R125" s="2653"/>
      <c r="S125" s="2653"/>
      <c r="T125" s="1507"/>
      <c r="U125" s="1495">
        <f t="shared" si="32"/>
        <v>22000000</v>
      </c>
      <c r="V125" s="1495">
        <f t="shared" si="34"/>
        <v>3960000</v>
      </c>
      <c r="W125" s="1495">
        <f t="shared" si="21"/>
        <v>0</v>
      </c>
      <c r="X125" s="1495">
        <f t="shared" si="22"/>
        <v>0</v>
      </c>
      <c r="Y125" s="1495">
        <f t="shared" si="23"/>
        <v>100</v>
      </c>
      <c r="Z125" s="1495">
        <f t="shared" si="24"/>
        <v>0</v>
      </c>
      <c r="AA125" s="1506">
        <f t="shared" si="25"/>
        <v>0</v>
      </c>
      <c r="AB125" s="2441"/>
      <c r="AC125" s="1504">
        <f t="shared" si="26"/>
        <v>0</v>
      </c>
      <c r="AD125" s="1503">
        <f t="shared" si="27"/>
        <v>0</v>
      </c>
      <c r="AE125" s="1503">
        <f t="shared" si="28"/>
        <v>0</v>
      </c>
      <c r="AF125" s="1502">
        <f t="shared" si="29"/>
        <v>0</v>
      </c>
    </row>
    <row r="126" spans="1:32" s="1474" customFormat="1" ht="23.25" customHeight="1">
      <c r="A126" s="2850">
        <v>62</v>
      </c>
      <c r="B126" s="1497" t="s">
        <v>2475</v>
      </c>
      <c r="C126" s="2706" t="s">
        <v>2465</v>
      </c>
      <c r="D126" s="2706">
        <v>12</v>
      </c>
      <c r="E126" s="1497">
        <v>30000000</v>
      </c>
      <c r="F126" s="2417">
        <f t="shared" si="16"/>
        <v>5400000</v>
      </c>
      <c r="G126" s="2707">
        <v>41590</v>
      </c>
      <c r="H126" s="2419">
        <v>0.18</v>
      </c>
      <c r="I126" s="2415">
        <v>12</v>
      </c>
      <c r="J126" s="2415">
        <v>12</v>
      </c>
      <c r="K126" s="2415">
        <f t="shared" si="37"/>
        <v>2500000</v>
      </c>
      <c r="L126" s="2415">
        <f t="shared" si="38"/>
        <v>450000</v>
      </c>
      <c r="M126" s="2172">
        <f t="shared" si="17"/>
        <v>30000000</v>
      </c>
      <c r="N126" s="2172">
        <f t="shared" si="18"/>
        <v>5400000</v>
      </c>
      <c r="O126" s="2708">
        <v>30000000</v>
      </c>
      <c r="P126" s="2708">
        <v>5400000</v>
      </c>
      <c r="Q126" s="2708"/>
      <c r="R126" s="2653"/>
      <c r="S126" s="2653"/>
      <c r="T126" s="1507"/>
      <c r="U126" s="1495">
        <f t="shared" si="32"/>
        <v>30000000</v>
      </c>
      <c r="V126" s="1495">
        <f t="shared" si="34"/>
        <v>5400000</v>
      </c>
      <c r="W126" s="1495">
        <f t="shared" si="21"/>
        <v>0</v>
      </c>
      <c r="X126" s="1495">
        <f t="shared" si="22"/>
        <v>0</v>
      </c>
      <c r="Y126" s="1495">
        <f t="shared" si="23"/>
        <v>100</v>
      </c>
      <c r="Z126" s="1495">
        <f t="shared" si="24"/>
        <v>0</v>
      </c>
      <c r="AA126" s="1506">
        <f t="shared" si="25"/>
        <v>0</v>
      </c>
      <c r="AB126" s="2441"/>
      <c r="AC126" s="1504">
        <f t="shared" si="26"/>
        <v>0</v>
      </c>
      <c r="AD126" s="1503">
        <f t="shared" si="27"/>
        <v>0</v>
      </c>
      <c r="AE126" s="1503">
        <f t="shared" si="28"/>
        <v>0</v>
      </c>
      <c r="AF126" s="1502">
        <f t="shared" si="29"/>
        <v>0</v>
      </c>
    </row>
    <row r="127" spans="1:32" s="1474" customFormat="1" ht="23.25" customHeight="1">
      <c r="A127" s="2850">
        <v>63</v>
      </c>
      <c r="B127" s="1497" t="s">
        <v>2484</v>
      </c>
      <c r="C127" s="2706" t="s">
        <v>2465</v>
      </c>
      <c r="D127" s="2706">
        <v>12</v>
      </c>
      <c r="E127" s="1497">
        <v>30000000</v>
      </c>
      <c r="F127" s="2417">
        <f t="shared" si="16"/>
        <v>5400000</v>
      </c>
      <c r="G127" s="2707">
        <v>41621</v>
      </c>
      <c r="H127" s="2419">
        <v>0.18</v>
      </c>
      <c r="I127" s="2415">
        <v>12</v>
      </c>
      <c r="J127" s="2415">
        <v>12</v>
      </c>
      <c r="K127" s="2415">
        <f t="shared" si="37"/>
        <v>2500000</v>
      </c>
      <c r="L127" s="2415">
        <f t="shared" si="38"/>
        <v>450000</v>
      </c>
      <c r="M127" s="2172">
        <f t="shared" si="17"/>
        <v>30000000</v>
      </c>
      <c r="N127" s="2407">
        <f>IF(J127&lt;I127,J127*L127,IF(J127&gt;=I127,F127))-450000</f>
        <v>4950000</v>
      </c>
      <c r="O127" s="2708">
        <v>30000000</v>
      </c>
      <c r="P127" s="2708">
        <v>4950000</v>
      </c>
      <c r="Q127" s="2708"/>
      <c r="R127" s="2653"/>
      <c r="S127" s="2653"/>
      <c r="T127" s="1507"/>
      <c r="U127" s="1495">
        <f t="shared" si="32"/>
        <v>30000000</v>
      </c>
      <c r="V127" s="1495">
        <f t="shared" si="34"/>
        <v>4950000</v>
      </c>
      <c r="W127" s="1495">
        <f t="shared" si="21"/>
        <v>0</v>
      </c>
      <c r="X127" s="1495">
        <f t="shared" si="22"/>
        <v>0</v>
      </c>
      <c r="Y127" s="1495">
        <f t="shared" si="23"/>
        <v>100</v>
      </c>
      <c r="Z127" s="1495">
        <f t="shared" si="24"/>
        <v>0</v>
      </c>
      <c r="AA127" s="1506">
        <f t="shared" si="25"/>
        <v>0</v>
      </c>
      <c r="AB127" s="2441"/>
      <c r="AC127" s="1504">
        <f t="shared" si="26"/>
        <v>0</v>
      </c>
      <c r="AD127" s="1503">
        <f t="shared" si="27"/>
        <v>0</v>
      </c>
      <c r="AE127" s="1503">
        <f t="shared" si="28"/>
        <v>0</v>
      </c>
      <c r="AF127" s="1502">
        <f t="shared" si="29"/>
        <v>0</v>
      </c>
    </row>
    <row r="128" spans="1:32" s="1474" customFormat="1" ht="23.25" customHeight="1">
      <c r="A128" s="2850">
        <v>64</v>
      </c>
      <c r="B128" s="1497" t="s">
        <v>2350</v>
      </c>
      <c r="C128" s="2706" t="s">
        <v>2465</v>
      </c>
      <c r="D128" s="2706">
        <v>12</v>
      </c>
      <c r="E128" s="1497">
        <v>15000000</v>
      </c>
      <c r="F128" s="2417">
        <f t="shared" si="16"/>
        <v>2700000</v>
      </c>
      <c r="G128" s="2707">
        <v>41621</v>
      </c>
      <c r="H128" s="2419">
        <v>0.18</v>
      </c>
      <c r="I128" s="2415">
        <v>12</v>
      </c>
      <c r="J128" s="2415">
        <v>12</v>
      </c>
      <c r="K128" s="2415">
        <f t="shared" si="37"/>
        <v>1250000</v>
      </c>
      <c r="L128" s="2415">
        <f t="shared" si="38"/>
        <v>225000</v>
      </c>
      <c r="M128" s="2172">
        <f t="shared" si="17"/>
        <v>15000000</v>
      </c>
      <c r="N128" s="2407">
        <f>IF(J128&lt;I128,J128*L128,IF(J128&gt;=I128,F128))-225000</f>
        <v>2475000</v>
      </c>
      <c r="O128" s="2708">
        <v>15000000</v>
      </c>
      <c r="P128" s="2708">
        <v>2475000</v>
      </c>
      <c r="Q128" s="2708"/>
      <c r="R128" s="2653"/>
      <c r="S128" s="2653"/>
      <c r="T128" s="1507"/>
      <c r="U128" s="1495">
        <f t="shared" si="32"/>
        <v>15000000</v>
      </c>
      <c r="V128" s="1495">
        <f t="shared" si="34"/>
        <v>2475000</v>
      </c>
      <c r="W128" s="1495">
        <f t="shared" si="21"/>
        <v>0</v>
      </c>
      <c r="X128" s="1495">
        <f t="shared" si="22"/>
        <v>0</v>
      </c>
      <c r="Y128" s="1495">
        <f t="shared" si="23"/>
        <v>100</v>
      </c>
      <c r="Z128" s="1495">
        <f t="shared" si="24"/>
        <v>0</v>
      </c>
      <c r="AA128" s="1506">
        <f t="shared" si="25"/>
        <v>0</v>
      </c>
      <c r="AB128" s="2441"/>
      <c r="AC128" s="1504">
        <f t="shared" si="26"/>
        <v>0</v>
      </c>
      <c r="AD128" s="1503">
        <f t="shared" si="27"/>
        <v>0</v>
      </c>
      <c r="AE128" s="1503">
        <f t="shared" si="28"/>
        <v>0</v>
      </c>
      <c r="AF128" s="1502">
        <f t="shared" si="29"/>
        <v>0</v>
      </c>
    </row>
    <row r="129" spans="1:32" s="1474" customFormat="1" ht="23.25" customHeight="1">
      <c r="A129" s="2850">
        <v>65</v>
      </c>
      <c r="B129" s="1497" t="s">
        <v>2155</v>
      </c>
      <c r="C129" s="2706" t="s">
        <v>2465</v>
      </c>
      <c r="D129" s="2706">
        <v>12</v>
      </c>
      <c r="E129" s="1497">
        <v>40000000</v>
      </c>
      <c r="F129" s="2417">
        <f t="shared" si="16"/>
        <v>7200000</v>
      </c>
      <c r="G129" s="2707">
        <v>41621</v>
      </c>
      <c r="H129" s="2419">
        <v>0.18</v>
      </c>
      <c r="I129" s="2415">
        <v>10</v>
      </c>
      <c r="J129" s="2415">
        <v>12</v>
      </c>
      <c r="K129" s="2415">
        <f t="shared" si="37"/>
        <v>4000000</v>
      </c>
      <c r="L129" s="2415">
        <f t="shared" si="38"/>
        <v>720000</v>
      </c>
      <c r="M129" s="2172">
        <f t="shared" si="17"/>
        <v>40000000</v>
      </c>
      <c r="N129" s="2407">
        <f>IF(J129&lt;I129,J129*L129,IF(J129&gt;=I129,F129))-720000</f>
        <v>6480000</v>
      </c>
      <c r="O129" s="2708">
        <v>40000000</v>
      </c>
      <c r="P129" s="2708">
        <v>6480000</v>
      </c>
      <c r="Q129" s="2708"/>
      <c r="R129" s="2653"/>
      <c r="S129" s="2653"/>
      <c r="T129" s="1507"/>
      <c r="U129" s="1495">
        <f t="shared" si="32"/>
        <v>40000000</v>
      </c>
      <c r="V129" s="1495">
        <f t="shared" si="34"/>
        <v>6480000</v>
      </c>
      <c r="W129" s="1495">
        <f t="shared" si="21"/>
        <v>0</v>
      </c>
      <c r="X129" s="1495">
        <f t="shared" si="22"/>
        <v>0</v>
      </c>
      <c r="Y129" s="1495">
        <f t="shared" si="23"/>
        <v>100</v>
      </c>
      <c r="Z129" s="1495">
        <f t="shared" si="24"/>
        <v>0</v>
      </c>
      <c r="AA129" s="1506">
        <f t="shared" si="25"/>
        <v>0</v>
      </c>
      <c r="AB129" s="2441"/>
      <c r="AC129" s="1504">
        <f t="shared" si="26"/>
        <v>0</v>
      </c>
      <c r="AD129" s="1503">
        <f t="shared" si="27"/>
        <v>0</v>
      </c>
      <c r="AE129" s="1503">
        <f t="shared" si="28"/>
        <v>0</v>
      </c>
      <c r="AF129" s="1502">
        <f t="shared" si="29"/>
        <v>0</v>
      </c>
    </row>
    <row r="130" spans="1:32" s="1474" customFormat="1" ht="23.25" customHeight="1">
      <c r="A130" s="2850">
        <v>66</v>
      </c>
      <c r="B130" s="1497" t="s">
        <v>2040</v>
      </c>
      <c r="C130" s="2706" t="s">
        <v>2465</v>
      </c>
      <c r="D130" s="2706">
        <v>12</v>
      </c>
      <c r="E130" s="1497">
        <v>26000000</v>
      </c>
      <c r="F130" s="2417">
        <f t="shared" si="16"/>
        <v>4680000</v>
      </c>
      <c r="G130" s="2707">
        <v>41617</v>
      </c>
      <c r="H130" s="2419">
        <v>0.18</v>
      </c>
      <c r="I130" s="2415">
        <v>12</v>
      </c>
      <c r="J130" s="2415">
        <v>12</v>
      </c>
      <c r="K130" s="2415">
        <v>2166700</v>
      </c>
      <c r="L130" s="2415">
        <f t="shared" si="38"/>
        <v>390000</v>
      </c>
      <c r="M130" s="2172">
        <f t="shared" si="17"/>
        <v>26000000</v>
      </c>
      <c r="N130" s="2172">
        <f t="shared" si="18"/>
        <v>4680000</v>
      </c>
      <c r="O130" s="2708">
        <v>26000000</v>
      </c>
      <c r="P130" s="2708">
        <v>4680000</v>
      </c>
      <c r="Q130" s="2708"/>
      <c r="R130" s="2653"/>
      <c r="S130" s="2653"/>
      <c r="T130" s="1507"/>
      <c r="U130" s="1495">
        <f t="shared" si="32"/>
        <v>26000000</v>
      </c>
      <c r="V130" s="1495">
        <f t="shared" si="34"/>
        <v>4680000</v>
      </c>
      <c r="W130" s="1495">
        <f t="shared" si="21"/>
        <v>0</v>
      </c>
      <c r="X130" s="1495">
        <f t="shared" si="22"/>
        <v>0</v>
      </c>
      <c r="Y130" s="1495">
        <f t="shared" si="23"/>
        <v>100</v>
      </c>
      <c r="Z130" s="1495">
        <f t="shared" si="24"/>
        <v>0</v>
      </c>
      <c r="AA130" s="1506">
        <f t="shared" si="25"/>
        <v>0</v>
      </c>
      <c r="AB130" s="2441"/>
      <c r="AC130" s="1504">
        <f t="shared" si="26"/>
        <v>0</v>
      </c>
      <c r="AD130" s="1503">
        <f t="shared" si="27"/>
        <v>0</v>
      </c>
      <c r="AE130" s="1503">
        <f t="shared" si="28"/>
        <v>0</v>
      </c>
      <c r="AF130" s="1502">
        <f t="shared" si="29"/>
        <v>0</v>
      </c>
    </row>
    <row r="131" spans="1:32" s="1474" customFormat="1" ht="23.25" customHeight="1">
      <c r="A131" s="2850">
        <v>67</v>
      </c>
      <c r="B131" s="2983" t="s">
        <v>2038</v>
      </c>
      <c r="C131" s="2706" t="s">
        <v>2465</v>
      </c>
      <c r="D131" s="2706">
        <v>12</v>
      </c>
      <c r="E131" s="1497">
        <v>20000000</v>
      </c>
      <c r="F131" s="2417">
        <f t="shared" si="16"/>
        <v>3600000</v>
      </c>
      <c r="G131" s="2707">
        <v>41648</v>
      </c>
      <c r="H131" s="2419">
        <v>0.18</v>
      </c>
      <c r="I131" s="2415">
        <v>12</v>
      </c>
      <c r="J131" s="2415">
        <v>12</v>
      </c>
      <c r="K131" s="2415">
        <v>1666700</v>
      </c>
      <c r="L131" s="2415">
        <f t="shared" si="38"/>
        <v>300000</v>
      </c>
      <c r="M131" s="2172">
        <f t="shared" si="17"/>
        <v>20000000</v>
      </c>
      <c r="N131" s="2172">
        <f t="shared" si="18"/>
        <v>3600000</v>
      </c>
      <c r="O131" s="2708">
        <v>20000000</v>
      </c>
      <c r="P131" s="2708">
        <v>3600000</v>
      </c>
      <c r="Q131" s="2708"/>
      <c r="R131" s="2653"/>
      <c r="S131" s="2653"/>
      <c r="T131" s="1507"/>
      <c r="U131" s="1495">
        <f t="shared" si="32"/>
        <v>20000000</v>
      </c>
      <c r="V131" s="1495">
        <f t="shared" si="34"/>
        <v>3600000</v>
      </c>
      <c r="W131" s="1495">
        <f t="shared" si="21"/>
        <v>0</v>
      </c>
      <c r="X131" s="1495">
        <f t="shared" si="22"/>
        <v>0</v>
      </c>
      <c r="Y131" s="1495">
        <f t="shared" si="23"/>
        <v>100</v>
      </c>
      <c r="Z131" s="1495">
        <f t="shared" si="24"/>
        <v>0</v>
      </c>
      <c r="AA131" s="1506">
        <f t="shared" si="25"/>
        <v>0</v>
      </c>
      <c r="AB131" s="2441"/>
      <c r="AC131" s="1504">
        <f t="shared" si="26"/>
        <v>0</v>
      </c>
      <c r="AD131" s="1503">
        <f t="shared" si="27"/>
        <v>0</v>
      </c>
      <c r="AE131" s="1503">
        <f t="shared" si="28"/>
        <v>0</v>
      </c>
      <c r="AF131" s="1502">
        <f t="shared" si="29"/>
        <v>0</v>
      </c>
    </row>
    <row r="132" spans="1:32" s="3182" customFormat="1" ht="23.25" customHeight="1">
      <c r="A132" s="2850">
        <v>68</v>
      </c>
      <c r="B132" s="1497" t="s">
        <v>1951</v>
      </c>
      <c r="C132" s="2706" t="s">
        <v>2496</v>
      </c>
      <c r="D132" s="2706">
        <v>12</v>
      </c>
      <c r="E132" s="1497">
        <v>35000000</v>
      </c>
      <c r="F132" s="2175">
        <f t="shared" si="16"/>
        <v>6300000</v>
      </c>
      <c r="G132" s="3176">
        <v>41645</v>
      </c>
      <c r="H132" s="3177">
        <v>0.18</v>
      </c>
      <c r="I132" s="2708">
        <v>12</v>
      </c>
      <c r="J132" s="2708">
        <v>12</v>
      </c>
      <c r="K132" s="2708">
        <v>2916700</v>
      </c>
      <c r="L132" s="2708">
        <f t="shared" si="38"/>
        <v>525000</v>
      </c>
      <c r="M132" s="2171">
        <f t="shared" si="17"/>
        <v>35000000</v>
      </c>
      <c r="N132" s="2171">
        <f t="shared" si="18"/>
        <v>6300000</v>
      </c>
      <c r="O132" s="2708">
        <v>35000000</v>
      </c>
      <c r="P132" s="2708">
        <v>6300000</v>
      </c>
      <c r="Q132" s="2708"/>
      <c r="R132" s="2708"/>
      <c r="S132" s="2708"/>
      <c r="T132" s="1513"/>
      <c r="U132" s="2176">
        <f t="shared" si="32"/>
        <v>35000000</v>
      </c>
      <c r="V132" s="2176">
        <f t="shared" si="34"/>
        <v>6300000</v>
      </c>
      <c r="W132" s="2176">
        <f t="shared" si="21"/>
        <v>0</v>
      </c>
      <c r="X132" s="2176">
        <f t="shared" si="22"/>
        <v>0</v>
      </c>
      <c r="Y132" s="2176">
        <f t="shared" si="23"/>
        <v>100</v>
      </c>
      <c r="Z132" s="2176">
        <f t="shared" si="24"/>
        <v>0</v>
      </c>
      <c r="AA132" s="3178">
        <f t="shared" si="25"/>
        <v>0</v>
      </c>
      <c r="AB132" s="2441"/>
      <c r="AC132" s="3179">
        <f t="shared" si="26"/>
        <v>0</v>
      </c>
      <c r="AD132" s="3180">
        <f t="shared" si="27"/>
        <v>0</v>
      </c>
      <c r="AE132" s="3180">
        <f t="shared" si="28"/>
        <v>0</v>
      </c>
      <c r="AF132" s="3181">
        <f t="shared" si="29"/>
        <v>0</v>
      </c>
    </row>
    <row r="133" spans="1:32" s="1474" customFormat="1" ht="23.25" customHeight="1">
      <c r="A133" s="2850">
        <v>69</v>
      </c>
      <c r="B133" s="2983" t="s">
        <v>2039</v>
      </c>
      <c r="C133" s="2706" t="s">
        <v>2465</v>
      </c>
      <c r="D133" s="2706">
        <v>12</v>
      </c>
      <c r="E133" s="1497">
        <v>15000000</v>
      </c>
      <c r="F133" s="2417">
        <f t="shared" si="16"/>
        <v>2700000</v>
      </c>
      <c r="G133" s="3021">
        <v>41645</v>
      </c>
      <c r="H133" s="2419">
        <v>0.18</v>
      </c>
      <c r="I133" s="2415">
        <v>12</v>
      </c>
      <c r="J133" s="2415">
        <v>12</v>
      </c>
      <c r="K133" s="2415">
        <f t="shared" si="37"/>
        <v>1250000</v>
      </c>
      <c r="L133" s="2415">
        <f t="shared" si="38"/>
        <v>225000</v>
      </c>
      <c r="M133" s="2172">
        <f t="shared" si="17"/>
        <v>15000000</v>
      </c>
      <c r="N133" s="2172">
        <f>IF(J133&lt;I133,J133*L133,IF(J133&gt;=I133,F133))-225000</f>
        <v>2475000</v>
      </c>
      <c r="O133" s="2708">
        <v>15000000</v>
      </c>
      <c r="P133" s="2708">
        <v>2475000</v>
      </c>
      <c r="Q133" s="2708"/>
      <c r="R133" s="2653"/>
      <c r="S133" s="2653"/>
      <c r="T133" s="1507"/>
      <c r="U133" s="1495">
        <f t="shared" si="32"/>
        <v>15000000</v>
      </c>
      <c r="V133" s="1495">
        <f t="shared" si="34"/>
        <v>2475000</v>
      </c>
      <c r="W133" s="1495">
        <f t="shared" si="21"/>
        <v>0</v>
      </c>
      <c r="X133" s="1495">
        <f t="shared" si="22"/>
        <v>0</v>
      </c>
      <c r="Y133" s="1495">
        <f t="shared" si="23"/>
        <v>100</v>
      </c>
      <c r="Z133" s="1495">
        <f t="shared" si="24"/>
        <v>0</v>
      </c>
      <c r="AA133" s="1506">
        <f t="shared" si="25"/>
        <v>0</v>
      </c>
      <c r="AB133" s="2441"/>
      <c r="AC133" s="1504">
        <f t="shared" si="26"/>
        <v>0</v>
      </c>
      <c r="AD133" s="1503">
        <f t="shared" si="27"/>
        <v>0</v>
      </c>
      <c r="AE133" s="1503">
        <f t="shared" si="28"/>
        <v>0</v>
      </c>
      <c r="AF133" s="1502">
        <f t="shared" si="29"/>
        <v>0</v>
      </c>
    </row>
    <row r="134" spans="1:32" s="1474" customFormat="1" ht="23.25" customHeight="1">
      <c r="A134" s="2850">
        <v>70</v>
      </c>
      <c r="B134" s="2983" t="s">
        <v>2505</v>
      </c>
      <c r="C134" s="2706" t="s">
        <v>2496</v>
      </c>
      <c r="D134" s="2706">
        <v>12</v>
      </c>
      <c r="E134" s="1497">
        <v>20000000</v>
      </c>
      <c r="F134" s="2417">
        <f t="shared" si="16"/>
        <v>3600000</v>
      </c>
      <c r="G134" s="3021">
        <v>41645</v>
      </c>
      <c r="H134" s="2419">
        <v>0.18</v>
      </c>
      <c r="I134" s="2415">
        <v>12</v>
      </c>
      <c r="J134" s="2415">
        <v>12</v>
      </c>
      <c r="K134" s="2415">
        <v>1666700</v>
      </c>
      <c r="L134" s="2415">
        <f t="shared" si="38"/>
        <v>300000</v>
      </c>
      <c r="M134" s="2172">
        <f t="shared" si="17"/>
        <v>20000000</v>
      </c>
      <c r="N134" s="2172">
        <f t="shared" si="18"/>
        <v>3600000</v>
      </c>
      <c r="O134" s="2708">
        <v>20000000</v>
      </c>
      <c r="P134" s="2708">
        <v>3600000</v>
      </c>
      <c r="Q134" s="2708"/>
      <c r="R134" s="2653"/>
      <c r="S134" s="2653"/>
      <c r="T134" s="1507"/>
      <c r="U134" s="1495">
        <f t="shared" si="32"/>
        <v>20000000</v>
      </c>
      <c r="V134" s="1495">
        <f t="shared" si="34"/>
        <v>3600000</v>
      </c>
      <c r="W134" s="1495">
        <f t="shared" si="21"/>
        <v>0</v>
      </c>
      <c r="X134" s="1495">
        <f t="shared" si="22"/>
        <v>0</v>
      </c>
      <c r="Y134" s="1495">
        <f t="shared" si="23"/>
        <v>100</v>
      </c>
      <c r="Z134" s="1495">
        <f t="shared" si="24"/>
        <v>0</v>
      </c>
      <c r="AA134" s="1506">
        <f t="shared" si="25"/>
        <v>0</v>
      </c>
      <c r="AB134" s="2441"/>
      <c r="AC134" s="1504">
        <f t="shared" si="26"/>
        <v>0</v>
      </c>
      <c r="AD134" s="1503">
        <f t="shared" si="27"/>
        <v>0</v>
      </c>
      <c r="AE134" s="1503">
        <f t="shared" si="28"/>
        <v>0</v>
      </c>
      <c r="AF134" s="1502">
        <f t="shared" si="29"/>
        <v>0</v>
      </c>
    </row>
    <row r="135" spans="1:32" s="1474" customFormat="1" ht="23.25" customHeight="1">
      <c r="A135" s="2850">
        <v>71</v>
      </c>
      <c r="B135" s="2983" t="s">
        <v>2035</v>
      </c>
      <c r="C135" s="2706" t="s">
        <v>2496</v>
      </c>
      <c r="D135" s="2706">
        <v>12</v>
      </c>
      <c r="E135" s="1497">
        <v>20000000</v>
      </c>
      <c r="F135" s="2417">
        <f t="shared" si="16"/>
        <v>3600000</v>
      </c>
      <c r="G135" s="2707">
        <v>41645</v>
      </c>
      <c r="H135" s="2419">
        <v>0.18</v>
      </c>
      <c r="I135" s="2415">
        <v>10</v>
      </c>
      <c r="J135" s="2415">
        <v>10</v>
      </c>
      <c r="K135" s="2415">
        <f t="shared" si="37"/>
        <v>2000000</v>
      </c>
      <c r="L135" s="2415">
        <f t="shared" si="38"/>
        <v>360000</v>
      </c>
      <c r="M135" s="2172">
        <f t="shared" si="17"/>
        <v>20000000</v>
      </c>
      <c r="N135" s="2407">
        <f>IF(J135&lt;I135,J135*L135,IF(J135&gt;=I135,F135))-360000</f>
        <v>3240000</v>
      </c>
      <c r="O135" s="2708">
        <v>20000000</v>
      </c>
      <c r="P135" s="2708">
        <v>3240000</v>
      </c>
      <c r="Q135" s="2708"/>
      <c r="R135" s="2653"/>
      <c r="S135" s="2653"/>
      <c r="T135" s="1507"/>
      <c r="U135" s="1495">
        <f t="shared" si="32"/>
        <v>20000000</v>
      </c>
      <c r="V135" s="1495">
        <f t="shared" si="34"/>
        <v>3240000</v>
      </c>
      <c r="W135" s="1495">
        <f t="shared" si="21"/>
        <v>0</v>
      </c>
      <c r="X135" s="1495">
        <f t="shared" si="22"/>
        <v>0</v>
      </c>
      <c r="Y135" s="1495">
        <f t="shared" si="23"/>
        <v>100</v>
      </c>
      <c r="Z135" s="1495">
        <f t="shared" si="24"/>
        <v>0</v>
      </c>
      <c r="AA135" s="1506">
        <f t="shared" si="25"/>
        <v>0</v>
      </c>
      <c r="AB135" s="2441"/>
      <c r="AC135" s="1504">
        <f t="shared" si="26"/>
        <v>0</v>
      </c>
      <c r="AD135" s="1503">
        <f t="shared" si="27"/>
        <v>0</v>
      </c>
      <c r="AE135" s="1503">
        <f t="shared" si="28"/>
        <v>0</v>
      </c>
      <c r="AF135" s="1502">
        <f t="shared" si="29"/>
        <v>0</v>
      </c>
    </row>
    <row r="136" spans="1:32" s="1474" customFormat="1" ht="23.25" customHeight="1">
      <c r="A136" s="2850">
        <v>72</v>
      </c>
      <c r="B136" s="2983" t="s">
        <v>1971</v>
      </c>
      <c r="C136" s="2706" t="s">
        <v>2496</v>
      </c>
      <c r="D136" s="2706">
        <v>10</v>
      </c>
      <c r="E136" s="1497">
        <v>16000000</v>
      </c>
      <c r="F136" s="2417">
        <f t="shared" si="16"/>
        <v>2880000</v>
      </c>
      <c r="G136" s="2707">
        <v>41687</v>
      </c>
      <c r="H136" s="2419">
        <v>0.18</v>
      </c>
      <c r="I136" s="2415">
        <v>10</v>
      </c>
      <c r="J136" s="2415">
        <v>10</v>
      </c>
      <c r="K136" s="2415">
        <f t="shared" si="37"/>
        <v>1600000</v>
      </c>
      <c r="L136" s="2415">
        <f t="shared" si="38"/>
        <v>288000</v>
      </c>
      <c r="M136" s="2172">
        <f t="shared" si="17"/>
        <v>16000000</v>
      </c>
      <c r="N136" s="2407">
        <f>IF(J136&lt;I136,J136*L136,IF(J136&gt;=I136,F136))-576000</f>
        <v>2304000</v>
      </c>
      <c r="O136" s="2708">
        <v>16000000</v>
      </c>
      <c r="P136" s="2708">
        <v>2304000</v>
      </c>
      <c r="Q136" s="2708"/>
      <c r="R136" s="2653"/>
      <c r="S136" s="2653"/>
      <c r="T136" s="1507"/>
      <c r="U136" s="1495">
        <f t="shared" si="32"/>
        <v>16000000</v>
      </c>
      <c r="V136" s="1495">
        <f t="shared" si="34"/>
        <v>2304000</v>
      </c>
      <c r="W136" s="1495">
        <f t="shared" si="21"/>
        <v>0</v>
      </c>
      <c r="X136" s="1495">
        <f t="shared" si="22"/>
        <v>0</v>
      </c>
      <c r="Y136" s="1495">
        <f t="shared" si="23"/>
        <v>100</v>
      </c>
      <c r="Z136" s="1495">
        <f t="shared" si="24"/>
        <v>0</v>
      </c>
      <c r="AA136" s="1506">
        <f t="shared" si="25"/>
        <v>0</v>
      </c>
      <c r="AB136" s="2441"/>
      <c r="AC136" s="1504">
        <f t="shared" si="26"/>
        <v>0</v>
      </c>
      <c r="AD136" s="1503">
        <f t="shared" si="27"/>
        <v>0</v>
      </c>
      <c r="AE136" s="1503">
        <f t="shared" si="28"/>
        <v>0</v>
      </c>
      <c r="AF136" s="1502">
        <f t="shared" si="29"/>
        <v>0</v>
      </c>
    </row>
    <row r="137" spans="1:32" s="1474" customFormat="1" ht="23.25" customHeight="1">
      <c r="A137" s="2850">
        <v>73</v>
      </c>
      <c r="B137" s="2983" t="s">
        <v>2333</v>
      </c>
      <c r="C137" s="2706" t="s">
        <v>2496</v>
      </c>
      <c r="D137" s="2706">
        <v>10</v>
      </c>
      <c r="E137" s="1497">
        <v>14000000</v>
      </c>
      <c r="F137" s="2417">
        <f t="shared" si="16"/>
        <v>2520000</v>
      </c>
      <c r="G137" s="2707">
        <v>41689</v>
      </c>
      <c r="H137" s="2419">
        <v>0.18</v>
      </c>
      <c r="I137" s="2415">
        <v>10</v>
      </c>
      <c r="J137" s="2415">
        <v>10</v>
      </c>
      <c r="K137" s="2415">
        <f t="shared" si="37"/>
        <v>1400000</v>
      </c>
      <c r="L137" s="2415">
        <f t="shared" si="38"/>
        <v>252000</v>
      </c>
      <c r="M137" s="2172">
        <f t="shared" si="17"/>
        <v>14000000</v>
      </c>
      <c r="N137" s="2407">
        <f>IF(J137&lt;I137,J137*L137,IF(J137&gt;=I137,F137))-756000</f>
        <v>1764000</v>
      </c>
      <c r="O137" s="2708">
        <v>14000000</v>
      </c>
      <c r="P137" s="2708">
        <v>1764000</v>
      </c>
      <c r="Q137" s="2708"/>
      <c r="R137" s="2653"/>
      <c r="S137" s="2653"/>
      <c r="T137" s="1507"/>
      <c r="U137" s="1495">
        <f t="shared" si="32"/>
        <v>14000000</v>
      </c>
      <c r="V137" s="1495">
        <f t="shared" si="34"/>
        <v>1764000</v>
      </c>
      <c r="W137" s="1495">
        <f t="shared" si="21"/>
        <v>0</v>
      </c>
      <c r="X137" s="1495">
        <f t="shared" si="22"/>
        <v>0</v>
      </c>
      <c r="Y137" s="1495">
        <f t="shared" si="23"/>
        <v>100</v>
      </c>
      <c r="Z137" s="1495">
        <f t="shared" si="24"/>
        <v>0</v>
      </c>
      <c r="AA137" s="1506">
        <f t="shared" si="25"/>
        <v>0</v>
      </c>
      <c r="AB137" s="2441"/>
      <c r="AC137" s="1504">
        <f t="shared" si="26"/>
        <v>0</v>
      </c>
      <c r="AD137" s="1503">
        <f t="shared" si="27"/>
        <v>0</v>
      </c>
      <c r="AE137" s="1503">
        <f t="shared" si="28"/>
        <v>0</v>
      </c>
      <c r="AF137" s="1502">
        <f t="shared" si="29"/>
        <v>0</v>
      </c>
    </row>
    <row r="138" spans="1:32" s="3182" customFormat="1" ht="23.25" customHeight="1">
      <c r="A138" s="2850">
        <v>74</v>
      </c>
      <c r="B138" s="1497" t="s">
        <v>2031</v>
      </c>
      <c r="C138" s="2706" t="s">
        <v>2496</v>
      </c>
      <c r="D138" s="2706">
        <v>10</v>
      </c>
      <c r="E138" s="1497">
        <v>40000000</v>
      </c>
      <c r="F138" s="2175">
        <f t="shared" si="16"/>
        <v>7200000</v>
      </c>
      <c r="G138" s="3176">
        <v>41715</v>
      </c>
      <c r="H138" s="3177">
        <v>0.18</v>
      </c>
      <c r="I138" s="2708">
        <v>10</v>
      </c>
      <c r="J138" s="2708">
        <v>10</v>
      </c>
      <c r="K138" s="2708">
        <f t="shared" si="37"/>
        <v>4000000</v>
      </c>
      <c r="L138" s="2708">
        <f t="shared" si="38"/>
        <v>720000</v>
      </c>
      <c r="M138" s="2171">
        <f t="shared" si="17"/>
        <v>40000000</v>
      </c>
      <c r="N138" s="2171">
        <f t="shared" si="18"/>
        <v>7200000</v>
      </c>
      <c r="O138" s="2708">
        <f>42640000-2640000</f>
        <v>40000000</v>
      </c>
      <c r="P138" s="2708">
        <f>7740000-540000</f>
        <v>7200000</v>
      </c>
      <c r="Q138" s="2708"/>
      <c r="R138" s="2708"/>
      <c r="S138" s="2708"/>
      <c r="T138" s="1513"/>
      <c r="U138" s="2176">
        <f t="shared" si="32"/>
        <v>40000000</v>
      </c>
      <c r="V138" s="2176">
        <f t="shared" si="34"/>
        <v>7200000</v>
      </c>
      <c r="W138" s="2176">
        <f t="shared" si="21"/>
        <v>0</v>
      </c>
      <c r="X138" s="2176">
        <f t="shared" si="22"/>
        <v>0</v>
      </c>
      <c r="Y138" s="2176">
        <f t="shared" si="23"/>
        <v>100</v>
      </c>
      <c r="Z138" s="2176">
        <f t="shared" si="24"/>
        <v>0</v>
      </c>
      <c r="AA138" s="3178">
        <f t="shared" si="25"/>
        <v>0</v>
      </c>
      <c r="AB138" s="2441"/>
      <c r="AC138" s="3179">
        <f t="shared" si="26"/>
        <v>0</v>
      </c>
      <c r="AD138" s="3180">
        <f t="shared" si="27"/>
        <v>0</v>
      </c>
      <c r="AE138" s="3180">
        <f t="shared" si="28"/>
        <v>0</v>
      </c>
      <c r="AF138" s="3181">
        <f t="shared" si="29"/>
        <v>0</v>
      </c>
    </row>
    <row r="139" spans="1:32" s="1474" customFormat="1" ht="23.25" customHeight="1">
      <c r="A139" s="2850">
        <v>75</v>
      </c>
      <c r="B139" s="2983" t="s">
        <v>2536</v>
      </c>
      <c r="C139" s="2706" t="s">
        <v>2537</v>
      </c>
      <c r="D139" s="2706">
        <v>7</v>
      </c>
      <c r="E139" s="1497">
        <v>13500000</v>
      </c>
      <c r="F139" s="2417">
        <f t="shared" si="16"/>
        <v>2430000</v>
      </c>
      <c r="G139" s="2707">
        <v>41752</v>
      </c>
      <c r="H139" s="2419">
        <v>0.18</v>
      </c>
      <c r="I139" s="2415">
        <v>10</v>
      </c>
      <c r="J139" s="2415">
        <v>10</v>
      </c>
      <c r="K139" s="2415">
        <f t="shared" si="37"/>
        <v>1350000</v>
      </c>
      <c r="L139" s="2415">
        <f t="shared" si="38"/>
        <v>243000</v>
      </c>
      <c r="M139" s="2172">
        <f t="shared" si="17"/>
        <v>13500000</v>
      </c>
      <c r="N139" s="2172">
        <f t="shared" si="18"/>
        <v>2430000</v>
      </c>
      <c r="O139" s="2708">
        <v>13500000</v>
      </c>
      <c r="P139" s="2708">
        <v>2430000</v>
      </c>
      <c r="Q139" s="2708"/>
      <c r="R139" s="2653"/>
      <c r="S139" s="2653"/>
      <c r="T139" s="1507"/>
      <c r="U139" s="1495">
        <f t="shared" si="32"/>
        <v>13500000</v>
      </c>
      <c r="V139" s="1495">
        <f t="shared" si="34"/>
        <v>2430000</v>
      </c>
      <c r="W139" s="1495">
        <f t="shared" si="21"/>
        <v>0</v>
      </c>
      <c r="X139" s="1495">
        <f t="shared" si="22"/>
        <v>0</v>
      </c>
      <c r="Y139" s="1495">
        <f t="shared" si="23"/>
        <v>100</v>
      </c>
      <c r="Z139" s="1495">
        <f t="shared" si="24"/>
        <v>0</v>
      </c>
      <c r="AA139" s="1506">
        <f t="shared" si="25"/>
        <v>0</v>
      </c>
      <c r="AB139" s="2441"/>
      <c r="AC139" s="1504">
        <f t="shared" si="26"/>
        <v>0</v>
      </c>
      <c r="AD139" s="1503">
        <f t="shared" si="27"/>
        <v>0</v>
      </c>
      <c r="AE139" s="1503">
        <f t="shared" si="28"/>
        <v>0</v>
      </c>
      <c r="AF139" s="1502">
        <f t="shared" si="29"/>
        <v>0</v>
      </c>
    </row>
    <row r="140" spans="1:32" s="1474" customFormat="1" ht="23.25" customHeight="1">
      <c r="A140" s="2850">
        <v>76</v>
      </c>
      <c r="B140" s="2983" t="s">
        <v>2548</v>
      </c>
      <c r="C140" s="2706" t="s">
        <v>2537</v>
      </c>
      <c r="D140" s="2706">
        <v>10</v>
      </c>
      <c r="E140" s="1497">
        <v>25000000</v>
      </c>
      <c r="F140" s="2417">
        <f t="shared" si="16"/>
        <v>4500000</v>
      </c>
      <c r="G140" s="2707">
        <v>41778</v>
      </c>
      <c r="H140" s="2419">
        <v>0.18</v>
      </c>
      <c r="I140" s="2415">
        <v>12</v>
      </c>
      <c r="J140" s="2415">
        <v>12</v>
      </c>
      <c r="K140" s="2415">
        <v>2083300</v>
      </c>
      <c r="L140" s="2415">
        <f t="shared" si="38"/>
        <v>375000</v>
      </c>
      <c r="M140" s="2172">
        <f t="shared" si="17"/>
        <v>25000000</v>
      </c>
      <c r="N140" s="2172">
        <f t="shared" si="18"/>
        <v>4500000</v>
      </c>
      <c r="O140" s="2708">
        <v>25000000</v>
      </c>
      <c r="P140" s="2708">
        <v>4500000</v>
      </c>
      <c r="Q140" s="2708"/>
      <c r="R140" s="3150"/>
      <c r="S140" s="3150"/>
      <c r="T140" s="1507"/>
      <c r="U140" s="1495">
        <f t="shared" si="32"/>
        <v>25000000</v>
      </c>
      <c r="V140" s="1495">
        <f t="shared" si="34"/>
        <v>4500000</v>
      </c>
      <c r="W140" s="1495">
        <f t="shared" si="21"/>
        <v>0</v>
      </c>
      <c r="X140" s="1495">
        <f t="shared" si="22"/>
        <v>0</v>
      </c>
      <c r="Y140" s="1495">
        <f t="shared" si="23"/>
        <v>100</v>
      </c>
      <c r="Z140" s="1495">
        <f t="shared" si="24"/>
        <v>0</v>
      </c>
      <c r="AA140" s="1506">
        <f t="shared" si="25"/>
        <v>0</v>
      </c>
      <c r="AB140" s="2441"/>
      <c r="AC140" s="1504">
        <f t="shared" si="26"/>
        <v>0</v>
      </c>
      <c r="AD140" s="1503">
        <f t="shared" si="27"/>
        <v>0</v>
      </c>
      <c r="AE140" s="1503">
        <f t="shared" si="28"/>
        <v>0</v>
      </c>
      <c r="AF140" s="1502">
        <f t="shared" si="29"/>
        <v>0</v>
      </c>
    </row>
    <row r="141" spans="1:32" s="1474" customFormat="1" ht="23.25" customHeight="1">
      <c r="A141" s="2850">
        <v>77</v>
      </c>
      <c r="B141" s="2983" t="s">
        <v>2067</v>
      </c>
      <c r="C141" s="2706" t="s">
        <v>2537</v>
      </c>
      <c r="D141" s="2706">
        <v>7</v>
      </c>
      <c r="E141" s="1497">
        <v>4900000</v>
      </c>
      <c r="F141" s="2417">
        <f t="shared" si="16"/>
        <v>882000</v>
      </c>
      <c r="G141" s="2707">
        <v>41808</v>
      </c>
      <c r="H141" s="2419">
        <v>0.18</v>
      </c>
      <c r="I141" s="2415">
        <v>10</v>
      </c>
      <c r="J141" s="2415">
        <v>10</v>
      </c>
      <c r="K141" s="2415">
        <f t="shared" si="37"/>
        <v>490000</v>
      </c>
      <c r="L141" s="2415">
        <f t="shared" si="38"/>
        <v>88200</v>
      </c>
      <c r="M141" s="2172">
        <f t="shared" si="17"/>
        <v>4900000</v>
      </c>
      <c r="N141" s="2172">
        <f t="shared" si="18"/>
        <v>882000</v>
      </c>
      <c r="O141" s="2708">
        <v>4900000</v>
      </c>
      <c r="P141" s="2708">
        <v>882000</v>
      </c>
      <c r="Q141" s="2708"/>
      <c r="R141" s="3150"/>
      <c r="S141" s="3150"/>
      <c r="T141" s="1507"/>
      <c r="U141" s="1495">
        <f t="shared" si="32"/>
        <v>4900000</v>
      </c>
      <c r="V141" s="1495">
        <f t="shared" si="34"/>
        <v>882000</v>
      </c>
      <c r="W141" s="1495">
        <f t="shared" si="21"/>
        <v>0</v>
      </c>
      <c r="X141" s="1495">
        <f t="shared" si="22"/>
        <v>0</v>
      </c>
      <c r="Y141" s="1495">
        <f t="shared" si="23"/>
        <v>100</v>
      </c>
      <c r="Z141" s="1495">
        <f t="shared" si="24"/>
        <v>0</v>
      </c>
      <c r="AA141" s="1506">
        <f t="shared" si="25"/>
        <v>0</v>
      </c>
      <c r="AB141" s="2441"/>
      <c r="AC141" s="1504">
        <f t="shared" si="26"/>
        <v>0</v>
      </c>
      <c r="AD141" s="1503">
        <f t="shared" si="27"/>
        <v>0</v>
      </c>
      <c r="AE141" s="1503">
        <f t="shared" si="28"/>
        <v>0</v>
      </c>
      <c r="AF141" s="1502">
        <f t="shared" si="29"/>
        <v>0</v>
      </c>
    </row>
    <row r="142" spans="1:32" s="1474" customFormat="1" ht="23.25" customHeight="1">
      <c r="A142" s="2850">
        <v>78</v>
      </c>
      <c r="B142" s="2983" t="s">
        <v>2041</v>
      </c>
      <c r="C142" s="2706" t="s">
        <v>2563</v>
      </c>
      <c r="D142" s="2706">
        <v>10</v>
      </c>
      <c r="E142" s="1497">
        <v>26000000</v>
      </c>
      <c r="F142" s="2417">
        <f t="shared" si="16"/>
        <v>4680000</v>
      </c>
      <c r="G142" s="2707">
        <v>41837</v>
      </c>
      <c r="H142" s="2419">
        <v>0.18</v>
      </c>
      <c r="I142" s="2415">
        <v>10</v>
      </c>
      <c r="J142" s="2415">
        <v>10</v>
      </c>
      <c r="K142" s="2415">
        <f t="shared" si="37"/>
        <v>2600000</v>
      </c>
      <c r="L142" s="2415">
        <f t="shared" si="38"/>
        <v>468000</v>
      </c>
      <c r="M142" s="2172">
        <f t="shared" si="17"/>
        <v>26000000</v>
      </c>
      <c r="N142" s="2172">
        <f t="shared" si="18"/>
        <v>4680000</v>
      </c>
      <c r="O142" s="2708">
        <v>26000000</v>
      </c>
      <c r="P142" s="2708">
        <v>4680000</v>
      </c>
      <c r="Q142" s="2708"/>
      <c r="R142" s="3150"/>
      <c r="S142" s="3150"/>
      <c r="T142" s="1507"/>
      <c r="U142" s="1495">
        <f t="shared" si="32"/>
        <v>26000000</v>
      </c>
      <c r="V142" s="1495">
        <f t="shared" si="34"/>
        <v>4680000</v>
      </c>
      <c r="W142" s="1495">
        <f t="shared" si="21"/>
        <v>0</v>
      </c>
      <c r="X142" s="1495">
        <f t="shared" si="22"/>
        <v>0</v>
      </c>
      <c r="Y142" s="1495">
        <f t="shared" si="23"/>
        <v>100</v>
      </c>
      <c r="Z142" s="1495">
        <f t="shared" si="24"/>
        <v>0</v>
      </c>
      <c r="AA142" s="1506">
        <f t="shared" si="25"/>
        <v>0</v>
      </c>
      <c r="AB142" s="2441"/>
      <c r="AC142" s="1504">
        <f t="shared" si="26"/>
        <v>0</v>
      </c>
      <c r="AD142" s="1503">
        <f t="shared" si="27"/>
        <v>0</v>
      </c>
      <c r="AE142" s="1503">
        <f t="shared" si="28"/>
        <v>0</v>
      </c>
      <c r="AF142" s="1502">
        <f t="shared" si="29"/>
        <v>0</v>
      </c>
    </row>
    <row r="143" spans="1:32" s="1474" customFormat="1" ht="23.25" customHeight="1">
      <c r="A143" s="2850">
        <v>79</v>
      </c>
      <c r="B143" s="2983" t="s">
        <v>2049</v>
      </c>
      <c r="C143" s="2706" t="s">
        <v>2563</v>
      </c>
      <c r="D143" s="2706">
        <v>10</v>
      </c>
      <c r="E143" s="1497">
        <v>30000000</v>
      </c>
      <c r="F143" s="2417">
        <f t="shared" si="16"/>
        <v>5400000</v>
      </c>
      <c r="G143" s="2707">
        <v>41827</v>
      </c>
      <c r="H143" s="2419">
        <v>0.18</v>
      </c>
      <c r="I143" s="2415">
        <v>10</v>
      </c>
      <c r="J143" s="2415">
        <v>10</v>
      </c>
      <c r="K143" s="2415">
        <f t="shared" si="37"/>
        <v>3000000</v>
      </c>
      <c r="L143" s="2415">
        <f t="shared" si="38"/>
        <v>540000</v>
      </c>
      <c r="M143" s="2172">
        <f t="shared" si="17"/>
        <v>30000000</v>
      </c>
      <c r="N143" s="2407">
        <f>IF(J143&lt;I143,J143*L143,IF(J143&gt;=I143,F143))-540000</f>
        <v>4860000</v>
      </c>
      <c r="O143" s="2708">
        <v>30000000</v>
      </c>
      <c r="P143" s="2708">
        <v>4860000</v>
      </c>
      <c r="Q143" s="2708"/>
      <c r="R143" s="3150"/>
      <c r="S143" s="3150"/>
      <c r="T143" s="1507"/>
      <c r="U143" s="1495">
        <f t="shared" si="32"/>
        <v>30000000</v>
      </c>
      <c r="V143" s="1495">
        <f t="shared" si="34"/>
        <v>4860000</v>
      </c>
      <c r="W143" s="1495">
        <f t="shared" si="21"/>
        <v>0</v>
      </c>
      <c r="X143" s="1495">
        <f t="shared" si="22"/>
        <v>0</v>
      </c>
      <c r="Y143" s="1495">
        <f t="shared" si="23"/>
        <v>100</v>
      </c>
      <c r="Z143" s="1495">
        <f t="shared" si="24"/>
        <v>0</v>
      </c>
      <c r="AA143" s="1506">
        <f t="shared" si="25"/>
        <v>0</v>
      </c>
      <c r="AB143" s="2441"/>
      <c r="AC143" s="1504">
        <f t="shared" si="26"/>
        <v>0</v>
      </c>
      <c r="AD143" s="1503">
        <f t="shared" si="27"/>
        <v>0</v>
      </c>
      <c r="AE143" s="1503">
        <f t="shared" si="28"/>
        <v>0</v>
      </c>
      <c r="AF143" s="1502">
        <f t="shared" si="29"/>
        <v>0</v>
      </c>
    </row>
    <row r="144" spans="1:32" s="1474" customFormat="1" ht="23.25" customHeight="1">
      <c r="A144" s="2850">
        <v>80</v>
      </c>
      <c r="B144" s="2983" t="s">
        <v>2580</v>
      </c>
      <c r="C144" s="2706" t="s">
        <v>2563</v>
      </c>
      <c r="D144" s="2706">
        <v>15</v>
      </c>
      <c r="E144" s="1497">
        <v>50000000</v>
      </c>
      <c r="F144" s="2417">
        <f t="shared" si="16"/>
        <v>9000000</v>
      </c>
      <c r="G144" s="2707">
        <v>41898</v>
      </c>
      <c r="H144" s="2419">
        <v>0.18</v>
      </c>
      <c r="I144" s="2415">
        <v>10</v>
      </c>
      <c r="J144" s="2415">
        <v>10</v>
      </c>
      <c r="K144" s="2415">
        <f t="shared" si="37"/>
        <v>5000000</v>
      </c>
      <c r="L144" s="2415">
        <f t="shared" si="38"/>
        <v>900000</v>
      </c>
      <c r="M144" s="2172">
        <f t="shared" si="17"/>
        <v>50000000</v>
      </c>
      <c r="N144" s="2172">
        <f>IF(J144&lt;I144,J144*L144,IF(J144&gt;=I144,F144))-1*L144</f>
        <v>8100000</v>
      </c>
      <c r="O144" s="2708">
        <v>50000000</v>
      </c>
      <c r="P144" s="2708">
        <v>8100000</v>
      </c>
      <c r="Q144" s="2708"/>
      <c r="R144" s="3183"/>
      <c r="S144" s="3183"/>
      <c r="T144" s="1507"/>
      <c r="U144" s="1495">
        <f t="shared" si="32"/>
        <v>50000000</v>
      </c>
      <c r="V144" s="1495">
        <f t="shared" si="34"/>
        <v>8100000</v>
      </c>
      <c r="W144" s="1495">
        <f t="shared" si="21"/>
        <v>0</v>
      </c>
      <c r="X144" s="1495">
        <f t="shared" si="22"/>
        <v>0</v>
      </c>
      <c r="Y144" s="1495">
        <f t="shared" si="23"/>
        <v>100</v>
      </c>
      <c r="Z144" s="1495">
        <f t="shared" si="24"/>
        <v>0</v>
      </c>
      <c r="AA144" s="1506">
        <f t="shared" si="25"/>
        <v>0</v>
      </c>
      <c r="AB144" s="2441" t="s">
        <v>1461</v>
      </c>
      <c r="AC144" s="1504">
        <f t="shared" si="26"/>
        <v>0</v>
      </c>
      <c r="AD144" s="1503">
        <f t="shared" si="27"/>
        <v>0</v>
      </c>
      <c r="AE144" s="1503">
        <f t="shared" si="28"/>
        <v>0</v>
      </c>
      <c r="AF144" s="1502">
        <f t="shared" si="29"/>
        <v>0</v>
      </c>
    </row>
    <row r="145" spans="1:32" s="1474" customFormat="1" ht="23.25" customHeight="1">
      <c r="A145" s="2850">
        <v>81</v>
      </c>
      <c r="B145" s="2983" t="s">
        <v>2333</v>
      </c>
      <c r="C145" s="2706" t="s">
        <v>2582</v>
      </c>
      <c r="D145" s="2706">
        <v>10</v>
      </c>
      <c r="E145" s="1497">
        <v>20000000</v>
      </c>
      <c r="F145" s="2417">
        <f t="shared" si="16"/>
        <v>3600000</v>
      </c>
      <c r="G145" s="2707">
        <v>41904</v>
      </c>
      <c r="H145" s="2419">
        <v>0.18</v>
      </c>
      <c r="I145" s="2415">
        <v>10</v>
      </c>
      <c r="J145" s="2415">
        <v>10</v>
      </c>
      <c r="K145" s="2415">
        <f t="shared" si="37"/>
        <v>2000000</v>
      </c>
      <c r="L145" s="2415">
        <f t="shared" si="38"/>
        <v>360000</v>
      </c>
      <c r="M145" s="2172">
        <f t="shared" si="17"/>
        <v>20000000</v>
      </c>
      <c r="N145" s="2172">
        <f t="shared" si="18"/>
        <v>3600000</v>
      </c>
      <c r="O145" s="2708">
        <v>18590000</v>
      </c>
      <c r="P145" s="2708">
        <v>3600000</v>
      </c>
      <c r="Q145" s="2708"/>
      <c r="R145" s="3158"/>
      <c r="S145" s="3158"/>
      <c r="T145" s="1507"/>
      <c r="U145" s="1495">
        <f t="shared" si="32"/>
        <v>18590000</v>
      </c>
      <c r="V145" s="1495">
        <f t="shared" si="34"/>
        <v>3600000</v>
      </c>
      <c r="W145" s="1495">
        <f t="shared" si="21"/>
        <v>0</v>
      </c>
      <c r="X145" s="1495">
        <f t="shared" si="22"/>
        <v>1410000</v>
      </c>
      <c r="Y145" s="1495">
        <f t="shared" si="23"/>
        <v>92.95</v>
      </c>
      <c r="Z145" s="1495">
        <f t="shared" si="24"/>
        <v>1410000</v>
      </c>
      <c r="AA145" s="1506">
        <f t="shared" si="25"/>
        <v>0</v>
      </c>
      <c r="AB145" s="2441">
        <v>2</v>
      </c>
      <c r="AC145" s="1504">
        <f t="shared" si="26"/>
        <v>1410000</v>
      </c>
      <c r="AD145" s="1503">
        <f t="shared" si="27"/>
        <v>0</v>
      </c>
      <c r="AE145" s="1503">
        <f t="shared" si="28"/>
        <v>0</v>
      </c>
      <c r="AF145" s="1502">
        <f t="shared" si="29"/>
        <v>0</v>
      </c>
    </row>
    <row r="146" spans="1:32" s="1474" customFormat="1" ht="23.25" customHeight="1">
      <c r="A146" s="2850">
        <v>82</v>
      </c>
      <c r="B146" s="2983" t="s">
        <v>2035</v>
      </c>
      <c r="C146" s="2706" t="s">
        <v>2582</v>
      </c>
      <c r="D146" s="2706">
        <v>10</v>
      </c>
      <c r="E146" s="1497">
        <v>25000000</v>
      </c>
      <c r="F146" s="2417">
        <f t="shared" si="16"/>
        <v>4500000</v>
      </c>
      <c r="G146" s="2707">
        <v>41892</v>
      </c>
      <c r="H146" s="2419">
        <v>0.18</v>
      </c>
      <c r="I146" s="2415">
        <v>10</v>
      </c>
      <c r="J146" s="2415">
        <v>10</v>
      </c>
      <c r="K146" s="2415">
        <f t="shared" si="37"/>
        <v>2500000</v>
      </c>
      <c r="L146" s="2415">
        <f t="shared" si="38"/>
        <v>450000</v>
      </c>
      <c r="M146" s="2172">
        <f t="shared" si="17"/>
        <v>25000000</v>
      </c>
      <c r="N146" s="2172">
        <f>IF(J146&lt;I146,J146*L146,IF(J146&gt;=I146,F146))-2*L146</f>
        <v>3600000</v>
      </c>
      <c r="O146" s="2708">
        <v>25000000</v>
      </c>
      <c r="P146" s="2708">
        <v>3600000</v>
      </c>
      <c r="Q146" s="2708"/>
      <c r="R146" s="3183"/>
      <c r="S146" s="3183"/>
      <c r="T146" s="1507"/>
      <c r="U146" s="1495">
        <f t="shared" si="32"/>
        <v>25000000</v>
      </c>
      <c r="V146" s="1495">
        <f t="shared" si="34"/>
        <v>3600000</v>
      </c>
      <c r="W146" s="1495">
        <f t="shared" si="21"/>
        <v>0</v>
      </c>
      <c r="X146" s="1495">
        <f t="shared" si="22"/>
        <v>0</v>
      </c>
      <c r="Y146" s="1495">
        <f t="shared" si="23"/>
        <v>100</v>
      </c>
      <c r="Z146" s="1495">
        <f t="shared" si="24"/>
        <v>0</v>
      </c>
      <c r="AA146" s="1506">
        <f t="shared" si="25"/>
        <v>0</v>
      </c>
      <c r="AB146" s="2441"/>
      <c r="AC146" s="1504">
        <f t="shared" si="26"/>
        <v>0</v>
      </c>
      <c r="AD146" s="1503">
        <f t="shared" si="27"/>
        <v>0</v>
      </c>
      <c r="AE146" s="1503">
        <f t="shared" si="28"/>
        <v>0</v>
      </c>
      <c r="AF146" s="1502">
        <f t="shared" si="29"/>
        <v>0</v>
      </c>
    </row>
    <row r="147" spans="1:32" s="1474" customFormat="1" ht="23.25" customHeight="1">
      <c r="A147" s="2850">
        <v>83</v>
      </c>
      <c r="B147" s="2983" t="s">
        <v>1971</v>
      </c>
      <c r="C147" s="2706" t="s">
        <v>2582</v>
      </c>
      <c r="D147" s="2706">
        <v>10</v>
      </c>
      <c r="E147" s="1497">
        <v>20000000</v>
      </c>
      <c r="F147" s="2417">
        <f t="shared" si="16"/>
        <v>3600000</v>
      </c>
      <c r="G147" s="2707">
        <v>41933</v>
      </c>
      <c r="H147" s="2419">
        <v>0.18</v>
      </c>
      <c r="I147" s="2415">
        <v>10</v>
      </c>
      <c r="J147" s="2415">
        <v>10</v>
      </c>
      <c r="K147" s="2415">
        <f t="shared" si="37"/>
        <v>2000000</v>
      </c>
      <c r="L147" s="2415">
        <f t="shared" si="38"/>
        <v>360000</v>
      </c>
      <c r="M147" s="2172">
        <f t="shared" si="17"/>
        <v>20000000</v>
      </c>
      <c r="N147" s="2172">
        <f>IF(J147&lt;I147,J147*L147,IF(J147&gt;=I147,F147))</f>
        <v>3600000</v>
      </c>
      <c r="O147" s="2708">
        <v>20000000</v>
      </c>
      <c r="P147" s="2708">
        <v>3600000</v>
      </c>
      <c r="Q147" s="2708"/>
      <c r="R147" s="3183"/>
      <c r="S147" s="3183"/>
      <c r="T147" s="1507"/>
      <c r="U147" s="1495">
        <f t="shared" si="32"/>
        <v>20000000</v>
      </c>
      <c r="V147" s="1495">
        <f t="shared" si="34"/>
        <v>3600000</v>
      </c>
      <c r="W147" s="1495">
        <f t="shared" si="21"/>
        <v>0</v>
      </c>
      <c r="X147" s="1495">
        <f t="shared" si="22"/>
        <v>0</v>
      </c>
      <c r="Y147" s="1495">
        <f t="shared" si="23"/>
        <v>100</v>
      </c>
      <c r="Z147" s="1495">
        <f t="shared" si="24"/>
        <v>0</v>
      </c>
      <c r="AA147" s="1506">
        <f t="shared" si="25"/>
        <v>0</v>
      </c>
      <c r="AB147" s="2441"/>
      <c r="AC147" s="1504">
        <f t="shared" si="26"/>
        <v>0</v>
      </c>
      <c r="AD147" s="1503">
        <f t="shared" si="27"/>
        <v>0</v>
      </c>
      <c r="AE147" s="1503">
        <f t="shared" si="28"/>
        <v>0</v>
      </c>
      <c r="AF147" s="1502">
        <f t="shared" si="29"/>
        <v>0</v>
      </c>
    </row>
    <row r="148" spans="1:32" s="1474" customFormat="1" ht="23.25" customHeight="1">
      <c r="A148" s="2850">
        <v>84</v>
      </c>
      <c r="B148" s="2983" t="s">
        <v>2604</v>
      </c>
      <c r="C148" s="2706" t="s">
        <v>2582</v>
      </c>
      <c r="D148" s="2706">
        <v>12</v>
      </c>
      <c r="E148" s="1497">
        <v>40000000</v>
      </c>
      <c r="F148" s="2417">
        <f t="shared" si="16"/>
        <v>7200000</v>
      </c>
      <c r="G148" s="2707">
        <v>41962</v>
      </c>
      <c r="H148" s="2419">
        <v>0.18</v>
      </c>
      <c r="I148" s="2415">
        <v>10</v>
      </c>
      <c r="J148" s="2415">
        <v>10</v>
      </c>
      <c r="K148" s="2415">
        <f t="shared" si="37"/>
        <v>4000000</v>
      </c>
      <c r="L148" s="2415">
        <f t="shared" si="38"/>
        <v>720000</v>
      </c>
      <c r="M148" s="2172">
        <f t="shared" si="17"/>
        <v>40000000</v>
      </c>
      <c r="N148" s="2172">
        <f>IF(J148&lt;I148,J148*L148,IF(J148&gt;=I148,F148))-1*L148</f>
        <v>6480000</v>
      </c>
      <c r="O148" s="2708">
        <f>36800000+3200000</f>
        <v>40000000</v>
      </c>
      <c r="P148" s="2708">
        <f>6192000+288000</f>
        <v>6480000</v>
      </c>
      <c r="Q148" s="2708"/>
      <c r="R148" s="3183"/>
      <c r="S148" s="3183"/>
      <c r="T148" s="1507"/>
      <c r="U148" s="1495">
        <f t="shared" si="32"/>
        <v>40000000</v>
      </c>
      <c r="V148" s="1495">
        <f t="shared" si="34"/>
        <v>6480000</v>
      </c>
      <c r="W148" s="1495">
        <f t="shared" si="21"/>
        <v>0</v>
      </c>
      <c r="X148" s="1495">
        <f t="shared" si="22"/>
        <v>0</v>
      </c>
      <c r="Y148" s="1495">
        <f t="shared" si="23"/>
        <v>100</v>
      </c>
      <c r="Z148" s="1495">
        <f t="shared" si="24"/>
        <v>0</v>
      </c>
      <c r="AA148" s="1506">
        <f t="shared" si="25"/>
        <v>0</v>
      </c>
      <c r="AB148" s="2441"/>
      <c r="AC148" s="1504">
        <f t="shared" si="26"/>
        <v>0</v>
      </c>
      <c r="AD148" s="1503">
        <f t="shared" si="27"/>
        <v>0</v>
      </c>
      <c r="AE148" s="1503">
        <f t="shared" si="28"/>
        <v>0</v>
      </c>
      <c r="AF148" s="1502">
        <f t="shared" si="29"/>
        <v>0</v>
      </c>
    </row>
    <row r="149" spans="1:32" s="1474" customFormat="1" ht="23.25" customHeight="1">
      <c r="A149" s="2850">
        <v>85</v>
      </c>
      <c r="B149" s="2983" t="s">
        <v>2350</v>
      </c>
      <c r="C149" s="2706" t="s">
        <v>2582</v>
      </c>
      <c r="D149" s="2706">
        <v>12</v>
      </c>
      <c r="E149" s="1497">
        <v>24000000</v>
      </c>
      <c r="F149" s="2417">
        <f t="shared" si="16"/>
        <v>4320000</v>
      </c>
      <c r="G149" s="2707">
        <v>41962</v>
      </c>
      <c r="H149" s="2419">
        <v>0.18</v>
      </c>
      <c r="I149" s="2415">
        <v>10</v>
      </c>
      <c r="J149" s="2415">
        <v>10</v>
      </c>
      <c r="K149" s="2415">
        <f t="shared" si="37"/>
        <v>2400000</v>
      </c>
      <c r="L149" s="2415">
        <f t="shared" si="38"/>
        <v>432000</v>
      </c>
      <c r="M149" s="2172">
        <f t="shared" si="17"/>
        <v>24000000</v>
      </c>
      <c r="N149" s="2172">
        <f t="shared" ref="N149" si="39">IF(J149&lt;I149,J149*L149,IF(J149&gt;=I149,F149))-1*L149</f>
        <v>3888000</v>
      </c>
      <c r="O149" s="2708">
        <f>27200000-3200000</f>
        <v>24000000</v>
      </c>
      <c r="P149" s="2708">
        <f>4176000-288000</f>
        <v>3888000</v>
      </c>
      <c r="Q149" s="2708"/>
      <c r="R149" s="3183"/>
      <c r="S149" s="3183"/>
      <c r="T149" s="1507"/>
      <c r="U149" s="1495">
        <f t="shared" si="32"/>
        <v>24000000</v>
      </c>
      <c r="V149" s="1495">
        <f t="shared" si="34"/>
        <v>3888000</v>
      </c>
      <c r="W149" s="1495">
        <f t="shared" si="21"/>
        <v>0</v>
      </c>
      <c r="X149" s="1495">
        <f t="shared" si="22"/>
        <v>0</v>
      </c>
      <c r="Y149" s="1495">
        <f t="shared" si="23"/>
        <v>100</v>
      </c>
      <c r="Z149" s="1495">
        <f t="shared" si="24"/>
        <v>0</v>
      </c>
      <c r="AA149" s="1506">
        <f t="shared" si="25"/>
        <v>0</v>
      </c>
      <c r="AB149" s="2441"/>
      <c r="AC149" s="1504">
        <f t="shared" si="26"/>
        <v>0</v>
      </c>
      <c r="AD149" s="1503">
        <f t="shared" si="27"/>
        <v>0</v>
      </c>
      <c r="AE149" s="1503">
        <f t="shared" si="28"/>
        <v>0</v>
      </c>
      <c r="AF149" s="1502">
        <f t="shared" si="29"/>
        <v>0</v>
      </c>
    </row>
    <row r="150" spans="1:32" s="1474" customFormat="1" ht="23.25" customHeight="1">
      <c r="A150" s="2850">
        <v>86</v>
      </c>
      <c r="B150" s="2983" t="s">
        <v>2033</v>
      </c>
      <c r="C150" s="2706" t="s">
        <v>2582</v>
      </c>
      <c r="D150" s="2706">
        <v>10</v>
      </c>
      <c r="E150" s="1497">
        <v>40000000</v>
      </c>
      <c r="F150" s="2417">
        <f t="shared" si="16"/>
        <v>7200000</v>
      </c>
      <c r="G150" s="2707">
        <v>41962</v>
      </c>
      <c r="H150" s="2419">
        <v>0.18</v>
      </c>
      <c r="I150" s="2415">
        <v>10</v>
      </c>
      <c r="J150" s="2415">
        <v>10</v>
      </c>
      <c r="K150" s="2415">
        <f t="shared" si="37"/>
        <v>4000000</v>
      </c>
      <c r="L150" s="2415">
        <f t="shared" si="38"/>
        <v>720000</v>
      </c>
      <c r="M150" s="2172">
        <f t="shared" si="17"/>
        <v>40000000</v>
      </c>
      <c r="N150" s="2172">
        <f t="shared" si="18"/>
        <v>7200000</v>
      </c>
      <c r="O150" s="2708">
        <v>29690000</v>
      </c>
      <c r="P150" s="2708">
        <v>5760000</v>
      </c>
      <c r="Q150" s="2708"/>
      <c r="R150" s="3158">
        <v>800000</v>
      </c>
      <c r="S150" s="3158"/>
      <c r="T150" s="1507"/>
      <c r="U150" s="1495">
        <f t="shared" si="32"/>
        <v>30490000</v>
      </c>
      <c r="V150" s="1495">
        <f t="shared" si="34"/>
        <v>5760000</v>
      </c>
      <c r="W150" s="1495">
        <f t="shared" si="21"/>
        <v>0</v>
      </c>
      <c r="X150" s="1495">
        <f t="shared" si="22"/>
        <v>9510000</v>
      </c>
      <c r="Y150" s="1495">
        <f t="shared" si="23"/>
        <v>76.224999999999994</v>
      </c>
      <c r="Z150" s="1495">
        <f t="shared" si="24"/>
        <v>9510000</v>
      </c>
      <c r="AA150" s="1506">
        <f t="shared" si="25"/>
        <v>1440000</v>
      </c>
      <c r="AB150" s="2441">
        <v>2</v>
      </c>
      <c r="AC150" s="1504">
        <f t="shared" si="26"/>
        <v>9510000</v>
      </c>
      <c r="AD150" s="1503">
        <f t="shared" si="27"/>
        <v>0</v>
      </c>
      <c r="AE150" s="1503">
        <f t="shared" si="28"/>
        <v>0</v>
      </c>
      <c r="AF150" s="1502">
        <f t="shared" si="29"/>
        <v>0</v>
      </c>
    </row>
    <row r="151" spans="1:32" s="1474" customFormat="1" ht="23.25" customHeight="1">
      <c r="A151" s="2850">
        <v>87</v>
      </c>
      <c r="B151" s="2983" t="s">
        <v>2040</v>
      </c>
      <c r="C151" s="2706" t="s">
        <v>2615</v>
      </c>
      <c r="D151" s="2706">
        <v>10</v>
      </c>
      <c r="E151" s="1497">
        <v>30000000</v>
      </c>
      <c r="F151" s="2417">
        <f t="shared" si="16"/>
        <v>5400000</v>
      </c>
      <c r="G151" s="2707">
        <v>41988</v>
      </c>
      <c r="H151" s="2419">
        <v>0.18</v>
      </c>
      <c r="I151" s="2415">
        <v>10</v>
      </c>
      <c r="J151" s="2415">
        <v>10</v>
      </c>
      <c r="K151" s="2415">
        <f t="shared" si="37"/>
        <v>3000000</v>
      </c>
      <c r="L151" s="2415">
        <f t="shared" si="38"/>
        <v>540000</v>
      </c>
      <c r="M151" s="2172">
        <f t="shared" si="17"/>
        <v>30000000</v>
      </c>
      <c r="N151" s="2172">
        <f t="shared" si="18"/>
        <v>5400000</v>
      </c>
      <c r="O151" s="2708">
        <v>30000000</v>
      </c>
      <c r="P151" s="2708">
        <v>5400000</v>
      </c>
      <c r="Q151" s="2708"/>
      <c r="R151" s="3158"/>
      <c r="S151" s="3158"/>
      <c r="T151" s="1507"/>
      <c r="U151" s="1495">
        <f t="shared" si="32"/>
        <v>30000000</v>
      </c>
      <c r="V151" s="1495">
        <f t="shared" si="34"/>
        <v>5400000</v>
      </c>
      <c r="W151" s="1495">
        <f t="shared" si="21"/>
        <v>0</v>
      </c>
      <c r="X151" s="1495">
        <f t="shared" si="22"/>
        <v>0</v>
      </c>
      <c r="Y151" s="1495">
        <f t="shared" si="23"/>
        <v>100</v>
      </c>
      <c r="Z151" s="1495">
        <f t="shared" si="24"/>
        <v>0</v>
      </c>
      <c r="AA151" s="1506">
        <f t="shared" si="25"/>
        <v>0</v>
      </c>
      <c r="AB151" s="2441"/>
      <c r="AC151" s="1504">
        <f t="shared" si="26"/>
        <v>0</v>
      </c>
      <c r="AD151" s="1503">
        <f t="shared" si="27"/>
        <v>0</v>
      </c>
      <c r="AE151" s="1503">
        <f t="shared" si="28"/>
        <v>0</v>
      </c>
      <c r="AF151" s="1502">
        <f t="shared" si="29"/>
        <v>0</v>
      </c>
    </row>
    <row r="152" spans="1:32" s="1474" customFormat="1" ht="23.25" customHeight="1">
      <c r="A152" s="2850">
        <v>88</v>
      </c>
      <c r="B152" s="2983" t="s">
        <v>2621</v>
      </c>
      <c r="C152" s="2706" t="s">
        <v>2615</v>
      </c>
      <c r="D152" s="2706">
        <v>10</v>
      </c>
      <c r="E152" s="1497">
        <v>21000000</v>
      </c>
      <c r="F152" s="2417">
        <f t="shared" si="16"/>
        <v>3780000</v>
      </c>
      <c r="G152" s="2707">
        <v>41992</v>
      </c>
      <c r="H152" s="2419">
        <v>0.18</v>
      </c>
      <c r="I152" s="2415">
        <v>10</v>
      </c>
      <c r="J152" s="2415">
        <v>10</v>
      </c>
      <c r="K152" s="2415">
        <f t="shared" si="37"/>
        <v>2100000</v>
      </c>
      <c r="L152" s="2415">
        <f t="shared" si="38"/>
        <v>378000</v>
      </c>
      <c r="M152" s="2172">
        <f t="shared" si="17"/>
        <v>21000000</v>
      </c>
      <c r="N152" s="2172">
        <f t="shared" si="18"/>
        <v>3780000</v>
      </c>
      <c r="O152" s="2708">
        <v>15468000</v>
      </c>
      <c r="P152" s="2708">
        <v>3024000</v>
      </c>
      <c r="Q152" s="2708"/>
      <c r="R152" s="3158"/>
      <c r="S152" s="3158"/>
      <c r="T152" s="1507"/>
      <c r="U152" s="1495">
        <f t="shared" si="32"/>
        <v>15468000</v>
      </c>
      <c r="V152" s="1495">
        <f t="shared" si="34"/>
        <v>3024000</v>
      </c>
      <c r="W152" s="1495">
        <f t="shared" si="21"/>
        <v>0</v>
      </c>
      <c r="X152" s="1495">
        <f t="shared" si="22"/>
        <v>5532000</v>
      </c>
      <c r="Y152" s="1495">
        <f t="shared" si="23"/>
        <v>73.657142857142858</v>
      </c>
      <c r="Z152" s="1495">
        <f t="shared" si="24"/>
        <v>5532000</v>
      </c>
      <c r="AA152" s="1506">
        <f t="shared" si="25"/>
        <v>756000</v>
      </c>
      <c r="AB152" s="2441">
        <v>2</v>
      </c>
      <c r="AC152" s="1504">
        <f t="shared" si="26"/>
        <v>5532000</v>
      </c>
      <c r="AD152" s="1503">
        <f t="shared" si="27"/>
        <v>0</v>
      </c>
      <c r="AE152" s="1503">
        <f t="shared" si="28"/>
        <v>0</v>
      </c>
      <c r="AF152" s="1502">
        <f t="shared" si="29"/>
        <v>0</v>
      </c>
    </row>
    <row r="153" spans="1:32" s="1474" customFormat="1" ht="23.25" customHeight="1">
      <c r="A153" s="2850">
        <v>89</v>
      </c>
      <c r="B153" s="2983" t="s">
        <v>1951</v>
      </c>
      <c r="C153" s="2706" t="s">
        <v>2615</v>
      </c>
      <c r="D153" s="2706">
        <v>12</v>
      </c>
      <c r="E153" s="1497">
        <v>42000000</v>
      </c>
      <c r="F153" s="2417">
        <f t="shared" si="16"/>
        <v>7560000</v>
      </c>
      <c r="G153" s="2707">
        <v>42041</v>
      </c>
      <c r="H153" s="2419">
        <v>0.18</v>
      </c>
      <c r="I153" s="2415">
        <v>12</v>
      </c>
      <c r="J153" s="2415">
        <v>12</v>
      </c>
      <c r="K153" s="2415">
        <f t="shared" si="37"/>
        <v>3500000</v>
      </c>
      <c r="L153" s="2415">
        <f t="shared" si="38"/>
        <v>630000</v>
      </c>
      <c r="M153" s="2172">
        <f t="shared" si="17"/>
        <v>42000000</v>
      </c>
      <c r="N153" s="2172">
        <f t="shared" si="18"/>
        <v>7560000</v>
      </c>
      <c r="O153" s="2708">
        <v>38500000</v>
      </c>
      <c r="P153" s="2708">
        <v>6930000</v>
      </c>
      <c r="Q153" s="2708"/>
      <c r="R153" s="3158">
        <v>3500000</v>
      </c>
      <c r="S153" s="3158">
        <v>630000</v>
      </c>
      <c r="T153" s="1507"/>
      <c r="U153" s="1495">
        <f t="shared" si="32"/>
        <v>42000000</v>
      </c>
      <c r="V153" s="1495">
        <f t="shared" si="34"/>
        <v>7560000</v>
      </c>
      <c r="W153" s="1495">
        <f t="shared" si="21"/>
        <v>0</v>
      </c>
      <c r="X153" s="1495">
        <f t="shared" si="22"/>
        <v>0</v>
      </c>
      <c r="Y153" s="1495">
        <f t="shared" si="23"/>
        <v>100</v>
      </c>
      <c r="Z153" s="1495">
        <f t="shared" si="24"/>
        <v>0</v>
      </c>
      <c r="AA153" s="1506">
        <f t="shared" si="25"/>
        <v>0</v>
      </c>
      <c r="AB153" s="2441"/>
      <c r="AC153" s="1504">
        <f t="shared" si="26"/>
        <v>0</v>
      </c>
      <c r="AD153" s="1503">
        <f t="shared" si="27"/>
        <v>0</v>
      </c>
      <c r="AE153" s="1503">
        <f t="shared" si="28"/>
        <v>0</v>
      </c>
      <c r="AF153" s="1502">
        <f t="shared" si="29"/>
        <v>0</v>
      </c>
    </row>
    <row r="154" spans="1:32" s="1474" customFormat="1" ht="23.25" customHeight="1">
      <c r="A154" s="2850">
        <v>90</v>
      </c>
      <c r="B154" s="2983" t="s">
        <v>2038</v>
      </c>
      <c r="C154" s="2706" t="s">
        <v>2615</v>
      </c>
      <c r="D154" s="2706">
        <v>12</v>
      </c>
      <c r="E154" s="1497">
        <v>28000000</v>
      </c>
      <c r="F154" s="2417">
        <f t="shared" si="16"/>
        <v>5040000</v>
      </c>
      <c r="G154" s="2707">
        <v>42041</v>
      </c>
      <c r="H154" s="2419">
        <v>0.18</v>
      </c>
      <c r="I154" s="2415">
        <v>12</v>
      </c>
      <c r="J154" s="2415">
        <v>12</v>
      </c>
      <c r="K154" s="2415">
        <v>2333300</v>
      </c>
      <c r="L154" s="2415">
        <f t="shared" si="38"/>
        <v>420000</v>
      </c>
      <c r="M154" s="2172">
        <f t="shared" si="17"/>
        <v>28000000</v>
      </c>
      <c r="N154" s="2172">
        <f t="shared" si="18"/>
        <v>5040000</v>
      </c>
      <c r="O154" s="2708">
        <v>25666300</v>
      </c>
      <c r="P154" s="2708">
        <v>4620000</v>
      </c>
      <c r="Q154" s="2708"/>
      <c r="R154" s="3158">
        <v>2333700</v>
      </c>
      <c r="S154" s="3158">
        <v>420000</v>
      </c>
      <c r="T154" s="1507"/>
      <c r="U154" s="1495">
        <f t="shared" si="32"/>
        <v>28000000</v>
      </c>
      <c r="V154" s="1495">
        <f t="shared" si="34"/>
        <v>5040000</v>
      </c>
      <c r="W154" s="1495">
        <f t="shared" si="21"/>
        <v>0</v>
      </c>
      <c r="X154" s="1495">
        <f t="shared" si="22"/>
        <v>0</v>
      </c>
      <c r="Y154" s="1495">
        <f t="shared" si="23"/>
        <v>100</v>
      </c>
      <c r="Z154" s="1495">
        <f t="shared" si="24"/>
        <v>0</v>
      </c>
      <c r="AA154" s="1506">
        <f t="shared" si="25"/>
        <v>0</v>
      </c>
      <c r="AB154" s="2441"/>
      <c r="AC154" s="1504">
        <f t="shared" si="26"/>
        <v>0</v>
      </c>
      <c r="AD154" s="1503">
        <f t="shared" si="27"/>
        <v>0</v>
      </c>
      <c r="AE154" s="1503">
        <f t="shared" si="28"/>
        <v>0</v>
      </c>
      <c r="AF154" s="1502">
        <f t="shared" si="29"/>
        <v>0</v>
      </c>
    </row>
    <row r="155" spans="1:32" s="3182" customFormat="1" ht="23.25" customHeight="1">
      <c r="A155" s="2850">
        <v>91</v>
      </c>
      <c r="B155" s="1497" t="s">
        <v>2031</v>
      </c>
      <c r="C155" s="2706" t="s">
        <v>2615</v>
      </c>
      <c r="D155" s="2706">
        <v>12</v>
      </c>
      <c r="E155" s="1497">
        <v>30000000</v>
      </c>
      <c r="F155" s="2175">
        <f t="shared" si="16"/>
        <v>5400000</v>
      </c>
      <c r="G155" s="3176">
        <v>42041</v>
      </c>
      <c r="H155" s="3177">
        <v>0.18</v>
      </c>
      <c r="I155" s="2708">
        <v>10</v>
      </c>
      <c r="J155" s="2708">
        <v>10</v>
      </c>
      <c r="K155" s="2708">
        <f t="shared" si="37"/>
        <v>3000000</v>
      </c>
      <c r="L155" s="2708">
        <f t="shared" si="38"/>
        <v>540000</v>
      </c>
      <c r="M155" s="2171">
        <f t="shared" si="17"/>
        <v>30000000</v>
      </c>
      <c r="N155" s="2171">
        <f t="shared" si="18"/>
        <v>5400000</v>
      </c>
      <c r="O155" s="2708">
        <v>27000000</v>
      </c>
      <c r="P155" s="2708">
        <v>5260000</v>
      </c>
      <c r="Q155" s="2708"/>
      <c r="R155" s="3158"/>
      <c r="S155" s="3158"/>
      <c r="T155" s="1513"/>
      <c r="U155" s="2176">
        <f t="shared" si="32"/>
        <v>27000000</v>
      </c>
      <c r="V155" s="2176">
        <f t="shared" si="34"/>
        <v>5260000</v>
      </c>
      <c r="W155" s="2176">
        <f t="shared" si="21"/>
        <v>0</v>
      </c>
      <c r="X155" s="2176">
        <f t="shared" si="22"/>
        <v>3000000</v>
      </c>
      <c r="Y155" s="2176">
        <f t="shared" si="23"/>
        <v>90</v>
      </c>
      <c r="Z155" s="2176">
        <f t="shared" si="24"/>
        <v>3000000</v>
      </c>
      <c r="AA155" s="3178">
        <f t="shared" si="25"/>
        <v>140000</v>
      </c>
      <c r="AB155" s="2441">
        <v>2</v>
      </c>
      <c r="AC155" s="3179">
        <f t="shared" si="26"/>
        <v>3000000</v>
      </c>
      <c r="AD155" s="3180">
        <f t="shared" si="27"/>
        <v>0</v>
      </c>
      <c r="AE155" s="3180">
        <f t="shared" si="28"/>
        <v>0</v>
      </c>
      <c r="AF155" s="3181">
        <f t="shared" si="29"/>
        <v>0</v>
      </c>
    </row>
    <row r="156" spans="1:32" s="1474" customFormat="1" ht="23.25" customHeight="1">
      <c r="A156" s="2850">
        <v>92</v>
      </c>
      <c r="B156" s="2983" t="s">
        <v>2039</v>
      </c>
      <c r="C156" s="2706" t="s">
        <v>2615</v>
      </c>
      <c r="D156" s="2706">
        <v>10</v>
      </c>
      <c r="E156" s="1497">
        <v>20000000</v>
      </c>
      <c r="F156" s="2417">
        <f t="shared" si="16"/>
        <v>3600000</v>
      </c>
      <c r="G156" s="2707">
        <v>42041</v>
      </c>
      <c r="H156" s="2419">
        <v>0.18</v>
      </c>
      <c r="I156" s="2415">
        <v>12</v>
      </c>
      <c r="J156" s="2415">
        <v>12</v>
      </c>
      <c r="K156" s="2415">
        <v>1666700</v>
      </c>
      <c r="L156" s="2415">
        <f t="shared" ref="L156:L175" si="40">F156/I156</f>
        <v>300000</v>
      </c>
      <c r="M156" s="2172">
        <f t="shared" si="17"/>
        <v>20000000</v>
      </c>
      <c r="N156" s="2172">
        <f>IF(J156&lt;I156,J156*L156,IF(J156&gt;=I156,F156))-1*L156</f>
        <v>3300000</v>
      </c>
      <c r="O156" s="2708">
        <v>20000000</v>
      </c>
      <c r="P156" s="2708">
        <v>3300000</v>
      </c>
      <c r="Q156" s="2708"/>
      <c r="R156" s="3158"/>
      <c r="S156" s="3158"/>
      <c r="T156" s="1507"/>
      <c r="U156" s="1495">
        <f t="shared" si="32"/>
        <v>20000000</v>
      </c>
      <c r="V156" s="1495">
        <f t="shared" si="34"/>
        <v>3300000</v>
      </c>
      <c r="W156" s="1495">
        <f t="shared" si="21"/>
        <v>0</v>
      </c>
      <c r="X156" s="1495">
        <f t="shared" si="22"/>
        <v>0</v>
      </c>
      <c r="Y156" s="1495">
        <f t="shared" si="23"/>
        <v>100</v>
      </c>
      <c r="Z156" s="1495">
        <f t="shared" si="24"/>
        <v>0</v>
      </c>
      <c r="AA156" s="1506">
        <f t="shared" si="25"/>
        <v>0</v>
      </c>
      <c r="AB156" s="2441"/>
      <c r="AC156" s="1504">
        <f t="shared" si="26"/>
        <v>0</v>
      </c>
      <c r="AD156" s="1503">
        <f t="shared" si="27"/>
        <v>0</v>
      </c>
      <c r="AE156" s="1503">
        <f t="shared" si="28"/>
        <v>0</v>
      </c>
      <c r="AF156" s="1502">
        <f t="shared" si="29"/>
        <v>0</v>
      </c>
    </row>
    <row r="157" spans="1:32" s="1474" customFormat="1" ht="23.25" customHeight="1">
      <c r="A157" s="2850">
        <v>93</v>
      </c>
      <c r="B157" s="2983" t="s">
        <v>2647</v>
      </c>
      <c r="C157" s="2706" t="s">
        <v>2615</v>
      </c>
      <c r="D157" s="2706">
        <v>10</v>
      </c>
      <c r="E157" s="1497">
        <v>10000000</v>
      </c>
      <c r="F157" s="2417">
        <f t="shared" si="16"/>
        <v>1800000</v>
      </c>
      <c r="G157" s="2707">
        <v>42072</v>
      </c>
      <c r="H157" s="2419">
        <v>0.18</v>
      </c>
      <c r="I157" s="2415">
        <v>10</v>
      </c>
      <c r="J157" s="2415">
        <v>10</v>
      </c>
      <c r="K157" s="2415">
        <v>1000000</v>
      </c>
      <c r="L157" s="2415">
        <f t="shared" si="40"/>
        <v>180000</v>
      </c>
      <c r="M157" s="2172">
        <f t="shared" si="17"/>
        <v>10000000</v>
      </c>
      <c r="N157" s="2172">
        <f>IF(J157&lt;I157,J157*L157,IF(J157&gt;=I157,F157))*1-L157</f>
        <v>1620000</v>
      </c>
      <c r="O157" s="2708">
        <v>10000000</v>
      </c>
      <c r="P157" s="2708">
        <v>1620000</v>
      </c>
      <c r="Q157" s="2708"/>
      <c r="R157" s="3158"/>
      <c r="S157" s="3158"/>
      <c r="T157" s="1507"/>
      <c r="U157" s="1495">
        <f t="shared" si="32"/>
        <v>10000000</v>
      </c>
      <c r="V157" s="1495">
        <f t="shared" si="34"/>
        <v>1620000</v>
      </c>
      <c r="W157" s="1495">
        <f t="shared" si="21"/>
        <v>0</v>
      </c>
      <c r="X157" s="1495">
        <f t="shared" si="22"/>
        <v>0</v>
      </c>
      <c r="Y157" s="1495">
        <f t="shared" si="23"/>
        <v>100</v>
      </c>
      <c r="Z157" s="1495">
        <f t="shared" si="24"/>
        <v>0</v>
      </c>
      <c r="AA157" s="1506">
        <f t="shared" si="25"/>
        <v>0</v>
      </c>
      <c r="AB157" s="2441"/>
      <c r="AC157" s="1504">
        <f t="shared" si="26"/>
        <v>0</v>
      </c>
      <c r="AD157" s="1503">
        <f t="shared" si="27"/>
        <v>0</v>
      </c>
      <c r="AE157" s="1503">
        <f t="shared" si="28"/>
        <v>0</v>
      </c>
      <c r="AF157" s="1502">
        <f t="shared" si="29"/>
        <v>0</v>
      </c>
    </row>
    <row r="158" spans="1:32" s="1474" customFormat="1" ht="23.25" customHeight="1">
      <c r="A158" s="2850">
        <v>94</v>
      </c>
      <c r="B158" s="2983" t="s">
        <v>2424</v>
      </c>
      <c r="C158" s="2706" t="s">
        <v>2615</v>
      </c>
      <c r="D158" s="2706">
        <v>10</v>
      </c>
      <c r="E158" s="1497">
        <v>20000000</v>
      </c>
      <c r="F158" s="2417">
        <f t="shared" si="16"/>
        <v>3600000</v>
      </c>
      <c r="G158" s="2707">
        <v>42072</v>
      </c>
      <c r="H158" s="2419">
        <v>0.18</v>
      </c>
      <c r="I158" s="2415">
        <v>10</v>
      </c>
      <c r="J158" s="2415">
        <v>10</v>
      </c>
      <c r="K158" s="2415">
        <f>E158/I158</f>
        <v>2000000</v>
      </c>
      <c r="L158" s="2415">
        <f t="shared" si="40"/>
        <v>360000</v>
      </c>
      <c r="M158" s="2172">
        <f t="shared" si="17"/>
        <v>20000000</v>
      </c>
      <c r="N158" s="2172">
        <f t="shared" si="18"/>
        <v>3600000</v>
      </c>
      <c r="O158" s="2708">
        <v>20000000</v>
      </c>
      <c r="P158" s="2708">
        <v>3600000</v>
      </c>
      <c r="Q158" s="2708"/>
      <c r="R158" s="3158"/>
      <c r="S158" s="3158"/>
      <c r="T158" s="1507"/>
      <c r="U158" s="1495">
        <f t="shared" si="32"/>
        <v>20000000</v>
      </c>
      <c r="V158" s="1495">
        <f t="shared" si="34"/>
        <v>3600000</v>
      </c>
      <c r="W158" s="1495">
        <f t="shared" si="21"/>
        <v>0</v>
      </c>
      <c r="X158" s="1495">
        <f t="shared" si="22"/>
        <v>0</v>
      </c>
      <c r="Y158" s="1495">
        <f t="shared" si="23"/>
        <v>100</v>
      </c>
      <c r="Z158" s="1495">
        <f t="shared" si="24"/>
        <v>0</v>
      </c>
      <c r="AA158" s="1506">
        <f t="shared" si="25"/>
        <v>0</v>
      </c>
      <c r="AB158" s="2441"/>
      <c r="AC158" s="1504">
        <f t="shared" si="26"/>
        <v>0</v>
      </c>
      <c r="AD158" s="1503">
        <f t="shared" si="27"/>
        <v>0</v>
      </c>
      <c r="AE158" s="1503">
        <f t="shared" si="28"/>
        <v>0</v>
      </c>
      <c r="AF158" s="1502">
        <f t="shared" si="29"/>
        <v>0</v>
      </c>
    </row>
    <row r="159" spans="1:32" s="1474" customFormat="1" ht="23.25" customHeight="1">
      <c r="A159" s="2850">
        <v>95</v>
      </c>
      <c r="B159" s="2983" t="s">
        <v>2049</v>
      </c>
      <c r="C159" s="2706" t="s">
        <v>2658</v>
      </c>
      <c r="D159" s="2706">
        <v>10</v>
      </c>
      <c r="E159" s="1497">
        <v>35000000</v>
      </c>
      <c r="F159" s="2417">
        <f t="shared" si="16"/>
        <v>6300000</v>
      </c>
      <c r="G159" s="2707">
        <v>42138</v>
      </c>
      <c r="H159" s="2419">
        <v>0.18</v>
      </c>
      <c r="I159" s="2415">
        <v>10</v>
      </c>
      <c r="J159" s="2415">
        <v>9</v>
      </c>
      <c r="K159" s="2415">
        <f t="shared" ref="K159:K175" si="41">E159/I159</f>
        <v>3500000</v>
      </c>
      <c r="L159" s="2415">
        <f t="shared" si="40"/>
        <v>630000</v>
      </c>
      <c r="M159" s="2172">
        <f t="shared" si="17"/>
        <v>31500000</v>
      </c>
      <c r="N159" s="2172">
        <f t="shared" si="18"/>
        <v>5670000</v>
      </c>
      <c r="O159" s="2708">
        <v>28000000</v>
      </c>
      <c r="P159" s="2708">
        <v>5040000</v>
      </c>
      <c r="Q159" s="2708"/>
      <c r="R159" s="3010">
        <v>3500000</v>
      </c>
      <c r="S159" s="3010">
        <v>630000</v>
      </c>
      <c r="T159" s="1507"/>
      <c r="U159" s="1495">
        <f t="shared" si="32"/>
        <v>31500000</v>
      </c>
      <c r="V159" s="1495">
        <f t="shared" si="34"/>
        <v>5670000</v>
      </c>
      <c r="W159" s="1495">
        <f t="shared" si="21"/>
        <v>0</v>
      </c>
      <c r="X159" s="1495">
        <f t="shared" si="22"/>
        <v>3500000</v>
      </c>
      <c r="Y159" s="1495">
        <f t="shared" si="23"/>
        <v>100</v>
      </c>
      <c r="Z159" s="1495">
        <f t="shared" si="24"/>
        <v>0</v>
      </c>
      <c r="AA159" s="1506">
        <f t="shared" si="25"/>
        <v>0</v>
      </c>
      <c r="AB159" s="2441"/>
      <c r="AC159" s="1504">
        <f t="shared" si="26"/>
        <v>0</v>
      </c>
      <c r="AD159" s="1503">
        <f t="shared" si="27"/>
        <v>0</v>
      </c>
      <c r="AE159" s="1503">
        <f t="shared" si="28"/>
        <v>0</v>
      </c>
      <c r="AF159" s="1502">
        <f t="shared" si="29"/>
        <v>0</v>
      </c>
    </row>
    <row r="160" spans="1:32" s="1474" customFormat="1" ht="23.25" customHeight="1">
      <c r="A160" s="2850">
        <v>96</v>
      </c>
      <c r="B160" s="2983" t="s">
        <v>2067</v>
      </c>
      <c r="C160" s="2706" t="s">
        <v>2658</v>
      </c>
      <c r="D160" s="2706">
        <v>10</v>
      </c>
      <c r="E160" s="1497">
        <v>7000000</v>
      </c>
      <c r="F160" s="2417">
        <f t="shared" si="16"/>
        <v>1260000</v>
      </c>
      <c r="G160" s="2707">
        <v>42138</v>
      </c>
      <c r="H160" s="2419">
        <v>0.18</v>
      </c>
      <c r="I160" s="2415">
        <v>10</v>
      </c>
      <c r="J160" s="2415">
        <v>10</v>
      </c>
      <c r="K160" s="2415">
        <f t="shared" si="41"/>
        <v>700000</v>
      </c>
      <c r="L160" s="2415">
        <f t="shared" si="40"/>
        <v>126000</v>
      </c>
      <c r="M160" s="2172">
        <f t="shared" si="17"/>
        <v>7000000</v>
      </c>
      <c r="N160" s="2172">
        <f t="shared" si="18"/>
        <v>1260000</v>
      </c>
      <c r="O160" s="2708">
        <v>5600000</v>
      </c>
      <c r="P160" s="2708">
        <v>1008000</v>
      </c>
      <c r="Q160" s="2708"/>
      <c r="R160" s="3010">
        <v>1400000</v>
      </c>
      <c r="S160" s="3010">
        <v>126000</v>
      </c>
      <c r="T160" s="1507"/>
      <c r="U160" s="1495">
        <f t="shared" si="32"/>
        <v>7000000</v>
      </c>
      <c r="V160" s="1495">
        <f t="shared" si="34"/>
        <v>1134000</v>
      </c>
      <c r="W160" s="1495">
        <f t="shared" si="21"/>
        <v>0</v>
      </c>
      <c r="X160" s="1495">
        <f t="shared" si="22"/>
        <v>0</v>
      </c>
      <c r="Y160" s="1495">
        <f t="shared" si="23"/>
        <v>100</v>
      </c>
      <c r="Z160" s="1495">
        <f t="shared" si="24"/>
        <v>0</v>
      </c>
      <c r="AA160" s="1506">
        <f t="shared" si="25"/>
        <v>126000</v>
      </c>
      <c r="AB160" s="2441"/>
      <c r="AC160" s="1504">
        <f t="shared" si="26"/>
        <v>0</v>
      </c>
      <c r="AD160" s="1503">
        <f t="shared" si="27"/>
        <v>0</v>
      </c>
      <c r="AE160" s="1503">
        <f t="shared" si="28"/>
        <v>0</v>
      </c>
      <c r="AF160" s="1502">
        <f t="shared" si="29"/>
        <v>0</v>
      </c>
    </row>
    <row r="161" spans="1:32" s="1474" customFormat="1" ht="23.25" customHeight="1">
      <c r="A161" s="2850">
        <v>97</v>
      </c>
      <c r="B161" s="2983" t="s">
        <v>2041</v>
      </c>
      <c r="C161" s="2706" t="s">
        <v>2615</v>
      </c>
      <c r="D161" s="2706">
        <v>12</v>
      </c>
      <c r="E161" s="1497">
        <v>31000000</v>
      </c>
      <c r="F161" s="2417">
        <f t="shared" si="16"/>
        <v>5580000</v>
      </c>
      <c r="G161" s="2707">
        <v>42143</v>
      </c>
      <c r="H161" s="2419">
        <v>0.18</v>
      </c>
      <c r="I161" s="2415">
        <v>10</v>
      </c>
      <c r="J161" s="2415">
        <v>9</v>
      </c>
      <c r="K161" s="2415">
        <f t="shared" si="41"/>
        <v>3100000</v>
      </c>
      <c r="L161" s="2415">
        <f t="shared" si="40"/>
        <v>558000</v>
      </c>
      <c r="M161" s="2172">
        <f t="shared" si="17"/>
        <v>27900000</v>
      </c>
      <c r="N161" s="2172">
        <f t="shared" si="18"/>
        <v>5022000</v>
      </c>
      <c r="O161" s="2708">
        <v>24800000</v>
      </c>
      <c r="P161" s="2708">
        <v>4464000</v>
      </c>
      <c r="Q161" s="2708"/>
      <c r="R161" s="3010">
        <v>3100000</v>
      </c>
      <c r="S161" s="3010">
        <v>558000</v>
      </c>
      <c r="T161" s="1507"/>
      <c r="U161" s="1495">
        <f t="shared" si="32"/>
        <v>27900000</v>
      </c>
      <c r="V161" s="1495">
        <f t="shared" si="34"/>
        <v>5022000</v>
      </c>
      <c r="W161" s="1495">
        <f t="shared" si="21"/>
        <v>0</v>
      </c>
      <c r="X161" s="1495">
        <f t="shared" si="22"/>
        <v>3100000</v>
      </c>
      <c r="Y161" s="1495">
        <f t="shared" si="23"/>
        <v>100</v>
      </c>
      <c r="Z161" s="1495">
        <f t="shared" si="24"/>
        <v>0</v>
      </c>
      <c r="AA161" s="1506">
        <f t="shared" si="25"/>
        <v>0</v>
      </c>
      <c r="AB161" s="2441"/>
      <c r="AC161" s="1504">
        <f t="shared" si="26"/>
        <v>0</v>
      </c>
      <c r="AD161" s="1503">
        <f t="shared" si="27"/>
        <v>0</v>
      </c>
      <c r="AE161" s="1503">
        <f t="shared" si="28"/>
        <v>0</v>
      </c>
      <c r="AF161" s="1502">
        <f t="shared" si="29"/>
        <v>0</v>
      </c>
    </row>
    <row r="162" spans="1:32" s="1474" customFormat="1" ht="23.25" customHeight="1">
      <c r="A162" s="2850">
        <v>98</v>
      </c>
      <c r="B162" s="2983" t="s">
        <v>2548</v>
      </c>
      <c r="C162" s="2706" t="s">
        <v>2658</v>
      </c>
      <c r="D162" s="2706">
        <v>12</v>
      </c>
      <c r="E162" s="1497">
        <v>30000000</v>
      </c>
      <c r="F162" s="2417">
        <f t="shared" si="16"/>
        <v>5400000</v>
      </c>
      <c r="G162" s="2707">
        <v>42168</v>
      </c>
      <c r="H162" s="2419">
        <v>0.18</v>
      </c>
      <c r="I162" s="2415">
        <v>12</v>
      </c>
      <c r="J162" s="2415">
        <v>8</v>
      </c>
      <c r="K162" s="2415">
        <f t="shared" si="41"/>
        <v>2500000</v>
      </c>
      <c r="L162" s="2415">
        <f t="shared" si="40"/>
        <v>450000</v>
      </c>
      <c r="M162" s="2172">
        <f t="shared" si="17"/>
        <v>20000000</v>
      </c>
      <c r="N162" s="2172">
        <f t="shared" si="18"/>
        <v>3600000</v>
      </c>
      <c r="O162" s="2708">
        <v>17500000</v>
      </c>
      <c r="P162" s="2708">
        <v>3150000</v>
      </c>
      <c r="Q162" s="2708"/>
      <c r="R162" s="3010">
        <v>2500000</v>
      </c>
      <c r="S162" s="3010">
        <v>450000</v>
      </c>
      <c r="T162" s="1507"/>
      <c r="U162" s="1495">
        <f t="shared" si="32"/>
        <v>20000000</v>
      </c>
      <c r="V162" s="1495">
        <f t="shared" si="34"/>
        <v>3600000</v>
      </c>
      <c r="W162" s="1495">
        <f t="shared" si="21"/>
        <v>0</v>
      </c>
      <c r="X162" s="1495">
        <f t="shared" si="22"/>
        <v>10000000</v>
      </c>
      <c r="Y162" s="1495">
        <f t="shared" si="23"/>
        <v>100</v>
      </c>
      <c r="Z162" s="1495">
        <f t="shared" si="24"/>
        <v>0</v>
      </c>
      <c r="AA162" s="1506">
        <f t="shared" si="25"/>
        <v>0</v>
      </c>
      <c r="AB162" s="2441"/>
      <c r="AC162" s="1504">
        <f t="shared" si="26"/>
        <v>0</v>
      </c>
      <c r="AD162" s="1503">
        <f t="shared" si="27"/>
        <v>0</v>
      </c>
      <c r="AE162" s="1503">
        <f t="shared" si="28"/>
        <v>0</v>
      </c>
      <c r="AF162" s="1502">
        <f t="shared" si="29"/>
        <v>0</v>
      </c>
    </row>
    <row r="163" spans="1:32" s="1474" customFormat="1" ht="23.25" customHeight="1">
      <c r="A163" s="2850">
        <v>99</v>
      </c>
      <c r="B163" s="1497" t="s">
        <v>2672</v>
      </c>
      <c r="C163" s="2706" t="s">
        <v>2670</v>
      </c>
      <c r="D163" s="2706">
        <v>12</v>
      </c>
      <c r="E163" s="1497">
        <v>32500000</v>
      </c>
      <c r="F163" s="2417">
        <f t="shared" si="16"/>
        <v>5850000</v>
      </c>
      <c r="G163" s="2707">
        <v>42174</v>
      </c>
      <c r="H163" s="2419">
        <v>0.18</v>
      </c>
      <c r="I163" s="2415">
        <v>10</v>
      </c>
      <c r="J163" s="2415">
        <v>8</v>
      </c>
      <c r="K163" s="2415">
        <f t="shared" si="41"/>
        <v>3250000</v>
      </c>
      <c r="L163" s="2415">
        <f t="shared" si="40"/>
        <v>585000</v>
      </c>
      <c r="M163" s="2172">
        <f t="shared" si="17"/>
        <v>26000000</v>
      </c>
      <c r="N163" s="2172">
        <f t="shared" si="18"/>
        <v>4680000</v>
      </c>
      <c r="O163" s="2708">
        <v>22750000</v>
      </c>
      <c r="P163" s="2708">
        <v>4095000</v>
      </c>
      <c r="Q163" s="2708"/>
      <c r="R163" s="3010">
        <v>3250000</v>
      </c>
      <c r="S163" s="3010">
        <v>585000</v>
      </c>
      <c r="T163" s="1507"/>
      <c r="U163" s="1495">
        <f t="shared" si="32"/>
        <v>26000000</v>
      </c>
      <c r="V163" s="1495">
        <f t="shared" si="34"/>
        <v>4680000</v>
      </c>
      <c r="W163" s="1495">
        <f t="shared" si="21"/>
        <v>0</v>
      </c>
      <c r="X163" s="1495">
        <f t="shared" si="22"/>
        <v>6500000</v>
      </c>
      <c r="Y163" s="1495">
        <f t="shared" si="23"/>
        <v>100</v>
      </c>
      <c r="Z163" s="1495">
        <f t="shared" si="24"/>
        <v>0</v>
      </c>
      <c r="AA163" s="1506">
        <f t="shared" si="25"/>
        <v>0</v>
      </c>
      <c r="AB163" s="2441"/>
      <c r="AC163" s="1504">
        <f t="shared" si="26"/>
        <v>0</v>
      </c>
      <c r="AD163" s="1503">
        <f t="shared" si="27"/>
        <v>0</v>
      </c>
      <c r="AE163" s="1503">
        <f t="shared" si="28"/>
        <v>0</v>
      </c>
      <c r="AF163" s="1502">
        <f t="shared" si="29"/>
        <v>0</v>
      </c>
    </row>
    <row r="164" spans="1:32" s="1474" customFormat="1" ht="23.25" customHeight="1">
      <c r="A164" s="2850">
        <v>100</v>
      </c>
      <c r="B164" s="1497" t="s">
        <v>2673</v>
      </c>
      <c r="C164" s="2706" t="s">
        <v>2670</v>
      </c>
      <c r="D164" s="2706">
        <v>12</v>
      </c>
      <c r="E164" s="1497">
        <v>30000000</v>
      </c>
      <c r="F164" s="2417">
        <f t="shared" si="16"/>
        <v>5400000</v>
      </c>
      <c r="G164" s="2707">
        <v>42174</v>
      </c>
      <c r="H164" s="2419">
        <v>0.18</v>
      </c>
      <c r="I164" s="2415">
        <v>10</v>
      </c>
      <c r="J164" s="2415">
        <v>8</v>
      </c>
      <c r="K164" s="2415">
        <f t="shared" si="41"/>
        <v>3000000</v>
      </c>
      <c r="L164" s="2415">
        <f t="shared" si="40"/>
        <v>540000</v>
      </c>
      <c r="M164" s="2172">
        <f t="shared" si="17"/>
        <v>24000000</v>
      </c>
      <c r="N164" s="2172">
        <f t="shared" si="18"/>
        <v>4320000</v>
      </c>
      <c r="O164" s="2708">
        <v>21000000</v>
      </c>
      <c r="P164" s="2708">
        <v>3780000</v>
      </c>
      <c r="Q164" s="2708"/>
      <c r="R164" s="3010">
        <v>3000000</v>
      </c>
      <c r="S164" s="3010">
        <v>540000</v>
      </c>
      <c r="T164" s="1507"/>
      <c r="U164" s="1495">
        <f t="shared" si="32"/>
        <v>24000000</v>
      </c>
      <c r="V164" s="1495">
        <f t="shared" si="34"/>
        <v>4320000</v>
      </c>
      <c r="W164" s="1495">
        <f t="shared" si="21"/>
        <v>0</v>
      </c>
      <c r="X164" s="1495">
        <f t="shared" si="22"/>
        <v>6000000</v>
      </c>
      <c r="Y164" s="1495">
        <f t="shared" si="23"/>
        <v>100</v>
      </c>
      <c r="Z164" s="1495">
        <f t="shared" si="24"/>
        <v>0</v>
      </c>
      <c r="AA164" s="1506">
        <f t="shared" si="25"/>
        <v>0</v>
      </c>
      <c r="AB164" s="2441"/>
      <c r="AC164" s="1504">
        <f t="shared" si="26"/>
        <v>0</v>
      </c>
      <c r="AD164" s="1503">
        <f t="shared" si="27"/>
        <v>0</v>
      </c>
      <c r="AE164" s="1503">
        <f t="shared" si="28"/>
        <v>0</v>
      </c>
      <c r="AF164" s="1502">
        <f t="shared" si="29"/>
        <v>0</v>
      </c>
    </row>
    <row r="165" spans="1:32" s="1474" customFormat="1" ht="23.25" customHeight="1">
      <c r="A165" s="2850">
        <v>101</v>
      </c>
      <c r="B165" s="1497" t="s">
        <v>2035</v>
      </c>
      <c r="C165" s="2706" t="s">
        <v>2670</v>
      </c>
      <c r="D165" s="2706">
        <v>12</v>
      </c>
      <c r="E165" s="1497">
        <v>30000000</v>
      </c>
      <c r="F165" s="2417">
        <f t="shared" si="16"/>
        <v>5400000</v>
      </c>
      <c r="G165" s="2707">
        <v>42198</v>
      </c>
      <c r="H165" s="2419">
        <v>0.18</v>
      </c>
      <c r="I165" s="2415">
        <v>10</v>
      </c>
      <c r="J165" s="2415">
        <v>7</v>
      </c>
      <c r="K165" s="2415">
        <f t="shared" si="41"/>
        <v>3000000</v>
      </c>
      <c r="L165" s="2415">
        <f t="shared" si="40"/>
        <v>540000</v>
      </c>
      <c r="M165" s="2172">
        <f t="shared" si="17"/>
        <v>21000000</v>
      </c>
      <c r="N165" s="2172">
        <f t="shared" si="18"/>
        <v>3780000</v>
      </c>
      <c r="O165" s="2708">
        <v>18000000</v>
      </c>
      <c r="P165" s="2708">
        <v>3240000</v>
      </c>
      <c r="Q165" s="2708"/>
      <c r="R165" s="3010">
        <v>3000000</v>
      </c>
      <c r="S165" s="3010">
        <v>540000</v>
      </c>
      <c r="T165" s="1507"/>
      <c r="U165" s="1495">
        <f t="shared" si="32"/>
        <v>21000000</v>
      </c>
      <c r="V165" s="1495">
        <f t="shared" si="34"/>
        <v>3780000</v>
      </c>
      <c r="W165" s="1495">
        <f t="shared" si="21"/>
        <v>0</v>
      </c>
      <c r="X165" s="1495">
        <f t="shared" si="22"/>
        <v>9000000</v>
      </c>
      <c r="Y165" s="1495">
        <f t="shared" si="23"/>
        <v>100</v>
      </c>
      <c r="Z165" s="1495">
        <f t="shared" si="24"/>
        <v>0</v>
      </c>
      <c r="AA165" s="1506">
        <f t="shared" si="25"/>
        <v>0</v>
      </c>
      <c r="AB165" s="2441"/>
      <c r="AC165" s="1504">
        <f t="shared" si="26"/>
        <v>0</v>
      </c>
      <c r="AD165" s="1503">
        <f t="shared" si="27"/>
        <v>0</v>
      </c>
      <c r="AE165" s="1503">
        <f t="shared" si="28"/>
        <v>0</v>
      </c>
      <c r="AF165" s="1502">
        <f t="shared" si="29"/>
        <v>0</v>
      </c>
    </row>
    <row r="166" spans="1:32" s="1474" customFormat="1" ht="23.25" customHeight="1">
      <c r="A166" s="2850">
        <v>102</v>
      </c>
      <c r="B166" s="1497" t="s">
        <v>2692</v>
      </c>
      <c r="C166" s="2706" t="s">
        <v>2670</v>
      </c>
      <c r="D166" s="2706">
        <v>10</v>
      </c>
      <c r="E166" s="1497">
        <v>20000000</v>
      </c>
      <c r="F166" s="2417">
        <f t="shared" si="16"/>
        <v>3600000</v>
      </c>
      <c r="G166" s="2707">
        <v>42230</v>
      </c>
      <c r="H166" s="2419">
        <v>0.18</v>
      </c>
      <c r="I166" s="2415">
        <v>10</v>
      </c>
      <c r="J166" s="2415">
        <v>6</v>
      </c>
      <c r="K166" s="2415">
        <f t="shared" si="41"/>
        <v>2000000</v>
      </c>
      <c r="L166" s="2415">
        <f t="shared" si="40"/>
        <v>360000</v>
      </c>
      <c r="M166" s="2172">
        <f t="shared" si="17"/>
        <v>12000000</v>
      </c>
      <c r="N166" s="2172">
        <f t="shared" si="18"/>
        <v>2160000</v>
      </c>
      <c r="O166" s="2708">
        <v>10000000</v>
      </c>
      <c r="P166" s="2708">
        <v>1800000</v>
      </c>
      <c r="Q166" s="2708"/>
      <c r="R166" s="3010"/>
      <c r="S166" s="3010"/>
      <c r="T166" s="1507"/>
      <c r="U166" s="1495">
        <f t="shared" si="32"/>
        <v>10000000</v>
      </c>
      <c r="V166" s="1495">
        <f t="shared" si="34"/>
        <v>1800000</v>
      </c>
      <c r="W166" s="1495">
        <f t="shared" si="21"/>
        <v>0</v>
      </c>
      <c r="X166" s="1495">
        <f t="shared" si="22"/>
        <v>10000000</v>
      </c>
      <c r="Y166" s="1495">
        <f t="shared" si="23"/>
        <v>83.333333333333343</v>
      </c>
      <c r="Z166" s="1495">
        <f t="shared" si="24"/>
        <v>2000000</v>
      </c>
      <c r="AA166" s="1506">
        <f t="shared" si="25"/>
        <v>360000</v>
      </c>
      <c r="AB166" s="2441"/>
      <c r="AC166" s="1504">
        <f t="shared" si="26"/>
        <v>0</v>
      </c>
      <c r="AD166" s="1503">
        <f t="shared" si="27"/>
        <v>0</v>
      </c>
      <c r="AE166" s="1503">
        <f t="shared" si="28"/>
        <v>0</v>
      </c>
      <c r="AF166" s="1502">
        <f t="shared" si="29"/>
        <v>0</v>
      </c>
    </row>
    <row r="167" spans="1:32" s="1474" customFormat="1" ht="23.25" customHeight="1">
      <c r="A167" s="2850">
        <v>103</v>
      </c>
      <c r="B167" s="1497" t="s">
        <v>2036</v>
      </c>
      <c r="C167" s="2706" t="s">
        <v>2670</v>
      </c>
      <c r="D167" s="2706">
        <v>15</v>
      </c>
      <c r="E167" s="1497">
        <v>45000000</v>
      </c>
      <c r="F167" s="2417">
        <f t="shared" si="16"/>
        <v>8100000</v>
      </c>
      <c r="G167" s="2707">
        <v>42264</v>
      </c>
      <c r="H167" s="2419">
        <v>0.18</v>
      </c>
      <c r="I167" s="2415">
        <v>12</v>
      </c>
      <c r="J167" s="2415">
        <v>5</v>
      </c>
      <c r="K167" s="2415">
        <f t="shared" si="41"/>
        <v>3750000</v>
      </c>
      <c r="L167" s="2415">
        <f t="shared" si="40"/>
        <v>675000</v>
      </c>
      <c r="M167" s="2172">
        <f t="shared" si="17"/>
        <v>18750000</v>
      </c>
      <c r="N167" s="2172">
        <f t="shared" si="18"/>
        <v>3375000</v>
      </c>
      <c r="O167" s="2708">
        <v>15000000</v>
      </c>
      <c r="P167" s="2708">
        <v>2700000</v>
      </c>
      <c r="Q167" s="2708"/>
      <c r="R167" s="3010">
        <v>3750000</v>
      </c>
      <c r="S167" s="3010">
        <v>675000</v>
      </c>
      <c r="T167" s="1507"/>
      <c r="U167" s="1495">
        <f t="shared" si="32"/>
        <v>18750000</v>
      </c>
      <c r="V167" s="1495">
        <f t="shared" si="34"/>
        <v>3375000</v>
      </c>
      <c r="W167" s="1495">
        <f t="shared" si="21"/>
        <v>0</v>
      </c>
      <c r="X167" s="1495">
        <f t="shared" si="22"/>
        <v>26250000</v>
      </c>
      <c r="Y167" s="1495">
        <f t="shared" si="23"/>
        <v>100</v>
      </c>
      <c r="Z167" s="1495">
        <f t="shared" si="24"/>
        <v>0</v>
      </c>
      <c r="AA167" s="1506">
        <f t="shared" si="25"/>
        <v>0</v>
      </c>
      <c r="AB167" s="2441"/>
      <c r="AC167" s="1504">
        <f t="shared" si="26"/>
        <v>0</v>
      </c>
      <c r="AD167" s="1503">
        <f t="shared" si="27"/>
        <v>0</v>
      </c>
      <c r="AE167" s="1503">
        <f t="shared" si="28"/>
        <v>0</v>
      </c>
      <c r="AF167" s="1502">
        <f t="shared" si="29"/>
        <v>0</v>
      </c>
    </row>
    <row r="168" spans="1:32" s="1474" customFormat="1" ht="23.25" customHeight="1">
      <c r="A168" s="2850">
        <v>104</v>
      </c>
      <c r="B168" s="1497" t="s">
        <v>2350</v>
      </c>
      <c r="C168" s="2706" t="s">
        <v>2670</v>
      </c>
      <c r="D168" s="2706">
        <v>15</v>
      </c>
      <c r="E168" s="1497">
        <v>30000000</v>
      </c>
      <c r="F168" s="2417">
        <f t="shared" si="16"/>
        <v>5400000</v>
      </c>
      <c r="G168" s="2707">
        <v>42264</v>
      </c>
      <c r="H168" s="2419">
        <v>0.18</v>
      </c>
      <c r="I168" s="2415">
        <v>12</v>
      </c>
      <c r="J168" s="2415">
        <v>5</v>
      </c>
      <c r="K168" s="2415">
        <f t="shared" si="41"/>
        <v>2500000</v>
      </c>
      <c r="L168" s="2415">
        <f t="shared" si="40"/>
        <v>450000</v>
      </c>
      <c r="M168" s="2172">
        <f t="shared" si="17"/>
        <v>12500000</v>
      </c>
      <c r="N168" s="2172">
        <f t="shared" si="18"/>
        <v>2250000</v>
      </c>
      <c r="O168" s="2708">
        <v>10000000</v>
      </c>
      <c r="P168" s="2708">
        <v>1800000</v>
      </c>
      <c r="Q168" s="2708"/>
      <c r="R168" s="3010">
        <v>2500000</v>
      </c>
      <c r="S168" s="3010">
        <v>450000</v>
      </c>
      <c r="T168" s="1507"/>
      <c r="U168" s="1495">
        <f t="shared" si="32"/>
        <v>12500000</v>
      </c>
      <c r="V168" s="1495">
        <f t="shared" si="34"/>
        <v>2250000</v>
      </c>
      <c r="W168" s="1495">
        <f t="shared" si="21"/>
        <v>0</v>
      </c>
      <c r="X168" s="1495">
        <f t="shared" si="22"/>
        <v>17500000</v>
      </c>
      <c r="Y168" s="1495">
        <f t="shared" si="23"/>
        <v>100</v>
      </c>
      <c r="Z168" s="1495">
        <f t="shared" si="24"/>
        <v>0</v>
      </c>
      <c r="AA168" s="1506">
        <f t="shared" si="25"/>
        <v>0</v>
      </c>
      <c r="AB168" s="2441"/>
      <c r="AC168" s="1504">
        <f t="shared" si="26"/>
        <v>0</v>
      </c>
      <c r="AD168" s="1503">
        <f t="shared" si="27"/>
        <v>0</v>
      </c>
      <c r="AE168" s="1503">
        <f t="shared" si="28"/>
        <v>0</v>
      </c>
      <c r="AF168" s="1502">
        <f t="shared" si="29"/>
        <v>0</v>
      </c>
    </row>
    <row r="169" spans="1:32" s="1474" customFormat="1" ht="23.25" customHeight="1">
      <c r="A169" s="2850">
        <v>105</v>
      </c>
      <c r="B169" s="1497" t="s">
        <v>2040</v>
      </c>
      <c r="C169" s="2706" t="s">
        <v>2714</v>
      </c>
      <c r="D169" s="2706">
        <v>10</v>
      </c>
      <c r="E169" s="1497">
        <v>35000000</v>
      </c>
      <c r="F169" s="2417">
        <f t="shared" si="16"/>
        <v>6300000</v>
      </c>
      <c r="G169" s="2707">
        <v>42313</v>
      </c>
      <c r="H169" s="2419">
        <v>0.18</v>
      </c>
      <c r="I169" s="2415">
        <v>10</v>
      </c>
      <c r="J169" s="2415">
        <v>3</v>
      </c>
      <c r="K169" s="2415">
        <f t="shared" si="41"/>
        <v>3500000</v>
      </c>
      <c r="L169" s="2415">
        <f t="shared" si="40"/>
        <v>630000</v>
      </c>
      <c r="M169" s="2172">
        <f t="shared" si="17"/>
        <v>10500000</v>
      </c>
      <c r="N169" s="2172">
        <f t="shared" si="18"/>
        <v>1890000</v>
      </c>
      <c r="O169" s="2708">
        <v>7000000</v>
      </c>
      <c r="P169" s="2708">
        <v>1260000</v>
      </c>
      <c r="Q169" s="2708"/>
      <c r="R169" s="3010">
        <v>3500000</v>
      </c>
      <c r="S169" s="3010">
        <v>630000</v>
      </c>
      <c r="T169" s="1507"/>
      <c r="U169" s="1495">
        <f t="shared" si="32"/>
        <v>10500000</v>
      </c>
      <c r="V169" s="1495">
        <f t="shared" si="34"/>
        <v>1890000</v>
      </c>
      <c r="W169" s="1495">
        <f t="shared" si="21"/>
        <v>0</v>
      </c>
      <c r="X169" s="1495">
        <f t="shared" si="22"/>
        <v>24500000</v>
      </c>
      <c r="Y169" s="1495">
        <f t="shared" si="23"/>
        <v>100</v>
      </c>
      <c r="Z169" s="1495">
        <f t="shared" si="24"/>
        <v>0</v>
      </c>
      <c r="AA169" s="1506">
        <f t="shared" si="25"/>
        <v>0</v>
      </c>
      <c r="AB169" s="2441"/>
      <c r="AC169" s="1504">
        <f t="shared" si="26"/>
        <v>0</v>
      </c>
      <c r="AD169" s="1503">
        <f t="shared" si="27"/>
        <v>0</v>
      </c>
      <c r="AE169" s="1503">
        <f t="shared" si="28"/>
        <v>0</v>
      </c>
      <c r="AF169" s="1502">
        <f t="shared" si="29"/>
        <v>0</v>
      </c>
    </row>
    <row r="170" spans="1:32" s="1474" customFormat="1" ht="23.25" customHeight="1">
      <c r="A170" s="2850">
        <v>106</v>
      </c>
      <c r="B170" s="1497" t="s">
        <v>2032</v>
      </c>
      <c r="C170" s="2706" t="s">
        <v>2714</v>
      </c>
      <c r="D170" s="2706">
        <v>5</v>
      </c>
      <c r="E170" s="1497">
        <v>15000000</v>
      </c>
      <c r="F170" s="2417">
        <f t="shared" si="16"/>
        <v>2700000</v>
      </c>
      <c r="G170" s="2707">
        <v>42374</v>
      </c>
      <c r="H170" s="2419">
        <v>0.18</v>
      </c>
      <c r="I170" s="2415">
        <v>10</v>
      </c>
      <c r="J170" s="2415">
        <v>1</v>
      </c>
      <c r="K170" s="2415">
        <f t="shared" si="41"/>
        <v>1500000</v>
      </c>
      <c r="L170" s="2415">
        <f t="shared" si="40"/>
        <v>270000</v>
      </c>
      <c r="M170" s="2172">
        <f t="shared" si="17"/>
        <v>1500000</v>
      </c>
      <c r="N170" s="2172">
        <f t="shared" si="18"/>
        <v>270000</v>
      </c>
      <c r="O170" s="2708"/>
      <c r="P170" s="2708"/>
      <c r="Q170" s="2708"/>
      <c r="R170" s="3010">
        <v>1500000</v>
      </c>
      <c r="S170" s="3010">
        <v>270000</v>
      </c>
      <c r="T170" s="1507"/>
      <c r="U170" s="1495">
        <f t="shared" si="32"/>
        <v>1500000</v>
      </c>
      <c r="V170" s="1495">
        <f t="shared" si="34"/>
        <v>270000</v>
      </c>
      <c r="W170" s="1495">
        <f t="shared" si="21"/>
        <v>0</v>
      </c>
      <c r="X170" s="1495">
        <f t="shared" si="22"/>
        <v>13500000</v>
      </c>
      <c r="Y170" s="1495">
        <f t="shared" si="23"/>
        <v>100</v>
      </c>
      <c r="Z170" s="1495">
        <f t="shared" si="24"/>
        <v>0</v>
      </c>
      <c r="AA170" s="1506">
        <f t="shared" si="25"/>
        <v>0</v>
      </c>
      <c r="AB170" s="2441"/>
      <c r="AC170" s="1504">
        <f t="shared" si="26"/>
        <v>0</v>
      </c>
      <c r="AD170" s="1503">
        <f t="shared" si="27"/>
        <v>0</v>
      </c>
      <c r="AE170" s="1503">
        <f t="shared" si="28"/>
        <v>0</v>
      </c>
      <c r="AF170" s="1502">
        <f t="shared" si="29"/>
        <v>0</v>
      </c>
    </row>
    <row r="171" spans="1:32" s="1474" customFormat="1" ht="23.25" customHeight="1">
      <c r="A171" s="2850">
        <v>107</v>
      </c>
      <c r="B171" s="1497" t="s">
        <v>2536</v>
      </c>
      <c r="C171" s="2706" t="s">
        <v>2714</v>
      </c>
      <c r="D171" s="2706">
        <v>8</v>
      </c>
      <c r="E171" s="1497">
        <v>25000000</v>
      </c>
      <c r="F171" s="2417">
        <f t="shared" si="16"/>
        <v>4500000</v>
      </c>
      <c r="G171" s="2707">
        <v>42376</v>
      </c>
      <c r="H171" s="2419">
        <v>0.18</v>
      </c>
      <c r="I171" s="2415">
        <v>10</v>
      </c>
      <c r="J171" s="2415">
        <v>1</v>
      </c>
      <c r="K171" s="2415">
        <f t="shared" si="41"/>
        <v>2500000</v>
      </c>
      <c r="L171" s="2415">
        <f t="shared" si="40"/>
        <v>450000</v>
      </c>
      <c r="M171" s="2172">
        <f t="shared" ref="M171:M177" si="42">IF(J171&lt;I171,J171*K171,IF(J171&gt;=I171,E171))</f>
        <v>2500000</v>
      </c>
      <c r="N171" s="2172">
        <f t="shared" ref="N171:N177" si="43">IF(J171&lt;I171,J171*L171,IF(J171&gt;=I171,F171))</f>
        <v>450000</v>
      </c>
      <c r="O171" s="2708"/>
      <c r="P171" s="2708"/>
      <c r="Q171" s="2708"/>
      <c r="R171" s="3010">
        <v>2500000</v>
      </c>
      <c r="S171" s="3010">
        <v>450000</v>
      </c>
      <c r="T171" s="1507"/>
      <c r="U171" s="1495">
        <f t="shared" ref="U171:U177" si="44">SUM(O171+R171)</f>
        <v>2500000</v>
      </c>
      <c r="V171" s="1495">
        <f t="shared" ref="V171:V177" si="45">SUM(P171+S171)</f>
        <v>450000</v>
      </c>
      <c r="W171" s="1495">
        <f t="shared" ref="W171:W177" si="46">SUM(Q171+T171)</f>
        <v>0</v>
      </c>
      <c r="X171" s="1495">
        <f t="shared" ref="X171:X177" si="47">SUM(E171-U171)</f>
        <v>22500000</v>
      </c>
      <c r="Y171" s="1495">
        <f t="shared" ref="Y171:Y177" si="48">SUM(U171/M171)*100</f>
        <v>100</v>
      </c>
      <c r="Z171" s="1495">
        <f t="shared" ref="Z171:Z177" si="49">SUM(M171-U171)</f>
        <v>0</v>
      </c>
      <c r="AA171" s="1506">
        <f t="shared" ref="AA171:AA177" si="50">SUM(N171-V171)</f>
        <v>0</v>
      </c>
      <c r="AB171" s="2441"/>
      <c r="AC171" s="1504"/>
      <c r="AD171" s="1503"/>
      <c r="AE171" s="1503"/>
      <c r="AF171" s="1502"/>
    </row>
    <row r="172" spans="1:32" s="1474" customFormat="1" ht="23.25" customHeight="1">
      <c r="A172" s="2850">
        <v>108</v>
      </c>
      <c r="B172" s="1497" t="s">
        <v>2039</v>
      </c>
      <c r="C172" s="2706" t="s">
        <v>2714</v>
      </c>
      <c r="D172" s="2706">
        <v>10</v>
      </c>
      <c r="E172" s="1497">
        <v>24000000</v>
      </c>
      <c r="F172" s="2417">
        <f t="shared" si="16"/>
        <v>4320000</v>
      </c>
      <c r="G172" s="2707">
        <v>42391</v>
      </c>
      <c r="H172" s="2419">
        <v>0.18</v>
      </c>
      <c r="I172" s="2415">
        <v>12</v>
      </c>
      <c r="J172" s="2415">
        <v>1</v>
      </c>
      <c r="K172" s="2415">
        <f t="shared" si="41"/>
        <v>2000000</v>
      </c>
      <c r="L172" s="2415">
        <f t="shared" si="40"/>
        <v>360000</v>
      </c>
      <c r="M172" s="2172">
        <f t="shared" si="42"/>
        <v>2000000</v>
      </c>
      <c r="N172" s="2172">
        <f t="shared" si="43"/>
        <v>360000</v>
      </c>
      <c r="O172" s="2708"/>
      <c r="P172" s="2708"/>
      <c r="Q172" s="2708"/>
      <c r="R172" s="3010">
        <v>2000000</v>
      </c>
      <c r="S172" s="3010">
        <v>360000</v>
      </c>
      <c r="T172" s="1507"/>
      <c r="U172" s="1495">
        <f t="shared" si="44"/>
        <v>2000000</v>
      </c>
      <c r="V172" s="1495">
        <f t="shared" si="45"/>
        <v>360000</v>
      </c>
      <c r="W172" s="1495">
        <f t="shared" si="46"/>
        <v>0</v>
      </c>
      <c r="X172" s="1495">
        <f t="shared" si="47"/>
        <v>22000000</v>
      </c>
      <c r="Y172" s="1495">
        <f t="shared" si="48"/>
        <v>100</v>
      </c>
      <c r="Z172" s="1495">
        <f t="shared" si="49"/>
        <v>0</v>
      </c>
      <c r="AA172" s="1506">
        <f t="shared" si="50"/>
        <v>0</v>
      </c>
      <c r="AB172" s="2441"/>
      <c r="AC172" s="1504"/>
      <c r="AD172" s="1503"/>
      <c r="AE172" s="1503"/>
      <c r="AF172" s="1502"/>
    </row>
    <row r="173" spans="1:32" s="1474" customFormat="1" ht="23.25" customHeight="1">
      <c r="A173" s="2850">
        <v>109</v>
      </c>
      <c r="B173" s="1497" t="s">
        <v>1951</v>
      </c>
      <c r="C173" s="2706" t="s">
        <v>2714</v>
      </c>
      <c r="D173" s="2706">
        <v>12</v>
      </c>
      <c r="E173" s="1497">
        <v>48000000</v>
      </c>
      <c r="F173" s="2417">
        <f t="shared" si="16"/>
        <v>8640000</v>
      </c>
      <c r="G173" s="2707">
        <v>42404</v>
      </c>
      <c r="H173" s="2419">
        <v>0.18</v>
      </c>
      <c r="I173" s="2415">
        <v>12</v>
      </c>
      <c r="J173" s="2415"/>
      <c r="K173" s="2415">
        <f t="shared" si="41"/>
        <v>4000000</v>
      </c>
      <c r="L173" s="2415">
        <f t="shared" si="40"/>
        <v>720000</v>
      </c>
      <c r="M173" s="2172">
        <f t="shared" si="42"/>
        <v>0</v>
      </c>
      <c r="N173" s="2172">
        <f t="shared" si="43"/>
        <v>0</v>
      </c>
      <c r="O173" s="2708"/>
      <c r="P173" s="2708"/>
      <c r="Q173" s="2708"/>
      <c r="R173" s="2653"/>
      <c r="S173" s="2653"/>
      <c r="T173" s="1507"/>
      <c r="U173" s="1495">
        <f t="shared" si="44"/>
        <v>0</v>
      </c>
      <c r="V173" s="1495">
        <f t="shared" si="45"/>
        <v>0</v>
      </c>
      <c r="W173" s="1495">
        <f t="shared" si="46"/>
        <v>0</v>
      </c>
      <c r="X173" s="1495">
        <f t="shared" si="47"/>
        <v>48000000</v>
      </c>
      <c r="Y173" s="1495" t="e">
        <f t="shared" si="48"/>
        <v>#DIV/0!</v>
      </c>
      <c r="Z173" s="1495">
        <f t="shared" si="49"/>
        <v>0</v>
      </c>
      <c r="AA173" s="1506">
        <f t="shared" si="50"/>
        <v>0</v>
      </c>
      <c r="AB173" s="2441"/>
      <c r="AC173" s="1504"/>
      <c r="AD173" s="1503"/>
      <c r="AE173" s="1503"/>
      <c r="AF173" s="1502"/>
    </row>
    <row r="174" spans="1:32" s="1474" customFormat="1" ht="23.25" customHeight="1">
      <c r="A174" s="2850">
        <v>110</v>
      </c>
      <c r="B174" s="1497" t="s">
        <v>2067</v>
      </c>
      <c r="C174" s="2706" t="s">
        <v>2954</v>
      </c>
      <c r="D174" s="2706">
        <v>7</v>
      </c>
      <c r="E174" s="1497">
        <v>10500000</v>
      </c>
      <c r="F174" s="2417">
        <f t="shared" si="16"/>
        <v>1890000</v>
      </c>
      <c r="G174" s="2707">
        <v>42410</v>
      </c>
      <c r="H174" s="2419">
        <v>0.18</v>
      </c>
      <c r="I174" s="2415">
        <v>12</v>
      </c>
      <c r="J174" s="2415"/>
      <c r="K174" s="2415">
        <f t="shared" si="41"/>
        <v>875000</v>
      </c>
      <c r="L174" s="2415">
        <f t="shared" si="40"/>
        <v>157500</v>
      </c>
      <c r="M174" s="2172">
        <f t="shared" si="42"/>
        <v>0</v>
      </c>
      <c r="N174" s="2172">
        <f t="shared" si="43"/>
        <v>0</v>
      </c>
      <c r="O174" s="2708"/>
      <c r="P174" s="2708"/>
      <c r="Q174" s="2708"/>
      <c r="R174" s="2653"/>
      <c r="S174" s="2653"/>
      <c r="T174" s="1507"/>
      <c r="U174" s="1495">
        <f t="shared" si="44"/>
        <v>0</v>
      </c>
      <c r="V174" s="1495">
        <f t="shared" si="45"/>
        <v>0</v>
      </c>
      <c r="W174" s="1495">
        <f t="shared" si="46"/>
        <v>0</v>
      </c>
      <c r="X174" s="1495">
        <f t="shared" si="47"/>
        <v>10500000</v>
      </c>
      <c r="Y174" s="1495" t="e">
        <f t="shared" si="48"/>
        <v>#DIV/0!</v>
      </c>
      <c r="Z174" s="1495">
        <f t="shared" si="49"/>
        <v>0</v>
      </c>
      <c r="AA174" s="1506">
        <f t="shared" si="50"/>
        <v>0</v>
      </c>
      <c r="AB174" s="2441"/>
      <c r="AC174" s="1504"/>
      <c r="AD174" s="1503"/>
      <c r="AE174" s="1503"/>
      <c r="AF174" s="1502"/>
    </row>
    <row r="175" spans="1:32" s="1474" customFormat="1" ht="23.25" customHeight="1">
      <c r="A175" s="2850">
        <v>111</v>
      </c>
      <c r="B175" s="1497" t="s">
        <v>2038</v>
      </c>
      <c r="C175" s="2706" t="s">
        <v>2954</v>
      </c>
      <c r="D175" s="2706">
        <v>7</v>
      </c>
      <c r="E175" s="1497">
        <v>31500000</v>
      </c>
      <c r="F175" s="2417">
        <f t="shared" si="16"/>
        <v>5670000</v>
      </c>
      <c r="G175" s="2707">
        <v>42412</v>
      </c>
      <c r="H175" s="2419">
        <v>0.18</v>
      </c>
      <c r="I175" s="2415">
        <v>12</v>
      </c>
      <c r="J175" s="2415"/>
      <c r="K175" s="2415">
        <f t="shared" si="41"/>
        <v>2625000</v>
      </c>
      <c r="L175" s="2415">
        <f t="shared" si="40"/>
        <v>472500</v>
      </c>
      <c r="M175" s="2172">
        <f t="shared" si="42"/>
        <v>0</v>
      </c>
      <c r="N175" s="2172">
        <f t="shared" si="43"/>
        <v>0</v>
      </c>
      <c r="O175" s="2708"/>
      <c r="P175" s="2708"/>
      <c r="Q175" s="2708"/>
      <c r="R175" s="2653"/>
      <c r="S175" s="2653"/>
      <c r="T175" s="1507"/>
      <c r="U175" s="1495">
        <f t="shared" si="44"/>
        <v>0</v>
      </c>
      <c r="V175" s="1495">
        <f t="shared" si="45"/>
        <v>0</v>
      </c>
      <c r="W175" s="1495">
        <f t="shared" si="46"/>
        <v>0</v>
      </c>
      <c r="X175" s="1495">
        <f t="shared" si="47"/>
        <v>31500000</v>
      </c>
      <c r="Y175" s="1495" t="e">
        <f t="shared" si="48"/>
        <v>#DIV/0!</v>
      </c>
      <c r="Z175" s="1495">
        <f t="shared" si="49"/>
        <v>0</v>
      </c>
      <c r="AA175" s="1506">
        <f t="shared" si="50"/>
        <v>0</v>
      </c>
      <c r="AB175" s="2441"/>
      <c r="AC175" s="1504"/>
      <c r="AD175" s="1503"/>
      <c r="AE175" s="1503"/>
      <c r="AF175" s="1502"/>
    </row>
    <row r="176" spans="1:32" s="1474" customFormat="1" ht="23.25" customHeight="1">
      <c r="A176" s="2850"/>
      <c r="B176" s="1497"/>
      <c r="C176" s="2706"/>
      <c r="D176" s="2706"/>
      <c r="E176" s="1497"/>
      <c r="F176" s="2417">
        <f t="shared" si="16"/>
        <v>0</v>
      </c>
      <c r="G176" s="2707"/>
      <c r="H176" s="2419">
        <v>0.18</v>
      </c>
      <c r="I176" s="2415"/>
      <c r="J176" s="2415"/>
      <c r="K176" s="2415"/>
      <c r="L176" s="2415"/>
      <c r="M176" s="2172">
        <f t="shared" si="42"/>
        <v>0</v>
      </c>
      <c r="N176" s="2172">
        <f t="shared" si="43"/>
        <v>0</v>
      </c>
      <c r="O176" s="2708"/>
      <c r="P176" s="2708"/>
      <c r="Q176" s="2708"/>
      <c r="R176" s="2653"/>
      <c r="S176" s="2653"/>
      <c r="T176" s="1507"/>
      <c r="U176" s="1495">
        <f t="shared" si="44"/>
        <v>0</v>
      </c>
      <c r="V176" s="1495">
        <f t="shared" si="45"/>
        <v>0</v>
      </c>
      <c r="W176" s="1495">
        <f t="shared" si="46"/>
        <v>0</v>
      </c>
      <c r="X176" s="1495">
        <f t="shared" si="47"/>
        <v>0</v>
      </c>
      <c r="Y176" s="1495" t="e">
        <f t="shared" si="48"/>
        <v>#DIV/0!</v>
      </c>
      <c r="Z176" s="1495">
        <f t="shared" si="49"/>
        <v>0</v>
      </c>
      <c r="AA176" s="1506">
        <f t="shared" si="50"/>
        <v>0</v>
      </c>
      <c r="AB176" s="2441"/>
      <c r="AC176" s="1504"/>
      <c r="AD176" s="1503"/>
      <c r="AE176" s="1503"/>
      <c r="AF176" s="1502"/>
    </row>
    <row r="177" spans="1:32" s="1474" customFormat="1" ht="23.25" customHeight="1">
      <c r="A177" s="2850"/>
      <c r="B177" s="1497"/>
      <c r="C177" s="2706"/>
      <c r="D177" s="2706"/>
      <c r="E177" s="1497"/>
      <c r="F177" s="2417">
        <f t="shared" si="16"/>
        <v>0</v>
      </c>
      <c r="G177" s="2707"/>
      <c r="H177" s="2419">
        <v>0.18</v>
      </c>
      <c r="I177" s="2415"/>
      <c r="J177" s="2415"/>
      <c r="K177" s="2415"/>
      <c r="L177" s="2415"/>
      <c r="M177" s="2172">
        <f t="shared" si="42"/>
        <v>0</v>
      </c>
      <c r="N177" s="2172">
        <f t="shared" si="43"/>
        <v>0</v>
      </c>
      <c r="O177" s="2708"/>
      <c r="P177" s="2708"/>
      <c r="Q177" s="2708"/>
      <c r="R177" s="2653"/>
      <c r="S177" s="2653"/>
      <c r="T177" s="1507"/>
      <c r="U177" s="1495">
        <f t="shared" si="44"/>
        <v>0</v>
      </c>
      <c r="V177" s="1495">
        <f t="shared" si="45"/>
        <v>0</v>
      </c>
      <c r="W177" s="1495">
        <f t="shared" si="46"/>
        <v>0</v>
      </c>
      <c r="X177" s="1495">
        <f t="shared" si="47"/>
        <v>0</v>
      </c>
      <c r="Y177" s="1495" t="e">
        <f t="shared" si="48"/>
        <v>#DIV/0!</v>
      </c>
      <c r="Z177" s="1495">
        <f t="shared" si="49"/>
        <v>0</v>
      </c>
      <c r="AA177" s="1506">
        <f t="shared" si="50"/>
        <v>0</v>
      </c>
      <c r="AB177" s="2441"/>
      <c r="AC177" s="1504"/>
      <c r="AD177" s="1503"/>
      <c r="AE177" s="1503"/>
      <c r="AF177" s="1502"/>
    </row>
    <row r="178" spans="1:32" s="1474" customFormat="1" ht="23.25" customHeight="1">
      <c r="A178" s="2850"/>
      <c r="B178" s="1497"/>
      <c r="C178" s="2706"/>
      <c r="D178" s="2706"/>
      <c r="E178" s="1497"/>
      <c r="F178" s="2417">
        <f t="shared" si="16"/>
        <v>0</v>
      </c>
      <c r="G178" s="2707"/>
      <c r="H178" s="2419">
        <v>0.18</v>
      </c>
      <c r="I178" s="2415"/>
      <c r="J178" s="2415"/>
      <c r="K178" s="2415"/>
      <c r="L178" s="2415"/>
      <c r="M178" s="2172">
        <f t="shared" si="17"/>
        <v>0</v>
      </c>
      <c r="N178" s="2172">
        <f t="shared" si="18"/>
        <v>0</v>
      </c>
      <c r="O178" s="2708"/>
      <c r="P178" s="2708"/>
      <c r="Q178" s="2708"/>
      <c r="R178" s="2653"/>
      <c r="S178" s="2653"/>
      <c r="T178" s="1507"/>
      <c r="U178" s="1495">
        <f t="shared" si="32"/>
        <v>0</v>
      </c>
      <c r="V178" s="1495">
        <f t="shared" si="34"/>
        <v>0</v>
      </c>
      <c r="W178" s="1495">
        <f t="shared" si="21"/>
        <v>0</v>
      </c>
      <c r="X178" s="1495">
        <f t="shared" si="22"/>
        <v>0</v>
      </c>
      <c r="Y178" s="1495" t="e">
        <f t="shared" si="23"/>
        <v>#DIV/0!</v>
      </c>
      <c r="Z178" s="1495">
        <f t="shared" si="24"/>
        <v>0</v>
      </c>
      <c r="AA178" s="1506">
        <f t="shared" si="25"/>
        <v>0</v>
      </c>
      <c r="AB178" s="2441"/>
      <c r="AC178" s="1504">
        <f t="shared" si="26"/>
        <v>0</v>
      </c>
      <c r="AD178" s="1503">
        <f t="shared" si="27"/>
        <v>0</v>
      </c>
      <c r="AE178" s="1503">
        <f t="shared" si="28"/>
        <v>0</v>
      </c>
      <c r="AF178" s="1502">
        <f t="shared" si="29"/>
        <v>0</v>
      </c>
    </row>
    <row r="179" spans="1:32" s="1474" customFormat="1" ht="23.25" customHeight="1" thickBot="1">
      <c r="A179" s="1501"/>
      <c r="B179" s="1496"/>
      <c r="C179" s="1499"/>
      <c r="D179" s="1499"/>
      <c r="E179" s="1496"/>
      <c r="F179" s="2417">
        <f t="shared" si="16"/>
        <v>0</v>
      </c>
      <c r="G179" s="1499"/>
      <c r="H179" s="2419">
        <v>0.18</v>
      </c>
      <c r="I179" s="1499"/>
      <c r="J179" s="1499"/>
      <c r="K179" s="1499"/>
      <c r="L179" s="1499"/>
      <c r="M179" s="2172">
        <f t="shared" si="17"/>
        <v>0</v>
      </c>
      <c r="N179" s="2172">
        <f t="shared" si="18"/>
        <v>0</v>
      </c>
      <c r="O179" s="1497"/>
      <c r="P179" s="1497"/>
      <c r="Q179" s="1497"/>
      <c r="R179" s="1496"/>
      <c r="S179" s="1496"/>
      <c r="T179" s="1496"/>
      <c r="U179" s="1495">
        <f t="shared" si="32"/>
        <v>0</v>
      </c>
      <c r="V179" s="1495">
        <f t="shared" si="34"/>
        <v>0</v>
      </c>
      <c r="W179" s="1495">
        <f t="shared" si="21"/>
        <v>0</v>
      </c>
      <c r="X179" s="1495">
        <f t="shared" si="22"/>
        <v>0</v>
      </c>
      <c r="Y179" s="1495" t="e">
        <f t="shared" si="23"/>
        <v>#DIV/0!</v>
      </c>
      <c r="Z179" s="1495">
        <f t="shared" si="24"/>
        <v>0</v>
      </c>
      <c r="AA179" s="1506">
        <f t="shared" si="25"/>
        <v>0</v>
      </c>
      <c r="AB179" s="1492"/>
      <c r="AC179" s="1504">
        <f t="shared" si="26"/>
        <v>0</v>
      </c>
      <c r="AD179" s="1503">
        <f t="shared" si="27"/>
        <v>0</v>
      </c>
      <c r="AE179" s="1503">
        <f t="shared" si="28"/>
        <v>0</v>
      </c>
      <c r="AF179" s="1502">
        <f t="shared" si="29"/>
        <v>0</v>
      </c>
    </row>
    <row r="180" spans="1:32" s="1474" customFormat="1" ht="11.25" customHeight="1" thickTop="1" thickBot="1">
      <c r="A180" s="1488"/>
      <c r="B180" s="1486"/>
      <c r="C180" s="1487"/>
      <c r="D180" s="1487"/>
      <c r="E180" s="1486"/>
      <c r="F180" s="1486"/>
      <c r="G180" s="1486"/>
      <c r="H180" s="1486"/>
      <c r="I180" s="1486"/>
      <c r="J180" s="1486"/>
      <c r="K180" s="1486"/>
      <c r="L180" s="1486"/>
      <c r="M180" s="1486"/>
      <c r="N180" s="1486"/>
      <c r="O180" s="1486"/>
      <c r="P180" s="1486"/>
      <c r="Q180" s="1486"/>
      <c r="R180" s="1486"/>
      <c r="S180" s="1486"/>
      <c r="T180" s="1486"/>
      <c r="U180" s="1486"/>
      <c r="V180" s="1486"/>
      <c r="W180" s="1486"/>
      <c r="X180" s="1486"/>
      <c r="Y180" s="1495" t="e">
        <f t="shared" ref="Y180" si="51">SUM(U180/M180)*100</f>
        <v>#DIV/0!</v>
      </c>
      <c r="Z180" s="1486"/>
      <c r="AA180" s="1506">
        <f t="shared" ref="AA180" si="52">SUM(N180-V180)</f>
        <v>0</v>
      </c>
      <c r="AB180" s="1484"/>
      <c r="AC180" s="1483"/>
      <c r="AD180" s="1483"/>
      <c r="AE180" s="1483"/>
      <c r="AF180" s="1482"/>
    </row>
    <row r="181" spans="1:32" s="1474" customFormat="1" ht="33" customHeight="1" thickTop="1" thickBot="1">
      <c r="A181" s="1480" t="s">
        <v>934</v>
      </c>
      <c r="B181" s="1480"/>
      <c r="C181" s="1480"/>
      <c r="D181" s="1480">
        <f>SUM(D66:D179)</f>
        <v>706</v>
      </c>
      <c r="E181" s="1480">
        <f>SUM(E66:E179)</f>
        <v>2223500000</v>
      </c>
      <c r="F181" s="1480">
        <f>SUM(F66:F179)</f>
        <v>400230000</v>
      </c>
      <c r="G181" s="1481"/>
      <c r="H181" s="1481"/>
      <c r="I181" s="1481"/>
      <c r="J181" s="1481"/>
      <c r="K181" s="1481"/>
      <c r="L181" s="1481"/>
      <c r="M181" s="1480">
        <f t="shared" ref="M181:X181" si="53">SUM(M66:M179)</f>
        <v>1961150000</v>
      </c>
      <c r="N181" s="1480">
        <f t="shared" si="53"/>
        <v>341638500</v>
      </c>
      <c r="O181" s="1480">
        <f t="shared" si="53"/>
        <v>1874973300</v>
      </c>
      <c r="P181" s="1480">
        <f t="shared" si="53"/>
        <v>327886500</v>
      </c>
      <c r="Q181" s="1480">
        <f t="shared" si="53"/>
        <v>0</v>
      </c>
      <c r="R181" s="1480">
        <f t="shared" si="53"/>
        <v>42133700</v>
      </c>
      <c r="S181" s="1480">
        <f t="shared" si="53"/>
        <v>7314000</v>
      </c>
      <c r="T181" s="1480">
        <f t="shared" si="53"/>
        <v>0</v>
      </c>
      <c r="U181" s="1480">
        <f t="shared" si="53"/>
        <v>1917107000</v>
      </c>
      <c r="V181" s="1480">
        <f t="shared" si="53"/>
        <v>335200500</v>
      </c>
      <c r="W181" s="1480">
        <f t="shared" si="53"/>
        <v>0</v>
      </c>
      <c r="X181" s="1480">
        <f t="shared" si="53"/>
        <v>306393000</v>
      </c>
      <c r="Y181" s="1480">
        <f>SUM(U181/M181)*100</f>
        <v>97.754225836881432</v>
      </c>
      <c r="Z181" s="1480">
        <f>SUM(Z66:Z179)</f>
        <v>44043000</v>
      </c>
      <c r="AA181" s="1479">
        <f>SUM(AA66:AA179)</f>
        <v>6438000</v>
      </c>
      <c r="AB181" s="1478"/>
      <c r="AC181" s="1477">
        <f>SUM(AC66:AC179)</f>
        <v>19452000</v>
      </c>
      <c r="AD181" s="1476">
        <f>SUM(AD66:AD179)</f>
        <v>0</v>
      </c>
      <c r="AE181" s="1476">
        <f>SUM(AE66:AE179)</f>
        <v>0</v>
      </c>
      <c r="AF181" s="1475">
        <f>SUM(AF66:AF179)</f>
        <v>22591000</v>
      </c>
    </row>
    <row r="182" spans="1:32" s="1461" customFormat="1" ht="17.25" thickTop="1" thickBot="1">
      <c r="A182" s="1473" t="s">
        <v>1464</v>
      </c>
      <c r="B182" s="1473"/>
      <c r="C182" s="1473"/>
      <c r="D182" s="1473">
        <f>COUNT(D66:D179)</f>
        <v>65</v>
      </c>
      <c r="G182" s="1462"/>
      <c r="H182" s="1462"/>
      <c r="I182" s="1462"/>
      <c r="J182" s="1462"/>
      <c r="K182" s="1472"/>
      <c r="L182" s="1472"/>
      <c r="AB182" s="1462"/>
    </row>
    <row r="183" spans="1:32" s="1461" customFormat="1" ht="18.75" thickTop="1">
      <c r="A183" s="1465"/>
      <c r="B183" s="1465"/>
      <c r="C183" s="1466"/>
      <c r="D183" s="1466"/>
      <c r="E183" s="3410" t="s">
        <v>1463</v>
      </c>
      <c r="F183" s="3410"/>
      <c r="G183" s="3410"/>
      <c r="H183" s="3410"/>
      <c r="I183" s="3410"/>
      <c r="J183" s="3410"/>
      <c r="K183" s="3410"/>
      <c r="L183" s="3410"/>
      <c r="M183" s="3410"/>
      <c r="N183" s="3410"/>
      <c r="O183" s="1467"/>
      <c r="P183" s="1467"/>
      <c r="Q183" s="1467"/>
      <c r="R183" s="1467"/>
      <c r="S183" s="1467"/>
      <c r="T183" s="1467"/>
      <c r="U183" s="1471"/>
      <c r="V183" s="3410" t="s">
        <v>1462</v>
      </c>
      <c r="W183" s="3410"/>
      <c r="X183" s="3410"/>
      <c r="Y183" s="3410"/>
      <c r="Z183" s="1465"/>
      <c r="AA183" s="1465"/>
      <c r="AB183" s="1462"/>
    </row>
    <row r="184" spans="1:32" s="1461" customFormat="1" ht="57" customHeight="1">
      <c r="A184" s="1468"/>
      <c r="B184" s="1468"/>
      <c r="C184" s="1470"/>
      <c r="D184" s="1470"/>
      <c r="E184" s="1468"/>
      <c r="F184" s="1468"/>
      <c r="G184" s="1470"/>
      <c r="H184" s="1470"/>
      <c r="I184" s="1470"/>
      <c r="J184" s="1470"/>
      <c r="K184" s="1469"/>
      <c r="L184" s="1469"/>
      <c r="M184" s="1468"/>
      <c r="N184" s="1468"/>
      <c r="O184" s="1468"/>
      <c r="P184" s="1468"/>
      <c r="Q184" s="1468"/>
      <c r="R184" s="1468"/>
      <c r="S184" s="1468"/>
      <c r="T184" s="1468"/>
      <c r="U184" s="1468"/>
      <c r="V184" s="1468"/>
      <c r="W184" s="1468"/>
      <c r="X184" s="1468"/>
      <c r="Y184" s="1468"/>
      <c r="Z184" s="1468"/>
      <c r="AA184" s="1468"/>
      <c r="AB184" s="1462"/>
    </row>
    <row r="185" spans="1:32" s="1461" customFormat="1" ht="18">
      <c r="A185" s="1465"/>
      <c r="B185" s="1465"/>
      <c r="C185" s="1466"/>
      <c r="D185" s="1466"/>
      <c r="E185" s="3410" t="str">
        <f>E52</f>
        <v>Endang Taryana</v>
      </c>
      <c r="F185" s="3410"/>
      <c r="G185" s="3410"/>
      <c r="H185" s="3410"/>
      <c r="I185" s="3410"/>
      <c r="J185" s="3410"/>
      <c r="K185" s="3410"/>
      <c r="L185" s="3410"/>
      <c r="M185" s="3410"/>
      <c r="N185" s="3410"/>
      <c r="O185" s="1467" t="s">
        <v>1461</v>
      </c>
      <c r="P185" s="3410"/>
      <c r="Q185" s="3410"/>
      <c r="R185" s="3410"/>
      <c r="S185" s="1465"/>
      <c r="T185" s="1465"/>
      <c r="U185" s="1465"/>
      <c r="V185" s="3410" t="str">
        <f>V52</f>
        <v>Arin Yustini, SE</v>
      </c>
      <c r="W185" s="3410"/>
      <c r="X185" s="3410"/>
      <c r="Y185" s="3410"/>
      <c r="Z185" s="1465"/>
      <c r="AA185" s="1465"/>
      <c r="AB185" s="1462"/>
    </row>
    <row r="186" spans="1:32" ht="18">
      <c r="A186" s="1465"/>
      <c r="B186" s="1465"/>
      <c r="C186" s="1466"/>
      <c r="D186" s="1466"/>
      <c r="E186" s="3410" t="s">
        <v>23</v>
      </c>
      <c r="F186" s="3410"/>
      <c r="G186" s="3410"/>
      <c r="H186" s="3410"/>
      <c r="I186" s="3410"/>
      <c r="J186" s="3410"/>
      <c r="K186" s="3410"/>
      <c r="L186" s="3410"/>
      <c r="M186" s="3410"/>
      <c r="N186" s="3410"/>
      <c r="O186" s="1465"/>
      <c r="P186" s="3410"/>
      <c r="Q186" s="3410"/>
      <c r="R186" s="3410"/>
      <c r="S186" s="1465"/>
      <c r="T186" s="1465"/>
      <c r="U186" s="1465"/>
      <c r="V186" s="3410" t="s">
        <v>24</v>
      </c>
      <c r="W186" s="3410"/>
      <c r="X186" s="3410"/>
      <c r="Y186" s="3410"/>
      <c r="Z186" s="1465"/>
      <c r="AA186" s="1465"/>
      <c r="AE186" s="1461"/>
      <c r="AF186" s="1461"/>
    </row>
  </sheetData>
  <protectedRanges>
    <protectedRange sqref="W13:W46 W66:W179" name="Range1_1"/>
  </protectedRanges>
  <mergeCells count="72">
    <mergeCell ref="E186:N186"/>
    <mergeCell ref="K63:L63"/>
    <mergeCell ref="E63:F63"/>
    <mergeCell ref="G63:G64"/>
    <mergeCell ref="E185:N185"/>
    <mergeCell ref="E183:N183"/>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E52:N52"/>
    <mergeCell ref="A55:AA55"/>
    <mergeCell ref="E53:N53"/>
    <mergeCell ref="P53:R53"/>
    <mergeCell ref="R63:T63"/>
    <mergeCell ref="A59:C59"/>
    <mergeCell ref="A60:C60"/>
    <mergeCell ref="A61:C61"/>
    <mergeCell ref="H63:H65"/>
    <mergeCell ref="V186:Y186"/>
    <mergeCell ref="Z63:AA63"/>
    <mergeCell ref="P52:R52"/>
    <mergeCell ref="V52:Y52"/>
    <mergeCell ref="V185:Y185"/>
    <mergeCell ref="P185:R185"/>
    <mergeCell ref="P186:R186"/>
    <mergeCell ref="V53:Y53"/>
    <mergeCell ref="A54:AA54"/>
    <mergeCell ref="A56:AA56"/>
    <mergeCell ref="A58:C58"/>
    <mergeCell ref="A57:AA57"/>
    <mergeCell ref="A63:A64"/>
    <mergeCell ref="B63:C63"/>
    <mergeCell ref="D63:D65"/>
    <mergeCell ref="V183:Y183"/>
    <mergeCell ref="AB63:AB64"/>
    <mergeCell ref="K64:K65"/>
    <mergeCell ref="L64:L65"/>
    <mergeCell ref="I63:I65"/>
    <mergeCell ref="J63:J65"/>
    <mergeCell ref="X63:X64"/>
    <mergeCell ref="M63:N63"/>
    <mergeCell ref="Y63:Y64"/>
    <mergeCell ref="O63:Q63"/>
    <mergeCell ref="U63:W63"/>
  </mergeCells>
  <printOptions verticalCentered="1"/>
  <pageMargins left="0.33" right="0.11811023622047245" top="0.47244094488188981" bottom="1.07" header="0.51181102362204722" footer="0.74803149606299213"/>
  <pageSetup paperSize="5" scale="39" orientation="landscape" r:id="rId1"/>
  <headerFooter alignWithMargins="0"/>
  <drawing r:id="rId2"/>
  <legacyDrawing r:id="rId3"/>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225"/>
  <sheetViews>
    <sheetView topLeftCell="A10" zoomScale="62" zoomScaleNormal="62" workbookViewId="0">
      <pane xSplit="4" ySplit="3" topLeftCell="R193" activePane="bottomRight" state="frozen"/>
      <selection activeCell="A10" sqref="A10"/>
      <selection pane="topRight" activeCell="E10" sqref="E10"/>
      <selection pane="bottomLeft" activeCell="A13" sqref="A13"/>
      <selection pane="bottomRight" activeCell="Y203" sqref="Y203"/>
    </sheetView>
  </sheetViews>
  <sheetFormatPr defaultColWidth="9.140625" defaultRowHeight="15.75"/>
  <cols>
    <col min="1" max="1" width="9.42578125" style="1460" customWidth="1"/>
    <col min="2" max="2" width="20.85546875" style="1460" customWidth="1"/>
    <col min="3" max="3" width="12.5703125" style="1464" bestFit="1" customWidth="1"/>
    <col min="4" max="4" width="8.42578125" style="1464" customWidth="1"/>
    <col min="5" max="5" width="18.140625" style="1461" customWidth="1"/>
    <col min="6" max="6" width="17.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9.28515625" style="1461" customWidth="1"/>
    <col min="15" max="15" width="20.7109375" style="1461" customWidth="1"/>
    <col min="16" max="16" width="19" style="1461" customWidth="1"/>
    <col min="17" max="17" width="9.42578125" style="1461" customWidth="1"/>
    <col min="18" max="18" width="15.7109375" style="1461" customWidth="1"/>
    <col min="19" max="19" width="15.85546875" style="1461" customWidth="1"/>
    <col min="20" max="20" width="9.42578125" style="1461" customWidth="1"/>
    <col min="21" max="21" width="20" style="1461" customWidth="1"/>
    <col min="22" max="22" width="19.7109375" style="1461" customWidth="1"/>
    <col min="23" max="23" width="9.42578125" style="1461" customWidth="1"/>
    <col min="24" max="24" width="21" style="1461" customWidth="1"/>
    <col min="25" max="25" width="10.42578125" style="1461" customWidth="1"/>
    <col min="26" max="26" width="18.5703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525" t="s">
        <v>0</v>
      </c>
      <c r="B1" s="3525"/>
      <c r="C1" s="3525"/>
      <c r="D1" s="3525"/>
      <c r="E1" s="3525"/>
      <c r="F1" s="3525"/>
      <c r="G1" s="3525"/>
      <c r="H1" s="3525"/>
      <c r="I1" s="3525"/>
      <c r="J1" s="3525"/>
      <c r="K1" s="3525"/>
      <c r="L1" s="3525"/>
      <c r="M1" s="3525"/>
      <c r="N1" s="3525"/>
      <c r="O1" s="3525"/>
      <c r="P1" s="3525"/>
      <c r="Q1" s="3525"/>
      <c r="R1" s="3525"/>
      <c r="S1" s="3525"/>
      <c r="T1" s="3525"/>
      <c r="U1" s="3525"/>
      <c r="V1" s="3525"/>
      <c r="W1" s="3525"/>
      <c r="X1" s="3525"/>
      <c r="Y1" s="3525"/>
      <c r="Z1" s="3525"/>
      <c r="AA1" s="3525"/>
      <c r="AB1" s="1562"/>
      <c r="AC1" s="1560"/>
      <c r="AD1" s="1560"/>
      <c r="AE1" s="1560"/>
      <c r="AF1" s="1560"/>
    </row>
    <row r="2" spans="1:32" s="1559" customFormat="1" ht="24.75" customHeight="1">
      <c r="A2" s="3525" t="str">
        <f>'LPP-SPP'!A2:W2</f>
        <v>LAPORAN PERKEMBANGAN PINJAMAN  SPP</v>
      </c>
      <c r="B2" s="3525"/>
      <c r="C2" s="3525"/>
      <c r="D2" s="3525"/>
      <c r="E2" s="3525"/>
      <c r="F2" s="3525"/>
      <c r="G2" s="3525"/>
      <c r="H2" s="3525"/>
      <c r="I2" s="3525"/>
      <c r="J2" s="3525"/>
      <c r="K2" s="3525"/>
      <c r="L2" s="3525"/>
      <c r="M2" s="3525"/>
      <c r="N2" s="3525"/>
      <c r="O2" s="3525"/>
      <c r="P2" s="3525"/>
      <c r="Q2" s="3525"/>
      <c r="R2" s="3525"/>
      <c r="S2" s="3525"/>
      <c r="T2" s="3525"/>
      <c r="U2" s="3525"/>
      <c r="V2" s="3525"/>
      <c r="W2" s="3525"/>
      <c r="X2" s="3525"/>
      <c r="Y2" s="3525"/>
      <c r="Z2" s="3525"/>
      <c r="AA2" s="3525"/>
      <c r="AB2" s="1562"/>
      <c r="AC2" s="1560"/>
      <c r="AD2" s="1560"/>
      <c r="AE2" s="1560"/>
      <c r="AF2" s="1560"/>
    </row>
    <row r="3" spans="1:32" s="1559" customFormat="1" ht="34.5">
      <c r="A3" s="3525" t="s">
        <v>1506</v>
      </c>
      <c r="B3" s="3525"/>
      <c r="C3" s="3525"/>
      <c r="D3" s="3525"/>
      <c r="E3" s="3525"/>
      <c r="F3" s="3525"/>
      <c r="G3" s="3525"/>
      <c r="H3" s="3525"/>
      <c r="I3" s="3525"/>
      <c r="J3" s="3525"/>
      <c r="K3" s="3525"/>
      <c r="L3" s="3525"/>
      <c r="M3" s="3525"/>
      <c r="N3" s="3525"/>
      <c r="O3" s="3525"/>
      <c r="P3" s="3525"/>
      <c r="Q3" s="3525"/>
      <c r="R3" s="3525"/>
      <c r="S3" s="3525"/>
      <c r="T3" s="3525"/>
      <c r="U3" s="3525"/>
      <c r="V3" s="3525"/>
      <c r="W3" s="3525"/>
      <c r="X3" s="3525"/>
      <c r="Y3" s="3525"/>
      <c r="Z3" s="3525"/>
      <c r="AA3" s="3525"/>
      <c r="AB3" s="1561"/>
      <c r="AC3" s="1560"/>
      <c r="AD3" s="1560"/>
      <c r="AE3" s="1560"/>
      <c r="AF3" s="1560"/>
    </row>
    <row r="4" spans="1:32" s="1542" customFormat="1" ht="24.75" customHeight="1">
      <c r="A4" s="3525" t="str">
        <f>'LPP-SPP'!A4</f>
        <v>Per - Februari 2016 2016</v>
      </c>
      <c r="B4" s="3525"/>
      <c r="C4" s="3525"/>
      <c r="D4" s="3525"/>
      <c r="E4" s="3525"/>
      <c r="F4" s="3525"/>
      <c r="G4" s="3525"/>
      <c r="H4" s="3525"/>
      <c r="I4" s="3525"/>
      <c r="J4" s="3525"/>
      <c r="K4" s="3525"/>
      <c r="L4" s="3525"/>
      <c r="M4" s="3525"/>
      <c r="N4" s="3525"/>
      <c r="O4" s="3525"/>
      <c r="P4" s="3525"/>
      <c r="Q4" s="3525"/>
      <c r="R4" s="3525"/>
      <c r="S4" s="3525"/>
      <c r="T4" s="3525"/>
      <c r="U4" s="3525"/>
      <c r="V4" s="3525"/>
      <c r="W4" s="3525"/>
      <c r="X4" s="3525"/>
      <c r="Y4" s="3525"/>
      <c r="Z4" s="3525"/>
      <c r="AA4" s="3525"/>
      <c r="AB4" s="1556"/>
      <c r="AC4" s="1555"/>
      <c r="AD4" s="1555"/>
      <c r="AE4" s="1555"/>
      <c r="AF4" s="1555"/>
    </row>
    <row r="5" spans="1:32" s="1542" customFormat="1" ht="24.75" customHeight="1">
      <c r="A5" s="3755" t="s">
        <v>1503</v>
      </c>
      <c r="B5" s="3755"/>
      <c r="C5" s="3755"/>
      <c r="D5" s="1553"/>
      <c r="E5" s="1558" t="str">
        <f>":  "&amp;DT!I8</f>
        <v>:  KALAPAREA</v>
      </c>
      <c r="F5" s="1556"/>
      <c r="G5" s="1556"/>
      <c r="H5" s="1556"/>
      <c r="I5" s="1556"/>
      <c r="J5" s="1556"/>
      <c r="K5" s="1557"/>
      <c r="L5" s="1557"/>
      <c r="M5" s="2169"/>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755" t="s">
        <v>1502</v>
      </c>
      <c r="B6" s="3755"/>
      <c r="C6" s="3755"/>
      <c r="D6" s="1553"/>
      <c r="E6" s="1552" t="str">
        <f>'LPP-SPP'!F6</f>
        <v>:  Nagrak</v>
      </c>
      <c r="F6" s="1552"/>
      <c r="G6" s="1551"/>
      <c r="H6" s="1551"/>
      <c r="I6" s="1551"/>
      <c r="J6" s="1551"/>
      <c r="K6" s="1550"/>
      <c r="L6" s="1550"/>
      <c r="M6" s="2170"/>
      <c r="N6" s="1548"/>
      <c r="O6" s="1548"/>
      <c r="P6" s="1548"/>
      <c r="Q6" s="1548"/>
      <c r="R6" s="1548"/>
      <c r="S6" s="1548"/>
      <c r="T6" s="1548"/>
      <c r="U6" s="1548"/>
      <c r="V6" s="1548"/>
      <c r="W6" s="1548"/>
      <c r="X6" s="1548"/>
      <c r="Y6" s="1548"/>
      <c r="Z6" s="1548"/>
      <c r="AA6" s="1548"/>
      <c r="AB6" s="1549"/>
      <c r="AC6" s="1548"/>
      <c r="AD6" s="1548"/>
    </row>
    <row r="7" spans="1:32" s="1547" customFormat="1" ht="18.75" customHeight="1">
      <c r="A7" s="3755" t="s">
        <v>1501</v>
      </c>
      <c r="B7" s="3755"/>
      <c r="C7" s="3755"/>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755" t="s">
        <v>1500</v>
      </c>
      <c r="B8" s="3755"/>
      <c r="C8" s="3755"/>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3" t="s">
        <v>36</v>
      </c>
      <c r="B10" s="3413" t="s">
        <v>1499</v>
      </c>
      <c r="C10" s="3413"/>
      <c r="D10" s="3413" t="s">
        <v>1498</v>
      </c>
      <c r="E10" s="3413" t="s">
        <v>1497</v>
      </c>
      <c r="F10" s="3413"/>
      <c r="G10" s="3413" t="s">
        <v>1496</v>
      </c>
      <c r="H10" s="3413" t="s">
        <v>1495</v>
      </c>
      <c r="I10" s="3413" t="s">
        <v>1494</v>
      </c>
      <c r="J10" s="3413" t="s">
        <v>1493</v>
      </c>
      <c r="K10" s="3413" t="s">
        <v>1492</v>
      </c>
      <c r="L10" s="3413"/>
      <c r="M10" s="3413" t="s">
        <v>1491</v>
      </c>
      <c r="N10" s="3413"/>
      <c r="O10" s="3413" t="s">
        <v>1490</v>
      </c>
      <c r="P10" s="3413"/>
      <c r="Q10" s="3413"/>
      <c r="R10" s="3413" t="s">
        <v>1489</v>
      </c>
      <c r="S10" s="3413"/>
      <c r="T10" s="3413"/>
      <c r="U10" s="3413" t="s">
        <v>1488</v>
      </c>
      <c r="V10" s="3413"/>
      <c r="W10" s="3413"/>
      <c r="X10" s="3413" t="s">
        <v>1487</v>
      </c>
      <c r="Y10" s="3413" t="s">
        <v>1486</v>
      </c>
      <c r="Z10" s="3413" t="s">
        <v>1485</v>
      </c>
      <c r="AA10" s="3413"/>
      <c r="AB10" s="3746" t="s">
        <v>1484</v>
      </c>
      <c r="AC10" s="1541" t="s">
        <v>1483</v>
      </c>
      <c r="AD10" s="1540" t="s">
        <v>1482</v>
      </c>
      <c r="AE10" s="1540" t="s">
        <v>1481</v>
      </c>
      <c r="AF10" s="1539" t="s">
        <v>1480</v>
      </c>
    </row>
    <row r="11" spans="1:32" ht="31.5" customHeight="1">
      <c r="A11" s="3413"/>
      <c r="B11" s="1536" t="s">
        <v>1479</v>
      </c>
      <c r="C11" s="1536" t="s">
        <v>1478</v>
      </c>
      <c r="D11" s="3413"/>
      <c r="E11" s="1537" t="s">
        <v>16</v>
      </c>
      <c r="F11" s="1537" t="s">
        <v>1476</v>
      </c>
      <c r="G11" s="3413"/>
      <c r="H11" s="3413"/>
      <c r="I11" s="3413"/>
      <c r="J11" s="3413"/>
      <c r="K11" s="3413" t="s">
        <v>16</v>
      </c>
      <c r="L11" s="3413" t="s">
        <v>1476</v>
      </c>
      <c r="M11" s="1537" t="s">
        <v>16</v>
      </c>
      <c r="N11" s="1537" t="s">
        <v>1476</v>
      </c>
      <c r="O11" s="1537" t="s">
        <v>16</v>
      </c>
      <c r="P11" s="1537" t="s">
        <v>1476</v>
      </c>
      <c r="Q11" s="1537" t="s">
        <v>1477</v>
      </c>
      <c r="R11" s="1537" t="s">
        <v>16</v>
      </c>
      <c r="S11" s="1537" t="s">
        <v>1476</v>
      </c>
      <c r="T11" s="1537" t="s">
        <v>1477</v>
      </c>
      <c r="U11" s="1537" t="s">
        <v>16</v>
      </c>
      <c r="V11" s="1537" t="s">
        <v>1476</v>
      </c>
      <c r="W11" s="1537" t="s">
        <v>1477</v>
      </c>
      <c r="X11" s="3413"/>
      <c r="Y11" s="3413"/>
      <c r="Z11" s="1537" t="s">
        <v>16</v>
      </c>
      <c r="AA11" s="2162" t="s">
        <v>1476</v>
      </c>
      <c r="AB11" s="3746"/>
      <c r="AC11" s="1531" t="s">
        <v>1475</v>
      </c>
      <c r="AD11" s="1530" t="s">
        <v>1474</v>
      </c>
      <c r="AE11" s="1530" t="s">
        <v>1473</v>
      </c>
      <c r="AF11" s="1529" t="s">
        <v>1472</v>
      </c>
    </row>
    <row r="12" spans="1:32" s="1528" customFormat="1" ht="14.25" customHeight="1" thickBot="1">
      <c r="A12" s="2162">
        <v>1</v>
      </c>
      <c r="B12" s="2162">
        <v>2</v>
      </c>
      <c r="C12" s="2162">
        <v>3</v>
      </c>
      <c r="D12" s="3413"/>
      <c r="E12" s="2162">
        <v>4</v>
      </c>
      <c r="F12" s="2162">
        <v>5</v>
      </c>
      <c r="G12" s="2162">
        <v>6</v>
      </c>
      <c r="H12" s="3413"/>
      <c r="I12" s="3413"/>
      <c r="J12" s="3413"/>
      <c r="K12" s="3413"/>
      <c r="L12" s="3413"/>
      <c r="M12" s="2162">
        <v>7</v>
      </c>
      <c r="N12" s="2162">
        <v>8</v>
      </c>
      <c r="O12" s="2162">
        <v>9</v>
      </c>
      <c r="P12" s="2162">
        <v>10</v>
      </c>
      <c r="Q12" s="2162">
        <v>11</v>
      </c>
      <c r="R12" s="2162">
        <v>12</v>
      </c>
      <c r="S12" s="2162">
        <v>13</v>
      </c>
      <c r="T12" s="2162">
        <v>14</v>
      </c>
      <c r="U12" s="2162" t="s">
        <v>1471</v>
      </c>
      <c r="V12" s="2162" t="s">
        <v>1470</v>
      </c>
      <c r="W12" s="2162" t="s">
        <v>1469</v>
      </c>
      <c r="X12" s="2162" t="s">
        <v>1468</v>
      </c>
      <c r="Y12" s="2162" t="s">
        <v>1467</v>
      </c>
      <c r="Z12" s="2162" t="s">
        <v>1466</v>
      </c>
      <c r="AA12" s="2162" t="s">
        <v>1465</v>
      </c>
      <c r="AB12" s="2920">
        <v>22</v>
      </c>
      <c r="AC12" s="1518">
        <v>23</v>
      </c>
      <c r="AD12" s="1517">
        <v>24</v>
      </c>
      <c r="AE12" s="1517">
        <v>25</v>
      </c>
      <c r="AF12" s="1516">
        <v>26</v>
      </c>
    </row>
    <row r="13" spans="1:32" s="1474" customFormat="1" ht="23.25" customHeight="1">
      <c r="A13" s="1515">
        <v>1</v>
      </c>
      <c r="B13" s="1513" t="s">
        <v>2051</v>
      </c>
      <c r="C13" s="1514" t="s">
        <v>1916</v>
      </c>
      <c r="D13" s="1514"/>
      <c r="E13" s="1513">
        <v>7000000</v>
      </c>
      <c r="F13" s="1512">
        <f t="shared" ref="F13:F46" si="0">E13*H13</f>
        <v>1260000</v>
      </c>
      <c r="G13" s="2141">
        <v>39776</v>
      </c>
      <c r="H13" s="1511">
        <v>0.18</v>
      </c>
      <c r="I13" s="1508">
        <v>12</v>
      </c>
      <c r="J13" s="1569">
        <v>12</v>
      </c>
      <c r="K13" s="1508">
        <v>583300</v>
      </c>
      <c r="L13" s="1508">
        <v>105000</v>
      </c>
      <c r="M13" s="1567">
        <f t="shared" ref="M13:M46" si="1">IF(J13&lt;I13,J13*K13,IF(J13&gt;=I13,E13))</f>
        <v>7000000</v>
      </c>
      <c r="N13" s="1510">
        <f t="shared" ref="N13:N46" si="2">IF(J13&lt;I13,J13*L13,IF(J13&gt;=I13,F13))</f>
        <v>1260000</v>
      </c>
      <c r="O13" s="1509">
        <v>7000000</v>
      </c>
      <c r="P13" s="1509">
        <v>1260000</v>
      </c>
      <c r="Q13" s="1509"/>
      <c r="R13" s="1508"/>
      <c r="S13" s="1508"/>
      <c r="T13" s="1507"/>
      <c r="U13" s="1495">
        <f t="shared" ref="U13:U46" si="3">SUM(O13+R13)</f>
        <v>7000000</v>
      </c>
      <c r="V13" s="1495">
        <f t="shared" ref="V13:V46" si="4">SUM(P13+S13)</f>
        <v>1260000</v>
      </c>
      <c r="W13" s="1495">
        <f t="shared" ref="W13:W46" si="5">SUM(Q13+T13)</f>
        <v>0</v>
      </c>
      <c r="X13" s="1495">
        <f t="shared" ref="X13:X46" si="6">SUM(E13-U13)</f>
        <v>0</v>
      </c>
      <c r="Y13" s="1495">
        <f t="shared" ref="Y13:Y46" si="7">SUM(U13/M13)*100</f>
        <v>100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f>A13+1</f>
        <v>2</v>
      </c>
      <c r="B14" s="1513" t="s">
        <v>1957</v>
      </c>
      <c r="C14" s="1514" t="s">
        <v>1916</v>
      </c>
      <c r="D14" s="1514"/>
      <c r="E14" s="1513">
        <v>7000000</v>
      </c>
      <c r="F14" s="1512">
        <f t="shared" si="0"/>
        <v>1260000</v>
      </c>
      <c r="G14" s="2141">
        <v>39969</v>
      </c>
      <c r="H14" s="1511">
        <v>0.18</v>
      </c>
      <c r="I14" s="1508">
        <v>12</v>
      </c>
      <c r="J14" s="1508">
        <v>12</v>
      </c>
      <c r="K14" s="1508">
        <v>583300</v>
      </c>
      <c r="L14" s="1508">
        <v>105000</v>
      </c>
      <c r="M14" s="1510">
        <f t="shared" si="1"/>
        <v>7000000</v>
      </c>
      <c r="N14" s="1510">
        <f t="shared" si="2"/>
        <v>1260000</v>
      </c>
      <c r="O14" s="1509">
        <v>7000000</v>
      </c>
      <c r="P14" s="1509">
        <v>1260000</v>
      </c>
      <c r="Q14" s="1509"/>
      <c r="R14" s="1508"/>
      <c r="S14" s="1508"/>
      <c r="T14" s="1507"/>
      <c r="U14" s="1495">
        <f t="shared" si="3"/>
        <v>7000000</v>
      </c>
      <c r="V14" s="1495">
        <f t="shared" si="4"/>
        <v>1260000</v>
      </c>
      <c r="W14" s="1495">
        <f t="shared" si="5"/>
        <v>0</v>
      </c>
      <c r="X14" s="1495">
        <f t="shared" si="6"/>
        <v>0</v>
      </c>
      <c r="Y14" s="1495">
        <f t="shared" si="7"/>
        <v>100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f t="shared" ref="A15:A26" si="14">A14+1</f>
        <v>3</v>
      </c>
      <c r="B15" s="1513" t="s">
        <v>2052</v>
      </c>
      <c r="C15" s="1514" t="s">
        <v>1916</v>
      </c>
      <c r="D15" s="1514"/>
      <c r="E15" s="1513">
        <v>7000000</v>
      </c>
      <c r="F15" s="1512">
        <f t="shared" si="0"/>
        <v>1260000</v>
      </c>
      <c r="G15" s="2141">
        <v>39969</v>
      </c>
      <c r="H15" s="1511">
        <v>0.18</v>
      </c>
      <c r="I15" s="1508">
        <v>12</v>
      </c>
      <c r="J15" s="1508">
        <v>12</v>
      </c>
      <c r="K15" s="1508">
        <v>583300</v>
      </c>
      <c r="L15" s="1508">
        <v>105000</v>
      </c>
      <c r="M15" s="1510">
        <f t="shared" si="1"/>
        <v>7000000</v>
      </c>
      <c r="N15" s="1510">
        <f t="shared" si="2"/>
        <v>1260000</v>
      </c>
      <c r="O15" s="1509">
        <v>7000000</v>
      </c>
      <c r="P15" s="1509">
        <v>1260000</v>
      </c>
      <c r="Q15" s="1509"/>
      <c r="R15" s="1508"/>
      <c r="S15" s="1508"/>
      <c r="T15" s="1507"/>
      <c r="U15" s="1495">
        <f t="shared" si="3"/>
        <v>7000000</v>
      </c>
      <c r="V15" s="1495">
        <f t="shared" si="4"/>
        <v>1260000</v>
      </c>
      <c r="W15" s="1495">
        <f t="shared" si="5"/>
        <v>0</v>
      </c>
      <c r="X15" s="1495">
        <f t="shared" si="6"/>
        <v>0</v>
      </c>
      <c r="Y15" s="1495">
        <f t="shared" si="7"/>
        <v>100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f t="shared" si="14"/>
        <v>4</v>
      </c>
      <c r="B16" s="1513" t="s">
        <v>2053</v>
      </c>
      <c r="C16" s="1514" t="s">
        <v>1916</v>
      </c>
      <c r="D16" s="1514"/>
      <c r="E16" s="1513">
        <v>7000000</v>
      </c>
      <c r="F16" s="1512">
        <f t="shared" si="0"/>
        <v>1260000</v>
      </c>
      <c r="G16" s="2141">
        <v>39969</v>
      </c>
      <c r="H16" s="1511">
        <v>0.18</v>
      </c>
      <c r="I16" s="1508">
        <v>12</v>
      </c>
      <c r="J16" s="1508">
        <v>12</v>
      </c>
      <c r="K16" s="1508">
        <v>583300</v>
      </c>
      <c r="L16" s="1508">
        <v>105000</v>
      </c>
      <c r="M16" s="1510">
        <f t="shared" si="1"/>
        <v>7000000</v>
      </c>
      <c r="N16" s="1510">
        <f t="shared" si="2"/>
        <v>1260000</v>
      </c>
      <c r="O16" s="1509">
        <v>7000000</v>
      </c>
      <c r="P16" s="1509">
        <v>1260000</v>
      </c>
      <c r="Q16" s="1509"/>
      <c r="R16" s="1508"/>
      <c r="S16" s="1508"/>
      <c r="T16" s="1507"/>
      <c r="U16" s="1495">
        <f t="shared" si="3"/>
        <v>7000000</v>
      </c>
      <c r="V16" s="1495">
        <f t="shared" si="4"/>
        <v>1260000</v>
      </c>
      <c r="W16" s="1495">
        <f t="shared" si="5"/>
        <v>0</v>
      </c>
      <c r="X16" s="1495">
        <f t="shared" si="6"/>
        <v>0</v>
      </c>
      <c r="Y16" s="1495">
        <f t="shared" si="7"/>
        <v>100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f t="shared" si="14"/>
        <v>5</v>
      </c>
      <c r="B17" s="1513" t="s">
        <v>2054</v>
      </c>
      <c r="C17" s="1514" t="s">
        <v>1919</v>
      </c>
      <c r="D17" s="1514"/>
      <c r="E17" s="1513">
        <v>8000000</v>
      </c>
      <c r="F17" s="1512">
        <f t="shared" si="0"/>
        <v>1440000</v>
      </c>
      <c r="G17" s="2141">
        <v>40161</v>
      </c>
      <c r="H17" s="1511">
        <v>0.18</v>
      </c>
      <c r="I17" s="1508">
        <v>12</v>
      </c>
      <c r="J17" s="1508">
        <v>12</v>
      </c>
      <c r="K17" s="1508">
        <v>666700</v>
      </c>
      <c r="L17" s="1508">
        <v>120000</v>
      </c>
      <c r="M17" s="1510">
        <f t="shared" si="1"/>
        <v>8000000</v>
      </c>
      <c r="N17" s="1510">
        <f t="shared" si="2"/>
        <v>1440000</v>
      </c>
      <c r="O17" s="1509">
        <v>8000000</v>
      </c>
      <c r="P17" s="1509">
        <v>1440000</v>
      </c>
      <c r="Q17" s="1509"/>
      <c r="R17" s="1508"/>
      <c r="S17" s="1508"/>
      <c r="T17" s="1507"/>
      <c r="U17" s="1495">
        <f t="shared" si="3"/>
        <v>8000000</v>
      </c>
      <c r="V17" s="1495">
        <f t="shared" si="4"/>
        <v>1440000</v>
      </c>
      <c r="W17" s="1495">
        <f t="shared" si="5"/>
        <v>0</v>
      </c>
      <c r="X17" s="1495">
        <f t="shared" si="6"/>
        <v>0</v>
      </c>
      <c r="Y17" s="1495">
        <f t="shared" si="7"/>
        <v>100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f t="shared" si="14"/>
        <v>6</v>
      </c>
      <c r="B18" s="1513" t="s">
        <v>1991</v>
      </c>
      <c r="C18" s="1514" t="s">
        <v>1919</v>
      </c>
      <c r="D18" s="1514"/>
      <c r="E18" s="1513">
        <v>7500000</v>
      </c>
      <c r="F18" s="1512">
        <f t="shared" si="0"/>
        <v>1350000</v>
      </c>
      <c r="G18" s="2141">
        <v>40161</v>
      </c>
      <c r="H18" s="1511">
        <v>0.18</v>
      </c>
      <c r="I18" s="1508">
        <v>12</v>
      </c>
      <c r="J18" s="1508">
        <v>12</v>
      </c>
      <c r="K18" s="1508">
        <v>625000</v>
      </c>
      <c r="L18" s="1508">
        <v>112500</v>
      </c>
      <c r="M18" s="1510">
        <f t="shared" si="1"/>
        <v>7500000</v>
      </c>
      <c r="N18" s="1510">
        <f t="shared" si="2"/>
        <v>1350000</v>
      </c>
      <c r="O18" s="1509">
        <v>7500000</v>
      </c>
      <c r="P18" s="1509">
        <v>1350000</v>
      </c>
      <c r="Q18" s="1509"/>
      <c r="R18" s="1508"/>
      <c r="S18" s="1508"/>
      <c r="T18" s="1507"/>
      <c r="U18" s="1495">
        <f t="shared" si="3"/>
        <v>7500000</v>
      </c>
      <c r="V18" s="1495">
        <f t="shared" si="4"/>
        <v>1350000</v>
      </c>
      <c r="W18" s="1495">
        <f t="shared" si="5"/>
        <v>0</v>
      </c>
      <c r="X18" s="1495">
        <f t="shared" si="6"/>
        <v>0</v>
      </c>
      <c r="Y18" s="1495">
        <f t="shared" si="7"/>
        <v>100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f t="shared" si="14"/>
        <v>7</v>
      </c>
      <c r="B19" s="1513" t="s">
        <v>2055</v>
      </c>
      <c r="C19" s="1514" t="s">
        <v>1919</v>
      </c>
      <c r="D19" s="1514"/>
      <c r="E19" s="1513">
        <v>5000000</v>
      </c>
      <c r="F19" s="1512">
        <f t="shared" si="0"/>
        <v>900000</v>
      </c>
      <c r="G19" s="2141">
        <v>40161</v>
      </c>
      <c r="H19" s="1511">
        <v>0.18</v>
      </c>
      <c r="I19" s="1508">
        <v>12</v>
      </c>
      <c r="J19" s="1508">
        <v>12</v>
      </c>
      <c r="K19" s="1508">
        <v>416700</v>
      </c>
      <c r="L19" s="1508">
        <v>75000</v>
      </c>
      <c r="M19" s="1510">
        <f t="shared" si="1"/>
        <v>5000000</v>
      </c>
      <c r="N19" s="1510">
        <f t="shared" si="2"/>
        <v>900000</v>
      </c>
      <c r="O19" s="1509">
        <v>5000000</v>
      </c>
      <c r="P19" s="1509">
        <v>900000</v>
      </c>
      <c r="Q19" s="1509"/>
      <c r="R19" s="1508"/>
      <c r="S19" s="1508"/>
      <c r="T19" s="1507"/>
      <c r="U19" s="1495">
        <f t="shared" si="3"/>
        <v>5000000</v>
      </c>
      <c r="V19" s="1495">
        <f t="shared" si="4"/>
        <v>900000</v>
      </c>
      <c r="W19" s="1495">
        <f t="shared" si="5"/>
        <v>0</v>
      </c>
      <c r="X19" s="1495">
        <f t="shared" si="6"/>
        <v>0</v>
      </c>
      <c r="Y19" s="1495">
        <f t="shared" si="7"/>
        <v>100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f t="shared" si="14"/>
        <v>8</v>
      </c>
      <c r="B20" s="1513" t="s">
        <v>1977</v>
      </c>
      <c r="C20" s="1514" t="s">
        <v>1919</v>
      </c>
      <c r="D20" s="1514"/>
      <c r="E20" s="1513">
        <v>7500000</v>
      </c>
      <c r="F20" s="1512">
        <f t="shared" si="0"/>
        <v>1350000</v>
      </c>
      <c r="G20" s="2141">
        <v>40161</v>
      </c>
      <c r="H20" s="1511">
        <v>0.18</v>
      </c>
      <c r="I20" s="1508">
        <v>12</v>
      </c>
      <c r="J20" s="1508">
        <v>12</v>
      </c>
      <c r="K20" s="1508">
        <v>625000</v>
      </c>
      <c r="L20" s="1508">
        <v>112500</v>
      </c>
      <c r="M20" s="1510">
        <f t="shared" si="1"/>
        <v>7500000</v>
      </c>
      <c r="N20" s="1510">
        <f t="shared" si="2"/>
        <v>1350000</v>
      </c>
      <c r="O20" s="1509">
        <v>7500000</v>
      </c>
      <c r="P20" s="1509">
        <v>1350000</v>
      </c>
      <c r="Q20" s="1509"/>
      <c r="R20" s="1508"/>
      <c r="S20" s="1508"/>
      <c r="T20" s="1507"/>
      <c r="U20" s="1495">
        <f t="shared" si="3"/>
        <v>7500000</v>
      </c>
      <c r="V20" s="1495">
        <f t="shared" si="4"/>
        <v>1350000</v>
      </c>
      <c r="W20" s="1495">
        <f t="shared" si="5"/>
        <v>0</v>
      </c>
      <c r="X20" s="1495">
        <f t="shared" si="6"/>
        <v>0</v>
      </c>
      <c r="Y20" s="1495">
        <f t="shared" si="7"/>
        <v>100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f t="shared" si="14"/>
        <v>9</v>
      </c>
      <c r="B21" s="1513" t="s">
        <v>2056</v>
      </c>
      <c r="C21" s="1514" t="s">
        <v>1919</v>
      </c>
      <c r="D21" s="1514"/>
      <c r="E21" s="1513">
        <v>7500000</v>
      </c>
      <c r="F21" s="1512">
        <f t="shared" si="0"/>
        <v>1350000</v>
      </c>
      <c r="G21" s="2141">
        <v>40161</v>
      </c>
      <c r="H21" s="1511">
        <v>0.18</v>
      </c>
      <c r="I21" s="1508">
        <v>12</v>
      </c>
      <c r="J21" s="1508">
        <v>12</v>
      </c>
      <c r="K21" s="1508">
        <v>625000</v>
      </c>
      <c r="L21" s="1508">
        <v>112500</v>
      </c>
      <c r="M21" s="1510">
        <f t="shared" si="1"/>
        <v>7500000</v>
      </c>
      <c r="N21" s="2406">
        <f t="shared" si="2"/>
        <v>1350000</v>
      </c>
      <c r="O21" s="1509">
        <v>7500000</v>
      </c>
      <c r="P21" s="1509">
        <v>1350000</v>
      </c>
      <c r="Q21" s="1509"/>
      <c r="R21" s="1508"/>
      <c r="S21" s="1508"/>
      <c r="T21" s="1507"/>
      <c r="U21" s="1495">
        <f t="shared" si="3"/>
        <v>7500000</v>
      </c>
      <c r="V21" s="1495">
        <f t="shared" si="4"/>
        <v>1350000</v>
      </c>
      <c r="W21" s="1495">
        <f t="shared" si="5"/>
        <v>0</v>
      </c>
      <c r="X21" s="1495">
        <f t="shared" si="6"/>
        <v>0</v>
      </c>
      <c r="Y21" s="1495">
        <f t="shared" si="7"/>
        <v>100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f t="shared" si="14"/>
        <v>10</v>
      </c>
      <c r="B22" s="1513" t="s">
        <v>1901</v>
      </c>
      <c r="C22" s="1514" t="s">
        <v>1996</v>
      </c>
      <c r="D22" s="1514"/>
      <c r="E22" s="1513">
        <v>12000000</v>
      </c>
      <c r="F22" s="1512">
        <f t="shared" si="0"/>
        <v>2160000</v>
      </c>
      <c r="G22" s="2141">
        <v>40501</v>
      </c>
      <c r="H22" s="1511">
        <v>0.18</v>
      </c>
      <c r="I22" s="1508">
        <v>12</v>
      </c>
      <c r="J22" s="1508">
        <v>12</v>
      </c>
      <c r="K22" s="1508">
        <v>1000000</v>
      </c>
      <c r="L22" s="1508">
        <v>180000</v>
      </c>
      <c r="M22" s="1510">
        <f t="shared" si="1"/>
        <v>12000000</v>
      </c>
      <c r="N22" s="2401">
        <f>IF(J22&lt;I22,J22*L22,IF(J22&gt;=I22,F22))-180000</f>
        <v>1980000</v>
      </c>
      <c r="O22" s="1509">
        <v>12000000</v>
      </c>
      <c r="P22" s="1509">
        <v>1980000</v>
      </c>
      <c r="Q22" s="1509"/>
      <c r="R22" s="1508"/>
      <c r="S22" s="1508"/>
      <c r="T22" s="1507"/>
      <c r="U22" s="1495">
        <f t="shared" si="3"/>
        <v>12000000</v>
      </c>
      <c r="V22" s="1495">
        <f t="shared" si="4"/>
        <v>1980000</v>
      </c>
      <c r="W22" s="1495">
        <f t="shared" si="5"/>
        <v>0</v>
      </c>
      <c r="X22" s="1495">
        <f t="shared" si="6"/>
        <v>0</v>
      </c>
      <c r="Y22" s="1495">
        <f t="shared" si="7"/>
        <v>100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f t="shared" si="14"/>
        <v>11</v>
      </c>
      <c r="B23" s="1513" t="s">
        <v>2057</v>
      </c>
      <c r="C23" s="1514" t="s">
        <v>1996</v>
      </c>
      <c r="D23" s="1514"/>
      <c r="E23" s="1513">
        <v>9600000</v>
      </c>
      <c r="F23" s="1512">
        <f t="shared" si="0"/>
        <v>1728000</v>
      </c>
      <c r="G23" s="2141">
        <v>40501</v>
      </c>
      <c r="H23" s="1511">
        <v>0.18</v>
      </c>
      <c r="I23" s="1508">
        <v>12</v>
      </c>
      <c r="J23" s="2404">
        <v>12</v>
      </c>
      <c r="K23" s="1508">
        <v>800000</v>
      </c>
      <c r="L23" s="1508">
        <v>144000</v>
      </c>
      <c r="M23" s="1510">
        <f t="shared" si="1"/>
        <v>9600000</v>
      </c>
      <c r="N23" s="2401">
        <f>IF(J23&lt;I23,J23*L23,IF(J23&gt;=I23,F23))-144000</f>
        <v>1584000</v>
      </c>
      <c r="O23" s="1509">
        <v>9600000</v>
      </c>
      <c r="P23" s="1509">
        <v>1584000</v>
      </c>
      <c r="Q23" s="1509"/>
      <c r="R23" s="1508"/>
      <c r="S23" s="1508"/>
      <c r="T23" s="1507"/>
      <c r="U23" s="1495">
        <f t="shared" si="3"/>
        <v>9600000</v>
      </c>
      <c r="V23" s="1495">
        <f t="shared" si="4"/>
        <v>1584000</v>
      </c>
      <c r="W23" s="1495">
        <f t="shared" si="5"/>
        <v>0</v>
      </c>
      <c r="X23" s="1495">
        <f t="shared" si="6"/>
        <v>0</v>
      </c>
      <c r="Y23" s="1495">
        <f t="shared" si="7"/>
        <v>100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f t="shared" si="14"/>
        <v>12</v>
      </c>
      <c r="B24" s="1513" t="s">
        <v>2058</v>
      </c>
      <c r="C24" s="1514" t="s">
        <v>1996</v>
      </c>
      <c r="D24" s="1514"/>
      <c r="E24" s="1513">
        <v>8000000</v>
      </c>
      <c r="F24" s="1512">
        <f t="shared" si="0"/>
        <v>1440000</v>
      </c>
      <c r="G24" s="2141">
        <v>40501</v>
      </c>
      <c r="H24" s="1511">
        <v>0.18</v>
      </c>
      <c r="I24" s="1508">
        <v>12</v>
      </c>
      <c r="J24" s="2404">
        <v>12</v>
      </c>
      <c r="K24" s="1508">
        <v>666700</v>
      </c>
      <c r="L24" s="1508">
        <v>120000</v>
      </c>
      <c r="M24" s="1510">
        <f t="shared" si="1"/>
        <v>8000000</v>
      </c>
      <c r="N24" s="2401">
        <f>IF(J24&lt;I24,J24*L24,IF(J24&gt;=I24,F24))-120000</f>
        <v>1320000</v>
      </c>
      <c r="O24" s="1509">
        <v>8000000</v>
      </c>
      <c r="P24" s="1509">
        <v>1320000</v>
      </c>
      <c r="Q24" s="1509"/>
      <c r="R24" s="1508"/>
      <c r="S24" s="1508"/>
      <c r="T24" s="1507"/>
      <c r="U24" s="1495">
        <f t="shared" si="3"/>
        <v>8000000</v>
      </c>
      <c r="V24" s="1495">
        <f t="shared" si="4"/>
        <v>1320000</v>
      </c>
      <c r="W24" s="1495">
        <f t="shared" si="5"/>
        <v>0</v>
      </c>
      <c r="X24" s="1495">
        <f t="shared" si="6"/>
        <v>0</v>
      </c>
      <c r="Y24" s="1495">
        <f t="shared" si="7"/>
        <v>100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f t="shared" si="14"/>
        <v>13</v>
      </c>
      <c r="B25" s="1513" t="s">
        <v>2059</v>
      </c>
      <c r="C25" s="1514" t="s">
        <v>1996</v>
      </c>
      <c r="D25" s="1514"/>
      <c r="E25" s="1513">
        <v>5000000</v>
      </c>
      <c r="F25" s="1512">
        <f t="shared" si="0"/>
        <v>900000</v>
      </c>
      <c r="G25" s="2141">
        <v>40501</v>
      </c>
      <c r="H25" s="1511">
        <v>0.18</v>
      </c>
      <c r="I25" s="1508">
        <v>12</v>
      </c>
      <c r="J25" s="2404">
        <v>12</v>
      </c>
      <c r="K25" s="1508">
        <v>416700</v>
      </c>
      <c r="L25" s="1508">
        <v>75000</v>
      </c>
      <c r="M25" s="1510">
        <f t="shared" si="1"/>
        <v>5000000</v>
      </c>
      <c r="N25" s="2401">
        <f>IF(J25&lt;I25,J25*L25,IF(J25&gt;=I25,F25))-75000</f>
        <v>825000</v>
      </c>
      <c r="O25" s="1509">
        <v>5000000</v>
      </c>
      <c r="P25" s="1509">
        <v>825000</v>
      </c>
      <c r="Q25" s="1509"/>
      <c r="R25" s="1508"/>
      <c r="S25" s="1508"/>
      <c r="T25" s="1507"/>
      <c r="U25" s="1495">
        <f t="shared" si="3"/>
        <v>5000000</v>
      </c>
      <c r="V25" s="1495">
        <f t="shared" si="4"/>
        <v>825000</v>
      </c>
      <c r="W25" s="1495">
        <f t="shared" si="5"/>
        <v>0</v>
      </c>
      <c r="X25" s="1495">
        <f t="shared" si="6"/>
        <v>0</v>
      </c>
      <c r="Y25" s="1495">
        <f t="shared" si="7"/>
        <v>100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f t="shared" si="14"/>
        <v>14</v>
      </c>
      <c r="B26" s="1513" t="s">
        <v>2060</v>
      </c>
      <c r="C26" s="1514" t="s">
        <v>1996</v>
      </c>
      <c r="D26" s="1514"/>
      <c r="E26" s="1513">
        <v>6000000</v>
      </c>
      <c r="F26" s="1512">
        <f t="shared" si="0"/>
        <v>1080000</v>
      </c>
      <c r="G26" s="2141">
        <v>40501</v>
      </c>
      <c r="H26" s="1511">
        <v>0.18</v>
      </c>
      <c r="I26" s="1508">
        <v>12</v>
      </c>
      <c r="J26" s="2404">
        <v>12</v>
      </c>
      <c r="K26" s="1508">
        <v>500000</v>
      </c>
      <c r="L26" s="1508">
        <v>90000</v>
      </c>
      <c r="M26" s="1510">
        <f t="shared" si="1"/>
        <v>6000000</v>
      </c>
      <c r="N26" s="2401">
        <f>IF(J26&lt;I26,J26*L26,IF(J26&gt;=I26,F26))-90000</f>
        <v>990000</v>
      </c>
      <c r="O26" s="1509">
        <v>6000000</v>
      </c>
      <c r="P26" s="1509">
        <v>990000</v>
      </c>
      <c r="Q26" s="1509"/>
      <c r="R26" s="2650"/>
      <c r="S26" s="2650"/>
      <c r="T26" s="1507"/>
      <c r="U26" s="1495">
        <f t="shared" si="3"/>
        <v>6000000</v>
      </c>
      <c r="V26" s="1495">
        <f t="shared" si="4"/>
        <v>990000</v>
      </c>
      <c r="W26" s="1495">
        <f t="shared" si="5"/>
        <v>0</v>
      </c>
      <c r="X26" s="1495">
        <f t="shared" si="6"/>
        <v>0</v>
      </c>
      <c r="Y26" s="1495">
        <f t="shared" si="7"/>
        <v>100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v>15</v>
      </c>
      <c r="B27" s="1513" t="s">
        <v>2229</v>
      </c>
      <c r="C27" s="1514" t="s">
        <v>2225</v>
      </c>
      <c r="D27" s="1514">
        <v>11</v>
      </c>
      <c r="E27" s="1513">
        <v>7700000</v>
      </c>
      <c r="F27" s="1512">
        <f t="shared" si="0"/>
        <v>1386000</v>
      </c>
      <c r="G27" s="2141">
        <v>40863</v>
      </c>
      <c r="H27" s="1511">
        <v>0.18</v>
      </c>
      <c r="I27" s="1508">
        <v>12</v>
      </c>
      <c r="J27" s="1508">
        <v>12</v>
      </c>
      <c r="K27" s="1508">
        <v>641700</v>
      </c>
      <c r="L27" s="1508">
        <f>F27/I27</f>
        <v>115500</v>
      </c>
      <c r="M27" s="1510">
        <f t="shared" si="1"/>
        <v>7700000</v>
      </c>
      <c r="N27" s="1510">
        <f t="shared" si="2"/>
        <v>1386000</v>
      </c>
      <c r="O27" s="1509">
        <v>7700000</v>
      </c>
      <c r="P27" s="1509">
        <v>1386000</v>
      </c>
      <c r="Q27" s="1509"/>
      <c r="R27" s="2650"/>
      <c r="S27" s="2650"/>
      <c r="T27" s="1507"/>
      <c r="U27" s="1495">
        <f t="shared" si="3"/>
        <v>7700000</v>
      </c>
      <c r="V27" s="1495">
        <f t="shared" si="4"/>
        <v>1386000</v>
      </c>
      <c r="W27" s="1495">
        <f t="shared" si="5"/>
        <v>0</v>
      </c>
      <c r="X27" s="1495">
        <f t="shared" si="6"/>
        <v>0</v>
      </c>
      <c r="Y27" s="1495">
        <f t="shared" si="7"/>
        <v>100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v>16</v>
      </c>
      <c r="B28" s="1513" t="s">
        <v>2128</v>
      </c>
      <c r="C28" s="1514" t="s">
        <v>2225</v>
      </c>
      <c r="D28" s="1514">
        <v>11</v>
      </c>
      <c r="E28" s="1513">
        <v>7700000</v>
      </c>
      <c r="F28" s="1512">
        <f t="shared" si="0"/>
        <v>1386000</v>
      </c>
      <c r="G28" s="2141">
        <v>40863</v>
      </c>
      <c r="H28" s="1511">
        <v>0.18</v>
      </c>
      <c r="I28" s="1508">
        <v>12</v>
      </c>
      <c r="J28" s="1508">
        <v>12</v>
      </c>
      <c r="K28" s="1508">
        <v>641700</v>
      </c>
      <c r="L28" s="1508">
        <f>F28/I28</f>
        <v>115500</v>
      </c>
      <c r="M28" s="1510">
        <f t="shared" si="1"/>
        <v>7700000</v>
      </c>
      <c r="N28" s="1510">
        <f>IF(J28&lt;I28,J28*L28,IF(J28&gt;=I28,F28))-115500</f>
        <v>1270500</v>
      </c>
      <c r="O28" s="1509">
        <v>7700000</v>
      </c>
      <c r="P28" s="1509">
        <v>1270500</v>
      </c>
      <c r="Q28" s="1509"/>
      <c r="R28" s="2650"/>
      <c r="S28" s="2650"/>
      <c r="T28" s="1507"/>
      <c r="U28" s="1495">
        <f t="shared" si="3"/>
        <v>7700000</v>
      </c>
      <c r="V28" s="1495">
        <f t="shared" si="4"/>
        <v>1270500</v>
      </c>
      <c r="W28" s="1495">
        <f t="shared" si="5"/>
        <v>0</v>
      </c>
      <c r="X28" s="1495">
        <f t="shared" si="6"/>
        <v>0</v>
      </c>
      <c r="Y28" s="1495">
        <f t="shared" si="7"/>
        <v>100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v>17</v>
      </c>
      <c r="B29" s="1513" t="s">
        <v>2145</v>
      </c>
      <c r="C29" s="1514" t="s">
        <v>2225</v>
      </c>
      <c r="D29" s="1514">
        <v>10</v>
      </c>
      <c r="E29" s="1513">
        <v>7000000</v>
      </c>
      <c r="F29" s="1512">
        <f t="shared" si="0"/>
        <v>1260000</v>
      </c>
      <c r="G29" s="2141">
        <v>40863</v>
      </c>
      <c r="H29" s="1511">
        <v>0.18</v>
      </c>
      <c r="I29" s="1508">
        <v>12</v>
      </c>
      <c r="J29" s="1508">
        <v>12</v>
      </c>
      <c r="K29" s="1508">
        <v>583300</v>
      </c>
      <c r="L29" s="1508">
        <f>F29/I29</f>
        <v>105000</v>
      </c>
      <c r="M29" s="1510">
        <f t="shared" si="1"/>
        <v>7000000</v>
      </c>
      <c r="N29" s="1510">
        <f>IF(J29&lt;I29,J29*L29,IF(J29&gt;=I29,F29))-105000</f>
        <v>1155000</v>
      </c>
      <c r="O29" s="1509">
        <v>7000000</v>
      </c>
      <c r="P29" s="1509">
        <v>1155000</v>
      </c>
      <c r="Q29" s="1509"/>
      <c r="R29" s="2650"/>
      <c r="S29" s="2650"/>
      <c r="T29" s="1507"/>
      <c r="U29" s="1495">
        <f t="shared" si="3"/>
        <v>7000000</v>
      </c>
      <c r="V29" s="1495">
        <f t="shared" si="4"/>
        <v>1155000</v>
      </c>
      <c r="W29" s="1495">
        <f t="shared" si="5"/>
        <v>0</v>
      </c>
      <c r="X29" s="1495">
        <f t="shared" si="6"/>
        <v>0</v>
      </c>
      <c r="Y29" s="1495">
        <f t="shared" si="7"/>
        <v>100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v>18</v>
      </c>
      <c r="B30" s="1513" t="s">
        <v>2320</v>
      </c>
      <c r="C30" s="1514" t="s">
        <v>2325</v>
      </c>
      <c r="D30" s="1514">
        <v>10</v>
      </c>
      <c r="E30" s="1513">
        <v>8000000</v>
      </c>
      <c r="F30" s="1512">
        <f t="shared" si="0"/>
        <v>1440000</v>
      </c>
      <c r="G30" s="2141">
        <v>41172</v>
      </c>
      <c r="H30" s="1511">
        <v>0.18</v>
      </c>
      <c r="I30" s="1508">
        <v>12</v>
      </c>
      <c r="J30" s="1508">
        <v>12</v>
      </c>
      <c r="K30" s="1508">
        <v>666700</v>
      </c>
      <c r="L30" s="1508">
        <v>120000</v>
      </c>
      <c r="M30" s="1510">
        <f t="shared" si="1"/>
        <v>8000000</v>
      </c>
      <c r="N30" s="2401">
        <f>IF(J30&lt;I30,J30*L30,IF(J30&gt;=I30,F30))-240000</f>
        <v>1200000</v>
      </c>
      <c r="O30" s="1509">
        <v>8000000</v>
      </c>
      <c r="P30" s="1509">
        <v>1200000</v>
      </c>
      <c r="Q30" s="1509"/>
      <c r="R30" s="2650"/>
      <c r="S30" s="2650"/>
      <c r="T30" s="1507"/>
      <c r="U30" s="1495">
        <f t="shared" si="3"/>
        <v>8000000</v>
      </c>
      <c r="V30" s="1495">
        <f t="shared" si="4"/>
        <v>1200000</v>
      </c>
      <c r="W30" s="1495">
        <f t="shared" si="5"/>
        <v>0</v>
      </c>
      <c r="X30" s="1495">
        <f t="shared" si="6"/>
        <v>0</v>
      </c>
      <c r="Y30" s="1495">
        <f t="shared" si="7"/>
        <v>100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v>19</v>
      </c>
      <c r="B31" s="1513" t="s">
        <v>2101</v>
      </c>
      <c r="C31" s="1514" t="s">
        <v>2325</v>
      </c>
      <c r="D31" s="1514">
        <v>10</v>
      </c>
      <c r="E31" s="1513">
        <v>7500000</v>
      </c>
      <c r="F31" s="1512">
        <f t="shared" si="0"/>
        <v>1350000</v>
      </c>
      <c r="G31" s="2141">
        <v>41172</v>
      </c>
      <c r="H31" s="1511">
        <v>0.18</v>
      </c>
      <c r="I31" s="1508">
        <v>12</v>
      </c>
      <c r="J31" s="1508">
        <v>12</v>
      </c>
      <c r="K31" s="1508">
        <f>E31/I31</f>
        <v>625000</v>
      </c>
      <c r="L31" s="1508">
        <f t="shared" ref="L31:L39" si="15">F31/I31</f>
        <v>112500</v>
      </c>
      <c r="M31" s="1510">
        <f t="shared" si="1"/>
        <v>7500000</v>
      </c>
      <c r="N31" s="1510">
        <f t="shared" si="2"/>
        <v>1350000</v>
      </c>
      <c r="O31" s="1509">
        <v>5019000</v>
      </c>
      <c r="P31" s="1509">
        <v>1012500</v>
      </c>
      <c r="Q31" s="1509"/>
      <c r="R31" s="2688"/>
      <c r="S31" s="2688"/>
      <c r="T31" s="1507"/>
      <c r="U31" s="1495">
        <f t="shared" si="3"/>
        <v>5019000</v>
      </c>
      <c r="V31" s="1495">
        <f t="shared" si="4"/>
        <v>1012500</v>
      </c>
      <c r="W31" s="1495">
        <f t="shared" si="5"/>
        <v>0</v>
      </c>
      <c r="X31" s="1495">
        <f t="shared" si="6"/>
        <v>2481000</v>
      </c>
      <c r="Y31" s="1495">
        <f t="shared" si="7"/>
        <v>66.92</v>
      </c>
      <c r="Z31" s="1495">
        <f t="shared" si="8"/>
        <v>2481000</v>
      </c>
      <c r="AA31" s="1506">
        <f t="shared" si="9"/>
        <v>337500</v>
      </c>
      <c r="AB31" s="1505">
        <v>7</v>
      </c>
      <c r="AC31" s="1504">
        <f t="shared" si="10"/>
        <v>0</v>
      </c>
      <c r="AD31" s="1503">
        <f t="shared" si="11"/>
        <v>0</v>
      </c>
      <c r="AE31" s="1503">
        <f t="shared" si="12"/>
        <v>0</v>
      </c>
      <c r="AF31" s="1502">
        <f t="shared" si="13"/>
        <v>2481000</v>
      </c>
    </row>
    <row r="32" spans="1:32" s="3182" customFormat="1" ht="23.25" customHeight="1">
      <c r="A32" s="1515">
        <v>20</v>
      </c>
      <c r="B32" s="1513" t="s">
        <v>2321</v>
      </c>
      <c r="C32" s="1514" t="s">
        <v>2325</v>
      </c>
      <c r="D32" s="1514">
        <v>10</v>
      </c>
      <c r="E32" s="1513">
        <v>7500000</v>
      </c>
      <c r="F32" s="1513">
        <f t="shared" si="0"/>
        <v>1350000</v>
      </c>
      <c r="G32" s="3184">
        <v>41172</v>
      </c>
      <c r="H32" s="3185">
        <v>0.18</v>
      </c>
      <c r="I32" s="1509">
        <v>12</v>
      </c>
      <c r="J32" s="1509">
        <v>12</v>
      </c>
      <c r="K32" s="1509">
        <f>E32/I32</f>
        <v>625000</v>
      </c>
      <c r="L32" s="1509">
        <f t="shared" si="15"/>
        <v>112500</v>
      </c>
      <c r="M32" s="1509">
        <f t="shared" si="1"/>
        <v>7500000</v>
      </c>
      <c r="N32" s="3090">
        <f>IF(J32&lt;I32,J32*L32,IF(J32&gt;=I32,F32))-112500</f>
        <v>1237500</v>
      </c>
      <c r="O32" s="1509">
        <v>7500000</v>
      </c>
      <c r="P32" s="1509">
        <v>1237500</v>
      </c>
      <c r="Q32" s="1509"/>
      <c r="R32" s="1509"/>
      <c r="S32" s="1509"/>
      <c r="T32" s="1513"/>
      <c r="U32" s="2176">
        <f t="shared" si="3"/>
        <v>7500000</v>
      </c>
      <c r="V32" s="2176">
        <f t="shared" si="4"/>
        <v>1237500</v>
      </c>
      <c r="W32" s="2176">
        <f t="shared" si="5"/>
        <v>0</v>
      </c>
      <c r="X32" s="2176">
        <f t="shared" si="6"/>
        <v>0</v>
      </c>
      <c r="Y32" s="2176">
        <f t="shared" si="7"/>
        <v>100</v>
      </c>
      <c r="Z32" s="2176">
        <f t="shared" si="8"/>
        <v>0</v>
      </c>
      <c r="AA32" s="3178">
        <f t="shared" si="9"/>
        <v>0</v>
      </c>
      <c r="AB32" s="1505"/>
      <c r="AC32" s="3179">
        <f t="shared" si="10"/>
        <v>0</v>
      </c>
      <c r="AD32" s="3180">
        <f t="shared" si="11"/>
        <v>0</v>
      </c>
      <c r="AE32" s="3180">
        <f t="shared" si="12"/>
        <v>0</v>
      </c>
      <c r="AF32" s="3181">
        <f t="shared" si="13"/>
        <v>0</v>
      </c>
    </row>
    <row r="33" spans="1:32" s="1474" customFormat="1" ht="23.25" customHeight="1">
      <c r="A33" s="1515">
        <v>21</v>
      </c>
      <c r="B33" s="1513" t="s">
        <v>2322</v>
      </c>
      <c r="C33" s="1514" t="s">
        <v>2325</v>
      </c>
      <c r="D33" s="1514">
        <v>7</v>
      </c>
      <c r="E33" s="1513">
        <v>6000000</v>
      </c>
      <c r="F33" s="1512">
        <f t="shared" si="0"/>
        <v>1080000</v>
      </c>
      <c r="G33" s="2141">
        <v>41172</v>
      </c>
      <c r="H33" s="1511">
        <v>0.18</v>
      </c>
      <c r="I33" s="1508">
        <v>12</v>
      </c>
      <c r="J33" s="1508">
        <v>12</v>
      </c>
      <c r="K33" s="1508">
        <f>E33/I33</f>
        <v>500000</v>
      </c>
      <c r="L33" s="1508">
        <f t="shared" si="15"/>
        <v>90000</v>
      </c>
      <c r="M33" s="1510">
        <f t="shared" si="1"/>
        <v>6000000</v>
      </c>
      <c r="N33" s="1510">
        <f t="shared" si="2"/>
        <v>1080000</v>
      </c>
      <c r="O33" s="1509">
        <v>6000000</v>
      </c>
      <c r="P33" s="1509">
        <v>1080000</v>
      </c>
      <c r="Q33" s="1509"/>
      <c r="R33" s="2650"/>
      <c r="S33" s="2650"/>
      <c r="T33" s="1507"/>
      <c r="U33" s="1495">
        <f t="shared" si="3"/>
        <v>6000000</v>
      </c>
      <c r="V33" s="1495">
        <f t="shared" si="4"/>
        <v>1080000</v>
      </c>
      <c r="W33" s="1495">
        <f t="shared" si="5"/>
        <v>0</v>
      </c>
      <c r="X33" s="1495">
        <f t="shared" si="6"/>
        <v>0</v>
      </c>
      <c r="Y33" s="1495">
        <f t="shared" si="7"/>
        <v>100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v>22</v>
      </c>
      <c r="B34" s="1513" t="s">
        <v>1911</v>
      </c>
      <c r="C34" s="1514" t="s">
        <v>2325</v>
      </c>
      <c r="D34" s="1514">
        <v>9</v>
      </c>
      <c r="E34" s="1513">
        <v>6000000</v>
      </c>
      <c r="F34" s="1512">
        <f t="shared" si="0"/>
        <v>1080000</v>
      </c>
      <c r="G34" s="2141">
        <v>41172</v>
      </c>
      <c r="H34" s="1511">
        <v>0.18</v>
      </c>
      <c r="I34" s="1508">
        <v>12</v>
      </c>
      <c r="J34" s="1508">
        <v>12</v>
      </c>
      <c r="K34" s="1508">
        <f>E34/I34</f>
        <v>500000</v>
      </c>
      <c r="L34" s="1508">
        <f t="shared" si="15"/>
        <v>90000</v>
      </c>
      <c r="M34" s="1510">
        <f t="shared" si="1"/>
        <v>6000000</v>
      </c>
      <c r="N34" s="2401">
        <f>IF(J34&lt;I34,J34*L34,IF(J34&gt;=I34,F34))-90000</f>
        <v>990000</v>
      </c>
      <c r="O34" s="1509">
        <v>6000000</v>
      </c>
      <c r="P34" s="1509">
        <v>990000</v>
      </c>
      <c r="Q34" s="1509"/>
      <c r="R34" s="2650"/>
      <c r="S34" s="2650"/>
      <c r="T34" s="1507"/>
      <c r="U34" s="1495">
        <f t="shared" si="3"/>
        <v>6000000</v>
      </c>
      <c r="V34" s="1495">
        <f t="shared" si="4"/>
        <v>990000</v>
      </c>
      <c r="W34" s="1495">
        <f t="shared" si="5"/>
        <v>0</v>
      </c>
      <c r="X34" s="1495">
        <f t="shared" si="6"/>
        <v>0</v>
      </c>
      <c r="Y34" s="1495">
        <f t="shared" si="7"/>
        <v>100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v>23</v>
      </c>
      <c r="B35" s="1513" t="s">
        <v>2323</v>
      </c>
      <c r="C35" s="1514" t="s">
        <v>2325</v>
      </c>
      <c r="D35" s="1514">
        <v>7</v>
      </c>
      <c r="E35" s="1513">
        <v>7000000</v>
      </c>
      <c r="F35" s="1512">
        <f t="shared" si="0"/>
        <v>1260000</v>
      </c>
      <c r="G35" s="2141">
        <v>41172</v>
      </c>
      <c r="H35" s="1511">
        <v>0.18</v>
      </c>
      <c r="I35" s="1508">
        <v>12</v>
      </c>
      <c r="J35" s="1508">
        <v>12</v>
      </c>
      <c r="K35" s="1508">
        <v>583300</v>
      </c>
      <c r="L35" s="1508">
        <f t="shared" si="15"/>
        <v>105000</v>
      </c>
      <c r="M35" s="1510">
        <f t="shared" si="1"/>
        <v>7000000</v>
      </c>
      <c r="N35" s="1510">
        <f t="shared" si="2"/>
        <v>1260000</v>
      </c>
      <c r="O35" s="1509">
        <v>7000000</v>
      </c>
      <c r="P35" s="1509">
        <v>1260000</v>
      </c>
      <c r="Q35" s="1509"/>
      <c r="R35" s="2650"/>
      <c r="S35" s="2650"/>
      <c r="T35" s="1507"/>
      <c r="U35" s="1495">
        <f t="shared" si="3"/>
        <v>7000000</v>
      </c>
      <c r="V35" s="1495">
        <f t="shared" si="4"/>
        <v>1260000</v>
      </c>
      <c r="W35" s="1495">
        <f t="shared" si="5"/>
        <v>0</v>
      </c>
      <c r="X35" s="1495">
        <f t="shared" si="6"/>
        <v>0</v>
      </c>
      <c r="Y35" s="1495">
        <f t="shared" si="7"/>
        <v>100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v>24</v>
      </c>
      <c r="B36" s="1513" t="s">
        <v>2324</v>
      </c>
      <c r="C36" s="1514" t="s">
        <v>2325</v>
      </c>
      <c r="D36" s="1514">
        <v>9</v>
      </c>
      <c r="E36" s="1513">
        <v>8000000</v>
      </c>
      <c r="F36" s="1512">
        <f t="shared" si="0"/>
        <v>1440000</v>
      </c>
      <c r="G36" s="2141">
        <v>41172</v>
      </c>
      <c r="H36" s="1511">
        <v>0.18</v>
      </c>
      <c r="I36" s="1508">
        <v>12</v>
      </c>
      <c r="J36" s="1508">
        <v>12</v>
      </c>
      <c r="K36" s="1508">
        <v>666700</v>
      </c>
      <c r="L36" s="1508">
        <f t="shared" si="15"/>
        <v>120000</v>
      </c>
      <c r="M36" s="1510">
        <f t="shared" si="1"/>
        <v>8000000</v>
      </c>
      <c r="N36" s="1510">
        <f t="shared" si="2"/>
        <v>1440000</v>
      </c>
      <c r="O36" s="1509">
        <v>8000000</v>
      </c>
      <c r="P36" s="1509">
        <v>1440000</v>
      </c>
      <c r="Q36" s="1509"/>
      <c r="R36" s="2650"/>
      <c r="S36" s="2650"/>
      <c r="T36" s="1507"/>
      <c r="U36" s="1495">
        <f t="shared" si="3"/>
        <v>8000000</v>
      </c>
      <c r="V36" s="1495">
        <f t="shared" si="4"/>
        <v>1440000</v>
      </c>
      <c r="W36" s="1495">
        <f t="shared" si="5"/>
        <v>0</v>
      </c>
      <c r="X36" s="1495">
        <f t="shared" si="6"/>
        <v>0</v>
      </c>
      <c r="Y36" s="1495">
        <f t="shared" si="7"/>
        <v>100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v>25</v>
      </c>
      <c r="B37" s="1513" t="s">
        <v>2592</v>
      </c>
      <c r="C37" s="1514" t="s">
        <v>2594</v>
      </c>
      <c r="D37" s="1514"/>
      <c r="E37" s="1513">
        <v>7100000</v>
      </c>
      <c r="F37" s="1512">
        <f t="shared" si="0"/>
        <v>1278000</v>
      </c>
      <c r="G37" s="2141">
        <v>41925</v>
      </c>
      <c r="H37" s="1511">
        <v>0.18</v>
      </c>
      <c r="I37" s="1508">
        <v>12</v>
      </c>
      <c r="J37" s="1508">
        <v>12</v>
      </c>
      <c r="K37" s="1508">
        <v>591700</v>
      </c>
      <c r="L37" s="1508">
        <f t="shared" si="15"/>
        <v>106500</v>
      </c>
      <c r="M37" s="1510">
        <f t="shared" si="1"/>
        <v>7100000</v>
      </c>
      <c r="N37" s="1510">
        <f t="shared" si="2"/>
        <v>1278000</v>
      </c>
      <c r="O37" s="1509">
        <v>7100000</v>
      </c>
      <c r="P37" s="1509">
        <v>1278000</v>
      </c>
      <c r="Q37" s="1509"/>
      <c r="R37" s="2837"/>
      <c r="S37" s="2837"/>
      <c r="T37" s="1507"/>
      <c r="U37" s="1495">
        <f t="shared" si="3"/>
        <v>7100000</v>
      </c>
      <c r="V37" s="1495">
        <f t="shared" si="4"/>
        <v>1278000</v>
      </c>
      <c r="W37" s="1495">
        <f t="shared" si="5"/>
        <v>0</v>
      </c>
      <c r="X37" s="1495">
        <f t="shared" si="6"/>
        <v>0</v>
      </c>
      <c r="Y37" s="1495">
        <f t="shared" si="7"/>
        <v>100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v>26</v>
      </c>
      <c r="B38" s="1513" t="s">
        <v>2593</v>
      </c>
      <c r="C38" s="1514" t="s">
        <v>2594</v>
      </c>
      <c r="D38" s="1514"/>
      <c r="E38" s="1513">
        <v>7100000</v>
      </c>
      <c r="F38" s="1512">
        <f t="shared" si="0"/>
        <v>1278000</v>
      </c>
      <c r="G38" s="2141">
        <v>41925</v>
      </c>
      <c r="H38" s="1511">
        <v>0.18</v>
      </c>
      <c r="I38" s="1508">
        <v>12</v>
      </c>
      <c r="J38" s="1508">
        <v>12</v>
      </c>
      <c r="K38" s="1508">
        <v>591700</v>
      </c>
      <c r="L38" s="1508">
        <f t="shared" si="15"/>
        <v>106500</v>
      </c>
      <c r="M38" s="1510">
        <f t="shared" si="1"/>
        <v>7100000</v>
      </c>
      <c r="N38" s="1510">
        <f t="shared" si="2"/>
        <v>1278000</v>
      </c>
      <c r="O38" s="1509">
        <v>7100000</v>
      </c>
      <c r="P38" s="1509">
        <v>1278000</v>
      </c>
      <c r="Q38" s="1509"/>
      <c r="R38" s="2837"/>
      <c r="S38" s="2837"/>
      <c r="T38" s="1507"/>
      <c r="U38" s="1495">
        <f t="shared" si="3"/>
        <v>7100000</v>
      </c>
      <c r="V38" s="1495">
        <f t="shared" si="4"/>
        <v>1278000</v>
      </c>
      <c r="W38" s="1495">
        <f t="shared" si="5"/>
        <v>0</v>
      </c>
      <c r="X38" s="1495">
        <f t="shared" si="6"/>
        <v>0</v>
      </c>
      <c r="Y38" s="1495">
        <f t="shared" si="7"/>
        <v>100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v>27</v>
      </c>
      <c r="B39" s="1513" t="s">
        <v>2611</v>
      </c>
      <c r="C39" s="1514" t="s">
        <v>2610</v>
      </c>
      <c r="D39" s="1514"/>
      <c r="E39" s="1513">
        <v>7100000</v>
      </c>
      <c r="F39" s="1512">
        <f t="shared" si="0"/>
        <v>1278000</v>
      </c>
      <c r="G39" s="2141">
        <v>41925</v>
      </c>
      <c r="H39" s="1511">
        <v>0.18</v>
      </c>
      <c r="I39" s="1508">
        <v>12</v>
      </c>
      <c r="J39" s="1508">
        <v>12</v>
      </c>
      <c r="K39" s="1508">
        <v>591700</v>
      </c>
      <c r="L39" s="1508">
        <f t="shared" si="15"/>
        <v>106500</v>
      </c>
      <c r="M39" s="1510">
        <f t="shared" si="1"/>
        <v>7100000</v>
      </c>
      <c r="N39" s="1510">
        <f>IF(J39&lt;I39,J39*L39,IF(J39&gt;=I39,F39))-1*L39</f>
        <v>1171500</v>
      </c>
      <c r="O39" s="1509">
        <v>7100000</v>
      </c>
      <c r="P39" s="1509">
        <v>1171500</v>
      </c>
      <c r="Q39" s="1509"/>
      <c r="R39" s="2837"/>
      <c r="S39" s="2837"/>
      <c r="T39" s="1507"/>
      <c r="U39" s="1495">
        <f t="shared" si="3"/>
        <v>7100000</v>
      </c>
      <c r="V39" s="1495">
        <f t="shared" si="4"/>
        <v>1171500</v>
      </c>
      <c r="W39" s="1495">
        <f t="shared" si="5"/>
        <v>0</v>
      </c>
      <c r="X39" s="1495">
        <f t="shared" si="6"/>
        <v>0</v>
      </c>
      <c r="Y39" s="1495">
        <f t="shared" si="7"/>
        <v>100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2650"/>
      <c r="S40" s="2650"/>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2650"/>
      <c r="S41" s="2650"/>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2650"/>
      <c r="S42" s="2650"/>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2650"/>
      <c r="S43" s="2650"/>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759" t="s">
        <v>934</v>
      </c>
      <c r="B48" s="3760"/>
      <c r="C48" s="3761"/>
      <c r="D48" s="2546">
        <f>SUM(D13:D46)</f>
        <v>94</v>
      </c>
      <c r="E48" s="1480">
        <f>SUM(E13:E46)</f>
        <v>197800000</v>
      </c>
      <c r="F48" s="1480">
        <f>SUM(F13:F46)</f>
        <v>35604000</v>
      </c>
      <c r="G48" s="1481"/>
      <c r="H48" s="1481"/>
      <c r="I48" s="1481"/>
      <c r="J48" s="1481"/>
      <c r="K48" s="1481"/>
      <c r="L48" s="1481"/>
      <c r="M48" s="1480">
        <f t="shared" ref="M48:X48" si="16">SUM(M13:M46)</f>
        <v>197800000</v>
      </c>
      <c r="N48" s="1480">
        <f t="shared" si="16"/>
        <v>34225500</v>
      </c>
      <c r="O48" s="1480">
        <f t="shared" si="16"/>
        <v>195319000</v>
      </c>
      <c r="P48" s="1480">
        <f t="shared" si="16"/>
        <v>33888000</v>
      </c>
      <c r="Q48" s="1480">
        <f t="shared" si="16"/>
        <v>0</v>
      </c>
      <c r="R48" s="1480">
        <f t="shared" si="16"/>
        <v>0</v>
      </c>
      <c r="S48" s="1480">
        <f t="shared" si="16"/>
        <v>0</v>
      </c>
      <c r="T48" s="1480">
        <f t="shared" si="16"/>
        <v>0</v>
      </c>
      <c r="U48" s="1480">
        <f t="shared" si="16"/>
        <v>195319000</v>
      </c>
      <c r="V48" s="1480">
        <f t="shared" si="16"/>
        <v>33888000</v>
      </c>
      <c r="W48" s="1480">
        <f t="shared" si="16"/>
        <v>0</v>
      </c>
      <c r="X48" s="1480">
        <f t="shared" si="16"/>
        <v>2481000</v>
      </c>
      <c r="Y48" s="1480">
        <f>SUM(U48/M48)*100</f>
        <v>98.745702730030331</v>
      </c>
      <c r="Z48" s="1480">
        <f>SUM(Z13:Z46)</f>
        <v>2481000</v>
      </c>
      <c r="AA48" s="1479">
        <f>SUM(AA13:AA46)</f>
        <v>337500</v>
      </c>
      <c r="AB48" s="1478"/>
      <c r="AC48" s="1566">
        <f>SUM(AC13:AC46)</f>
        <v>0</v>
      </c>
      <c r="AD48" s="1565">
        <f>SUM(AD13:AD46)</f>
        <v>0</v>
      </c>
      <c r="AE48" s="1565">
        <f>SUM(AE13:AE46)</f>
        <v>0</v>
      </c>
      <c r="AF48" s="1564">
        <f>SUM(AF13:AF46)</f>
        <v>2481000</v>
      </c>
    </row>
    <row r="49" spans="1:32" s="1461" customFormat="1" ht="17.25" thickTop="1" thickBot="1">
      <c r="A49" s="3756" t="s">
        <v>1505</v>
      </c>
      <c r="B49" s="3757"/>
      <c r="C49" s="3758"/>
      <c r="D49" s="2550">
        <f>COUNT(D13:D46)</f>
        <v>10</v>
      </c>
      <c r="E49" s="1473">
        <f>COUNT(E13:E46)</f>
        <v>27</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525" t="s">
        <v>0</v>
      </c>
      <c r="B54" s="3525"/>
      <c r="C54" s="3525"/>
      <c r="D54" s="3525"/>
      <c r="E54" s="3525"/>
      <c r="F54" s="3525"/>
      <c r="G54" s="3525"/>
      <c r="H54" s="3525"/>
      <c r="I54" s="3525"/>
      <c r="J54" s="3525"/>
      <c r="K54" s="3525"/>
      <c r="L54" s="3525"/>
      <c r="M54" s="3525"/>
      <c r="N54" s="3525"/>
      <c r="O54" s="3525"/>
      <c r="P54" s="3525"/>
      <c r="Q54" s="3525"/>
      <c r="R54" s="3525"/>
      <c r="S54" s="3525"/>
      <c r="T54" s="3525"/>
      <c r="U54" s="3525"/>
      <c r="V54" s="3525"/>
      <c r="W54" s="3525"/>
      <c r="X54" s="3525"/>
      <c r="Y54" s="3525"/>
      <c r="Z54" s="3525"/>
      <c r="AA54" s="3525"/>
      <c r="AB54" s="1562"/>
      <c r="AC54" s="1560"/>
      <c r="AD54" s="1560"/>
      <c r="AE54" s="1560"/>
      <c r="AF54" s="1560"/>
    </row>
    <row r="55" spans="1:32" s="1559" customFormat="1" ht="24.75" customHeight="1">
      <c r="A55" s="3525" t="str">
        <f>A2</f>
        <v>LAPORAN PERKEMBANGAN PINJAMAN  SPP</v>
      </c>
      <c r="B55" s="3525"/>
      <c r="C55" s="3525"/>
      <c r="D55" s="3525"/>
      <c r="E55" s="3525"/>
      <c r="F55" s="3525"/>
      <c r="G55" s="3525"/>
      <c r="H55" s="3525"/>
      <c r="I55" s="3525"/>
      <c r="J55" s="3525"/>
      <c r="K55" s="3525"/>
      <c r="L55" s="3525"/>
      <c r="M55" s="3525"/>
      <c r="N55" s="3525"/>
      <c r="O55" s="3525"/>
      <c r="P55" s="3525"/>
      <c r="Q55" s="3525"/>
      <c r="R55" s="3525"/>
      <c r="S55" s="3525"/>
      <c r="T55" s="3525"/>
      <c r="U55" s="3525"/>
      <c r="V55" s="3525"/>
      <c r="W55" s="3525"/>
      <c r="X55" s="3525"/>
      <c r="Y55" s="3525"/>
      <c r="Z55" s="3525"/>
      <c r="AA55" s="3525"/>
      <c r="AB55" s="1562"/>
      <c r="AC55" s="1560"/>
      <c r="AD55" s="1560"/>
      <c r="AE55" s="1560"/>
      <c r="AF55" s="1560"/>
    </row>
    <row r="56" spans="1:32" s="1559" customFormat="1" ht="34.5">
      <c r="A56" s="3525" t="s">
        <v>1504</v>
      </c>
      <c r="B56" s="3525"/>
      <c r="C56" s="3525"/>
      <c r="D56" s="3525"/>
      <c r="E56" s="3525"/>
      <c r="F56" s="3525"/>
      <c r="G56" s="3525"/>
      <c r="H56" s="3525"/>
      <c r="I56" s="3525"/>
      <c r="J56" s="3525"/>
      <c r="K56" s="3525"/>
      <c r="L56" s="3525"/>
      <c r="M56" s="3525"/>
      <c r="N56" s="3525"/>
      <c r="O56" s="3525"/>
      <c r="P56" s="3525"/>
      <c r="Q56" s="3525"/>
      <c r="R56" s="3525"/>
      <c r="S56" s="3525"/>
      <c r="T56" s="3525"/>
      <c r="U56" s="3525"/>
      <c r="V56" s="3525"/>
      <c r="W56" s="3525"/>
      <c r="X56" s="3525"/>
      <c r="Y56" s="3525"/>
      <c r="Z56" s="3525"/>
      <c r="AA56" s="3525"/>
      <c r="AB56" s="1561"/>
      <c r="AC56" s="1560"/>
      <c r="AD56" s="1560"/>
      <c r="AE56" s="1560"/>
      <c r="AF56" s="1560"/>
    </row>
    <row r="57" spans="1:32" s="1547" customFormat="1" ht="18.75" customHeight="1">
      <c r="A57" s="3525" t="str">
        <f>A4</f>
        <v>Per - Februari 2016 2016</v>
      </c>
      <c r="B57" s="3525"/>
      <c r="C57" s="3525"/>
      <c r="D57" s="3525"/>
      <c r="E57" s="3525"/>
      <c r="F57" s="3525"/>
      <c r="G57" s="3525"/>
      <c r="H57" s="3525"/>
      <c r="I57" s="3525"/>
      <c r="J57" s="3525"/>
      <c r="K57" s="3525"/>
      <c r="L57" s="3525"/>
      <c r="M57" s="3525"/>
      <c r="N57" s="3525"/>
      <c r="O57" s="3525"/>
      <c r="P57" s="3525"/>
      <c r="Q57" s="3525"/>
      <c r="R57" s="3525"/>
      <c r="S57" s="3525"/>
      <c r="T57" s="3525"/>
      <c r="U57" s="3525"/>
      <c r="V57" s="3525"/>
      <c r="W57" s="3525"/>
      <c r="X57" s="3525"/>
      <c r="Y57" s="3525"/>
      <c r="Z57" s="3525"/>
      <c r="AA57" s="3525"/>
      <c r="AB57" s="1556"/>
      <c r="AC57" s="1548"/>
      <c r="AD57" s="1548"/>
    </row>
    <row r="58" spans="1:32" s="1542" customFormat="1" ht="24.75" customHeight="1">
      <c r="A58" s="3653" t="s">
        <v>1503</v>
      </c>
      <c r="B58" s="3653"/>
      <c r="C58" s="3653"/>
      <c r="D58" s="1553"/>
      <c r="E58" s="1558" t="str">
        <f>E5</f>
        <v>:  KALAPAREA</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653" t="s">
        <v>1502</v>
      </c>
      <c r="B59" s="3653"/>
      <c r="C59" s="3653"/>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653" t="s">
        <v>1501</v>
      </c>
      <c r="B60" s="3653"/>
      <c r="C60" s="3653"/>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653" t="s">
        <v>1500</v>
      </c>
      <c r="B61" s="3653"/>
      <c r="C61" s="3653"/>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3" t="s">
        <v>36</v>
      </c>
      <c r="B63" s="3413" t="s">
        <v>1499</v>
      </c>
      <c r="C63" s="3413"/>
      <c r="D63" s="3413" t="s">
        <v>1498</v>
      </c>
      <c r="E63" s="3413" t="s">
        <v>1497</v>
      </c>
      <c r="F63" s="3413"/>
      <c r="G63" s="3413" t="s">
        <v>1496</v>
      </c>
      <c r="H63" s="3413" t="s">
        <v>1495</v>
      </c>
      <c r="I63" s="3413" t="s">
        <v>1494</v>
      </c>
      <c r="J63" s="3413" t="s">
        <v>1493</v>
      </c>
      <c r="K63" s="3413" t="s">
        <v>1492</v>
      </c>
      <c r="L63" s="3413"/>
      <c r="M63" s="3413" t="s">
        <v>1491</v>
      </c>
      <c r="N63" s="3413"/>
      <c r="O63" s="3413" t="s">
        <v>1490</v>
      </c>
      <c r="P63" s="3413"/>
      <c r="Q63" s="3413"/>
      <c r="R63" s="3413" t="s">
        <v>1489</v>
      </c>
      <c r="S63" s="3413"/>
      <c r="T63" s="3413"/>
      <c r="U63" s="3413" t="s">
        <v>1488</v>
      </c>
      <c r="V63" s="3413"/>
      <c r="W63" s="3413"/>
      <c r="X63" s="3413" t="s">
        <v>1487</v>
      </c>
      <c r="Y63" s="3413" t="s">
        <v>1486</v>
      </c>
      <c r="Z63" s="3413" t="s">
        <v>1485</v>
      </c>
      <c r="AA63" s="3413"/>
      <c r="AB63" s="3746" t="s">
        <v>1484</v>
      </c>
      <c r="AC63" s="1541" t="s">
        <v>1483</v>
      </c>
      <c r="AD63" s="1540" t="s">
        <v>1482</v>
      </c>
      <c r="AE63" s="1540" t="s">
        <v>1481</v>
      </c>
      <c r="AF63" s="1539" t="s">
        <v>1480</v>
      </c>
    </row>
    <row r="64" spans="1:32" s="1528" customFormat="1" ht="22.5" customHeight="1">
      <c r="A64" s="3413"/>
      <c r="B64" s="1536" t="s">
        <v>1479</v>
      </c>
      <c r="C64" s="1536" t="s">
        <v>1478</v>
      </c>
      <c r="D64" s="3413"/>
      <c r="E64" s="1537" t="s">
        <v>16</v>
      </c>
      <c r="F64" s="1537" t="s">
        <v>1476</v>
      </c>
      <c r="G64" s="3413"/>
      <c r="H64" s="3413"/>
      <c r="I64" s="3413"/>
      <c r="J64" s="3413"/>
      <c r="K64" s="3413" t="s">
        <v>16</v>
      </c>
      <c r="L64" s="3413" t="s">
        <v>1476</v>
      </c>
      <c r="M64" s="1537" t="s">
        <v>16</v>
      </c>
      <c r="N64" s="1537" t="s">
        <v>1476</v>
      </c>
      <c r="O64" s="1537" t="s">
        <v>16</v>
      </c>
      <c r="P64" s="1537" t="s">
        <v>1476</v>
      </c>
      <c r="Q64" s="1537" t="s">
        <v>1477</v>
      </c>
      <c r="R64" s="1537" t="s">
        <v>16</v>
      </c>
      <c r="S64" s="1537" t="s">
        <v>1476</v>
      </c>
      <c r="T64" s="1537" t="s">
        <v>1477</v>
      </c>
      <c r="U64" s="1537" t="s">
        <v>16</v>
      </c>
      <c r="V64" s="1537" t="s">
        <v>1476</v>
      </c>
      <c r="W64" s="1537" t="s">
        <v>1477</v>
      </c>
      <c r="X64" s="3413"/>
      <c r="Y64" s="3413"/>
      <c r="Z64" s="1537" t="s">
        <v>16</v>
      </c>
      <c r="AA64" s="2162" t="s">
        <v>1476</v>
      </c>
      <c r="AB64" s="3746"/>
      <c r="AC64" s="1531" t="s">
        <v>1475</v>
      </c>
      <c r="AD64" s="1530" t="s">
        <v>1474</v>
      </c>
      <c r="AE64" s="1530" t="s">
        <v>1473</v>
      </c>
      <c r="AF64" s="1529" t="s">
        <v>1472</v>
      </c>
    </row>
    <row r="65" spans="1:32" s="1461" customFormat="1" ht="13.5" customHeight="1" thickBot="1">
      <c r="A65" s="2162">
        <v>1</v>
      </c>
      <c r="B65" s="2162">
        <v>2</v>
      </c>
      <c r="C65" s="2162">
        <v>3</v>
      </c>
      <c r="D65" s="3413"/>
      <c r="E65" s="2162">
        <v>4</v>
      </c>
      <c r="F65" s="2162">
        <v>5</v>
      </c>
      <c r="G65" s="2162">
        <v>6</v>
      </c>
      <c r="H65" s="3413"/>
      <c r="I65" s="3413"/>
      <c r="J65" s="3413"/>
      <c r="K65" s="3413"/>
      <c r="L65" s="3413"/>
      <c r="M65" s="2162">
        <v>7</v>
      </c>
      <c r="N65" s="2162">
        <v>8</v>
      </c>
      <c r="O65" s="2162">
        <v>9</v>
      </c>
      <c r="P65" s="2162">
        <v>10</v>
      </c>
      <c r="Q65" s="2162">
        <v>11</v>
      </c>
      <c r="R65" s="2162">
        <v>12</v>
      </c>
      <c r="S65" s="2162">
        <v>13</v>
      </c>
      <c r="T65" s="2162">
        <v>14</v>
      </c>
      <c r="U65" s="2162" t="s">
        <v>1471</v>
      </c>
      <c r="V65" s="2162" t="s">
        <v>1470</v>
      </c>
      <c r="W65" s="2162" t="s">
        <v>1469</v>
      </c>
      <c r="X65" s="2162" t="s">
        <v>1468</v>
      </c>
      <c r="Y65" s="2162" t="s">
        <v>1467</v>
      </c>
      <c r="Z65" s="2162" t="s">
        <v>1466</v>
      </c>
      <c r="AA65" s="2162" t="s">
        <v>1465</v>
      </c>
      <c r="AB65" s="2920">
        <v>22</v>
      </c>
      <c r="AC65" s="1518">
        <v>23</v>
      </c>
      <c r="AD65" s="1517">
        <v>24</v>
      </c>
      <c r="AE65" s="1517">
        <v>25</v>
      </c>
      <c r="AF65" s="1516">
        <v>26</v>
      </c>
    </row>
    <row r="66" spans="1:32" s="1474" customFormat="1" ht="23.25" customHeight="1">
      <c r="A66" s="1515">
        <v>1</v>
      </c>
      <c r="B66" s="1513" t="s">
        <v>2061</v>
      </c>
      <c r="C66" s="1514" t="s">
        <v>2062</v>
      </c>
      <c r="D66" s="1514"/>
      <c r="E66" s="1513">
        <v>9000000</v>
      </c>
      <c r="F66" s="1512">
        <f t="shared" ref="F66:F218" si="17">E66*H66</f>
        <v>1620000</v>
      </c>
      <c r="G66" s="2141">
        <v>39974</v>
      </c>
      <c r="H66" s="1511">
        <v>0.18</v>
      </c>
      <c r="I66" s="1508">
        <v>12</v>
      </c>
      <c r="J66" s="1508">
        <v>12</v>
      </c>
      <c r="K66" s="1508">
        <v>750000</v>
      </c>
      <c r="L66" s="1508">
        <v>135000</v>
      </c>
      <c r="M66" s="1510">
        <f t="shared" ref="M66:M218" si="18">IF(J66&lt;I66,J66*K66,IF(J66&gt;=I66,E66))</f>
        <v>9000000</v>
      </c>
      <c r="N66" s="1510">
        <f t="shared" ref="N66:N218" si="19">IF(J66&lt;I66,J66*L66,IF(J66&gt;=I66,F66))</f>
        <v>1620000</v>
      </c>
      <c r="O66" s="1509">
        <v>9000000</v>
      </c>
      <c r="P66" s="1509">
        <v>1620000</v>
      </c>
      <c r="Q66" s="1509"/>
      <c r="R66" s="2650">
        <v>0</v>
      </c>
      <c r="S66" s="2650">
        <v>0</v>
      </c>
      <c r="T66" s="1507"/>
      <c r="U66" s="1495">
        <f t="shared" ref="U66:U218" si="20">SUM(O66+R66)</f>
        <v>9000000</v>
      </c>
      <c r="V66" s="1495">
        <f t="shared" ref="V66:V218" si="21">SUM(P66+S66)</f>
        <v>1620000</v>
      </c>
      <c r="W66" s="1495">
        <f t="shared" ref="W66:W218" si="22">SUM(Q66+T66)</f>
        <v>0</v>
      </c>
      <c r="X66" s="1495">
        <f t="shared" ref="X66:X218" si="23">SUM(E66-U66)</f>
        <v>0</v>
      </c>
      <c r="Y66" s="1495">
        <f t="shared" ref="Y66:Y218" si="24">SUM(U66/M66)*100</f>
        <v>100</v>
      </c>
      <c r="Z66" s="1495">
        <f t="shared" ref="Z66:Z218" si="25">SUM(M66-U66)</f>
        <v>0</v>
      </c>
      <c r="AA66" s="1506">
        <f t="shared" ref="AA66:AA218" si="26">SUM(N66-V66)</f>
        <v>0</v>
      </c>
      <c r="AB66" s="1505"/>
      <c r="AC66" s="1504">
        <f t="shared" ref="AC66:AC218" si="27">IF(AND(AB66&gt;0,AB66&lt;=2),X66,0)</f>
        <v>0</v>
      </c>
      <c r="AD66" s="1503">
        <f t="shared" ref="AD66:AD218" si="28">IF(AND(AB66&gt;=3,AB66&lt;=4),X66,0)</f>
        <v>0</v>
      </c>
      <c r="AE66" s="1503">
        <f t="shared" ref="AE66:AE218" si="29">IF(AND(AB66&gt;=5,AB66&lt;=6),X66,0)</f>
        <v>0</v>
      </c>
      <c r="AF66" s="1502">
        <f t="shared" ref="AF66:AF218" si="30">IF(AB66&gt;6,X66,0)</f>
        <v>0</v>
      </c>
    </row>
    <row r="67" spans="1:32" s="1474" customFormat="1" ht="23.25" customHeight="1">
      <c r="A67" s="1515">
        <f>A66+1</f>
        <v>2</v>
      </c>
      <c r="B67" s="1513" t="s">
        <v>1911</v>
      </c>
      <c r="C67" s="1514" t="s">
        <v>2062</v>
      </c>
      <c r="D67" s="1514"/>
      <c r="E67" s="1513">
        <v>7000000</v>
      </c>
      <c r="F67" s="1512">
        <f t="shared" si="17"/>
        <v>1260000</v>
      </c>
      <c r="G67" s="2141">
        <v>39974</v>
      </c>
      <c r="H67" s="1511">
        <v>0.18</v>
      </c>
      <c r="I67" s="1508">
        <v>12</v>
      </c>
      <c r="J67" s="1508">
        <v>12</v>
      </c>
      <c r="K67" s="1508">
        <v>583300</v>
      </c>
      <c r="L67" s="1508">
        <v>105000</v>
      </c>
      <c r="M67" s="1510">
        <f t="shared" si="18"/>
        <v>7000000</v>
      </c>
      <c r="N67" s="1510">
        <f t="shared" si="19"/>
        <v>1260000</v>
      </c>
      <c r="O67" s="1509">
        <v>7000000</v>
      </c>
      <c r="P67" s="1509">
        <v>1260000</v>
      </c>
      <c r="Q67" s="1509"/>
      <c r="R67" s="2650">
        <v>0</v>
      </c>
      <c r="S67" s="2650">
        <v>0</v>
      </c>
      <c r="T67" s="1507"/>
      <c r="U67" s="1495">
        <f t="shared" si="20"/>
        <v>7000000</v>
      </c>
      <c r="V67" s="1495">
        <f t="shared" si="21"/>
        <v>1260000</v>
      </c>
      <c r="W67" s="1495">
        <f t="shared" si="22"/>
        <v>0</v>
      </c>
      <c r="X67" s="1495">
        <f t="shared" si="23"/>
        <v>0</v>
      </c>
      <c r="Y67" s="1495">
        <f t="shared" si="24"/>
        <v>100</v>
      </c>
      <c r="Z67" s="1495">
        <f t="shared" si="25"/>
        <v>0</v>
      </c>
      <c r="AA67" s="1506">
        <f t="shared" si="26"/>
        <v>0</v>
      </c>
      <c r="AB67" s="1505"/>
      <c r="AC67" s="1504">
        <f t="shared" si="27"/>
        <v>0</v>
      </c>
      <c r="AD67" s="1503">
        <f t="shared" si="28"/>
        <v>0</v>
      </c>
      <c r="AE67" s="1503">
        <f t="shared" si="29"/>
        <v>0</v>
      </c>
      <c r="AF67" s="1502">
        <f t="shared" si="30"/>
        <v>0</v>
      </c>
    </row>
    <row r="68" spans="1:32" s="1474" customFormat="1" ht="23.25" customHeight="1">
      <c r="A68" s="1515">
        <f t="shared" ref="A68:A84" si="31">A67+1</f>
        <v>3</v>
      </c>
      <c r="B68" s="1513" t="s">
        <v>2063</v>
      </c>
      <c r="C68" s="1514" t="s">
        <v>2062</v>
      </c>
      <c r="D68" s="1514"/>
      <c r="E68" s="1513">
        <v>8000000</v>
      </c>
      <c r="F68" s="1512">
        <f t="shared" si="17"/>
        <v>1440000</v>
      </c>
      <c r="G68" s="2141">
        <v>40000</v>
      </c>
      <c r="H68" s="1511">
        <v>0.18</v>
      </c>
      <c r="I68" s="1508">
        <v>12</v>
      </c>
      <c r="J68" s="1508">
        <v>12</v>
      </c>
      <c r="K68" s="1508">
        <v>666700</v>
      </c>
      <c r="L68" s="1508">
        <v>120000</v>
      </c>
      <c r="M68" s="1510">
        <f t="shared" si="18"/>
        <v>8000000</v>
      </c>
      <c r="N68" s="1510">
        <f t="shared" si="19"/>
        <v>1440000</v>
      </c>
      <c r="O68" s="1509">
        <v>8000000</v>
      </c>
      <c r="P68" s="1509">
        <v>1440000</v>
      </c>
      <c r="Q68" s="1509"/>
      <c r="R68" s="2650">
        <v>0</v>
      </c>
      <c r="S68" s="2650">
        <v>0</v>
      </c>
      <c r="T68" s="1507"/>
      <c r="U68" s="1495">
        <f t="shared" si="20"/>
        <v>8000000</v>
      </c>
      <c r="V68" s="1495">
        <f t="shared" si="21"/>
        <v>1440000</v>
      </c>
      <c r="W68" s="1495">
        <f t="shared" si="22"/>
        <v>0</v>
      </c>
      <c r="X68" s="1495">
        <f t="shared" si="23"/>
        <v>0</v>
      </c>
      <c r="Y68" s="1495">
        <f t="shared" si="24"/>
        <v>100</v>
      </c>
      <c r="Z68" s="1495">
        <f t="shared" si="25"/>
        <v>0</v>
      </c>
      <c r="AA68" s="1506">
        <f t="shared" si="26"/>
        <v>0</v>
      </c>
      <c r="AB68" s="1505"/>
      <c r="AC68" s="1504">
        <f t="shared" si="27"/>
        <v>0</v>
      </c>
      <c r="AD68" s="1503">
        <f t="shared" si="28"/>
        <v>0</v>
      </c>
      <c r="AE68" s="1503">
        <f t="shared" si="29"/>
        <v>0</v>
      </c>
      <c r="AF68" s="1502">
        <f t="shared" si="30"/>
        <v>0</v>
      </c>
    </row>
    <row r="69" spans="1:32" s="1474" customFormat="1" ht="23.25" customHeight="1">
      <c r="A69" s="1515">
        <f t="shared" si="31"/>
        <v>4</v>
      </c>
      <c r="B69" s="1513" t="s">
        <v>2051</v>
      </c>
      <c r="C69" s="1514" t="s">
        <v>1928</v>
      </c>
      <c r="D69" s="1514"/>
      <c r="E69" s="1513">
        <v>10600000</v>
      </c>
      <c r="F69" s="1512">
        <f t="shared" si="17"/>
        <v>1908000</v>
      </c>
      <c r="G69" s="2141">
        <v>40182</v>
      </c>
      <c r="H69" s="1511">
        <v>0.18</v>
      </c>
      <c r="I69" s="1508">
        <v>12</v>
      </c>
      <c r="J69" s="1508">
        <v>12</v>
      </c>
      <c r="K69" s="1508">
        <v>883300</v>
      </c>
      <c r="L69" s="1508">
        <v>159000</v>
      </c>
      <c r="M69" s="1510">
        <f t="shared" si="18"/>
        <v>10600000</v>
      </c>
      <c r="N69" s="1510">
        <f t="shared" si="19"/>
        <v>1908000</v>
      </c>
      <c r="O69" s="1509">
        <v>10600000</v>
      </c>
      <c r="P69" s="1509">
        <v>1908000</v>
      </c>
      <c r="Q69" s="1509"/>
      <c r="R69" s="2650">
        <v>0</v>
      </c>
      <c r="S69" s="2650">
        <v>0</v>
      </c>
      <c r="T69" s="1507"/>
      <c r="U69" s="1495">
        <f t="shared" si="20"/>
        <v>10600000</v>
      </c>
      <c r="V69" s="1495">
        <f t="shared" si="21"/>
        <v>1908000</v>
      </c>
      <c r="W69" s="1495">
        <f t="shared" si="22"/>
        <v>0</v>
      </c>
      <c r="X69" s="1495">
        <f t="shared" si="23"/>
        <v>0</v>
      </c>
      <c r="Y69" s="1495">
        <f t="shared" si="24"/>
        <v>100</v>
      </c>
      <c r="Z69" s="1495">
        <f t="shared" si="25"/>
        <v>0</v>
      </c>
      <c r="AA69" s="1506">
        <f t="shared" si="26"/>
        <v>0</v>
      </c>
      <c r="AB69" s="1505"/>
      <c r="AC69" s="1504">
        <f t="shared" si="27"/>
        <v>0</v>
      </c>
      <c r="AD69" s="1503">
        <f t="shared" si="28"/>
        <v>0</v>
      </c>
      <c r="AE69" s="1503">
        <f t="shared" si="29"/>
        <v>0</v>
      </c>
      <c r="AF69" s="1502">
        <f t="shared" si="30"/>
        <v>0</v>
      </c>
    </row>
    <row r="70" spans="1:32" s="1474" customFormat="1" ht="23.25" customHeight="1">
      <c r="A70" s="1515">
        <f t="shared" si="31"/>
        <v>5</v>
      </c>
      <c r="B70" s="1513" t="s">
        <v>2064</v>
      </c>
      <c r="C70" s="1514" t="s">
        <v>1931</v>
      </c>
      <c r="D70" s="1514"/>
      <c r="E70" s="1513">
        <v>7000000</v>
      </c>
      <c r="F70" s="1512">
        <f t="shared" si="17"/>
        <v>1260000</v>
      </c>
      <c r="G70" s="2141">
        <v>40246</v>
      </c>
      <c r="H70" s="1511">
        <v>0.18</v>
      </c>
      <c r="I70" s="1508">
        <v>12</v>
      </c>
      <c r="J70" s="1508">
        <v>12</v>
      </c>
      <c r="K70" s="1508">
        <v>583300</v>
      </c>
      <c r="L70" s="1508">
        <v>105000</v>
      </c>
      <c r="M70" s="1510">
        <f t="shared" si="18"/>
        <v>7000000</v>
      </c>
      <c r="N70" s="1510">
        <f t="shared" si="19"/>
        <v>1260000</v>
      </c>
      <c r="O70" s="1509">
        <v>7000000</v>
      </c>
      <c r="P70" s="1509">
        <v>1260000</v>
      </c>
      <c r="Q70" s="1509"/>
      <c r="R70" s="2650"/>
      <c r="S70" s="2650"/>
      <c r="T70" s="1507"/>
      <c r="U70" s="1495">
        <f t="shared" si="20"/>
        <v>7000000</v>
      </c>
      <c r="V70" s="1495">
        <f t="shared" si="21"/>
        <v>1260000</v>
      </c>
      <c r="W70" s="1495">
        <f t="shared" si="22"/>
        <v>0</v>
      </c>
      <c r="X70" s="1495">
        <f t="shared" si="23"/>
        <v>0</v>
      </c>
      <c r="Y70" s="1495">
        <f t="shared" si="24"/>
        <v>100</v>
      </c>
      <c r="Z70" s="1495">
        <f t="shared" si="25"/>
        <v>0</v>
      </c>
      <c r="AA70" s="1506">
        <f t="shared" si="26"/>
        <v>0</v>
      </c>
      <c r="AB70" s="1505"/>
      <c r="AC70" s="1504">
        <f t="shared" si="27"/>
        <v>0</v>
      </c>
      <c r="AD70" s="1503">
        <f t="shared" si="28"/>
        <v>0</v>
      </c>
      <c r="AE70" s="1503">
        <f t="shared" si="29"/>
        <v>0</v>
      </c>
      <c r="AF70" s="1502">
        <f t="shared" si="30"/>
        <v>0</v>
      </c>
    </row>
    <row r="71" spans="1:32" s="1474" customFormat="1" ht="23.25" customHeight="1">
      <c r="A71" s="1515">
        <f t="shared" si="31"/>
        <v>6</v>
      </c>
      <c r="B71" s="1513" t="s">
        <v>2052</v>
      </c>
      <c r="C71" s="1514" t="s">
        <v>1932</v>
      </c>
      <c r="D71" s="1514"/>
      <c r="E71" s="1513">
        <v>10000000</v>
      </c>
      <c r="F71" s="1512">
        <f t="shared" si="17"/>
        <v>1800000</v>
      </c>
      <c r="G71" s="2141">
        <v>40338</v>
      </c>
      <c r="H71" s="1511">
        <v>0.18</v>
      </c>
      <c r="I71" s="1508">
        <v>12</v>
      </c>
      <c r="J71" s="1508">
        <v>12</v>
      </c>
      <c r="K71" s="1508">
        <v>833300</v>
      </c>
      <c r="L71" s="1508">
        <v>150000</v>
      </c>
      <c r="M71" s="1510">
        <f t="shared" si="18"/>
        <v>10000000</v>
      </c>
      <c r="N71" s="1510">
        <f t="shared" si="19"/>
        <v>1800000</v>
      </c>
      <c r="O71" s="1509">
        <v>10000000</v>
      </c>
      <c r="P71" s="1509">
        <v>1800000</v>
      </c>
      <c r="Q71" s="1509"/>
      <c r="R71" s="2650"/>
      <c r="S71" s="2650"/>
      <c r="T71" s="1507"/>
      <c r="U71" s="1495">
        <f t="shared" si="20"/>
        <v>10000000</v>
      </c>
      <c r="V71" s="1495">
        <f t="shared" si="21"/>
        <v>1800000</v>
      </c>
      <c r="W71" s="1495">
        <f t="shared" si="22"/>
        <v>0</v>
      </c>
      <c r="X71" s="1495">
        <f t="shared" si="23"/>
        <v>0</v>
      </c>
      <c r="Y71" s="1495">
        <f t="shared" si="24"/>
        <v>100</v>
      </c>
      <c r="Z71" s="1495">
        <f t="shared" si="25"/>
        <v>0</v>
      </c>
      <c r="AA71" s="1506">
        <f t="shared" si="26"/>
        <v>0</v>
      </c>
      <c r="AB71" s="1505"/>
      <c r="AC71" s="1504">
        <f t="shared" si="27"/>
        <v>0</v>
      </c>
      <c r="AD71" s="1503">
        <f t="shared" si="28"/>
        <v>0</v>
      </c>
      <c r="AE71" s="1503">
        <f t="shared" si="29"/>
        <v>0</v>
      </c>
      <c r="AF71" s="1502">
        <f t="shared" si="30"/>
        <v>0</v>
      </c>
    </row>
    <row r="72" spans="1:32" s="1474" customFormat="1" ht="23.25" customHeight="1">
      <c r="A72" s="1515">
        <f t="shared" si="31"/>
        <v>7</v>
      </c>
      <c r="B72" s="1513" t="s">
        <v>2053</v>
      </c>
      <c r="C72" s="1514" t="s">
        <v>1932</v>
      </c>
      <c r="D72" s="1514"/>
      <c r="E72" s="1513">
        <v>6000000</v>
      </c>
      <c r="F72" s="1512">
        <f t="shared" si="17"/>
        <v>1080000</v>
      </c>
      <c r="G72" s="2141">
        <v>40338</v>
      </c>
      <c r="H72" s="1511">
        <v>0.18</v>
      </c>
      <c r="I72" s="1508">
        <v>12</v>
      </c>
      <c r="J72" s="1508">
        <v>12</v>
      </c>
      <c r="K72" s="1508">
        <v>500000</v>
      </c>
      <c r="L72" s="1508">
        <v>90000</v>
      </c>
      <c r="M72" s="1510">
        <f t="shared" si="18"/>
        <v>6000000</v>
      </c>
      <c r="N72" s="1510">
        <f t="shared" si="19"/>
        <v>1080000</v>
      </c>
      <c r="O72" s="1509">
        <v>6000000</v>
      </c>
      <c r="P72" s="1509">
        <v>1080000</v>
      </c>
      <c r="Q72" s="1509"/>
      <c r="R72" s="2650"/>
      <c r="S72" s="2650"/>
      <c r="T72" s="1507"/>
      <c r="U72" s="1495">
        <f t="shared" si="20"/>
        <v>6000000</v>
      </c>
      <c r="V72" s="1495">
        <f t="shared" si="21"/>
        <v>1080000</v>
      </c>
      <c r="W72" s="1495">
        <f t="shared" si="22"/>
        <v>0</v>
      </c>
      <c r="X72" s="1495">
        <f t="shared" si="23"/>
        <v>0</v>
      </c>
      <c r="Y72" s="1495">
        <f t="shared" si="24"/>
        <v>100</v>
      </c>
      <c r="Z72" s="1495">
        <f t="shared" si="25"/>
        <v>0</v>
      </c>
      <c r="AA72" s="1506">
        <f t="shared" si="26"/>
        <v>0</v>
      </c>
      <c r="AB72" s="1505"/>
      <c r="AC72" s="1504">
        <f t="shared" si="27"/>
        <v>0</v>
      </c>
      <c r="AD72" s="1503">
        <f t="shared" si="28"/>
        <v>0</v>
      </c>
      <c r="AE72" s="1503">
        <f t="shared" si="29"/>
        <v>0</v>
      </c>
      <c r="AF72" s="1502">
        <f t="shared" si="30"/>
        <v>0</v>
      </c>
    </row>
    <row r="73" spans="1:32" s="1474" customFormat="1" ht="23.25" customHeight="1">
      <c r="A73" s="1515">
        <f t="shared" si="31"/>
        <v>8</v>
      </c>
      <c r="B73" s="1513" t="s">
        <v>2061</v>
      </c>
      <c r="C73" s="1514" t="s">
        <v>1932</v>
      </c>
      <c r="D73" s="1514"/>
      <c r="E73" s="1513">
        <v>15000000</v>
      </c>
      <c r="F73" s="1512">
        <f t="shared" si="17"/>
        <v>2700000</v>
      </c>
      <c r="G73" s="2141">
        <v>40338</v>
      </c>
      <c r="H73" s="1511">
        <v>0.18</v>
      </c>
      <c r="I73" s="1508">
        <v>12</v>
      </c>
      <c r="J73" s="1508">
        <v>12</v>
      </c>
      <c r="K73" s="1508">
        <v>1250000</v>
      </c>
      <c r="L73" s="1508">
        <v>225000</v>
      </c>
      <c r="M73" s="1510">
        <f t="shared" si="18"/>
        <v>15000000</v>
      </c>
      <c r="N73" s="1510">
        <f t="shared" si="19"/>
        <v>2700000</v>
      </c>
      <c r="O73" s="1509">
        <v>15000000</v>
      </c>
      <c r="P73" s="1509">
        <v>2700000</v>
      </c>
      <c r="Q73" s="1509"/>
      <c r="R73" s="2650"/>
      <c r="S73" s="2650"/>
      <c r="T73" s="1507"/>
      <c r="U73" s="1495">
        <f t="shared" si="20"/>
        <v>15000000</v>
      </c>
      <c r="V73" s="1495">
        <f t="shared" si="21"/>
        <v>2700000</v>
      </c>
      <c r="W73" s="1495">
        <f t="shared" si="22"/>
        <v>0</v>
      </c>
      <c r="X73" s="1495">
        <f t="shared" si="23"/>
        <v>0</v>
      </c>
      <c r="Y73" s="1495">
        <f t="shared" si="24"/>
        <v>100</v>
      </c>
      <c r="Z73" s="1495">
        <f t="shared" si="25"/>
        <v>0</v>
      </c>
      <c r="AA73" s="1506">
        <f t="shared" si="26"/>
        <v>0</v>
      </c>
      <c r="AB73" s="1505"/>
      <c r="AC73" s="1504">
        <f t="shared" si="27"/>
        <v>0</v>
      </c>
      <c r="AD73" s="1503">
        <f t="shared" si="28"/>
        <v>0</v>
      </c>
      <c r="AE73" s="1503">
        <f t="shared" si="29"/>
        <v>0</v>
      </c>
      <c r="AF73" s="1502">
        <f t="shared" si="30"/>
        <v>0</v>
      </c>
    </row>
    <row r="74" spans="1:32" s="1474" customFormat="1" ht="23.25" customHeight="1">
      <c r="A74" s="1515">
        <f t="shared" si="31"/>
        <v>9</v>
      </c>
      <c r="B74" s="1513" t="s">
        <v>1957</v>
      </c>
      <c r="C74" s="1514" t="s">
        <v>1932</v>
      </c>
      <c r="D74" s="1514"/>
      <c r="E74" s="1513">
        <v>15000000</v>
      </c>
      <c r="F74" s="1512">
        <f t="shared" si="17"/>
        <v>2700000</v>
      </c>
      <c r="G74" s="2141">
        <v>40338</v>
      </c>
      <c r="H74" s="1511">
        <v>0.18</v>
      </c>
      <c r="I74" s="1508">
        <v>12</v>
      </c>
      <c r="J74" s="1508">
        <v>12</v>
      </c>
      <c r="K74" s="1508">
        <v>1250000</v>
      </c>
      <c r="L74" s="1508">
        <v>225000</v>
      </c>
      <c r="M74" s="1510">
        <f t="shared" si="18"/>
        <v>15000000</v>
      </c>
      <c r="N74" s="1510">
        <f t="shared" si="19"/>
        <v>2700000</v>
      </c>
      <c r="O74" s="1509">
        <v>15000000</v>
      </c>
      <c r="P74" s="1509">
        <v>2700000</v>
      </c>
      <c r="Q74" s="1509"/>
      <c r="R74" s="2650"/>
      <c r="S74" s="2650"/>
      <c r="T74" s="1507"/>
      <c r="U74" s="1495">
        <f t="shared" si="20"/>
        <v>15000000</v>
      </c>
      <c r="V74" s="1495">
        <f t="shared" si="21"/>
        <v>2700000</v>
      </c>
      <c r="W74" s="1495">
        <f t="shared" si="22"/>
        <v>0</v>
      </c>
      <c r="X74" s="1495">
        <f t="shared" si="23"/>
        <v>0</v>
      </c>
      <c r="Y74" s="1495">
        <f t="shared" si="24"/>
        <v>100</v>
      </c>
      <c r="Z74" s="1495">
        <f t="shared" si="25"/>
        <v>0</v>
      </c>
      <c r="AA74" s="1506">
        <f t="shared" si="26"/>
        <v>0</v>
      </c>
      <c r="AB74" s="1505"/>
      <c r="AC74" s="1504">
        <f t="shared" si="27"/>
        <v>0</v>
      </c>
      <c r="AD74" s="1503">
        <f t="shared" si="28"/>
        <v>0</v>
      </c>
      <c r="AE74" s="1503">
        <f t="shared" si="29"/>
        <v>0</v>
      </c>
      <c r="AF74" s="1502">
        <f t="shared" si="30"/>
        <v>0</v>
      </c>
    </row>
    <row r="75" spans="1:32" s="1474" customFormat="1" ht="23.25" customHeight="1">
      <c r="A75" s="1515">
        <f t="shared" si="31"/>
        <v>10</v>
      </c>
      <c r="B75" s="1513" t="s">
        <v>2063</v>
      </c>
      <c r="C75" s="1514" t="s">
        <v>1932</v>
      </c>
      <c r="D75" s="1514"/>
      <c r="E75" s="1513">
        <v>15000000</v>
      </c>
      <c r="F75" s="1512">
        <f t="shared" si="17"/>
        <v>2700000</v>
      </c>
      <c r="G75" s="2141">
        <v>40338</v>
      </c>
      <c r="H75" s="1511">
        <v>0.18</v>
      </c>
      <c r="I75" s="1508">
        <v>12</v>
      </c>
      <c r="J75" s="1508">
        <v>12</v>
      </c>
      <c r="K75" s="1508">
        <v>1250000</v>
      </c>
      <c r="L75" s="1508">
        <v>225000</v>
      </c>
      <c r="M75" s="1510">
        <f t="shared" si="18"/>
        <v>15000000</v>
      </c>
      <c r="N75" s="1510">
        <f t="shared" si="19"/>
        <v>2700000</v>
      </c>
      <c r="O75" s="1509">
        <v>15000000</v>
      </c>
      <c r="P75" s="1509">
        <v>2700000</v>
      </c>
      <c r="Q75" s="1509"/>
      <c r="R75" s="2650"/>
      <c r="S75" s="2650"/>
      <c r="T75" s="1507"/>
      <c r="U75" s="1495">
        <f t="shared" si="20"/>
        <v>15000000</v>
      </c>
      <c r="V75" s="1495">
        <f t="shared" si="21"/>
        <v>2700000</v>
      </c>
      <c r="W75" s="1495">
        <f t="shared" si="22"/>
        <v>0</v>
      </c>
      <c r="X75" s="1495">
        <f t="shared" si="23"/>
        <v>0</v>
      </c>
      <c r="Y75" s="1495">
        <f t="shared" si="24"/>
        <v>100</v>
      </c>
      <c r="Z75" s="1495">
        <f t="shared" si="25"/>
        <v>0</v>
      </c>
      <c r="AA75" s="1506">
        <f t="shared" si="26"/>
        <v>0</v>
      </c>
      <c r="AB75" s="1505"/>
      <c r="AC75" s="1504">
        <f t="shared" si="27"/>
        <v>0</v>
      </c>
      <c r="AD75" s="1503">
        <f t="shared" si="28"/>
        <v>0</v>
      </c>
      <c r="AE75" s="1503">
        <f t="shared" si="29"/>
        <v>0</v>
      </c>
      <c r="AF75" s="1502">
        <f t="shared" si="30"/>
        <v>0</v>
      </c>
    </row>
    <row r="76" spans="1:32" s="1474" customFormat="1" ht="23.25" customHeight="1">
      <c r="A76" s="1515">
        <v>11</v>
      </c>
      <c r="B76" s="1513" t="s">
        <v>2054</v>
      </c>
      <c r="C76" s="1514" t="s">
        <v>1935</v>
      </c>
      <c r="D76" s="1514"/>
      <c r="E76" s="1513">
        <v>12000000</v>
      </c>
      <c r="F76" s="1512">
        <f t="shared" si="17"/>
        <v>2160000</v>
      </c>
      <c r="G76" s="2141">
        <v>40520</v>
      </c>
      <c r="H76" s="1511">
        <v>0.18</v>
      </c>
      <c r="I76" s="1508">
        <v>12</v>
      </c>
      <c r="J76" s="2404">
        <v>12</v>
      </c>
      <c r="K76" s="1508">
        <v>1000000</v>
      </c>
      <c r="L76" s="1508">
        <v>180000</v>
      </c>
      <c r="M76" s="1510">
        <f t="shared" si="18"/>
        <v>12000000</v>
      </c>
      <c r="N76" s="2401">
        <f>IF(J76&lt;I76,J76*L76,IF(J76&gt;=I76,F76))-180000</f>
        <v>1980000</v>
      </c>
      <c r="O76" s="1509">
        <v>12000000</v>
      </c>
      <c r="P76" s="1509">
        <v>1980000</v>
      </c>
      <c r="Q76" s="1509"/>
      <c r="R76" s="2650"/>
      <c r="S76" s="2650"/>
      <c r="T76" s="1507"/>
      <c r="U76" s="1495">
        <f t="shared" si="20"/>
        <v>12000000</v>
      </c>
      <c r="V76" s="1495">
        <f t="shared" si="21"/>
        <v>1980000</v>
      </c>
      <c r="W76" s="1495">
        <f t="shared" si="22"/>
        <v>0</v>
      </c>
      <c r="X76" s="1495">
        <f t="shared" si="23"/>
        <v>0</v>
      </c>
      <c r="Y76" s="1495">
        <f t="shared" si="24"/>
        <v>100</v>
      </c>
      <c r="Z76" s="1495">
        <f t="shared" si="25"/>
        <v>0</v>
      </c>
      <c r="AA76" s="1506">
        <f t="shared" si="26"/>
        <v>0</v>
      </c>
      <c r="AB76" s="1505"/>
      <c r="AC76" s="1504">
        <f t="shared" si="27"/>
        <v>0</v>
      </c>
      <c r="AD76" s="1503">
        <f t="shared" si="28"/>
        <v>0</v>
      </c>
      <c r="AE76" s="1503">
        <f t="shared" si="29"/>
        <v>0</v>
      </c>
      <c r="AF76" s="1502">
        <f t="shared" si="30"/>
        <v>0</v>
      </c>
    </row>
    <row r="77" spans="1:32" s="1474" customFormat="1" ht="23.25" customHeight="1">
      <c r="A77" s="1515">
        <f t="shared" si="31"/>
        <v>12</v>
      </c>
      <c r="B77" s="1513" t="s">
        <v>2056</v>
      </c>
      <c r="C77" s="1514" t="s">
        <v>1935</v>
      </c>
      <c r="D77" s="1514"/>
      <c r="E77" s="1513">
        <v>15000000</v>
      </c>
      <c r="F77" s="1512">
        <f t="shared" si="17"/>
        <v>2700000</v>
      </c>
      <c r="G77" s="2141">
        <v>40522</v>
      </c>
      <c r="H77" s="1511">
        <v>0.18</v>
      </c>
      <c r="I77" s="1508">
        <v>12</v>
      </c>
      <c r="J77" s="2404">
        <v>12</v>
      </c>
      <c r="K77" s="1508">
        <v>1250000</v>
      </c>
      <c r="L77" s="1508">
        <v>225000</v>
      </c>
      <c r="M77" s="1510">
        <f t="shared" si="18"/>
        <v>15000000</v>
      </c>
      <c r="N77" s="2401">
        <f>IF(J77&lt;I77,J77*L77,IF(J77&gt;=I77,F77))-225000</f>
        <v>2475000</v>
      </c>
      <c r="O77" s="1509">
        <v>15000000</v>
      </c>
      <c r="P77" s="1509">
        <v>2475000</v>
      </c>
      <c r="Q77" s="1509"/>
      <c r="R77" s="2650"/>
      <c r="S77" s="2650"/>
      <c r="T77" s="1507"/>
      <c r="U77" s="1495">
        <f t="shared" si="20"/>
        <v>15000000</v>
      </c>
      <c r="V77" s="1495">
        <f t="shared" si="21"/>
        <v>2475000</v>
      </c>
      <c r="W77" s="1495">
        <f t="shared" si="22"/>
        <v>0</v>
      </c>
      <c r="X77" s="1495">
        <f t="shared" si="23"/>
        <v>0</v>
      </c>
      <c r="Y77" s="1495">
        <f t="shared" si="24"/>
        <v>100</v>
      </c>
      <c r="Z77" s="1495">
        <f t="shared" si="25"/>
        <v>0</v>
      </c>
      <c r="AA77" s="1506">
        <f t="shared" si="26"/>
        <v>0</v>
      </c>
      <c r="AB77" s="1505"/>
      <c r="AC77" s="1504">
        <f t="shared" si="27"/>
        <v>0</v>
      </c>
      <c r="AD77" s="1503">
        <f t="shared" si="28"/>
        <v>0</v>
      </c>
      <c r="AE77" s="1503">
        <f t="shared" si="29"/>
        <v>0</v>
      </c>
      <c r="AF77" s="1502">
        <f t="shared" si="30"/>
        <v>0</v>
      </c>
    </row>
    <row r="78" spans="1:32" s="1474" customFormat="1" ht="23.25" customHeight="1">
      <c r="A78" s="1515">
        <f t="shared" si="31"/>
        <v>13</v>
      </c>
      <c r="B78" s="1513" t="s">
        <v>2065</v>
      </c>
      <c r="C78" s="1514" t="s">
        <v>1935</v>
      </c>
      <c r="D78" s="1514"/>
      <c r="E78" s="1513">
        <v>13000000</v>
      </c>
      <c r="F78" s="1512">
        <f t="shared" si="17"/>
        <v>2340000</v>
      </c>
      <c r="G78" s="2141">
        <v>40548</v>
      </c>
      <c r="H78" s="1511">
        <v>0.18</v>
      </c>
      <c r="I78" s="1508">
        <v>12</v>
      </c>
      <c r="J78" s="1508">
        <v>12</v>
      </c>
      <c r="K78" s="1508">
        <v>1083300</v>
      </c>
      <c r="L78" s="1508">
        <v>195000</v>
      </c>
      <c r="M78" s="1510">
        <f t="shared" si="18"/>
        <v>13000000</v>
      </c>
      <c r="N78" s="1510">
        <f t="shared" si="19"/>
        <v>2340000</v>
      </c>
      <c r="O78" s="1509">
        <v>13000000</v>
      </c>
      <c r="P78" s="1509">
        <v>2340000</v>
      </c>
      <c r="Q78" s="1509"/>
      <c r="R78" s="2650"/>
      <c r="S78" s="2650"/>
      <c r="T78" s="1507"/>
      <c r="U78" s="1495">
        <f t="shared" si="20"/>
        <v>13000000</v>
      </c>
      <c r="V78" s="1495">
        <f t="shared" si="21"/>
        <v>2340000</v>
      </c>
      <c r="W78" s="1495">
        <f t="shared" si="22"/>
        <v>0</v>
      </c>
      <c r="X78" s="1495">
        <f t="shared" si="23"/>
        <v>0</v>
      </c>
      <c r="Y78" s="1495">
        <f t="shared" si="24"/>
        <v>100</v>
      </c>
      <c r="Z78" s="1495">
        <f t="shared" si="25"/>
        <v>0</v>
      </c>
      <c r="AA78" s="1506">
        <f t="shared" si="26"/>
        <v>0</v>
      </c>
      <c r="AB78" s="1505"/>
      <c r="AC78" s="1504">
        <f t="shared" si="27"/>
        <v>0</v>
      </c>
      <c r="AD78" s="1503">
        <f t="shared" si="28"/>
        <v>0</v>
      </c>
      <c r="AE78" s="1503">
        <f t="shared" si="29"/>
        <v>0</v>
      </c>
      <c r="AF78" s="1502">
        <f t="shared" si="30"/>
        <v>0</v>
      </c>
    </row>
    <row r="79" spans="1:32" s="1474" customFormat="1" ht="23.25" customHeight="1">
      <c r="A79" s="1515">
        <f t="shared" si="31"/>
        <v>14</v>
      </c>
      <c r="B79" s="1513" t="s">
        <v>2066</v>
      </c>
      <c r="C79" s="1514" t="s">
        <v>1935</v>
      </c>
      <c r="D79" s="1514"/>
      <c r="E79" s="1513">
        <v>12000000</v>
      </c>
      <c r="F79" s="1512">
        <f t="shared" si="17"/>
        <v>2160000</v>
      </c>
      <c r="G79" s="2141">
        <v>40548</v>
      </c>
      <c r="H79" s="1511">
        <v>0.18</v>
      </c>
      <c r="I79" s="1508">
        <v>12</v>
      </c>
      <c r="J79" s="1508">
        <v>12</v>
      </c>
      <c r="K79" s="1508">
        <v>1000000</v>
      </c>
      <c r="L79" s="1508">
        <v>180000</v>
      </c>
      <c r="M79" s="1510">
        <f t="shared" si="18"/>
        <v>12000000</v>
      </c>
      <c r="N79" s="1510">
        <f t="shared" si="19"/>
        <v>2160000</v>
      </c>
      <c r="O79" s="1509">
        <v>12000000</v>
      </c>
      <c r="P79" s="1509">
        <v>2160000</v>
      </c>
      <c r="Q79" s="1509"/>
      <c r="R79" s="2650"/>
      <c r="S79" s="2650"/>
      <c r="T79" s="1507"/>
      <c r="U79" s="1495">
        <f t="shared" si="20"/>
        <v>12000000</v>
      </c>
      <c r="V79" s="1495">
        <f t="shared" si="21"/>
        <v>2160000</v>
      </c>
      <c r="W79" s="1495">
        <f t="shared" si="22"/>
        <v>0</v>
      </c>
      <c r="X79" s="1495">
        <f t="shared" si="23"/>
        <v>0</v>
      </c>
      <c r="Y79" s="1495">
        <f t="shared" si="24"/>
        <v>100</v>
      </c>
      <c r="Z79" s="1495">
        <f t="shared" si="25"/>
        <v>0</v>
      </c>
      <c r="AA79" s="1506">
        <f t="shared" si="26"/>
        <v>0</v>
      </c>
      <c r="AB79" s="1505"/>
      <c r="AC79" s="1504">
        <f t="shared" si="27"/>
        <v>0</v>
      </c>
      <c r="AD79" s="1503">
        <f t="shared" si="28"/>
        <v>0</v>
      </c>
      <c r="AE79" s="1503">
        <f t="shared" si="29"/>
        <v>0</v>
      </c>
      <c r="AF79" s="1502">
        <f t="shared" si="30"/>
        <v>0</v>
      </c>
    </row>
    <row r="80" spans="1:32" s="1474" customFormat="1" ht="23.25" customHeight="1">
      <c r="A80" s="1515">
        <f t="shared" si="31"/>
        <v>15</v>
      </c>
      <c r="B80" s="1513" t="s">
        <v>2051</v>
      </c>
      <c r="C80" s="1514" t="s">
        <v>1940</v>
      </c>
      <c r="D80" s="1514"/>
      <c r="E80" s="1513">
        <v>20000000</v>
      </c>
      <c r="F80" s="1512">
        <f t="shared" si="17"/>
        <v>3600000</v>
      </c>
      <c r="G80" s="2141">
        <v>40590</v>
      </c>
      <c r="H80" s="1511">
        <v>0.18</v>
      </c>
      <c r="I80" s="1508">
        <v>12</v>
      </c>
      <c r="J80" s="2404">
        <v>12</v>
      </c>
      <c r="K80" s="1508">
        <v>1666700</v>
      </c>
      <c r="L80" s="1508">
        <v>300000</v>
      </c>
      <c r="M80" s="1510">
        <f t="shared" si="18"/>
        <v>20000000</v>
      </c>
      <c r="N80" s="2401">
        <f>IF(J80&lt;I80,J80*L80,IF(J80&gt;=I80,F80))-300000</f>
        <v>3300000</v>
      </c>
      <c r="O80" s="1509">
        <v>20000000</v>
      </c>
      <c r="P80" s="1509">
        <v>3300000</v>
      </c>
      <c r="Q80" s="1509"/>
      <c r="R80" s="2650"/>
      <c r="S80" s="2650"/>
      <c r="T80" s="1507"/>
      <c r="U80" s="1495">
        <f t="shared" si="20"/>
        <v>20000000</v>
      </c>
      <c r="V80" s="1495">
        <f t="shared" si="21"/>
        <v>3300000</v>
      </c>
      <c r="W80" s="1495">
        <f t="shared" si="22"/>
        <v>0</v>
      </c>
      <c r="X80" s="1495">
        <f t="shared" si="23"/>
        <v>0</v>
      </c>
      <c r="Y80" s="1495">
        <f t="shared" si="24"/>
        <v>100</v>
      </c>
      <c r="Z80" s="1495">
        <f t="shared" si="25"/>
        <v>0</v>
      </c>
      <c r="AA80" s="1506">
        <f t="shared" si="26"/>
        <v>0</v>
      </c>
      <c r="AB80" s="1505"/>
      <c r="AC80" s="1504">
        <f t="shared" si="27"/>
        <v>0</v>
      </c>
      <c r="AD80" s="1503">
        <f t="shared" si="28"/>
        <v>0</v>
      </c>
      <c r="AE80" s="1503">
        <f t="shared" si="29"/>
        <v>0</v>
      </c>
      <c r="AF80" s="1502">
        <f t="shared" si="30"/>
        <v>0</v>
      </c>
    </row>
    <row r="81" spans="1:32" s="1474" customFormat="1" ht="23.25" customHeight="1">
      <c r="A81" s="1515">
        <f t="shared" si="31"/>
        <v>16</v>
      </c>
      <c r="B81" s="1513" t="s">
        <v>1991</v>
      </c>
      <c r="C81" s="1514" t="s">
        <v>1940</v>
      </c>
      <c r="D81" s="1514"/>
      <c r="E81" s="1513">
        <v>10000000</v>
      </c>
      <c r="F81" s="1512">
        <f t="shared" si="17"/>
        <v>1800000</v>
      </c>
      <c r="G81" s="2141">
        <v>40596</v>
      </c>
      <c r="H81" s="1511">
        <v>0.18</v>
      </c>
      <c r="I81" s="1508">
        <v>12</v>
      </c>
      <c r="J81" s="2404">
        <v>12</v>
      </c>
      <c r="K81" s="1508">
        <v>833300</v>
      </c>
      <c r="L81" s="1508">
        <v>150000</v>
      </c>
      <c r="M81" s="1510">
        <f t="shared" si="18"/>
        <v>10000000</v>
      </c>
      <c r="N81" s="2401">
        <f>IF(J81&lt;I81,J81*L81,IF(J81&gt;=I81,F81))-150000</f>
        <v>1650000</v>
      </c>
      <c r="O81" s="1509">
        <v>10000000</v>
      </c>
      <c r="P81" s="1509">
        <v>1650000</v>
      </c>
      <c r="Q81" s="1509"/>
      <c r="R81" s="2650"/>
      <c r="S81" s="2650"/>
      <c r="T81" s="1507"/>
      <c r="U81" s="1495">
        <f t="shared" si="20"/>
        <v>10000000</v>
      </c>
      <c r="V81" s="1495">
        <f t="shared" si="21"/>
        <v>1650000</v>
      </c>
      <c r="W81" s="1495">
        <f t="shared" si="22"/>
        <v>0</v>
      </c>
      <c r="X81" s="1495">
        <f t="shared" si="23"/>
        <v>0</v>
      </c>
      <c r="Y81" s="1495">
        <f t="shared" si="24"/>
        <v>100</v>
      </c>
      <c r="Z81" s="1495">
        <f t="shared" si="25"/>
        <v>0</v>
      </c>
      <c r="AA81" s="1506">
        <f t="shared" si="26"/>
        <v>0</v>
      </c>
      <c r="AB81" s="1505"/>
      <c r="AC81" s="1504">
        <f t="shared" si="27"/>
        <v>0</v>
      </c>
      <c r="AD81" s="1503">
        <f t="shared" si="28"/>
        <v>0</v>
      </c>
      <c r="AE81" s="1503">
        <f t="shared" si="29"/>
        <v>0</v>
      </c>
      <c r="AF81" s="1502">
        <f t="shared" si="30"/>
        <v>0</v>
      </c>
    </row>
    <row r="82" spans="1:32" s="1474" customFormat="1" ht="23.25" customHeight="1">
      <c r="A82" s="1515">
        <f t="shared" si="31"/>
        <v>17</v>
      </c>
      <c r="B82" s="1513" t="s">
        <v>2055</v>
      </c>
      <c r="C82" s="1514" t="s">
        <v>1940</v>
      </c>
      <c r="D82" s="1514"/>
      <c r="E82" s="1513">
        <v>12000000</v>
      </c>
      <c r="F82" s="1512">
        <f t="shared" si="17"/>
        <v>2160000</v>
      </c>
      <c r="G82" s="2141">
        <v>40596</v>
      </c>
      <c r="H82" s="1511">
        <v>0.18</v>
      </c>
      <c r="I82" s="1508">
        <v>12</v>
      </c>
      <c r="J82" s="2404">
        <v>12</v>
      </c>
      <c r="K82" s="1508">
        <v>1000000</v>
      </c>
      <c r="L82" s="1508">
        <v>180000</v>
      </c>
      <c r="M82" s="1510">
        <f t="shared" si="18"/>
        <v>12000000</v>
      </c>
      <c r="N82" s="2401">
        <f>IF(J82&lt;I82,J82*L82,IF(J82&gt;=I82,F82))-180000</f>
        <v>1980000</v>
      </c>
      <c r="O82" s="1509">
        <v>12000000</v>
      </c>
      <c r="P82" s="1509">
        <v>1980000</v>
      </c>
      <c r="Q82" s="1509"/>
      <c r="R82" s="2650"/>
      <c r="S82" s="2650"/>
      <c r="T82" s="1507"/>
      <c r="U82" s="1495">
        <f t="shared" si="20"/>
        <v>12000000</v>
      </c>
      <c r="V82" s="1495">
        <f t="shared" si="21"/>
        <v>1980000</v>
      </c>
      <c r="W82" s="1495">
        <f t="shared" si="22"/>
        <v>0</v>
      </c>
      <c r="X82" s="1495">
        <f t="shared" si="23"/>
        <v>0</v>
      </c>
      <c r="Y82" s="1495">
        <f t="shared" si="24"/>
        <v>100</v>
      </c>
      <c r="Z82" s="1495">
        <f t="shared" si="25"/>
        <v>0</v>
      </c>
      <c r="AA82" s="1506">
        <f t="shared" si="26"/>
        <v>0</v>
      </c>
      <c r="AB82" s="1505"/>
      <c r="AC82" s="1504">
        <f t="shared" si="27"/>
        <v>0</v>
      </c>
      <c r="AD82" s="1503">
        <f t="shared" si="28"/>
        <v>0</v>
      </c>
      <c r="AE82" s="1503">
        <f t="shared" si="29"/>
        <v>0</v>
      </c>
      <c r="AF82" s="1502">
        <f t="shared" si="30"/>
        <v>0</v>
      </c>
    </row>
    <row r="83" spans="1:32" s="1474" customFormat="1" ht="23.25" customHeight="1">
      <c r="A83" s="1515">
        <f t="shared" si="31"/>
        <v>18</v>
      </c>
      <c r="B83" s="1513" t="s">
        <v>2067</v>
      </c>
      <c r="C83" s="1514" t="s">
        <v>1940</v>
      </c>
      <c r="D83" s="1514"/>
      <c r="E83" s="1513">
        <v>5000000</v>
      </c>
      <c r="F83" s="1512">
        <f t="shared" si="17"/>
        <v>900000</v>
      </c>
      <c r="G83" s="2141">
        <v>40605</v>
      </c>
      <c r="H83" s="1511">
        <v>0.18</v>
      </c>
      <c r="I83" s="1508">
        <v>12</v>
      </c>
      <c r="J83" s="1508">
        <v>12</v>
      </c>
      <c r="K83" s="1508">
        <v>416700</v>
      </c>
      <c r="L83" s="1508">
        <v>75000</v>
      </c>
      <c r="M83" s="1510">
        <f t="shared" si="18"/>
        <v>5000000</v>
      </c>
      <c r="N83" s="1510">
        <f t="shared" si="19"/>
        <v>900000</v>
      </c>
      <c r="O83" s="1509">
        <v>5000000</v>
      </c>
      <c r="P83" s="1509">
        <v>900000</v>
      </c>
      <c r="Q83" s="1509"/>
      <c r="R83" s="2650"/>
      <c r="S83" s="2650"/>
      <c r="T83" s="1507"/>
      <c r="U83" s="1495">
        <f t="shared" si="20"/>
        <v>5000000</v>
      </c>
      <c r="V83" s="1495">
        <f t="shared" si="21"/>
        <v>900000</v>
      </c>
      <c r="W83" s="1495">
        <f t="shared" si="22"/>
        <v>0</v>
      </c>
      <c r="X83" s="1495">
        <f t="shared" si="23"/>
        <v>0</v>
      </c>
      <c r="Y83" s="1495">
        <f t="shared" si="24"/>
        <v>100</v>
      </c>
      <c r="Z83" s="1495">
        <f t="shared" si="25"/>
        <v>0</v>
      </c>
      <c r="AA83" s="1506">
        <f t="shared" si="26"/>
        <v>0</v>
      </c>
      <c r="AB83" s="1505"/>
      <c r="AC83" s="1504">
        <f t="shared" si="27"/>
        <v>0</v>
      </c>
      <c r="AD83" s="1503">
        <f t="shared" si="28"/>
        <v>0</v>
      </c>
      <c r="AE83" s="1503">
        <f t="shared" si="29"/>
        <v>0</v>
      </c>
      <c r="AF83" s="1502">
        <f t="shared" si="30"/>
        <v>0</v>
      </c>
    </row>
    <row r="84" spans="1:32" s="1474" customFormat="1" ht="23.25" customHeight="1">
      <c r="A84" s="1515">
        <f t="shared" si="31"/>
        <v>19</v>
      </c>
      <c r="B84" s="1513" t="s">
        <v>2068</v>
      </c>
      <c r="C84" s="1514" t="s">
        <v>1940</v>
      </c>
      <c r="D84" s="1514"/>
      <c r="E84" s="1513">
        <v>7000000</v>
      </c>
      <c r="F84" s="1512">
        <f t="shared" si="17"/>
        <v>1260000</v>
      </c>
      <c r="G84" s="2141">
        <v>40605</v>
      </c>
      <c r="H84" s="1511">
        <v>0.18</v>
      </c>
      <c r="I84" s="1508">
        <v>12</v>
      </c>
      <c r="J84" s="1508">
        <v>12</v>
      </c>
      <c r="K84" s="1508">
        <v>583300</v>
      </c>
      <c r="L84" s="1508">
        <v>105000</v>
      </c>
      <c r="M84" s="1510">
        <f t="shared" si="18"/>
        <v>7000000</v>
      </c>
      <c r="N84" s="1510">
        <f t="shared" si="19"/>
        <v>1260000</v>
      </c>
      <c r="O84" s="1509">
        <v>7000000</v>
      </c>
      <c r="P84" s="1509">
        <v>1260000</v>
      </c>
      <c r="Q84" s="1509"/>
      <c r="R84" s="2650"/>
      <c r="S84" s="2650"/>
      <c r="T84" s="1507"/>
      <c r="U84" s="1495">
        <f t="shared" si="20"/>
        <v>7000000</v>
      </c>
      <c r="V84" s="1495">
        <f t="shared" si="21"/>
        <v>1260000</v>
      </c>
      <c r="W84" s="1495">
        <f t="shared" si="22"/>
        <v>0</v>
      </c>
      <c r="X84" s="1495">
        <f t="shared" si="23"/>
        <v>0</v>
      </c>
      <c r="Y84" s="1495">
        <f t="shared" si="24"/>
        <v>100</v>
      </c>
      <c r="Z84" s="1495">
        <f t="shared" si="25"/>
        <v>0</v>
      </c>
      <c r="AA84" s="1506">
        <f t="shared" si="26"/>
        <v>0</v>
      </c>
      <c r="AB84" s="1505"/>
      <c r="AC84" s="1504">
        <f t="shared" si="27"/>
        <v>0</v>
      </c>
      <c r="AD84" s="1503">
        <f t="shared" si="28"/>
        <v>0</v>
      </c>
      <c r="AE84" s="1503">
        <f t="shared" si="29"/>
        <v>0</v>
      </c>
      <c r="AF84" s="1502">
        <f t="shared" si="30"/>
        <v>0</v>
      </c>
    </row>
    <row r="85" spans="1:32" s="1474" customFormat="1" ht="23.25" customHeight="1">
      <c r="A85" s="1515">
        <v>20</v>
      </c>
      <c r="B85" s="1513" t="s">
        <v>2157</v>
      </c>
      <c r="C85" s="1514" t="s">
        <v>1985</v>
      </c>
      <c r="D85" s="1514"/>
      <c r="E85" s="1513">
        <v>25000000</v>
      </c>
      <c r="F85" s="1512">
        <f t="shared" si="17"/>
        <v>4500000</v>
      </c>
      <c r="G85" s="2141">
        <v>40679</v>
      </c>
      <c r="H85" s="1511">
        <v>0.18</v>
      </c>
      <c r="I85" s="1508">
        <v>12</v>
      </c>
      <c r="J85" s="2404">
        <v>12</v>
      </c>
      <c r="K85" s="1508">
        <v>2083300</v>
      </c>
      <c r="L85" s="1508">
        <v>375000</v>
      </c>
      <c r="M85" s="1510">
        <f t="shared" si="18"/>
        <v>25000000</v>
      </c>
      <c r="N85" s="2401">
        <f>IF(J85&lt;I85,J85*L85,IF(J85&gt;=I85,F85))-375000</f>
        <v>4125000</v>
      </c>
      <c r="O85" s="1509">
        <v>25000000</v>
      </c>
      <c r="P85" s="1509">
        <v>4125000</v>
      </c>
      <c r="Q85" s="1509"/>
      <c r="R85" s="2650"/>
      <c r="S85" s="2650"/>
      <c r="T85" s="1507"/>
      <c r="U85" s="1495">
        <f t="shared" si="20"/>
        <v>25000000</v>
      </c>
      <c r="V85" s="1495">
        <f t="shared" si="21"/>
        <v>4125000</v>
      </c>
      <c r="W85" s="1495">
        <f t="shared" si="22"/>
        <v>0</v>
      </c>
      <c r="X85" s="1495">
        <f t="shared" si="23"/>
        <v>0</v>
      </c>
      <c r="Y85" s="1495">
        <f t="shared" si="24"/>
        <v>100</v>
      </c>
      <c r="Z85" s="1495">
        <f t="shared" si="25"/>
        <v>0</v>
      </c>
      <c r="AA85" s="1506">
        <f t="shared" si="26"/>
        <v>0</v>
      </c>
      <c r="AB85" s="1505"/>
      <c r="AC85" s="1504">
        <f t="shared" si="27"/>
        <v>0</v>
      </c>
      <c r="AD85" s="1503">
        <f t="shared" si="28"/>
        <v>0</v>
      </c>
      <c r="AE85" s="1503">
        <f t="shared" si="29"/>
        <v>0</v>
      </c>
      <c r="AF85" s="1502">
        <f t="shared" si="30"/>
        <v>0</v>
      </c>
    </row>
    <row r="86" spans="1:32" s="1474" customFormat="1" ht="23.25" customHeight="1">
      <c r="A86" s="1515">
        <v>21</v>
      </c>
      <c r="B86" s="1513" t="s">
        <v>1957</v>
      </c>
      <c r="C86" s="1514" t="s">
        <v>1985</v>
      </c>
      <c r="D86" s="1514"/>
      <c r="E86" s="1513">
        <v>24000000</v>
      </c>
      <c r="F86" s="1512">
        <f t="shared" si="17"/>
        <v>4320000</v>
      </c>
      <c r="G86" s="2141">
        <v>40700</v>
      </c>
      <c r="H86" s="1511">
        <v>0.18</v>
      </c>
      <c r="I86" s="1508">
        <v>12</v>
      </c>
      <c r="J86" s="1508">
        <v>12</v>
      </c>
      <c r="K86" s="1508">
        <f>E86/I86</f>
        <v>2000000</v>
      </c>
      <c r="L86" s="1508">
        <f>F86/I86</f>
        <v>360000</v>
      </c>
      <c r="M86" s="1510">
        <f t="shared" si="18"/>
        <v>24000000</v>
      </c>
      <c r="N86" s="1510">
        <f t="shared" si="19"/>
        <v>4320000</v>
      </c>
      <c r="O86" s="1509">
        <v>24000000</v>
      </c>
      <c r="P86" s="1509">
        <v>4320000</v>
      </c>
      <c r="Q86" s="1509"/>
      <c r="R86" s="2650"/>
      <c r="S86" s="2650"/>
      <c r="T86" s="1507"/>
      <c r="U86" s="1495">
        <f t="shared" si="20"/>
        <v>24000000</v>
      </c>
      <c r="V86" s="1495">
        <f t="shared" si="21"/>
        <v>4320000</v>
      </c>
      <c r="W86" s="1495">
        <f t="shared" si="22"/>
        <v>0</v>
      </c>
      <c r="X86" s="1495">
        <f t="shared" si="23"/>
        <v>0</v>
      </c>
      <c r="Y86" s="1495">
        <f t="shared" si="24"/>
        <v>100</v>
      </c>
      <c r="Z86" s="1495">
        <f t="shared" si="25"/>
        <v>0</v>
      </c>
      <c r="AA86" s="1506">
        <f t="shared" si="26"/>
        <v>0</v>
      </c>
      <c r="AB86" s="1505"/>
      <c r="AC86" s="1504">
        <f t="shared" si="27"/>
        <v>0</v>
      </c>
      <c r="AD86" s="1503">
        <f t="shared" si="28"/>
        <v>0</v>
      </c>
      <c r="AE86" s="1503">
        <f t="shared" si="29"/>
        <v>0</v>
      </c>
      <c r="AF86" s="1502">
        <f t="shared" si="30"/>
        <v>0</v>
      </c>
    </row>
    <row r="87" spans="1:32" s="1474" customFormat="1" ht="23.25" customHeight="1">
      <c r="A87" s="1515">
        <v>22</v>
      </c>
      <c r="B87" s="1513" t="s">
        <v>2196</v>
      </c>
      <c r="C87" s="1514" t="s">
        <v>1985</v>
      </c>
      <c r="D87" s="1514"/>
      <c r="E87" s="1513">
        <v>18000000</v>
      </c>
      <c r="F87" s="1512">
        <f t="shared" si="17"/>
        <v>3240000</v>
      </c>
      <c r="G87" s="2141">
        <v>40704</v>
      </c>
      <c r="H87" s="1511">
        <v>0.18</v>
      </c>
      <c r="I87" s="1508">
        <v>12</v>
      </c>
      <c r="J87" s="1508">
        <v>12</v>
      </c>
      <c r="K87" s="1508">
        <f>E87/I87</f>
        <v>1500000</v>
      </c>
      <c r="L87" s="1508">
        <f>F87/I87</f>
        <v>270000</v>
      </c>
      <c r="M87" s="1510">
        <f t="shared" si="18"/>
        <v>18000000</v>
      </c>
      <c r="N87" s="1510">
        <f t="shared" si="19"/>
        <v>3240000</v>
      </c>
      <c r="O87" s="1509">
        <v>18000000</v>
      </c>
      <c r="P87" s="1509">
        <v>3240000</v>
      </c>
      <c r="Q87" s="1509"/>
      <c r="R87" s="2650"/>
      <c r="S87" s="2650"/>
      <c r="T87" s="1507"/>
      <c r="U87" s="1495">
        <f t="shared" si="20"/>
        <v>18000000</v>
      </c>
      <c r="V87" s="1495">
        <f t="shared" si="21"/>
        <v>3240000</v>
      </c>
      <c r="W87" s="1495">
        <f t="shared" si="22"/>
        <v>0</v>
      </c>
      <c r="X87" s="1495">
        <f t="shared" si="23"/>
        <v>0</v>
      </c>
      <c r="Y87" s="1495">
        <f t="shared" si="24"/>
        <v>100</v>
      </c>
      <c r="Z87" s="1495">
        <f t="shared" si="25"/>
        <v>0</v>
      </c>
      <c r="AA87" s="1506">
        <f t="shared" si="26"/>
        <v>0</v>
      </c>
      <c r="AB87" s="1505"/>
      <c r="AC87" s="1504">
        <f t="shared" si="27"/>
        <v>0</v>
      </c>
      <c r="AD87" s="1503">
        <f t="shared" si="28"/>
        <v>0</v>
      </c>
      <c r="AE87" s="1503">
        <f t="shared" si="29"/>
        <v>0</v>
      </c>
      <c r="AF87" s="1502">
        <f t="shared" si="30"/>
        <v>0</v>
      </c>
    </row>
    <row r="88" spans="1:32" s="1474" customFormat="1" ht="23.25" customHeight="1">
      <c r="A88" s="1515">
        <v>23</v>
      </c>
      <c r="B88" s="1513" t="s">
        <v>2052</v>
      </c>
      <c r="C88" s="1514" t="s">
        <v>1985</v>
      </c>
      <c r="D88" s="1514"/>
      <c r="E88" s="1513">
        <v>12000000</v>
      </c>
      <c r="F88" s="1512">
        <f t="shared" si="17"/>
        <v>2160000</v>
      </c>
      <c r="G88" s="2141">
        <v>40708</v>
      </c>
      <c r="H88" s="1511">
        <v>0.18</v>
      </c>
      <c r="I88" s="1508">
        <v>12</v>
      </c>
      <c r="J88" s="1508">
        <v>12</v>
      </c>
      <c r="K88" s="1508">
        <f>E88/I88</f>
        <v>1000000</v>
      </c>
      <c r="L88" s="1508">
        <v>180000</v>
      </c>
      <c r="M88" s="1510">
        <f t="shared" si="18"/>
        <v>12000000</v>
      </c>
      <c r="N88" s="1510">
        <f t="shared" si="19"/>
        <v>2160000</v>
      </c>
      <c r="O88" s="1509">
        <v>12000000</v>
      </c>
      <c r="P88" s="1509">
        <v>2160000</v>
      </c>
      <c r="Q88" s="1509"/>
      <c r="R88" s="2650"/>
      <c r="S88" s="2650"/>
      <c r="T88" s="1507"/>
      <c r="U88" s="1495">
        <f t="shared" si="20"/>
        <v>12000000</v>
      </c>
      <c r="V88" s="1495">
        <f t="shared" si="21"/>
        <v>2160000</v>
      </c>
      <c r="W88" s="1495">
        <f t="shared" si="22"/>
        <v>0</v>
      </c>
      <c r="X88" s="1495">
        <f t="shared" si="23"/>
        <v>0</v>
      </c>
      <c r="Y88" s="1495">
        <f t="shared" si="24"/>
        <v>100</v>
      </c>
      <c r="Z88" s="1495">
        <f t="shared" si="25"/>
        <v>0</v>
      </c>
      <c r="AA88" s="1506">
        <f t="shared" si="26"/>
        <v>0</v>
      </c>
      <c r="AB88" s="1505"/>
      <c r="AC88" s="1504">
        <f t="shared" si="27"/>
        <v>0</v>
      </c>
      <c r="AD88" s="1503">
        <f t="shared" si="28"/>
        <v>0</v>
      </c>
      <c r="AE88" s="1503">
        <f t="shared" si="29"/>
        <v>0</v>
      </c>
      <c r="AF88" s="1502">
        <f t="shared" si="30"/>
        <v>0</v>
      </c>
    </row>
    <row r="89" spans="1:32" s="1474" customFormat="1" ht="23.25" customHeight="1">
      <c r="A89" s="1515">
        <v>24</v>
      </c>
      <c r="B89" s="1513" t="s">
        <v>2197</v>
      </c>
      <c r="C89" s="1514" t="s">
        <v>1985</v>
      </c>
      <c r="D89" s="1514"/>
      <c r="E89" s="1513">
        <v>10000000</v>
      </c>
      <c r="F89" s="1512">
        <f t="shared" si="17"/>
        <v>1800000</v>
      </c>
      <c r="G89" s="2141">
        <v>40714</v>
      </c>
      <c r="H89" s="1511">
        <v>0.18</v>
      </c>
      <c r="I89" s="1508">
        <v>12</v>
      </c>
      <c r="J89" s="1508">
        <v>12</v>
      </c>
      <c r="K89" s="1508">
        <v>833300</v>
      </c>
      <c r="L89" s="1508">
        <v>150000</v>
      </c>
      <c r="M89" s="1510">
        <f t="shared" si="18"/>
        <v>10000000</v>
      </c>
      <c r="N89" s="1510">
        <f t="shared" si="19"/>
        <v>1800000</v>
      </c>
      <c r="O89" s="1509">
        <v>10000000</v>
      </c>
      <c r="P89" s="1509">
        <v>1800000</v>
      </c>
      <c r="Q89" s="1509"/>
      <c r="R89" s="2650"/>
      <c r="S89" s="2650"/>
      <c r="T89" s="1507"/>
      <c r="U89" s="1495">
        <f t="shared" si="20"/>
        <v>10000000</v>
      </c>
      <c r="V89" s="1495">
        <f t="shared" si="21"/>
        <v>1800000</v>
      </c>
      <c r="W89" s="1495">
        <f t="shared" si="22"/>
        <v>0</v>
      </c>
      <c r="X89" s="1495">
        <f t="shared" si="23"/>
        <v>0</v>
      </c>
      <c r="Y89" s="1495">
        <f t="shared" si="24"/>
        <v>100</v>
      </c>
      <c r="Z89" s="1495">
        <f t="shared" si="25"/>
        <v>0</v>
      </c>
      <c r="AA89" s="1506">
        <f t="shared" si="26"/>
        <v>0</v>
      </c>
      <c r="AB89" s="1505"/>
      <c r="AC89" s="1504">
        <f t="shared" si="27"/>
        <v>0</v>
      </c>
      <c r="AD89" s="1503">
        <f t="shared" si="28"/>
        <v>0</v>
      </c>
      <c r="AE89" s="1503">
        <f t="shared" si="29"/>
        <v>0</v>
      </c>
      <c r="AF89" s="1502">
        <f t="shared" si="30"/>
        <v>0</v>
      </c>
    </row>
    <row r="90" spans="1:32" s="1474" customFormat="1" ht="23.25" customHeight="1">
      <c r="A90" s="1515">
        <v>25</v>
      </c>
      <c r="B90" s="1513" t="s">
        <v>2064</v>
      </c>
      <c r="C90" s="1514" t="s">
        <v>1985</v>
      </c>
      <c r="D90" s="1514"/>
      <c r="E90" s="1513">
        <v>10000000</v>
      </c>
      <c r="F90" s="1512">
        <f t="shared" si="17"/>
        <v>1800000</v>
      </c>
      <c r="G90" s="2141">
        <v>40729</v>
      </c>
      <c r="H90" s="1511">
        <v>0.18</v>
      </c>
      <c r="I90" s="1508">
        <v>12</v>
      </c>
      <c r="J90" s="1508">
        <v>12</v>
      </c>
      <c r="K90" s="1508">
        <v>833300</v>
      </c>
      <c r="L90" s="1508">
        <v>150000</v>
      </c>
      <c r="M90" s="1510">
        <f t="shared" si="18"/>
        <v>10000000</v>
      </c>
      <c r="N90" s="1510">
        <f>IF(J90&lt;I90,J90*L90,IF(J90&gt;=I90,F90))-150000</f>
        <v>1650000</v>
      </c>
      <c r="O90" s="1509">
        <v>10000000</v>
      </c>
      <c r="P90" s="1509">
        <v>1650000</v>
      </c>
      <c r="Q90" s="1509"/>
      <c r="R90" s="2650"/>
      <c r="S90" s="2650"/>
      <c r="T90" s="1507"/>
      <c r="U90" s="1495">
        <f t="shared" si="20"/>
        <v>10000000</v>
      </c>
      <c r="V90" s="1495">
        <f t="shared" si="21"/>
        <v>1650000</v>
      </c>
      <c r="W90" s="1495">
        <f t="shared" si="22"/>
        <v>0</v>
      </c>
      <c r="X90" s="1495">
        <f t="shared" si="23"/>
        <v>0</v>
      </c>
      <c r="Y90" s="1495">
        <f t="shared" si="24"/>
        <v>100</v>
      </c>
      <c r="Z90" s="1495">
        <f t="shared" si="25"/>
        <v>0</v>
      </c>
      <c r="AA90" s="1506">
        <f t="shared" si="26"/>
        <v>0</v>
      </c>
      <c r="AB90" s="1505"/>
      <c r="AC90" s="1504">
        <f t="shared" si="27"/>
        <v>0</v>
      </c>
      <c r="AD90" s="1503">
        <f t="shared" si="28"/>
        <v>0</v>
      </c>
      <c r="AE90" s="1503">
        <f t="shared" si="29"/>
        <v>0</v>
      </c>
      <c r="AF90" s="1502">
        <f t="shared" si="30"/>
        <v>0</v>
      </c>
    </row>
    <row r="91" spans="1:32" s="1474" customFormat="1" ht="23.25" customHeight="1">
      <c r="A91" s="1515">
        <v>26</v>
      </c>
      <c r="B91" s="1513" t="s">
        <v>2198</v>
      </c>
      <c r="C91" s="1514" t="s">
        <v>1985</v>
      </c>
      <c r="D91" s="1514"/>
      <c r="E91" s="1513">
        <v>7800000</v>
      </c>
      <c r="F91" s="1512">
        <f t="shared" si="17"/>
        <v>1404000</v>
      </c>
      <c r="G91" s="2141">
        <v>40729</v>
      </c>
      <c r="H91" s="1511">
        <v>0.18</v>
      </c>
      <c r="I91" s="1508">
        <v>12</v>
      </c>
      <c r="J91" s="1508">
        <v>12</v>
      </c>
      <c r="K91" s="1508">
        <f>E91/I91</f>
        <v>650000</v>
      </c>
      <c r="L91" s="1508">
        <f>F91/I91</f>
        <v>117000</v>
      </c>
      <c r="M91" s="1510">
        <f t="shared" si="18"/>
        <v>7800000</v>
      </c>
      <c r="N91" s="1510">
        <f t="shared" si="19"/>
        <v>1404000</v>
      </c>
      <c r="O91" s="1509">
        <v>7800000</v>
      </c>
      <c r="P91" s="1509">
        <v>1404000</v>
      </c>
      <c r="Q91" s="1509"/>
      <c r="R91" s="2650"/>
      <c r="S91" s="2650"/>
      <c r="T91" s="1507"/>
      <c r="U91" s="1495">
        <f t="shared" si="20"/>
        <v>7800000</v>
      </c>
      <c r="V91" s="1495">
        <f t="shared" si="21"/>
        <v>1404000</v>
      </c>
      <c r="W91" s="1495">
        <f t="shared" si="22"/>
        <v>0</v>
      </c>
      <c r="X91" s="1495">
        <f t="shared" si="23"/>
        <v>0</v>
      </c>
      <c r="Y91" s="1495">
        <f t="shared" si="24"/>
        <v>100</v>
      </c>
      <c r="Z91" s="1495">
        <f t="shared" si="25"/>
        <v>0</v>
      </c>
      <c r="AA91" s="1506">
        <f t="shared" si="26"/>
        <v>0</v>
      </c>
      <c r="AB91" s="1505"/>
      <c r="AC91" s="1504">
        <f t="shared" si="27"/>
        <v>0</v>
      </c>
      <c r="AD91" s="1503">
        <f t="shared" si="28"/>
        <v>0</v>
      </c>
      <c r="AE91" s="1503">
        <f t="shared" si="29"/>
        <v>0</v>
      </c>
      <c r="AF91" s="1502">
        <f t="shared" si="30"/>
        <v>0</v>
      </c>
    </row>
    <row r="92" spans="1:32" s="1474" customFormat="1" ht="23.25" customHeight="1">
      <c r="A92" s="1515">
        <v>27</v>
      </c>
      <c r="B92" s="1513" t="s">
        <v>2199</v>
      </c>
      <c r="C92" s="1514" t="s">
        <v>1985</v>
      </c>
      <c r="D92" s="1514"/>
      <c r="E92" s="1513">
        <v>6600000</v>
      </c>
      <c r="F92" s="1512">
        <f t="shared" si="17"/>
        <v>1188000</v>
      </c>
      <c r="G92" s="2141">
        <v>40729</v>
      </c>
      <c r="H92" s="1511">
        <v>0.18</v>
      </c>
      <c r="I92" s="1508">
        <v>12</v>
      </c>
      <c r="J92" s="1508">
        <v>12</v>
      </c>
      <c r="K92" s="1508">
        <f>E92/I92</f>
        <v>550000</v>
      </c>
      <c r="L92" s="1508">
        <f>F92/I92</f>
        <v>99000</v>
      </c>
      <c r="M92" s="1510">
        <f t="shared" si="18"/>
        <v>6600000</v>
      </c>
      <c r="N92" s="1510">
        <f t="shared" si="19"/>
        <v>1188000</v>
      </c>
      <c r="O92" s="1509">
        <v>6600000</v>
      </c>
      <c r="P92" s="1509">
        <v>1188000</v>
      </c>
      <c r="Q92" s="1509"/>
      <c r="R92" s="2650"/>
      <c r="S92" s="2650"/>
      <c r="T92" s="1507"/>
      <c r="U92" s="1495">
        <f t="shared" si="20"/>
        <v>6600000</v>
      </c>
      <c r="V92" s="1495">
        <f t="shared" si="21"/>
        <v>1188000</v>
      </c>
      <c r="W92" s="1495">
        <f t="shared" si="22"/>
        <v>0</v>
      </c>
      <c r="X92" s="1495">
        <f t="shared" si="23"/>
        <v>0</v>
      </c>
      <c r="Y92" s="1495">
        <f t="shared" si="24"/>
        <v>100</v>
      </c>
      <c r="Z92" s="1495">
        <f t="shared" si="25"/>
        <v>0</v>
      </c>
      <c r="AA92" s="1506">
        <f t="shared" si="26"/>
        <v>0</v>
      </c>
      <c r="AB92" s="1505"/>
      <c r="AC92" s="1504">
        <f t="shared" si="27"/>
        <v>0</v>
      </c>
      <c r="AD92" s="1503">
        <f t="shared" si="28"/>
        <v>0</v>
      </c>
      <c r="AE92" s="1503">
        <f t="shared" si="29"/>
        <v>0</v>
      </c>
      <c r="AF92" s="1502">
        <f t="shared" si="30"/>
        <v>0</v>
      </c>
    </row>
    <row r="93" spans="1:32" s="1474" customFormat="1" ht="23.25" customHeight="1">
      <c r="A93" s="1515">
        <v>28</v>
      </c>
      <c r="B93" s="1513" t="s">
        <v>1901</v>
      </c>
      <c r="C93" s="1514" t="s">
        <v>2195</v>
      </c>
      <c r="D93" s="1514"/>
      <c r="E93" s="1513">
        <v>15000000</v>
      </c>
      <c r="F93" s="1512">
        <f t="shared" si="17"/>
        <v>2700000</v>
      </c>
      <c r="G93" s="2141">
        <v>40833</v>
      </c>
      <c r="H93" s="1511">
        <v>0.18</v>
      </c>
      <c r="I93" s="1508">
        <v>12</v>
      </c>
      <c r="J93" s="1508">
        <v>12</v>
      </c>
      <c r="K93" s="1508">
        <f>E93/I93</f>
        <v>1250000</v>
      </c>
      <c r="L93" s="1508">
        <f>F93/I93</f>
        <v>225000</v>
      </c>
      <c r="M93" s="1510">
        <f t="shared" si="18"/>
        <v>15000000</v>
      </c>
      <c r="N93" s="1510">
        <f>IF(J93&lt;I93,J93*L93,IF(J93&gt;=I93,F93))-225000</f>
        <v>2475000</v>
      </c>
      <c r="O93" s="1509">
        <v>15000000</v>
      </c>
      <c r="P93" s="1509">
        <v>2475000</v>
      </c>
      <c r="Q93" s="1509"/>
      <c r="R93" s="2650"/>
      <c r="S93" s="2650"/>
      <c r="T93" s="1507"/>
      <c r="U93" s="1495">
        <f t="shared" si="20"/>
        <v>15000000</v>
      </c>
      <c r="V93" s="1495">
        <f t="shared" si="21"/>
        <v>2475000</v>
      </c>
      <c r="W93" s="1495">
        <f t="shared" si="22"/>
        <v>0</v>
      </c>
      <c r="X93" s="1495">
        <f t="shared" si="23"/>
        <v>0</v>
      </c>
      <c r="Y93" s="1495">
        <f t="shared" si="24"/>
        <v>100</v>
      </c>
      <c r="Z93" s="1495">
        <f t="shared" si="25"/>
        <v>0</v>
      </c>
      <c r="AA93" s="1506">
        <f t="shared" si="26"/>
        <v>0</v>
      </c>
      <c r="AB93" s="1505"/>
      <c r="AC93" s="1504">
        <f t="shared" si="27"/>
        <v>0</v>
      </c>
      <c r="AD93" s="1503">
        <f t="shared" si="28"/>
        <v>0</v>
      </c>
      <c r="AE93" s="1503">
        <f t="shared" si="29"/>
        <v>0</v>
      </c>
      <c r="AF93" s="1502">
        <f t="shared" si="30"/>
        <v>0</v>
      </c>
    </row>
    <row r="94" spans="1:32" s="1474" customFormat="1" ht="23.25" customHeight="1">
      <c r="A94" s="1515">
        <v>29</v>
      </c>
      <c r="B94" s="1513" t="s">
        <v>2057</v>
      </c>
      <c r="C94" s="1514" t="s">
        <v>2195</v>
      </c>
      <c r="D94" s="1514"/>
      <c r="E94" s="1513">
        <v>12000000</v>
      </c>
      <c r="F94" s="1512">
        <f t="shared" si="17"/>
        <v>2160000</v>
      </c>
      <c r="G94" s="2141">
        <v>40835</v>
      </c>
      <c r="H94" s="1511">
        <v>0.18</v>
      </c>
      <c r="I94" s="1508">
        <v>12</v>
      </c>
      <c r="J94" s="1508">
        <v>12</v>
      </c>
      <c r="K94" s="1508">
        <f>E94/I94</f>
        <v>1000000</v>
      </c>
      <c r="L94" s="1508">
        <f t="shared" ref="L94:L99" si="32">F94/I94</f>
        <v>180000</v>
      </c>
      <c r="M94" s="1510">
        <f t="shared" si="18"/>
        <v>12000000</v>
      </c>
      <c r="N94" s="1510">
        <f>IF(J94&lt;I94,J94*L94,IF(J94&gt;=I94,F94))-180000</f>
        <v>1980000</v>
      </c>
      <c r="O94" s="1509">
        <v>12000000</v>
      </c>
      <c r="P94" s="1509">
        <v>1980000</v>
      </c>
      <c r="Q94" s="1509"/>
      <c r="R94" s="2650"/>
      <c r="S94" s="2650"/>
      <c r="T94" s="1507"/>
      <c r="U94" s="1495">
        <f t="shared" si="20"/>
        <v>12000000</v>
      </c>
      <c r="V94" s="1495">
        <f t="shared" si="21"/>
        <v>1980000</v>
      </c>
      <c r="W94" s="1495">
        <f t="shared" si="22"/>
        <v>0</v>
      </c>
      <c r="X94" s="1495">
        <f t="shared" si="23"/>
        <v>0</v>
      </c>
      <c r="Y94" s="1495">
        <f t="shared" si="24"/>
        <v>100</v>
      </c>
      <c r="Z94" s="1495">
        <f t="shared" si="25"/>
        <v>0</v>
      </c>
      <c r="AA94" s="1506">
        <f t="shared" si="26"/>
        <v>0</v>
      </c>
      <c r="AB94" s="1505"/>
      <c r="AC94" s="1504">
        <f t="shared" si="27"/>
        <v>0</v>
      </c>
      <c r="AD94" s="1503">
        <f t="shared" si="28"/>
        <v>0</v>
      </c>
      <c r="AE94" s="1503">
        <f t="shared" si="29"/>
        <v>0</v>
      </c>
      <c r="AF94" s="1502">
        <f t="shared" si="30"/>
        <v>0</v>
      </c>
    </row>
    <row r="95" spans="1:32" s="1474" customFormat="1" ht="23.25" customHeight="1">
      <c r="A95" s="1515">
        <v>30</v>
      </c>
      <c r="B95" s="1513" t="s">
        <v>2059</v>
      </c>
      <c r="C95" s="1514" t="s">
        <v>2195</v>
      </c>
      <c r="D95" s="1514"/>
      <c r="E95" s="1513">
        <v>7000000</v>
      </c>
      <c r="F95" s="1512">
        <f t="shared" si="17"/>
        <v>1260000</v>
      </c>
      <c r="G95" s="2141">
        <v>40835</v>
      </c>
      <c r="H95" s="1511">
        <v>0.18</v>
      </c>
      <c r="I95" s="1508">
        <v>12</v>
      </c>
      <c r="J95" s="1508">
        <v>12</v>
      </c>
      <c r="K95" s="1508">
        <f>E95/I95-33.333333333333</f>
        <v>583300</v>
      </c>
      <c r="L95" s="1508">
        <f t="shared" si="32"/>
        <v>105000</v>
      </c>
      <c r="M95" s="1510">
        <f t="shared" si="18"/>
        <v>7000000</v>
      </c>
      <c r="N95" s="1510">
        <f>IF(J95&lt;I95,J95*L95,IF(J95&gt;=I95,F95))-105000</f>
        <v>1155000</v>
      </c>
      <c r="O95" s="1509">
        <v>7000000</v>
      </c>
      <c r="P95" s="1509">
        <v>1155000</v>
      </c>
      <c r="Q95" s="1509"/>
      <c r="R95" s="2650"/>
      <c r="S95" s="2650"/>
      <c r="T95" s="1507"/>
      <c r="U95" s="1495">
        <f t="shared" si="20"/>
        <v>7000000</v>
      </c>
      <c r="V95" s="1495">
        <f t="shared" si="21"/>
        <v>1155000</v>
      </c>
      <c r="W95" s="1495">
        <f t="shared" si="22"/>
        <v>0</v>
      </c>
      <c r="X95" s="1495">
        <f t="shared" si="23"/>
        <v>0</v>
      </c>
      <c r="Y95" s="1495">
        <f t="shared" si="24"/>
        <v>100</v>
      </c>
      <c r="Z95" s="1495">
        <f t="shared" si="25"/>
        <v>0</v>
      </c>
      <c r="AA95" s="1506">
        <f t="shared" si="26"/>
        <v>0</v>
      </c>
      <c r="AB95" s="1505"/>
      <c r="AC95" s="1504">
        <f t="shared" si="27"/>
        <v>0</v>
      </c>
      <c r="AD95" s="1503">
        <f t="shared" si="28"/>
        <v>0</v>
      </c>
      <c r="AE95" s="1503">
        <f t="shared" si="29"/>
        <v>0</v>
      </c>
      <c r="AF95" s="1502">
        <f t="shared" si="30"/>
        <v>0</v>
      </c>
    </row>
    <row r="96" spans="1:32" s="1474" customFormat="1" ht="23.25" customHeight="1">
      <c r="A96" s="1515">
        <v>31</v>
      </c>
      <c r="B96" s="1513" t="s">
        <v>2058</v>
      </c>
      <c r="C96" s="1514" t="s">
        <v>2195</v>
      </c>
      <c r="D96" s="1514"/>
      <c r="E96" s="1513">
        <v>10000000</v>
      </c>
      <c r="F96" s="1512">
        <f t="shared" si="17"/>
        <v>1800000</v>
      </c>
      <c r="G96" s="2141">
        <v>40835</v>
      </c>
      <c r="H96" s="1511">
        <v>0.18</v>
      </c>
      <c r="I96" s="1508">
        <v>12</v>
      </c>
      <c r="J96" s="1508">
        <v>12</v>
      </c>
      <c r="K96" s="1508">
        <f>E96/I96-33.33333333333</f>
        <v>833300</v>
      </c>
      <c r="L96" s="1508">
        <f t="shared" si="32"/>
        <v>150000</v>
      </c>
      <c r="M96" s="1510">
        <f t="shared" si="18"/>
        <v>10000000</v>
      </c>
      <c r="N96" s="1510">
        <f>IF(J96&lt;I96,J96*L96,IF(J96&gt;=I96,F96))-150000</f>
        <v>1650000</v>
      </c>
      <c r="O96" s="1509">
        <v>10000000</v>
      </c>
      <c r="P96" s="1509">
        <v>1650000</v>
      </c>
      <c r="Q96" s="1509"/>
      <c r="R96" s="2650"/>
      <c r="S96" s="2650"/>
      <c r="T96" s="1507"/>
      <c r="U96" s="1495">
        <f t="shared" si="20"/>
        <v>10000000</v>
      </c>
      <c r="V96" s="1495">
        <f t="shared" si="21"/>
        <v>1650000</v>
      </c>
      <c r="W96" s="1495">
        <f t="shared" si="22"/>
        <v>0</v>
      </c>
      <c r="X96" s="1495">
        <f t="shared" si="23"/>
        <v>0</v>
      </c>
      <c r="Y96" s="1495">
        <f t="shared" si="24"/>
        <v>100</v>
      </c>
      <c r="Z96" s="1495">
        <f t="shared" si="25"/>
        <v>0</v>
      </c>
      <c r="AA96" s="1506">
        <f t="shared" si="26"/>
        <v>0</v>
      </c>
      <c r="AB96" s="1505"/>
      <c r="AC96" s="1504">
        <f t="shared" si="27"/>
        <v>0</v>
      </c>
      <c r="AD96" s="1503">
        <f t="shared" si="28"/>
        <v>0</v>
      </c>
      <c r="AE96" s="1503">
        <f t="shared" si="29"/>
        <v>0</v>
      </c>
      <c r="AF96" s="1502">
        <f t="shared" si="30"/>
        <v>0</v>
      </c>
    </row>
    <row r="97" spans="1:32" s="1474" customFormat="1" ht="23.25" customHeight="1">
      <c r="A97" s="1515">
        <v>32</v>
      </c>
      <c r="B97" s="1513" t="s">
        <v>2217</v>
      </c>
      <c r="C97" s="1514" t="s">
        <v>2195</v>
      </c>
      <c r="D97" s="1514"/>
      <c r="E97" s="1513">
        <v>18000000</v>
      </c>
      <c r="F97" s="1512">
        <f t="shared" si="17"/>
        <v>3240000</v>
      </c>
      <c r="G97" s="2141">
        <v>40836</v>
      </c>
      <c r="H97" s="1511">
        <v>0.18</v>
      </c>
      <c r="I97" s="1508">
        <v>12</v>
      </c>
      <c r="J97" s="1508">
        <v>12</v>
      </c>
      <c r="K97" s="1508">
        <f>E97/I97</f>
        <v>1500000</v>
      </c>
      <c r="L97" s="1508">
        <f t="shared" si="32"/>
        <v>270000</v>
      </c>
      <c r="M97" s="1510">
        <f t="shared" si="18"/>
        <v>18000000</v>
      </c>
      <c r="N97" s="1510">
        <f>IF(J97&lt;I97,J97*L97,IF(J97&gt;=I97,F97))-270000</f>
        <v>2970000</v>
      </c>
      <c r="O97" s="1509">
        <v>18000000</v>
      </c>
      <c r="P97" s="1509">
        <v>2970000</v>
      </c>
      <c r="Q97" s="1509"/>
      <c r="R97" s="2650"/>
      <c r="S97" s="2650"/>
      <c r="T97" s="1507"/>
      <c r="U97" s="1495">
        <f t="shared" si="20"/>
        <v>18000000</v>
      </c>
      <c r="V97" s="1495">
        <f t="shared" si="21"/>
        <v>2970000</v>
      </c>
      <c r="W97" s="1495">
        <f t="shared" si="22"/>
        <v>0</v>
      </c>
      <c r="X97" s="1495">
        <f t="shared" si="23"/>
        <v>0</v>
      </c>
      <c r="Y97" s="1495">
        <f t="shared" si="24"/>
        <v>100</v>
      </c>
      <c r="Z97" s="1495">
        <f t="shared" si="25"/>
        <v>0</v>
      </c>
      <c r="AA97" s="1506">
        <f t="shared" si="26"/>
        <v>0</v>
      </c>
      <c r="AB97" s="1505"/>
      <c r="AC97" s="1504">
        <f t="shared" si="27"/>
        <v>0</v>
      </c>
      <c r="AD97" s="1503">
        <f t="shared" si="28"/>
        <v>0</v>
      </c>
      <c r="AE97" s="1503">
        <f t="shared" si="29"/>
        <v>0</v>
      </c>
      <c r="AF97" s="1502">
        <f t="shared" si="30"/>
        <v>0</v>
      </c>
    </row>
    <row r="98" spans="1:32" s="1474" customFormat="1" ht="23.25" customHeight="1">
      <c r="A98" s="1515">
        <v>33</v>
      </c>
      <c r="B98" s="1513" t="s">
        <v>2220</v>
      </c>
      <c r="C98" s="1514" t="s">
        <v>2195</v>
      </c>
      <c r="D98" s="1514"/>
      <c r="E98" s="1513">
        <v>7000000</v>
      </c>
      <c r="F98" s="1512">
        <f t="shared" si="17"/>
        <v>1260000</v>
      </c>
      <c r="G98" s="2141">
        <v>40848</v>
      </c>
      <c r="H98" s="1511">
        <v>0.18</v>
      </c>
      <c r="I98" s="1508">
        <v>12</v>
      </c>
      <c r="J98" s="1508">
        <v>12</v>
      </c>
      <c r="K98" s="1508">
        <f>E98/I98-33.3333333</f>
        <v>583300.00000003341</v>
      </c>
      <c r="L98" s="1508">
        <f t="shared" si="32"/>
        <v>105000</v>
      </c>
      <c r="M98" s="1510">
        <f t="shared" si="18"/>
        <v>7000000</v>
      </c>
      <c r="N98" s="1510">
        <f>IF(J98&lt;I98,J98*L98,IF(J98&gt;=I98,F98))-105000</f>
        <v>1155000</v>
      </c>
      <c r="O98" s="1509">
        <v>7000000</v>
      </c>
      <c r="P98" s="1509">
        <v>1155000</v>
      </c>
      <c r="Q98" s="1509"/>
      <c r="R98" s="2650"/>
      <c r="S98" s="2650"/>
      <c r="T98" s="1507"/>
      <c r="U98" s="1495">
        <f t="shared" si="20"/>
        <v>7000000</v>
      </c>
      <c r="V98" s="1495">
        <f t="shared" si="21"/>
        <v>1155000</v>
      </c>
      <c r="W98" s="1495">
        <f t="shared" si="22"/>
        <v>0</v>
      </c>
      <c r="X98" s="1495">
        <f t="shared" si="23"/>
        <v>0</v>
      </c>
      <c r="Y98" s="1495">
        <f t="shared" si="24"/>
        <v>100</v>
      </c>
      <c r="Z98" s="1495">
        <f t="shared" si="25"/>
        <v>0</v>
      </c>
      <c r="AA98" s="1506">
        <f t="shared" si="26"/>
        <v>0</v>
      </c>
      <c r="AB98" s="1505"/>
      <c r="AC98" s="1504">
        <f t="shared" si="27"/>
        <v>0</v>
      </c>
      <c r="AD98" s="1503">
        <f t="shared" si="28"/>
        <v>0</v>
      </c>
      <c r="AE98" s="1503">
        <f t="shared" si="29"/>
        <v>0</v>
      </c>
      <c r="AF98" s="1502">
        <f t="shared" si="30"/>
        <v>0</v>
      </c>
    </row>
    <row r="99" spans="1:32" s="1474" customFormat="1" ht="23.25" customHeight="1">
      <c r="A99" s="1515">
        <v>34</v>
      </c>
      <c r="B99" s="1513" t="s">
        <v>2054</v>
      </c>
      <c r="C99" s="1514" t="s">
        <v>2195</v>
      </c>
      <c r="D99" s="1514"/>
      <c r="E99" s="1513">
        <v>15000000</v>
      </c>
      <c r="F99" s="1512">
        <f t="shared" si="17"/>
        <v>2700000</v>
      </c>
      <c r="G99" s="2141">
        <v>40869</v>
      </c>
      <c r="H99" s="1511">
        <v>0.18</v>
      </c>
      <c r="I99" s="1508">
        <v>12</v>
      </c>
      <c r="J99" s="1508">
        <v>12</v>
      </c>
      <c r="K99" s="1508">
        <f>E99/I99</f>
        <v>1250000</v>
      </c>
      <c r="L99" s="1508">
        <f t="shared" si="32"/>
        <v>225000</v>
      </c>
      <c r="M99" s="1510">
        <f t="shared" si="18"/>
        <v>15000000</v>
      </c>
      <c r="N99" s="1510">
        <f t="shared" si="19"/>
        <v>2700000</v>
      </c>
      <c r="O99" s="1509">
        <v>15000000</v>
      </c>
      <c r="P99" s="1509">
        <v>2700000</v>
      </c>
      <c r="Q99" s="1509"/>
      <c r="R99" s="2649"/>
      <c r="S99" s="2649"/>
      <c r="T99" s="1507"/>
      <c r="U99" s="1495">
        <f t="shared" si="20"/>
        <v>15000000</v>
      </c>
      <c r="V99" s="1495">
        <f t="shared" si="21"/>
        <v>2700000</v>
      </c>
      <c r="W99" s="1495">
        <f t="shared" si="22"/>
        <v>0</v>
      </c>
      <c r="X99" s="1495">
        <f t="shared" si="23"/>
        <v>0</v>
      </c>
      <c r="Y99" s="1495">
        <f t="shared" si="24"/>
        <v>100</v>
      </c>
      <c r="Z99" s="1495">
        <f t="shared" si="25"/>
        <v>0</v>
      </c>
      <c r="AA99" s="1506">
        <f t="shared" si="26"/>
        <v>0</v>
      </c>
      <c r="AB99" s="1505"/>
      <c r="AC99" s="1504">
        <f t="shared" si="27"/>
        <v>0</v>
      </c>
      <c r="AD99" s="1503">
        <f t="shared" si="28"/>
        <v>0</v>
      </c>
      <c r="AE99" s="1503">
        <f t="shared" si="29"/>
        <v>0</v>
      </c>
      <c r="AF99" s="1502">
        <f t="shared" si="30"/>
        <v>0</v>
      </c>
    </row>
    <row r="100" spans="1:32" s="1474" customFormat="1" ht="23.25" customHeight="1">
      <c r="A100" s="2175">
        <v>35</v>
      </c>
      <c r="B100" s="2175" t="s">
        <v>2065</v>
      </c>
      <c r="C100" s="2416" t="s">
        <v>2195</v>
      </c>
      <c r="D100" s="2416"/>
      <c r="E100" s="2175">
        <v>14000000</v>
      </c>
      <c r="F100" s="2417">
        <f t="shared" si="17"/>
        <v>2520000</v>
      </c>
      <c r="G100" s="2418">
        <v>40918</v>
      </c>
      <c r="H100" s="1511">
        <v>0.18</v>
      </c>
      <c r="I100" s="2164">
        <v>12</v>
      </c>
      <c r="J100" s="2164">
        <v>12</v>
      </c>
      <c r="K100" s="2164">
        <v>1166700</v>
      </c>
      <c r="L100" s="2164">
        <f t="shared" ref="L100:L169" si="33">F100/I100</f>
        <v>210000</v>
      </c>
      <c r="M100" s="1510">
        <f t="shared" si="18"/>
        <v>14000000</v>
      </c>
      <c r="N100" s="1510">
        <f t="shared" si="19"/>
        <v>2520000</v>
      </c>
      <c r="O100" s="2171">
        <v>14000000</v>
      </c>
      <c r="P100" s="2171">
        <v>2520000</v>
      </c>
      <c r="Q100" s="1509"/>
      <c r="R100" s="2649"/>
      <c r="S100" s="2649"/>
      <c r="T100" s="1507"/>
      <c r="U100" s="1495">
        <f t="shared" si="20"/>
        <v>14000000</v>
      </c>
      <c r="V100" s="1495">
        <f t="shared" si="21"/>
        <v>2520000</v>
      </c>
      <c r="W100" s="1495">
        <f t="shared" si="22"/>
        <v>0</v>
      </c>
      <c r="X100" s="1495">
        <f t="shared" si="23"/>
        <v>0</v>
      </c>
      <c r="Y100" s="1495">
        <f t="shared" si="24"/>
        <v>100</v>
      </c>
      <c r="Z100" s="1495">
        <f t="shared" si="25"/>
        <v>0</v>
      </c>
      <c r="AA100" s="1506">
        <f t="shared" si="26"/>
        <v>0</v>
      </c>
      <c r="AB100" s="2441"/>
      <c r="AC100" s="1504">
        <f t="shared" si="27"/>
        <v>0</v>
      </c>
      <c r="AD100" s="1503">
        <f t="shared" si="28"/>
        <v>0</v>
      </c>
      <c r="AE100" s="1503">
        <f t="shared" si="29"/>
        <v>0</v>
      </c>
      <c r="AF100" s="1502">
        <f t="shared" si="30"/>
        <v>0</v>
      </c>
    </row>
    <row r="101" spans="1:32" s="1474" customFormat="1" ht="23.25" customHeight="1">
      <c r="A101" s="2175">
        <v>36</v>
      </c>
      <c r="B101" s="2175" t="s">
        <v>2066</v>
      </c>
      <c r="C101" s="2416" t="s">
        <v>2195</v>
      </c>
      <c r="D101" s="2416"/>
      <c r="E101" s="2175">
        <v>13000000</v>
      </c>
      <c r="F101" s="2417">
        <f t="shared" si="17"/>
        <v>2340000</v>
      </c>
      <c r="G101" s="2418">
        <v>40918</v>
      </c>
      <c r="H101" s="1511">
        <v>0.18</v>
      </c>
      <c r="I101" s="2164">
        <v>12</v>
      </c>
      <c r="J101" s="2164">
        <v>12</v>
      </c>
      <c r="K101" s="2164">
        <v>1083300</v>
      </c>
      <c r="L101" s="2164">
        <f t="shared" si="33"/>
        <v>195000</v>
      </c>
      <c r="M101" s="1510">
        <f t="shared" si="18"/>
        <v>13000000</v>
      </c>
      <c r="N101" s="1510">
        <f t="shared" si="19"/>
        <v>2340000</v>
      </c>
      <c r="O101" s="2171">
        <v>13000000</v>
      </c>
      <c r="P101" s="2171">
        <v>2340000</v>
      </c>
      <c r="Q101" s="1509"/>
      <c r="R101" s="2649"/>
      <c r="S101" s="2649"/>
      <c r="T101" s="1507"/>
      <c r="U101" s="1495">
        <f t="shared" si="20"/>
        <v>13000000</v>
      </c>
      <c r="V101" s="1495">
        <f t="shared" si="21"/>
        <v>2340000</v>
      </c>
      <c r="W101" s="1495">
        <f t="shared" si="22"/>
        <v>0</v>
      </c>
      <c r="X101" s="1495">
        <f t="shared" si="23"/>
        <v>0</v>
      </c>
      <c r="Y101" s="1495">
        <f t="shared" si="24"/>
        <v>100</v>
      </c>
      <c r="Z101" s="1495">
        <f t="shared" si="25"/>
        <v>0</v>
      </c>
      <c r="AA101" s="1506">
        <f t="shared" si="26"/>
        <v>0</v>
      </c>
      <c r="AB101" s="2441"/>
      <c r="AC101" s="1504">
        <f t="shared" si="27"/>
        <v>0</v>
      </c>
      <c r="AD101" s="1503">
        <f t="shared" si="28"/>
        <v>0</v>
      </c>
      <c r="AE101" s="1503">
        <f t="shared" si="29"/>
        <v>0</v>
      </c>
      <c r="AF101" s="1502">
        <f t="shared" si="30"/>
        <v>0</v>
      </c>
    </row>
    <row r="102" spans="1:32" s="1474" customFormat="1" ht="23.25" customHeight="1">
      <c r="A102" s="2175">
        <v>37</v>
      </c>
      <c r="B102" s="2175" t="s">
        <v>1991</v>
      </c>
      <c r="C102" s="2416" t="s">
        <v>2248</v>
      </c>
      <c r="D102" s="2416"/>
      <c r="E102" s="2175">
        <v>16000000</v>
      </c>
      <c r="F102" s="2417">
        <f t="shared" si="17"/>
        <v>2880000</v>
      </c>
      <c r="G102" s="2418">
        <v>40942</v>
      </c>
      <c r="H102" s="1511">
        <v>0.18</v>
      </c>
      <c r="I102" s="2164">
        <v>12</v>
      </c>
      <c r="J102" s="2164">
        <v>12</v>
      </c>
      <c r="K102" s="2164">
        <v>1333300</v>
      </c>
      <c r="L102" s="2164">
        <f t="shared" si="33"/>
        <v>240000</v>
      </c>
      <c r="M102" s="1510">
        <f t="shared" si="18"/>
        <v>16000000</v>
      </c>
      <c r="N102" s="1510">
        <f t="shared" si="19"/>
        <v>2880000</v>
      </c>
      <c r="O102" s="2171">
        <v>16000000</v>
      </c>
      <c r="P102" s="2171">
        <v>2880000</v>
      </c>
      <c r="Q102" s="1509"/>
      <c r="R102" s="2649"/>
      <c r="S102" s="2649"/>
      <c r="T102" s="1507"/>
      <c r="U102" s="1495">
        <f t="shared" si="20"/>
        <v>16000000</v>
      </c>
      <c r="V102" s="1495">
        <f t="shared" si="21"/>
        <v>2880000</v>
      </c>
      <c r="W102" s="1495">
        <f t="shared" si="22"/>
        <v>0</v>
      </c>
      <c r="X102" s="1495">
        <f t="shared" si="23"/>
        <v>0</v>
      </c>
      <c r="Y102" s="1495">
        <f t="shared" si="24"/>
        <v>100</v>
      </c>
      <c r="Z102" s="1495">
        <f t="shared" si="25"/>
        <v>0</v>
      </c>
      <c r="AA102" s="1506">
        <f t="shared" si="26"/>
        <v>0</v>
      </c>
      <c r="AB102" s="2441"/>
      <c r="AC102" s="1504">
        <f t="shared" si="27"/>
        <v>0</v>
      </c>
      <c r="AD102" s="1503">
        <f t="shared" si="28"/>
        <v>0</v>
      </c>
      <c r="AE102" s="1503">
        <f t="shared" si="29"/>
        <v>0</v>
      </c>
      <c r="AF102" s="1502">
        <f t="shared" si="30"/>
        <v>0</v>
      </c>
    </row>
    <row r="103" spans="1:32" s="1474" customFormat="1" ht="23.25" customHeight="1">
      <c r="A103" s="2175">
        <v>38</v>
      </c>
      <c r="B103" s="2175" t="s">
        <v>2055</v>
      </c>
      <c r="C103" s="2416" t="s">
        <v>2248</v>
      </c>
      <c r="D103" s="2416"/>
      <c r="E103" s="2175">
        <v>14000000</v>
      </c>
      <c r="F103" s="2417">
        <f t="shared" si="17"/>
        <v>2520000</v>
      </c>
      <c r="G103" s="2418">
        <v>40945</v>
      </c>
      <c r="H103" s="1511">
        <v>0.18</v>
      </c>
      <c r="I103" s="2164">
        <v>12</v>
      </c>
      <c r="J103" s="2164">
        <v>12</v>
      </c>
      <c r="K103" s="2164">
        <v>1166700</v>
      </c>
      <c r="L103" s="2164">
        <f t="shared" si="33"/>
        <v>210000</v>
      </c>
      <c r="M103" s="1510">
        <f t="shared" si="18"/>
        <v>14000000</v>
      </c>
      <c r="N103" s="1510">
        <f t="shared" si="19"/>
        <v>2520000</v>
      </c>
      <c r="O103" s="2171">
        <v>14000000</v>
      </c>
      <c r="P103" s="2171">
        <v>2520000</v>
      </c>
      <c r="Q103" s="1509"/>
      <c r="R103" s="2649"/>
      <c r="S103" s="2649"/>
      <c r="T103" s="1507"/>
      <c r="U103" s="1495">
        <f t="shared" si="20"/>
        <v>14000000</v>
      </c>
      <c r="V103" s="1495">
        <f t="shared" si="21"/>
        <v>2520000</v>
      </c>
      <c r="W103" s="1495">
        <f t="shared" si="22"/>
        <v>0</v>
      </c>
      <c r="X103" s="1495">
        <f t="shared" si="23"/>
        <v>0</v>
      </c>
      <c r="Y103" s="1495">
        <f t="shared" si="24"/>
        <v>100</v>
      </c>
      <c r="Z103" s="1495">
        <f t="shared" si="25"/>
        <v>0</v>
      </c>
      <c r="AA103" s="1506">
        <f t="shared" si="26"/>
        <v>0</v>
      </c>
      <c r="AB103" s="2441"/>
      <c r="AC103" s="1504">
        <f t="shared" si="27"/>
        <v>0</v>
      </c>
      <c r="AD103" s="1503">
        <f t="shared" si="28"/>
        <v>0</v>
      </c>
      <c r="AE103" s="1503">
        <f t="shared" si="29"/>
        <v>0</v>
      </c>
      <c r="AF103" s="1502">
        <f t="shared" si="30"/>
        <v>0</v>
      </c>
    </row>
    <row r="104" spans="1:32" s="1474" customFormat="1" ht="23.25" customHeight="1">
      <c r="A104" s="2175">
        <v>39</v>
      </c>
      <c r="B104" s="2175" t="s">
        <v>2051</v>
      </c>
      <c r="C104" s="2416" t="s">
        <v>2248</v>
      </c>
      <c r="D104" s="2416"/>
      <c r="E104" s="2175">
        <v>25000000</v>
      </c>
      <c r="F104" s="2417">
        <f t="shared" si="17"/>
        <v>4500000</v>
      </c>
      <c r="G104" s="2418">
        <v>40945</v>
      </c>
      <c r="H104" s="1511">
        <v>0.18</v>
      </c>
      <c r="I104" s="2164">
        <v>12</v>
      </c>
      <c r="J104" s="2164">
        <v>12</v>
      </c>
      <c r="K104" s="2164">
        <v>2083300</v>
      </c>
      <c r="L104" s="2164">
        <f t="shared" si="33"/>
        <v>375000</v>
      </c>
      <c r="M104" s="2401">
        <f t="shared" si="18"/>
        <v>25000000</v>
      </c>
      <c r="N104" s="2401">
        <f>IF(J104&lt;I104,J104*L104,IF(J104&gt;=I104,F104))-375000</f>
        <v>4125000</v>
      </c>
      <c r="O104" s="2171">
        <v>25000000</v>
      </c>
      <c r="P104" s="2171">
        <v>4125000</v>
      </c>
      <c r="Q104" s="1509"/>
      <c r="R104" s="2649"/>
      <c r="S104" s="2649"/>
      <c r="T104" s="1507"/>
      <c r="U104" s="1495">
        <f t="shared" si="20"/>
        <v>25000000</v>
      </c>
      <c r="V104" s="1495">
        <f t="shared" si="21"/>
        <v>4125000</v>
      </c>
      <c r="W104" s="1495">
        <f t="shared" si="22"/>
        <v>0</v>
      </c>
      <c r="X104" s="1495">
        <f t="shared" si="23"/>
        <v>0</v>
      </c>
      <c r="Y104" s="1495">
        <f t="shared" si="24"/>
        <v>100</v>
      </c>
      <c r="Z104" s="1495">
        <f t="shared" si="25"/>
        <v>0</v>
      </c>
      <c r="AA104" s="1506">
        <f t="shared" si="26"/>
        <v>0</v>
      </c>
      <c r="AB104" s="2441"/>
      <c r="AC104" s="1504">
        <f t="shared" si="27"/>
        <v>0</v>
      </c>
      <c r="AD104" s="1503">
        <f t="shared" si="28"/>
        <v>0</v>
      </c>
      <c r="AE104" s="1503">
        <f t="shared" si="29"/>
        <v>0</v>
      </c>
      <c r="AF104" s="1502">
        <f t="shared" si="30"/>
        <v>0</v>
      </c>
    </row>
    <row r="105" spans="1:32" s="1474" customFormat="1" ht="23.25" customHeight="1">
      <c r="A105" s="2175">
        <v>40</v>
      </c>
      <c r="B105" s="2175" t="s">
        <v>2268</v>
      </c>
      <c r="C105" s="2416" t="s">
        <v>2248</v>
      </c>
      <c r="D105" s="2416"/>
      <c r="E105" s="2175">
        <v>16000000</v>
      </c>
      <c r="F105" s="2417">
        <f t="shared" si="17"/>
        <v>2880000</v>
      </c>
      <c r="G105" s="2418">
        <v>41018</v>
      </c>
      <c r="H105" s="1511">
        <v>0.18</v>
      </c>
      <c r="I105" s="2164">
        <v>12</v>
      </c>
      <c r="J105" s="2164">
        <v>12</v>
      </c>
      <c r="K105" s="2164">
        <v>1333300</v>
      </c>
      <c r="L105" s="2164">
        <f t="shared" si="33"/>
        <v>240000</v>
      </c>
      <c r="M105" s="1510">
        <f t="shared" si="18"/>
        <v>16000000</v>
      </c>
      <c r="N105" s="1510">
        <f>IF(J105&lt;I105,J105*L105,IF(J105&gt;=I105,F105))-240000</f>
        <v>2640000</v>
      </c>
      <c r="O105" s="2171">
        <v>16000000</v>
      </c>
      <c r="P105" s="2171">
        <v>2640000</v>
      </c>
      <c r="Q105" s="1509"/>
      <c r="R105" s="2649"/>
      <c r="S105" s="2649"/>
      <c r="T105" s="1507"/>
      <c r="U105" s="1495">
        <f t="shared" si="20"/>
        <v>16000000</v>
      </c>
      <c r="V105" s="1495">
        <f t="shared" si="21"/>
        <v>2640000</v>
      </c>
      <c r="W105" s="1495">
        <f t="shared" si="22"/>
        <v>0</v>
      </c>
      <c r="X105" s="1495">
        <f t="shared" si="23"/>
        <v>0</v>
      </c>
      <c r="Y105" s="1495">
        <f t="shared" si="24"/>
        <v>100</v>
      </c>
      <c r="Z105" s="1495">
        <f t="shared" si="25"/>
        <v>0</v>
      </c>
      <c r="AA105" s="1506">
        <f t="shared" si="26"/>
        <v>0</v>
      </c>
      <c r="AB105" s="2441"/>
      <c r="AC105" s="1504">
        <f t="shared" si="27"/>
        <v>0</v>
      </c>
      <c r="AD105" s="1503">
        <f t="shared" si="28"/>
        <v>0</v>
      </c>
      <c r="AE105" s="1503">
        <f t="shared" si="29"/>
        <v>0</v>
      </c>
      <c r="AF105" s="1502">
        <f t="shared" si="30"/>
        <v>0</v>
      </c>
    </row>
    <row r="106" spans="1:32" s="1474" customFormat="1" ht="23.25" customHeight="1">
      <c r="A106" s="2175">
        <v>41</v>
      </c>
      <c r="B106" s="2175" t="s">
        <v>2267</v>
      </c>
      <c r="C106" s="2416" t="s">
        <v>2248</v>
      </c>
      <c r="D106" s="2416"/>
      <c r="E106" s="2175">
        <v>14000000</v>
      </c>
      <c r="F106" s="2417">
        <f t="shared" si="17"/>
        <v>2520000</v>
      </c>
      <c r="G106" s="2418">
        <v>41018</v>
      </c>
      <c r="H106" s="2419">
        <v>0.18</v>
      </c>
      <c r="I106" s="2164">
        <v>12</v>
      </c>
      <c r="J106" s="2164">
        <v>12</v>
      </c>
      <c r="K106" s="2164">
        <v>1166700</v>
      </c>
      <c r="L106" s="2164">
        <f t="shared" si="33"/>
        <v>210000</v>
      </c>
      <c r="M106" s="1510">
        <f t="shared" si="18"/>
        <v>14000000</v>
      </c>
      <c r="N106" s="1510">
        <f t="shared" si="19"/>
        <v>2520000</v>
      </c>
      <c r="O106" s="2171">
        <v>14000000</v>
      </c>
      <c r="P106" s="2171">
        <v>2310000</v>
      </c>
      <c r="Q106" s="1509"/>
      <c r="R106" s="2649"/>
      <c r="S106" s="2649"/>
      <c r="T106" s="1507"/>
      <c r="U106" s="1495">
        <f t="shared" si="20"/>
        <v>14000000</v>
      </c>
      <c r="V106" s="1495">
        <f t="shared" si="21"/>
        <v>2310000</v>
      </c>
      <c r="W106" s="1495">
        <f t="shared" si="22"/>
        <v>0</v>
      </c>
      <c r="X106" s="1495">
        <f t="shared" si="23"/>
        <v>0</v>
      </c>
      <c r="Y106" s="1495">
        <f t="shared" si="24"/>
        <v>100</v>
      </c>
      <c r="Z106" s="1495">
        <f t="shared" si="25"/>
        <v>0</v>
      </c>
      <c r="AA106" s="1506" t="s">
        <v>1461</v>
      </c>
      <c r="AB106" s="2441"/>
      <c r="AC106" s="1504">
        <f t="shared" si="27"/>
        <v>0</v>
      </c>
      <c r="AD106" s="1503">
        <f t="shared" si="28"/>
        <v>0</v>
      </c>
      <c r="AE106" s="1503">
        <f t="shared" si="29"/>
        <v>0</v>
      </c>
      <c r="AF106" s="1502">
        <f t="shared" si="30"/>
        <v>0</v>
      </c>
    </row>
    <row r="107" spans="1:32" s="1474" customFormat="1" ht="23.25" customHeight="1">
      <c r="A107" s="2175">
        <v>42</v>
      </c>
      <c r="B107" s="2175" t="s">
        <v>2052</v>
      </c>
      <c r="C107" s="2416" t="s">
        <v>2277</v>
      </c>
      <c r="D107" s="2416"/>
      <c r="E107" s="2175">
        <v>17000000</v>
      </c>
      <c r="F107" s="2417">
        <f t="shared" si="17"/>
        <v>3060000</v>
      </c>
      <c r="G107" s="2418">
        <v>41066</v>
      </c>
      <c r="H107" s="2419">
        <v>0.18</v>
      </c>
      <c r="I107" s="2164">
        <v>12</v>
      </c>
      <c r="J107" s="2164">
        <v>12</v>
      </c>
      <c r="K107" s="2164">
        <v>1416700</v>
      </c>
      <c r="L107" s="2164">
        <f t="shared" si="33"/>
        <v>255000</v>
      </c>
      <c r="M107" s="1510">
        <f t="shared" si="18"/>
        <v>17000000</v>
      </c>
      <c r="N107" s="1510">
        <f t="shared" si="19"/>
        <v>3060000</v>
      </c>
      <c r="O107" s="2171">
        <v>17000000</v>
      </c>
      <c r="P107" s="2171">
        <v>3060000</v>
      </c>
      <c r="Q107" s="1509"/>
      <c r="R107" s="2649"/>
      <c r="S107" s="2649"/>
      <c r="T107" s="1507"/>
      <c r="U107" s="1495">
        <f t="shared" si="20"/>
        <v>17000000</v>
      </c>
      <c r="V107" s="1495">
        <f t="shared" si="21"/>
        <v>3060000</v>
      </c>
      <c r="W107" s="1495">
        <f t="shared" si="22"/>
        <v>0</v>
      </c>
      <c r="X107" s="1495">
        <f t="shared" si="23"/>
        <v>0</v>
      </c>
      <c r="Y107" s="1495">
        <f t="shared" si="24"/>
        <v>100</v>
      </c>
      <c r="Z107" s="1495">
        <f>SUM(M107-U107)</f>
        <v>0</v>
      </c>
      <c r="AA107" s="1506">
        <f t="shared" si="26"/>
        <v>0</v>
      </c>
      <c r="AB107" s="2441">
        <v>0</v>
      </c>
      <c r="AC107" s="1504">
        <f t="shared" si="27"/>
        <v>0</v>
      </c>
      <c r="AD107" s="1503">
        <f t="shared" si="28"/>
        <v>0</v>
      </c>
      <c r="AE107" s="1503">
        <f t="shared" si="29"/>
        <v>0</v>
      </c>
      <c r="AF107" s="1502">
        <f t="shared" si="30"/>
        <v>0</v>
      </c>
    </row>
    <row r="108" spans="1:32" s="1474" customFormat="1" ht="23.25" customHeight="1">
      <c r="A108" s="2705">
        <v>43</v>
      </c>
      <c r="B108" s="1497" t="s">
        <v>2197</v>
      </c>
      <c r="C108" s="2706" t="s">
        <v>2277</v>
      </c>
      <c r="D108" s="2706"/>
      <c r="E108" s="1497">
        <v>15000000</v>
      </c>
      <c r="F108" s="2417">
        <f t="shared" si="17"/>
        <v>2700000</v>
      </c>
      <c r="G108" s="2707">
        <v>41068</v>
      </c>
      <c r="H108" s="2419">
        <v>0.18</v>
      </c>
      <c r="I108" s="2415">
        <v>12</v>
      </c>
      <c r="J108" s="2415">
        <v>12</v>
      </c>
      <c r="K108" s="2415">
        <v>1250000</v>
      </c>
      <c r="L108" s="2415">
        <f t="shared" si="33"/>
        <v>225000</v>
      </c>
      <c r="M108" s="1510">
        <f t="shared" si="18"/>
        <v>15000000</v>
      </c>
      <c r="N108" s="1510">
        <f t="shared" si="19"/>
        <v>2700000</v>
      </c>
      <c r="O108" s="2708">
        <v>15000000</v>
      </c>
      <c r="P108" s="2708">
        <v>2700000</v>
      </c>
      <c r="Q108" s="1509"/>
      <c r="R108" s="2653"/>
      <c r="S108" s="2653"/>
      <c r="T108" s="1507"/>
      <c r="U108" s="1495">
        <f t="shared" si="20"/>
        <v>15000000</v>
      </c>
      <c r="V108" s="1495">
        <f t="shared" si="21"/>
        <v>2700000</v>
      </c>
      <c r="W108" s="1495">
        <f t="shared" si="22"/>
        <v>0</v>
      </c>
      <c r="X108" s="1495">
        <f t="shared" si="23"/>
        <v>0</v>
      </c>
      <c r="Y108" s="1495">
        <f t="shared" si="24"/>
        <v>100</v>
      </c>
      <c r="Z108" s="1495">
        <f t="shared" si="25"/>
        <v>0</v>
      </c>
      <c r="AA108" s="1506">
        <f t="shared" si="26"/>
        <v>0</v>
      </c>
      <c r="AB108" s="2441"/>
      <c r="AC108" s="1504">
        <f t="shared" si="27"/>
        <v>0</v>
      </c>
      <c r="AD108" s="1503">
        <f t="shared" si="28"/>
        <v>0</v>
      </c>
      <c r="AE108" s="1503">
        <f t="shared" si="29"/>
        <v>0</v>
      </c>
      <c r="AF108" s="1502">
        <f t="shared" si="30"/>
        <v>0</v>
      </c>
    </row>
    <row r="109" spans="1:32" s="1474" customFormat="1" ht="23.25" customHeight="1">
      <c r="A109" s="2705">
        <v>44</v>
      </c>
      <c r="B109" s="1497" t="s">
        <v>1957</v>
      </c>
      <c r="C109" s="2706" t="s">
        <v>2277</v>
      </c>
      <c r="D109" s="2706"/>
      <c r="E109" s="1497">
        <v>30000000</v>
      </c>
      <c r="F109" s="2417">
        <f t="shared" si="17"/>
        <v>5400000</v>
      </c>
      <c r="G109" s="2707">
        <v>41072</v>
      </c>
      <c r="H109" s="2419">
        <v>0.18</v>
      </c>
      <c r="I109" s="2415">
        <v>12</v>
      </c>
      <c r="J109" s="2415">
        <v>12</v>
      </c>
      <c r="K109" s="2415">
        <f>E109/I109</f>
        <v>2500000</v>
      </c>
      <c r="L109" s="2415">
        <f t="shared" si="33"/>
        <v>450000</v>
      </c>
      <c r="M109" s="1510">
        <f t="shared" si="18"/>
        <v>30000000</v>
      </c>
      <c r="N109" s="1510">
        <f t="shared" si="19"/>
        <v>5400000</v>
      </c>
      <c r="O109" s="2708">
        <v>30000000</v>
      </c>
      <c r="P109" s="2708">
        <v>5400000</v>
      </c>
      <c r="Q109" s="1509"/>
      <c r="R109" s="2653"/>
      <c r="S109" s="2653"/>
      <c r="T109" s="1507"/>
      <c r="U109" s="1495">
        <f t="shared" si="20"/>
        <v>30000000</v>
      </c>
      <c r="V109" s="1495">
        <f t="shared" si="21"/>
        <v>5400000</v>
      </c>
      <c r="W109" s="1495">
        <f t="shared" si="22"/>
        <v>0</v>
      </c>
      <c r="X109" s="1495">
        <f t="shared" si="23"/>
        <v>0</v>
      </c>
      <c r="Y109" s="1495">
        <f t="shared" si="24"/>
        <v>100</v>
      </c>
      <c r="Z109" s="1495">
        <f t="shared" si="25"/>
        <v>0</v>
      </c>
      <c r="AA109" s="1506">
        <f t="shared" si="26"/>
        <v>0</v>
      </c>
      <c r="AB109" s="2441"/>
      <c r="AC109" s="1504">
        <f t="shared" si="27"/>
        <v>0</v>
      </c>
      <c r="AD109" s="1503">
        <f t="shared" si="28"/>
        <v>0</v>
      </c>
      <c r="AE109" s="1503">
        <f t="shared" si="29"/>
        <v>0</v>
      </c>
      <c r="AF109" s="1502">
        <f t="shared" si="30"/>
        <v>0</v>
      </c>
    </row>
    <row r="110" spans="1:32" s="1474" customFormat="1" ht="23.25" customHeight="1">
      <c r="A110" s="2705">
        <v>45</v>
      </c>
      <c r="B110" s="1497" t="s">
        <v>2068</v>
      </c>
      <c r="C110" s="2706" t="s">
        <v>2277</v>
      </c>
      <c r="D110" s="2706"/>
      <c r="E110" s="1497">
        <v>15000000</v>
      </c>
      <c r="F110" s="2417">
        <f t="shared" si="17"/>
        <v>2700000</v>
      </c>
      <c r="G110" s="2707">
        <v>41074</v>
      </c>
      <c r="H110" s="2419">
        <v>0.18</v>
      </c>
      <c r="I110" s="2415">
        <v>12</v>
      </c>
      <c r="J110" s="2415">
        <v>12</v>
      </c>
      <c r="K110" s="2415">
        <f>E110/I110</f>
        <v>1250000</v>
      </c>
      <c r="L110" s="2415">
        <f t="shared" si="33"/>
        <v>225000</v>
      </c>
      <c r="M110" s="1510">
        <f t="shared" si="18"/>
        <v>15000000</v>
      </c>
      <c r="N110" s="2401">
        <f>IF(J110&lt;I110,J110*L110,IF(J110&gt;=I110,F110))-225000</f>
        <v>2475000</v>
      </c>
      <c r="O110" s="2708">
        <v>15000000</v>
      </c>
      <c r="P110" s="2708">
        <v>2475000</v>
      </c>
      <c r="Q110" s="1509"/>
      <c r="R110" s="2653"/>
      <c r="S110" s="2653"/>
      <c r="T110" s="1507"/>
      <c r="U110" s="1495">
        <f t="shared" si="20"/>
        <v>15000000</v>
      </c>
      <c r="V110" s="1495">
        <f t="shared" si="21"/>
        <v>2475000</v>
      </c>
      <c r="W110" s="1495">
        <f t="shared" si="22"/>
        <v>0</v>
      </c>
      <c r="X110" s="1495">
        <f t="shared" si="23"/>
        <v>0</v>
      </c>
      <c r="Y110" s="1495">
        <f t="shared" si="24"/>
        <v>100</v>
      </c>
      <c r="Z110" s="1495">
        <f t="shared" si="25"/>
        <v>0</v>
      </c>
      <c r="AA110" s="1506">
        <f t="shared" si="26"/>
        <v>0</v>
      </c>
      <c r="AB110" s="2441"/>
      <c r="AC110" s="1504">
        <f t="shared" si="27"/>
        <v>0</v>
      </c>
      <c r="AD110" s="1503">
        <f t="shared" si="28"/>
        <v>0</v>
      </c>
      <c r="AE110" s="1503">
        <f t="shared" si="29"/>
        <v>0</v>
      </c>
      <c r="AF110" s="1502">
        <f t="shared" si="30"/>
        <v>0</v>
      </c>
    </row>
    <row r="111" spans="1:32" s="1474" customFormat="1" ht="23.25" customHeight="1">
      <c r="A111" s="2705">
        <v>46</v>
      </c>
      <c r="B111" s="1497" t="s">
        <v>2283</v>
      </c>
      <c r="C111" s="2706" t="s">
        <v>2277</v>
      </c>
      <c r="D111" s="2706"/>
      <c r="E111" s="1497">
        <v>22000000</v>
      </c>
      <c r="F111" s="2417">
        <f t="shared" si="17"/>
        <v>3960000</v>
      </c>
      <c r="G111" s="2707">
        <v>41074</v>
      </c>
      <c r="H111" s="2419">
        <v>0.18</v>
      </c>
      <c r="I111" s="2415">
        <v>12</v>
      </c>
      <c r="J111" s="2415">
        <v>12</v>
      </c>
      <c r="K111" s="2415">
        <v>1833300</v>
      </c>
      <c r="L111" s="2415">
        <f t="shared" si="33"/>
        <v>330000</v>
      </c>
      <c r="M111" s="1510">
        <f t="shared" si="18"/>
        <v>22000000</v>
      </c>
      <c r="N111" s="1510">
        <f t="shared" si="19"/>
        <v>3960000</v>
      </c>
      <c r="O111" s="2708">
        <v>22000000</v>
      </c>
      <c r="P111" s="2708">
        <v>3960000</v>
      </c>
      <c r="Q111" s="1509"/>
      <c r="R111" s="2653"/>
      <c r="S111" s="2653"/>
      <c r="T111" s="1507"/>
      <c r="U111" s="1495">
        <f t="shared" si="20"/>
        <v>22000000</v>
      </c>
      <c r="V111" s="1495">
        <f t="shared" si="21"/>
        <v>3960000</v>
      </c>
      <c r="W111" s="1495">
        <f t="shared" si="22"/>
        <v>0</v>
      </c>
      <c r="X111" s="1495">
        <f t="shared" si="23"/>
        <v>0</v>
      </c>
      <c r="Y111" s="1495">
        <f t="shared" si="24"/>
        <v>100</v>
      </c>
      <c r="Z111" s="1495">
        <f t="shared" si="25"/>
        <v>0</v>
      </c>
      <c r="AA111" s="1506">
        <f t="shared" si="26"/>
        <v>0</v>
      </c>
      <c r="AB111" s="2441"/>
      <c r="AC111" s="1504">
        <f t="shared" si="27"/>
        <v>0</v>
      </c>
      <c r="AD111" s="1503">
        <f t="shared" si="28"/>
        <v>0</v>
      </c>
      <c r="AE111" s="1503">
        <f t="shared" si="29"/>
        <v>0</v>
      </c>
      <c r="AF111" s="1502">
        <f t="shared" si="30"/>
        <v>0</v>
      </c>
    </row>
    <row r="112" spans="1:32" s="1474" customFormat="1" ht="23.25" customHeight="1">
      <c r="A112" s="2705">
        <v>47</v>
      </c>
      <c r="B112" s="1497" t="s">
        <v>2064</v>
      </c>
      <c r="C112" s="2706" t="s">
        <v>2277</v>
      </c>
      <c r="D112" s="2706">
        <v>12</v>
      </c>
      <c r="E112" s="1497">
        <v>20000000</v>
      </c>
      <c r="F112" s="2417">
        <f t="shared" si="17"/>
        <v>3600000</v>
      </c>
      <c r="G112" s="2707">
        <v>41080</v>
      </c>
      <c r="H112" s="2419">
        <v>0.18</v>
      </c>
      <c r="I112" s="2415">
        <v>12</v>
      </c>
      <c r="J112" s="2415">
        <v>12</v>
      </c>
      <c r="K112" s="2415">
        <v>1666700</v>
      </c>
      <c r="L112" s="2415">
        <f t="shared" si="33"/>
        <v>300000</v>
      </c>
      <c r="M112" s="1510">
        <f t="shared" si="18"/>
        <v>20000000</v>
      </c>
      <c r="N112" s="1510">
        <f t="shared" si="19"/>
        <v>3600000</v>
      </c>
      <c r="O112" s="2708">
        <v>15102900</v>
      </c>
      <c r="P112" s="2708">
        <v>3000000</v>
      </c>
      <c r="Q112" s="1509"/>
      <c r="R112" s="2653"/>
      <c r="S112" s="2653"/>
      <c r="T112" s="1507"/>
      <c r="U112" s="1495">
        <f t="shared" si="20"/>
        <v>15102900</v>
      </c>
      <c r="V112" s="1495">
        <f t="shared" si="21"/>
        <v>3000000</v>
      </c>
      <c r="W112" s="1495">
        <f t="shared" si="22"/>
        <v>0</v>
      </c>
      <c r="X112" s="1495">
        <f t="shared" si="23"/>
        <v>4897100</v>
      </c>
      <c r="Y112" s="1495">
        <f t="shared" si="24"/>
        <v>75.514499999999998</v>
      </c>
      <c r="Z112" s="1495">
        <f t="shared" si="25"/>
        <v>4897100</v>
      </c>
      <c r="AA112" s="1506">
        <f t="shared" si="26"/>
        <v>600000</v>
      </c>
      <c r="AB112" s="2441">
        <v>7</v>
      </c>
      <c r="AC112" s="1504">
        <f t="shared" si="27"/>
        <v>0</v>
      </c>
      <c r="AD112" s="1503">
        <f t="shared" si="28"/>
        <v>0</v>
      </c>
      <c r="AE112" s="1503">
        <f t="shared" si="29"/>
        <v>0</v>
      </c>
      <c r="AF112" s="1502">
        <f t="shared" si="30"/>
        <v>4897100</v>
      </c>
    </row>
    <row r="113" spans="1:32" s="1474" customFormat="1" ht="23.25" customHeight="1">
      <c r="A113" s="2705">
        <v>48</v>
      </c>
      <c r="B113" s="1497" t="s">
        <v>2199</v>
      </c>
      <c r="C113" s="2706" t="s">
        <v>2277</v>
      </c>
      <c r="D113" s="2706"/>
      <c r="E113" s="1497">
        <v>12000000</v>
      </c>
      <c r="F113" s="2417">
        <f t="shared" si="17"/>
        <v>2160000</v>
      </c>
      <c r="G113" s="2707">
        <v>41108</v>
      </c>
      <c r="H113" s="2419">
        <v>0.18</v>
      </c>
      <c r="I113" s="2415">
        <v>12</v>
      </c>
      <c r="J113" s="2415">
        <v>12</v>
      </c>
      <c r="K113" s="2415">
        <v>1000000</v>
      </c>
      <c r="L113" s="2415">
        <f t="shared" si="33"/>
        <v>180000</v>
      </c>
      <c r="M113" s="1510">
        <f t="shared" si="18"/>
        <v>12000000</v>
      </c>
      <c r="N113" s="1510">
        <f t="shared" si="19"/>
        <v>2160000</v>
      </c>
      <c r="O113" s="2708">
        <v>12000000</v>
      </c>
      <c r="P113" s="2708">
        <v>2160000</v>
      </c>
      <c r="Q113" s="1509"/>
      <c r="R113" s="2653"/>
      <c r="S113" s="2653"/>
      <c r="T113" s="1507"/>
      <c r="U113" s="1495">
        <f t="shared" si="20"/>
        <v>12000000</v>
      </c>
      <c r="V113" s="1495">
        <f t="shared" si="21"/>
        <v>2160000</v>
      </c>
      <c r="W113" s="1495">
        <f t="shared" si="22"/>
        <v>0</v>
      </c>
      <c r="X113" s="1495">
        <f t="shared" si="23"/>
        <v>0</v>
      </c>
      <c r="Y113" s="1495">
        <f t="shared" si="24"/>
        <v>100</v>
      </c>
      <c r="Z113" s="1495">
        <f t="shared" si="25"/>
        <v>0</v>
      </c>
      <c r="AA113" s="1506">
        <f t="shared" si="26"/>
        <v>0</v>
      </c>
      <c r="AB113" s="2441"/>
      <c r="AC113" s="1504">
        <f t="shared" si="27"/>
        <v>0</v>
      </c>
      <c r="AD113" s="1503">
        <f t="shared" si="28"/>
        <v>0</v>
      </c>
      <c r="AE113" s="1503">
        <f t="shared" si="29"/>
        <v>0</v>
      </c>
      <c r="AF113" s="1502">
        <f t="shared" si="30"/>
        <v>0</v>
      </c>
    </row>
    <row r="114" spans="1:32" s="1474" customFormat="1" ht="23.25" customHeight="1">
      <c r="A114" s="2705">
        <v>49</v>
      </c>
      <c r="B114" s="1497" t="s">
        <v>2057</v>
      </c>
      <c r="C114" s="2706" t="s">
        <v>2312</v>
      </c>
      <c r="D114" s="2706"/>
      <c r="E114" s="1497">
        <v>20000000</v>
      </c>
      <c r="F114" s="2417">
        <f t="shared" si="17"/>
        <v>3600000</v>
      </c>
      <c r="G114" s="2707">
        <v>41158</v>
      </c>
      <c r="H114" s="2419">
        <v>0.18</v>
      </c>
      <c r="I114" s="2415">
        <v>12</v>
      </c>
      <c r="J114" s="2415">
        <v>12</v>
      </c>
      <c r="K114" s="2415">
        <v>1666700</v>
      </c>
      <c r="L114" s="2415">
        <f t="shared" si="33"/>
        <v>300000</v>
      </c>
      <c r="M114" s="1510">
        <f t="shared" si="18"/>
        <v>20000000</v>
      </c>
      <c r="N114" s="2401">
        <f>IF(J114&lt;I114,J114*L114,IF(J114&gt;=I114,F114))-600000</f>
        <v>3000000</v>
      </c>
      <c r="O114" s="2708">
        <v>20000000</v>
      </c>
      <c r="P114" s="2708">
        <v>3000000</v>
      </c>
      <c r="Q114" s="1509"/>
      <c r="R114" s="2653"/>
      <c r="S114" s="2653"/>
      <c r="T114" s="1507"/>
      <c r="U114" s="1495">
        <f t="shared" si="20"/>
        <v>20000000</v>
      </c>
      <c r="V114" s="1495">
        <f t="shared" si="21"/>
        <v>3000000</v>
      </c>
      <c r="W114" s="1495">
        <f t="shared" si="22"/>
        <v>0</v>
      </c>
      <c r="X114" s="1495">
        <f t="shared" si="23"/>
        <v>0</v>
      </c>
      <c r="Y114" s="1495">
        <f t="shared" si="24"/>
        <v>100</v>
      </c>
      <c r="Z114" s="1495">
        <f t="shared" si="25"/>
        <v>0</v>
      </c>
      <c r="AA114" s="1506">
        <f t="shared" si="26"/>
        <v>0</v>
      </c>
      <c r="AB114" s="2441"/>
      <c r="AC114" s="1504">
        <f t="shared" si="27"/>
        <v>0</v>
      </c>
      <c r="AD114" s="1503">
        <f t="shared" si="28"/>
        <v>0</v>
      </c>
      <c r="AE114" s="1503">
        <f t="shared" si="29"/>
        <v>0</v>
      </c>
      <c r="AF114" s="1502">
        <f t="shared" si="30"/>
        <v>0</v>
      </c>
    </row>
    <row r="115" spans="1:32" s="1474" customFormat="1" ht="23.25" customHeight="1">
      <c r="A115" s="2705">
        <v>50</v>
      </c>
      <c r="B115" s="1497" t="s">
        <v>2059</v>
      </c>
      <c r="C115" s="2706" t="s">
        <v>2312</v>
      </c>
      <c r="D115" s="2706"/>
      <c r="E115" s="1497">
        <v>13500000</v>
      </c>
      <c r="F115" s="2417">
        <f t="shared" si="17"/>
        <v>2430000</v>
      </c>
      <c r="G115" s="2707">
        <v>41158</v>
      </c>
      <c r="H115" s="2419">
        <v>0.18</v>
      </c>
      <c r="I115" s="2415">
        <v>12</v>
      </c>
      <c r="J115" s="2415">
        <v>12</v>
      </c>
      <c r="K115" s="2415">
        <f>E115/I115</f>
        <v>1125000</v>
      </c>
      <c r="L115" s="2415">
        <f t="shared" si="33"/>
        <v>202500</v>
      </c>
      <c r="M115" s="1510">
        <f t="shared" si="18"/>
        <v>13500000</v>
      </c>
      <c r="N115" s="2401">
        <f>IF(J115&lt;I115,J115*L115,IF(J115&gt;=I115,F115))-202500-202500</f>
        <v>2025000</v>
      </c>
      <c r="O115" s="2708">
        <v>13500000</v>
      </c>
      <c r="P115" s="2708">
        <v>2025000</v>
      </c>
      <c r="Q115" s="1509"/>
      <c r="R115" s="2653"/>
      <c r="S115" s="2653"/>
      <c r="T115" s="1507"/>
      <c r="U115" s="1495">
        <f t="shared" si="20"/>
        <v>13500000</v>
      </c>
      <c r="V115" s="1495">
        <f t="shared" si="21"/>
        <v>2025000</v>
      </c>
      <c r="W115" s="1495">
        <f t="shared" si="22"/>
        <v>0</v>
      </c>
      <c r="X115" s="1495">
        <f t="shared" si="23"/>
        <v>0</v>
      </c>
      <c r="Y115" s="1495">
        <f t="shared" si="24"/>
        <v>100</v>
      </c>
      <c r="Z115" s="1495">
        <f t="shared" si="25"/>
        <v>0</v>
      </c>
      <c r="AA115" s="1506">
        <f t="shared" si="26"/>
        <v>0</v>
      </c>
      <c r="AB115" s="2441"/>
      <c r="AC115" s="1504">
        <f t="shared" si="27"/>
        <v>0</v>
      </c>
      <c r="AD115" s="1503">
        <f t="shared" si="28"/>
        <v>0</v>
      </c>
      <c r="AE115" s="1503">
        <f t="shared" si="29"/>
        <v>0</v>
      </c>
      <c r="AF115" s="1502">
        <f t="shared" si="30"/>
        <v>0</v>
      </c>
    </row>
    <row r="116" spans="1:32" s="1474" customFormat="1" ht="23.25" customHeight="1">
      <c r="A116" s="2705">
        <v>51</v>
      </c>
      <c r="B116" s="1497" t="s">
        <v>2056</v>
      </c>
      <c r="C116" s="2706" t="s">
        <v>2312</v>
      </c>
      <c r="D116" s="2706"/>
      <c r="E116" s="1497">
        <v>20000000</v>
      </c>
      <c r="F116" s="2417">
        <f t="shared" si="17"/>
        <v>3600000</v>
      </c>
      <c r="G116" s="2707">
        <v>41158</v>
      </c>
      <c r="H116" s="2419">
        <v>0.18</v>
      </c>
      <c r="I116" s="2415">
        <v>12</v>
      </c>
      <c r="J116" s="2415">
        <v>12</v>
      </c>
      <c r="K116" s="2415">
        <v>1666700</v>
      </c>
      <c r="L116" s="2415">
        <f t="shared" si="33"/>
        <v>300000</v>
      </c>
      <c r="M116" s="1510">
        <f t="shared" si="18"/>
        <v>20000000</v>
      </c>
      <c r="N116" s="2401">
        <f>IF(J116&lt;I116,J116*L116,IF(J116&gt;=I116,F116))-600000</f>
        <v>3000000</v>
      </c>
      <c r="O116" s="2708">
        <v>20000000</v>
      </c>
      <c r="P116" s="2708">
        <v>3000000</v>
      </c>
      <c r="Q116" s="1509"/>
      <c r="R116" s="2653"/>
      <c r="S116" s="2653"/>
      <c r="T116" s="1507"/>
      <c r="U116" s="1495">
        <f t="shared" si="20"/>
        <v>20000000</v>
      </c>
      <c r="V116" s="1495">
        <f t="shared" si="21"/>
        <v>3000000</v>
      </c>
      <c r="W116" s="1495">
        <f t="shared" si="22"/>
        <v>0</v>
      </c>
      <c r="X116" s="1495">
        <f t="shared" si="23"/>
        <v>0</v>
      </c>
      <c r="Y116" s="1495">
        <f t="shared" si="24"/>
        <v>100</v>
      </c>
      <c r="Z116" s="1495">
        <f t="shared" si="25"/>
        <v>0</v>
      </c>
      <c r="AA116" s="1506">
        <f t="shared" si="26"/>
        <v>0</v>
      </c>
      <c r="AB116" s="2441"/>
      <c r="AC116" s="1504">
        <f t="shared" si="27"/>
        <v>0</v>
      </c>
      <c r="AD116" s="1503">
        <f t="shared" si="28"/>
        <v>0</v>
      </c>
      <c r="AE116" s="1503">
        <f t="shared" si="29"/>
        <v>0</v>
      </c>
      <c r="AF116" s="1502">
        <f t="shared" si="30"/>
        <v>0</v>
      </c>
    </row>
    <row r="117" spans="1:32" s="3182" customFormat="1" ht="23.25" customHeight="1">
      <c r="A117" s="2705">
        <v>52</v>
      </c>
      <c r="B117" s="1497" t="s">
        <v>1901</v>
      </c>
      <c r="C117" s="2706" t="s">
        <v>2312</v>
      </c>
      <c r="D117" s="2706"/>
      <c r="E117" s="1497">
        <v>20000000</v>
      </c>
      <c r="F117" s="2175">
        <f t="shared" si="17"/>
        <v>3600000</v>
      </c>
      <c r="G117" s="3176">
        <v>41170</v>
      </c>
      <c r="H117" s="3177">
        <v>0.18</v>
      </c>
      <c r="I117" s="2708">
        <v>12</v>
      </c>
      <c r="J117" s="2708">
        <v>12</v>
      </c>
      <c r="K117" s="2708">
        <v>1666700</v>
      </c>
      <c r="L117" s="2708">
        <f t="shared" si="33"/>
        <v>300000</v>
      </c>
      <c r="M117" s="1509">
        <f t="shared" si="18"/>
        <v>20000000</v>
      </c>
      <c r="N117" s="3090">
        <f>IF(J117&lt;I117,J117*L117,IF(J117&gt;=I117,F117))-300000</f>
        <v>3300000</v>
      </c>
      <c r="O117" s="2708">
        <v>20000000</v>
      </c>
      <c r="P117" s="2708">
        <v>3300000</v>
      </c>
      <c r="Q117" s="1509"/>
      <c r="R117" s="2708"/>
      <c r="S117" s="2708"/>
      <c r="T117" s="1513"/>
      <c r="U117" s="2176">
        <f t="shared" si="20"/>
        <v>20000000</v>
      </c>
      <c r="V117" s="2176">
        <f t="shared" si="21"/>
        <v>3300000</v>
      </c>
      <c r="W117" s="2176">
        <f t="shared" si="22"/>
        <v>0</v>
      </c>
      <c r="X117" s="2176">
        <f t="shared" si="23"/>
        <v>0</v>
      </c>
      <c r="Y117" s="2176">
        <f t="shared" si="24"/>
        <v>100</v>
      </c>
      <c r="Z117" s="2176">
        <f t="shared" si="25"/>
        <v>0</v>
      </c>
      <c r="AA117" s="3178">
        <f t="shared" si="26"/>
        <v>0</v>
      </c>
      <c r="AB117" s="2441"/>
      <c r="AC117" s="3179">
        <f t="shared" si="27"/>
        <v>0</v>
      </c>
      <c r="AD117" s="3180">
        <f t="shared" si="28"/>
        <v>0</v>
      </c>
      <c r="AE117" s="3180">
        <f t="shared" si="29"/>
        <v>0</v>
      </c>
      <c r="AF117" s="3181">
        <f t="shared" si="30"/>
        <v>0</v>
      </c>
    </row>
    <row r="118" spans="1:32" s="1474" customFormat="1" ht="23.25" customHeight="1">
      <c r="A118" s="2705">
        <v>53</v>
      </c>
      <c r="B118" s="1497" t="s">
        <v>2058</v>
      </c>
      <c r="C118" s="2706" t="s">
        <v>2312</v>
      </c>
      <c r="D118" s="2706"/>
      <c r="E118" s="1497">
        <v>15000000</v>
      </c>
      <c r="F118" s="2417">
        <f t="shared" si="17"/>
        <v>2700000</v>
      </c>
      <c r="G118" s="2707">
        <v>41176</v>
      </c>
      <c r="H118" s="2419">
        <v>0.18</v>
      </c>
      <c r="I118" s="2415">
        <v>12</v>
      </c>
      <c r="J118" s="2415">
        <v>12</v>
      </c>
      <c r="K118" s="2415">
        <f>E118/I118</f>
        <v>1250000</v>
      </c>
      <c r="L118" s="2415">
        <f t="shared" si="33"/>
        <v>225000</v>
      </c>
      <c r="M118" s="1510">
        <f t="shared" si="18"/>
        <v>15000000</v>
      </c>
      <c r="N118" s="2401">
        <f>IF(J118&lt;I118,J118*L118,IF(J118&gt;=I118,F118))-225000</f>
        <v>2475000</v>
      </c>
      <c r="O118" s="2708">
        <v>15000000</v>
      </c>
      <c r="P118" s="2708">
        <v>2475000</v>
      </c>
      <c r="Q118" s="1509"/>
      <c r="R118" s="2653"/>
      <c r="S118" s="2653"/>
      <c r="T118" s="1507"/>
      <c r="U118" s="1495">
        <f t="shared" si="20"/>
        <v>15000000</v>
      </c>
      <c r="V118" s="1495">
        <f t="shared" si="21"/>
        <v>2475000</v>
      </c>
      <c r="W118" s="1495">
        <f t="shared" si="22"/>
        <v>0</v>
      </c>
      <c r="X118" s="1495">
        <f t="shared" si="23"/>
        <v>0</v>
      </c>
      <c r="Y118" s="1495">
        <f t="shared" si="24"/>
        <v>100</v>
      </c>
      <c r="Z118" s="1495">
        <f t="shared" si="25"/>
        <v>0</v>
      </c>
      <c r="AA118" s="1506">
        <f t="shared" si="26"/>
        <v>0</v>
      </c>
      <c r="AB118" s="2441"/>
      <c r="AC118" s="1504">
        <f t="shared" si="27"/>
        <v>0</v>
      </c>
      <c r="AD118" s="1503">
        <f t="shared" si="28"/>
        <v>0</v>
      </c>
      <c r="AE118" s="1503">
        <f t="shared" si="29"/>
        <v>0</v>
      </c>
      <c r="AF118" s="1502">
        <f t="shared" si="30"/>
        <v>0</v>
      </c>
    </row>
    <row r="119" spans="1:32" s="1474" customFormat="1" ht="23.25" customHeight="1">
      <c r="A119" s="2705">
        <v>54</v>
      </c>
      <c r="B119" s="1497" t="s">
        <v>2145</v>
      </c>
      <c r="C119" s="2706" t="s">
        <v>2312</v>
      </c>
      <c r="D119" s="2706"/>
      <c r="E119" s="1497">
        <v>10000000</v>
      </c>
      <c r="F119" s="2417">
        <f t="shared" si="17"/>
        <v>1800000</v>
      </c>
      <c r="G119" s="2707">
        <v>41187</v>
      </c>
      <c r="H119" s="2419">
        <v>0.18</v>
      </c>
      <c r="I119" s="2415">
        <v>12</v>
      </c>
      <c r="J119" s="2415">
        <v>12</v>
      </c>
      <c r="K119" s="2415">
        <v>833300</v>
      </c>
      <c r="L119" s="2415">
        <f t="shared" si="33"/>
        <v>150000</v>
      </c>
      <c r="M119" s="1510">
        <f t="shared" si="18"/>
        <v>10000000</v>
      </c>
      <c r="N119" s="1510">
        <f t="shared" si="19"/>
        <v>1800000</v>
      </c>
      <c r="O119" s="2708">
        <v>10000000</v>
      </c>
      <c r="P119" s="2708">
        <v>1800000</v>
      </c>
      <c r="Q119" s="1509"/>
      <c r="R119" s="2653"/>
      <c r="S119" s="2653"/>
      <c r="T119" s="1507"/>
      <c r="U119" s="1495">
        <f t="shared" si="20"/>
        <v>10000000</v>
      </c>
      <c r="V119" s="1495">
        <f t="shared" si="21"/>
        <v>1800000</v>
      </c>
      <c r="W119" s="1495">
        <f t="shared" si="22"/>
        <v>0</v>
      </c>
      <c r="X119" s="1495">
        <f t="shared" si="23"/>
        <v>0</v>
      </c>
      <c r="Y119" s="1495">
        <f t="shared" si="24"/>
        <v>100</v>
      </c>
      <c r="Z119" s="1495">
        <f t="shared" si="25"/>
        <v>0</v>
      </c>
      <c r="AA119" s="1506">
        <f t="shared" si="26"/>
        <v>0</v>
      </c>
      <c r="AB119" s="2441"/>
      <c r="AC119" s="1504">
        <f t="shared" si="27"/>
        <v>0</v>
      </c>
      <c r="AD119" s="1503">
        <f t="shared" si="28"/>
        <v>0</v>
      </c>
      <c r="AE119" s="1503">
        <f t="shared" si="29"/>
        <v>0</v>
      </c>
      <c r="AF119" s="1502">
        <f t="shared" si="30"/>
        <v>0</v>
      </c>
    </row>
    <row r="120" spans="1:32" s="1474" customFormat="1" ht="23.25" customHeight="1">
      <c r="A120" s="2705">
        <v>55</v>
      </c>
      <c r="B120" s="1497" t="s">
        <v>2330</v>
      </c>
      <c r="C120" s="2706" t="s">
        <v>2312</v>
      </c>
      <c r="D120" s="2706"/>
      <c r="E120" s="1497">
        <v>9800000</v>
      </c>
      <c r="F120" s="2417">
        <f t="shared" si="17"/>
        <v>1764000</v>
      </c>
      <c r="G120" s="2707">
        <v>41187</v>
      </c>
      <c r="H120" s="2419">
        <v>0.18</v>
      </c>
      <c r="I120" s="2415">
        <v>12</v>
      </c>
      <c r="J120" s="2415">
        <v>12</v>
      </c>
      <c r="K120" s="2415">
        <v>816700</v>
      </c>
      <c r="L120" s="2415">
        <f t="shared" si="33"/>
        <v>147000</v>
      </c>
      <c r="M120" s="1510">
        <f t="shared" si="18"/>
        <v>9800000</v>
      </c>
      <c r="N120" s="1510">
        <f t="shared" si="19"/>
        <v>1764000</v>
      </c>
      <c r="O120" s="2708">
        <v>9800000</v>
      </c>
      <c r="P120" s="2708">
        <v>1764000</v>
      </c>
      <c r="Q120" s="1509"/>
      <c r="R120" s="2653"/>
      <c r="S120" s="2653"/>
      <c r="T120" s="1507"/>
      <c r="U120" s="1495">
        <f t="shared" si="20"/>
        <v>9800000</v>
      </c>
      <c r="V120" s="1495">
        <f t="shared" si="21"/>
        <v>1764000</v>
      </c>
      <c r="W120" s="1495">
        <f t="shared" si="22"/>
        <v>0</v>
      </c>
      <c r="X120" s="1495">
        <f t="shared" si="23"/>
        <v>0</v>
      </c>
      <c r="Y120" s="1495">
        <f t="shared" si="24"/>
        <v>100</v>
      </c>
      <c r="Z120" s="1495">
        <f t="shared" si="25"/>
        <v>0</v>
      </c>
      <c r="AA120" s="1506">
        <f t="shared" si="26"/>
        <v>0</v>
      </c>
      <c r="AB120" s="2441"/>
      <c r="AC120" s="1504">
        <f t="shared" si="27"/>
        <v>0</v>
      </c>
      <c r="AD120" s="1503">
        <f t="shared" si="28"/>
        <v>0</v>
      </c>
      <c r="AE120" s="1503">
        <f t="shared" si="29"/>
        <v>0</v>
      </c>
      <c r="AF120" s="1502">
        <f t="shared" si="30"/>
        <v>0</v>
      </c>
    </row>
    <row r="121" spans="1:32" s="1474" customFormat="1" ht="23.25" customHeight="1">
      <c r="A121" s="2705">
        <v>56</v>
      </c>
      <c r="B121" s="1497" t="s">
        <v>2128</v>
      </c>
      <c r="C121" s="2706" t="s">
        <v>2312</v>
      </c>
      <c r="D121" s="2706"/>
      <c r="E121" s="1497">
        <v>10000000</v>
      </c>
      <c r="F121" s="2417">
        <f t="shared" si="17"/>
        <v>1800000</v>
      </c>
      <c r="G121" s="2707">
        <v>41197</v>
      </c>
      <c r="H121" s="2419">
        <v>0.18</v>
      </c>
      <c r="I121" s="2415">
        <v>12</v>
      </c>
      <c r="J121" s="2415">
        <v>12</v>
      </c>
      <c r="K121" s="2415">
        <v>833300</v>
      </c>
      <c r="L121" s="2415">
        <f t="shared" si="33"/>
        <v>150000</v>
      </c>
      <c r="M121" s="1510">
        <f t="shared" si="18"/>
        <v>10000000</v>
      </c>
      <c r="N121" s="2401">
        <f>IF(J121&lt;I121,J121*L121,IF(J121&gt;=I121,F121))-150000</f>
        <v>1650000</v>
      </c>
      <c r="O121" s="2708">
        <v>10000000</v>
      </c>
      <c r="P121" s="2708">
        <v>1650000</v>
      </c>
      <c r="Q121" s="1509"/>
      <c r="R121" s="2653"/>
      <c r="S121" s="2653"/>
      <c r="T121" s="1507"/>
      <c r="U121" s="1495">
        <f t="shared" si="20"/>
        <v>10000000</v>
      </c>
      <c r="V121" s="1495">
        <f t="shared" si="21"/>
        <v>1650000</v>
      </c>
      <c r="W121" s="1495">
        <f t="shared" si="22"/>
        <v>0</v>
      </c>
      <c r="X121" s="1495">
        <f t="shared" si="23"/>
        <v>0</v>
      </c>
      <c r="Y121" s="1495">
        <f t="shared" si="24"/>
        <v>100</v>
      </c>
      <c r="Z121" s="1495">
        <f t="shared" si="25"/>
        <v>0</v>
      </c>
      <c r="AA121" s="1506">
        <f t="shared" si="26"/>
        <v>0</v>
      </c>
      <c r="AB121" s="2441"/>
      <c r="AC121" s="1504">
        <f t="shared" si="27"/>
        <v>0</v>
      </c>
      <c r="AD121" s="1503">
        <f t="shared" si="28"/>
        <v>0</v>
      </c>
      <c r="AE121" s="1503">
        <f t="shared" si="29"/>
        <v>0</v>
      </c>
      <c r="AF121" s="1502">
        <f t="shared" si="30"/>
        <v>0</v>
      </c>
    </row>
    <row r="122" spans="1:32" s="1474" customFormat="1" ht="23.25" customHeight="1">
      <c r="A122" s="2705">
        <v>57</v>
      </c>
      <c r="B122" s="1497" t="s">
        <v>2220</v>
      </c>
      <c r="C122" s="2706" t="s">
        <v>2312</v>
      </c>
      <c r="D122" s="2706"/>
      <c r="E122" s="1497">
        <v>10000000</v>
      </c>
      <c r="F122" s="2417">
        <f t="shared" si="17"/>
        <v>1800000</v>
      </c>
      <c r="G122" s="2707">
        <v>41199</v>
      </c>
      <c r="H122" s="2419">
        <v>0.18</v>
      </c>
      <c r="I122" s="2415">
        <v>12</v>
      </c>
      <c r="J122" s="2415">
        <v>12</v>
      </c>
      <c r="K122" s="2415">
        <v>833300</v>
      </c>
      <c r="L122" s="2415">
        <f t="shared" si="33"/>
        <v>150000</v>
      </c>
      <c r="M122" s="1510">
        <f t="shared" si="18"/>
        <v>10000000</v>
      </c>
      <c r="N122" s="2401">
        <f>IF(J122&lt;I122,J122*L122,IF(J122&gt;=I122,F122))-150000</f>
        <v>1650000</v>
      </c>
      <c r="O122" s="2708">
        <v>10000000</v>
      </c>
      <c r="P122" s="2708">
        <v>1650000</v>
      </c>
      <c r="Q122" s="1509"/>
      <c r="R122" s="2653"/>
      <c r="S122" s="2653"/>
      <c r="T122" s="1507"/>
      <c r="U122" s="1495">
        <f t="shared" si="20"/>
        <v>10000000</v>
      </c>
      <c r="V122" s="1495">
        <f t="shared" si="21"/>
        <v>1650000</v>
      </c>
      <c r="W122" s="1495">
        <f t="shared" si="22"/>
        <v>0</v>
      </c>
      <c r="X122" s="1495">
        <f t="shared" si="23"/>
        <v>0</v>
      </c>
      <c r="Y122" s="1495">
        <f t="shared" si="24"/>
        <v>100</v>
      </c>
      <c r="Z122" s="1495">
        <f t="shared" si="25"/>
        <v>0</v>
      </c>
      <c r="AA122" s="1506">
        <f t="shared" si="26"/>
        <v>0</v>
      </c>
      <c r="AB122" s="2441"/>
      <c r="AC122" s="1504">
        <f t="shared" si="27"/>
        <v>0</v>
      </c>
      <c r="AD122" s="1503">
        <f t="shared" si="28"/>
        <v>0</v>
      </c>
      <c r="AE122" s="1503">
        <f t="shared" si="29"/>
        <v>0</v>
      </c>
      <c r="AF122" s="1502">
        <f t="shared" si="30"/>
        <v>0</v>
      </c>
    </row>
    <row r="123" spans="1:32" s="1474" customFormat="1" ht="23.25" customHeight="1">
      <c r="A123" s="2705">
        <v>58</v>
      </c>
      <c r="B123" s="1497" t="s">
        <v>2054</v>
      </c>
      <c r="C123" s="2706" t="s">
        <v>2312</v>
      </c>
      <c r="D123" s="2706"/>
      <c r="E123" s="1497">
        <v>19000000</v>
      </c>
      <c r="F123" s="2417">
        <f t="shared" si="17"/>
        <v>3420000</v>
      </c>
      <c r="G123" s="2707">
        <v>41233</v>
      </c>
      <c r="H123" s="2419">
        <v>0.18</v>
      </c>
      <c r="I123" s="2415">
        <v>12</v>
      </c>
      <c r="J123" s="2415">
        <v>12</v>
      </c>
      <c r="K123" s="2415">
        <v>1583300</v>
      </c>
      <c r="L123" s="2415">
        <f t="shared" si="33"/>
        <v>285000</v>
      </c>
      <c r="M123" s="1510">
        <f t="shared" si="18"/>
        <v>19000000</v>
      </c>
      <c r="N123" s="2401">
        <f>IF(J123&lt;I123,J123*L123,IF(J123&gt;=I123,F123))-285000</f>
        <v>3135000</v>
      </c>
      <c r="O123" s="2708">
        <v>19000000</v>
      </c>
      <c r="P123" s="2708">
        <v>3135000</v>
      </c>
      <c r="Q123" s="1509"/>
      <c r="R123" s="2653"/>
      <c r="S123" s="2653"/>
      <c r="T123" s="1507"/>
      <c r="U123" s="1495">
        <f t="shared" si="20"/>
        <v>19000000</v>
      </c>
      <c r="V123" s="1495">
        <f t="shared" si="21"/>
        <v>3135000</v>
      </c>
      <c r="W123" s="1495">
        <f t="shared" si="22"/>
        <v>0</v>
      </c>
      <c r="X123" s="1495">
        <f t="shared" si="23"/>
        <v>0</v>
      </c>
      <c r="Y123" s="1495">
        <f t="shared" si="24"/>
        <v>100</v>
      </c>
      <c r="Z123" s="1495">
        <f t="shared" si="25"/>
        <v>0</v>
      </c>
      <c r="AA123" s="1506">
        <f t="shared" si="26"/>
        <v>0</v>
      </c>
      <c r="AB123" s="2441"/>
      <c r="AC123" s="1504">
        <f t="shared" si="27"/>
        <v>0</v>
      </c>
      <c r="AD123" s="1503">
        <f t="shared" si="28"/>
        <v>0</v>
      </c>
      <c r="AE123" s="1503">
        <f t="shared" si="29"/>
        <v>0</v>
      </c>
      <c r="AF123" s="1502">
        <f t="shared" si="30"/>
        <v>0</v>
      </c>
    </row>
    <row r="124" spans="1:32" s="1474" customFormat="1" ht="23.25" customHeight="1">
      <c r="A124" s="2705">
        <v>59</v>
      </c>
      <c r="B124" s="1497" t="s">
        <v>2229</v>
      </c>
      <c r="C124" s="2706" t="s">
        <v>2312</v>
      </c>
      <c r="D124" s="2706"/>
      <c r="E124" s="1497">
        <v>10500000</v>
      </c>
      <c r="F124" s="2417">
        <f t="shared" si="17"/>
        <v>1890000</v>
      </c>
      <c r="G124" s="2707">
        <v>41233</v>
      </c>
      <c r="H124" s="2419">
        <v>0.18</v>
      </c>
      <c r="I124" s="2415">
        <v>12</v>
      </c>
      <c r="J124" s="2415">
        <v>12</v>
      </c>
      <c r="K124" s="2415">
        <f>E124/I124</f>
        <v>875000</v>
      </c>
      <c r="L124" s="2415">
        <f t="shared" si="33"/>
        <v>157500</v>
      </c>
      <c r="M124" s="1510">
        <f t="shared" si="18"/>
        <v>10500000</v>
      </c>
      <c r="N124" s="1510">
        <f t="shared" si="19"/>
        <v>1890000</v>
      </c>
      <c r="O124" s="2708">
        <v>10500000</v>
      </c>
      <c r="P124" s="2708">
        <v>1890000</v>
      </c>
      <c r="Q124" s="1509"/>
      <c r="R124" s="2653"/>
      <c r="S124" s="2653"/>
      <c r="T124" s="1507"/>
      <c r="U124" s="1495">
        <f t="shared" si="20"/>
        <v>10500000</v>
      </c>
      <c r="V124" s="1495">
        <f t="shared" si="21"/>
        <v>1890000</v>
      </c>
      <c r="W124" s="1495">
        <f t="shared" si="22"/>
        <v>0</v>
      </c>
      <c r="X124" s="1495">
        <f t="shared" si="23"/>
        <v>0</v>
      </c>
      <c r="Y124" s="1495">
        <f t="shared" si="24"/>
        <v>100</v>
      </c>
      <c r="Z124" s="1495">
        <f t="shared" si="25"/>
        <v>0</v>
      </c>
      <c r="AA124" s="1506">
        <f t="shared" si="26"/>
        <v>0</v>
      </c>
      <c r="AB124" s="2441"/>
      <c r="AC124" s="1504">
        <f t="shared" si="27"/>
        <v>0</v>
      </c>
      <c r="AD124" s="1503">
        <f t="shared" si="28"/>
        <v>0</v>
      </c>
      <c r="AE124" s="1503">
        <f t="shared" si="29"/>
        <v>0</v>
      </c>
      <c r="AF124" s="1502">
        <f t="shared" si="30"/>
        <v>0</v>
      </c>
    </row>
    <row r="125" spans="1:32" s="1474" customFormat="1" ht="23.25" customHeight="1">
      <c r="A125" s="2705">
        <v>60</v>
      </c>
      <c r="B125" s="1497" t="s">
        <v>1991</v>
      </c>
      <c r="C125" s="2706" t="s">
        <v>2340</v>
      </c>
      <c r="D125" s="2706"/>
      <c r="E125" s="1497">
        <v>20000000</v>
      </c>
      <c r="F125" s="2417">
        <f t="shared" si="17"/>
        <v>3600000</v>
      </c>
      <c r="G125" s="2707">
        <v>41290</v>
      </c>
      <c r="H125" s="2419">
        <v>0.18</v>
      </c>
      <c r="I125" s="2415">
        <v>12</v>
      </c>
      <c r="J125" s="2415">
        <v>12</v>
      </c>
      <c r="K125" s="2415">
        <v>1666700</v>
      </c>
      <c r="L125" s="2415">
        <f t="shared" si="33"/>
        <v>300000</v>
      </c>
      <c r="M125" s="1510">
        <f t="shared" si="18"/>
        <v>20000000</v>
      </c>
      <c r="N125" s="1510">
        <f t="shared" si="19"/>
        <v>3600000</v>
      </c>
      <c r="O125" s="2708">
        <v>20000000</v>
      </c>
      <c r="P125" s="2708">
        <v>3600000</v>
      </c>
      <c r="Q125" s="1509"/>
      <c r="R125" s="2653"/>
      <c r="S125" s="2653"/>
      <c r="T125" s="1507"/>
      <c r="U125" s="1495">
        <f t="shared" si="20"/>
        <v>20000000</v>
      </c>
      <c r="V125" s="1495">
        <f t="shared" si="21"/>
        <v>3600000</v>
      </c>
      <c r="W125" s="1495">
        <f t="shared" si="22"/>
        <v>0</v>
      </c>
      <c r="X125" s="1495">
        <f t="shared" si="23"/>
        <v>0</v>
      </c>
      <c r="Y125" s="1495">
        <f t="shared" si="24"/>
        <v>100</v>
      </c>
      <c r="Z125" s="1495">
        <f t="shared" si="25"/>
        <v>0</v>
      </c>
      <c r="AA125" s="1506">
        <f t="shared" si="26"/>
        <v>0</v>
      </c>
      <c r="AB125" s="2441"/>
      <c r="AC125" s="1504">
        <f t="shared" si="27"/>
        <v>0</v>
      </c>
      <c r="AD125" s="1503">
        <f t="shared" si="28"/>
        <v>0</v>
      </c>
      <c r="AE125" s="1503">
        <f t="shared" si="29"/>
        <v>0</v>
      </c>
      <c r="AF125" s="1502">
        <f t="shared" si="30"/>
        <v>0</v>
      </c>
    </row>
    <row r="126" spans="1:32" s="1474" customFormat="1" ht="23.25" customHeight="1">
      <c r="A126" s="2705">
        <v>61</v>
      </c>
      <c r="B126" s="1497" t="s">
        <v>2051</v>
      </c>
      <c r="C126" s="2706" t="s">
        <v>2340</v>
      </c>
      <c r="D126" s="2706"/>
      <c r="E126" s="1497">
        <v>25000000</v>
      </c>
      <c r="F126" s="2417">
        <f t="shared" si="17"/>
        <v>4500000</v>
      </c>
      <c r="G126" s="2707">
        <v>41290</v>
      </c>
      <c r="H126" s="2419">
        <v>0.18</v>
      </c>
      <c r="I126" s="2415">
        <v>12</v>
      </c>
      <c r="J126" s="2415">
        <v>12</v>
      </c>
      <c r="K126" s="2415">
        <v>2083300</v>
      </c>
      <c r="L126" s="2415">
        <f t="shared" si="33"/>
        <v>375000</v>
      </c>
      <c r="M126" s="1510">
        <f t="shared" si="18"/>
        <v>25000000</v>
      </c>
      <c r="N126" s="2401">
        <f>IF(J126&lt;I126,J126*L126,IF(J126&gt;=I126,F126))-750000</f>
        <v>3750000</v>
      </c>
      <c r="O126" s="2708">
        <v>25000000</v>
      </c>
      <c r="P126" s="2708">
        <v>3750000</v>
      </c>
      <c r="Q126" s="1509"/>
      <c r="R126" s="2653"/>
      <c r="S126" s="2653"/>
      <c r="T126" s="1507"/>
      <c r="U126" s="1495">
        <f t="shared" si="20"/>
        <v>25000000</v>
      </c>
      <c r="V126" s="1495">
        <f t="shared" si="21"/>
        <v>3750000</v>
      </c>
      <c r="W126" s="1495">
        <f t="shared" si="22"/>
        <v>0</v>
      </c>
      <c r="X126" s="1495">
        <f t="shared" si="23"/>
        <v>0</v>
      </c>
      <c r="Y126" s="1495">
        <f t="shared" si="24"/>
        <v>100</v>
      </c>
      <c r="Z126" s="1495">
        <f t="shared" si="25"/>
        <v>0</v>
      </c>
      <c r="AA126" s="1506">
        <f t="shared" si="26"/>
        <v>0</v>
      </c>
      <c r="AB126" s="2441"/>
      <c r="AC126" s="1504">
        <f t="shared" si="27"/>
        <v>0</v>
      </c>
      <c r="AD126" s="1503">
        <f t="shared" si="28"/>
        <v>0</v>
      </c>
      <c r="AE126" s="1503">
        <f t="shared" si="29"/>
        <v>0</v>
      </c>
      <c r="AF126" s="1502">
        <f t="shared" si="30"/>
        <v>0</v>
      </c>
    </row>
    <row r="127" spans="1:32" s="1474" customFormat="1" ht="23.25" customHeight="1">
      <c r="A127" s="2705">
        <v>62</v>
      </c>
      <c r="B127" s="1497" t="s">
        <v>2354</v>
      </c>
      <c r="C127" s="2706" t="s">
        <v>2340</v>
      </c>
      <c r="D127" s="2706"/>
      <c r="E127" s="1497">
        <v>12000000</v>
      </c>
      <c r="F127" s="2417">
        <f t="shared" si="17"/>
        <v>2160000</v>
      </c>
      <c r="G127" s="2707">
        <v>41290</v>
      </c>
      <c r="H127" s="2419">
        <v>0.18</v>
      </c>
      <c r="I127" s="2415">
        <v>12</v>
      </c>
      <c r="J127" s="2415">
        <v>12</v>
      </c>
      <c r="K127" s="2415">
        <f>E127/I127</f>
        <v>1000000</v>
      </c>
      <c r="L127" s="2415">
        <f t="shared" si="33"/>
        <v>180000</v>
      </c>
      <c r="M127" s="1510">
        <f t="shared" si="18"/>
        <v>12000000</v>
      </c>
      <c r="N127" s="2401">
        <f>IF(J127&lt;I127,J127*L127,IF(J127&gt;=I127,F127))-360000</f>
        <v>1800000</v>
      </c>
      <c r="O127" s="2708">
        <v>12000000</v>
      </c>
      <c r="P127" s="2708">
        <v>1800000</v>
      </c>
      <c r="Q127" s="1509"/>
      <c r="R127" s="2653"/>
      <c r="S127" s="2653"/>
      <c r="T127" s="1507"/>
      <c r="U127" s="1495">
        <f t="shared" si="20"/>
        <v>12000000</v>
      </c>
      <c r="V127" s="1495">
        <f t="shared" si="21"/>
        <v>1800000</v>
      </c>
      <c r="W127" s="1495">
        <f t="shared" si="22"/>
        <v>0</v>
      </c>
      <c r="X127" s="1495">
        <f t="shared" si="23"/>
        <v>0</v>
      </c>
      <c r="Y127" s="1495">
        <f t="shared" si="24"/>
        <v>100</v>
      </c>
      <c r="Z127" s="1495">
        <f t="shared" si="25"/>
        <v>0</v>
      </c>
      <c r="AA127" s="1506">
        <f t="shared" si="26"/>
        <v>0</v>
      </c>
      <c r="AB127" s="2441"/>
      <c r="AC127" s="1504">
        <f t="shared" si="27"/>
        <v>0</v>
      </c>
      <c r="AD127" s="1503">
        <f t="shared" si="28"/>
        <v>0</v>
      </c>
      <c r="AE127" s="1503">
        <f t="shared" si="29"/>
        <v>0</v>
      </c>
      <c r="AF127" s="1502">
        <f t="shared" si="30"/>
        <v>0</v>
      </c>
    </row>
    <row r="128" spans="1:32" s="1474" customFormat="1" ht="23.25" customHeight="1">
      <c r="A128" s="2705">
        <v>63</v>
      </c>
      <c r="B128" s="1497" t="s">
        <v>2065</v>
      </c>
      <c r="C128" s="2706" t="s">
        <v>2340</v>
      </c>
      <c r="D128" s="2706"/>
      <c r="E128" s="1497">
        <v>18000000</v>
      </c>
      <c r="F128" s="2417">
        <f t="shared" si="17"/>
        <v>3240000</v>
      </c>
      <c r="G128" s="2707">
        <v>41311</v>
      </c>
      <c r="H128" s="2419">
        <v>0.18</v>
      </c>
      <c r="I128" s="2415">
        <v>12</v>
      </c>
      <c r="J128" s="2415">
        <v>12</v>
      </c>
      <c r="K128" s="2415">
        <f>E128/I128</f>
        <v>1500000</v>
      </c>
      <c r="L128" s="2415">
        <f t="shared" si="33"/>
        <v>270000</v>
      </c>
      <c r="M128" s="1510">
        <f t="shared" si="18"/>
        <v>18000000</v>
      </c>
      <c r="N128" s="1510">
        <f t="shared" si="19"/>
        <v>3240000</v>
      </c>
      <c r="O128" s="2708">
        <v>18000000</v>
      </c>
      <c r="P128" s="2708">
        <v>3240000</v>
      </c>
      <c r="Q128" s="1509"/>
      <c r="R128" s="2653"/>
      <c r="S128" s="2653"/>
      <c r="T128" s="1507"/>
      <c r="U128" s="1495">
        <f t="shared" si="20"/>
        <v>18000000</v>
      </c>
      <c r="V128" s="1495">
        <f t="shared" si="21"/>
        <v>3240000</v>
      </c>
      <c r="W128" s="1495">
        <f t="shared" si="22"/>
        <v>0</v>
      </c>
      <c r="X128" s="1495">
        <f t="shared" si="23"/>
        <v>0</v>
      </c>
      <c r="Y128" s="1495">
        <f t="shared" si="24"/>
        <v>100</v>
      </c>
      <c r="Z128" s="1495">
        <f t="shared" si="25"/>
        <v>0</v>
      </c>
      <c r="AA128" s="1506">
        <f t="shared" si="26"/>
        <v>0</v>
      </c>
      <c r="AB128" s="2441"/>
      <c r="AC128" s="1504">
        <f t="shared" si="27"/>
        <v>0</v>
      </c>
      <c r="AD128" s="1503">
        <f t="shared" si="28"/>
        <v>0</v>
      </c>
      <c r="AE128" s="1503">
        <f t="shared" si="29"/>
        <v>0</v>
      </c>
      <c r="AF128" s="1502">
        <f t="shared" si="30"/>
        <v>0</v>
      </c>
    </row>
    <row r="129" spans="1:32" s="1474" customFormat="1" ht="23.25" customHeight="1">
      <c r="A129" s="2705">
        <v>64</v>
      </c>
      <c r="B129" s="1497" t="s">
        <v>2066</v>
      </c>
      <c r="C129" s="2706" t="s">
        <v>2340</v>
      </c>
      <c r="D129" s="2706"/>
      <c r="E129" s="1497">
        <v>18000000</v>
      </c>
      <c r="F129" s="2417">
        <f t="shared" si="17"/>
        <v>3240000</v>
      </c>
      <c r="G129" s="2707">
        <v>41311</v>
      </c>
      <c r="H129" s="2419">
        <v>0.18</v>
      </c>
      <c r="I129" s="2415">
        <v>12</v>
      </c>
      <c r="J129" s="2415">
        <v>12</v>
      </c>
      <c r="K129" s="2415">
        <f>E129/I129</f>
        <v>1500000</v>
      </c>
      <c r="L129" s="2415">
        <f t="shared" si="33"/>
        <v>270000</v>
      </c>
      <c r="M129" s="1510">
        <f t="shared" si="18"/>
        <v>18000000</v>
      </c>
      <c r="N129" s="1510">
        <f t="shared" si="19"/>
        <v>3240000</v>
      </c>
      <c r="O129" s="2708">
        <v>18000000</v>
      </c>
      <c r="P129" s="2708">
        <v>3240000</v>
      </c>
      <c r="Q129" s="1509"/>
      <c r="R129" s="2653"/>
      <c r="S129" s="2653"/>
      <c r="T129" s="1507"/>
      <c r="U129" s="1495">
        <f t="shared" si="20"/>
        <v>18000000</v>
      </c>
      <c r="V129" s="1495">
        <f t="shared" si="21"/>
        <v>3240000</v>
      </c>
      <c r="W129" s="1495">
        <f t="shared" si="22"/>
        <v>0</v>
      </c>
      <c r="X129" s="1495">
        <f t="shared" si="23"/>
        <v>0</v>
      </c>
      <c r="Y129" s="1495">
        <f t="shared" si="24"/>
        <v>100</v>
      </c>
      <c r="Z129" s="1495">
        <f t="shared" si="25"/>
        <v>0</v>
      </c>
      <c r="AA129" s="1506">
        <f t="shared" si="26"/>
        <v>0</v>
      </c>
      <c r="AB129" s="2441"/>
      <c r="AC129" s="1504">
        <f t="shared" si="27"/>
        <v>0</v>
      </c>
      <c r="AD129" s="1503">
        <f t="shared" si="28"/>
        <v>0</v>
      </c>
      <c r="AE129" s="1503">
        <f t="shared" si="29"/>
        <v>0</v>
      </c>
      <c r="AF129" s="1502">
        <f t="shared" si="30"/>
        <v>0</v>
      </c>
    </row>
    <row r="130" spans="1:32" s="1474" customFormat="1" ht="23.25" customHeight="1">
      <c r="A130" s="2705">
        <v>65</v>
      </c>
      <c r="B130" s="1497" t="s">
        <v>2055</v>
      </c>
      <c r="C130" s="2706" t="s">
        <v>2340</v>
      </c>
      <c r="D130" s="2706"/>
      <c r="E130" s="1497">
        <v>20000000</v>
      </c>
      <c r="F130" s="2417">
        <f t="shared" si="17"/>
        <v>3600000</v>
      </c>
      <c r="G130" s="2707">
        <v>41317</v>
      </c>
      <c r="H130" s="2419">
        <v>0.18</v>
      </c>
      <c r="I130" s="2415">
        <v>12</v>
      </c>
      <c r="J130" s="2415">
        <v>12</v>
      </c>
      <c r="K130" s="2415">
        <v>1666700</v>
      </c>
      <c r="L130" s="2415">
        <f t="shared" si="33"/>
        <v>300000</v>
      </c>
      <c r="M130" s="1510">
        <f t="shared" si="18"/>
        <v>20000000</v>
      </c>
      <c r="N130" s="1510">
        <f t="shared" si="19"/>
        <v>3600000</v>
      </c>
      <c r="O130" s="2708">
        <v>20000000</v>
      </c>
      <c r="P130" s="2708">
        <v>3600000</v>
      </c>
      <c r="Q130" s="1509"/>
      <c r="R130" s="2653"/>
      <c r="S130" s="2653"/>
      <c r="T130" s="1507"/>
      <c r="U130" s="1495">
        <f t="shared" si="20"/>
        <v>20000000</v>
      </c>
      <c r="V130" s="1495">
        <f t="shared" si="21"/>
        <v>3600000</v>
      </c>
      <c r="W130" s="1495">
        <f t="shared" si="22"/>
        <v>0</v>
      </c>
      <c r="X130" s="1495">
        <f t="shared" si="23"/>
        <v>0</v>
      </c>
      <c r="Y130" s="1495">
        <f t="shared" si="24"/>
        <v>100</v>
      </c>
      <c r="Z130" s="1495">
        <f t="shared" si="25"/>
        <v>0</v>
      </c>
      <c r="AA130" s="1506">
        <f t="shared" si="26"/>
        <v>0</v>
      </c>
      <c r="AB130" s="2441"/>
      <c r="AC130" s="1504">
        <f t="shared" si="27"/>
        <v>0</v>
      </c>
      <c r="AD130" s="1503">
        <f t="shared" si="28"/>
        <v>0</v>
      </c>
      <c r="AE130" s="1503">
        <f t="shared" si="29"/>
        <v>0</v>
      </c>
      <c r="AF130" s="1502">
        <f t="shared" si="30"/>
        <v>0</v>
      </c>
    </row>
    <row r="131" spans="1:32" s="1474" customFormat="1" ht="23.25" customHeight="1">
      <c r="A131" s="2705">
        <v>66</v>
      </c>
      <c r="B131" s="1497" t="s">
        <v>2157</v>
      </c>
      <c r="C131" s="2706" t="s">
        <v>2340</v>
      </c>
      <c r="D131" s="2706"/>
      <c r="E131" s="1497">
        <v>37500000</v>
      </c>
      <c r="F131" s="2417">
        <f t="shared" si="17"/>
        <v>6750000</v>
      </c>
      <c r="G131" s="2707">
        <v>41348</v>
      </c>
      <c r="H131" s="2419">
        <v>0.18</v>
      </c>
      <c r="I131" s="2415">
        <v>12</v>
      </c>
      <c r="J131" s="2415">
        <v>12</v>
      </c>
      <c r="K131" s="2415">
        <f>E131/I131</f>
        <v>3125000</v>
      </c>
      <c r="L131" s="2415">
        <f t="shared" si="33"/>
        <v>562500</v>
      </c>
      <c r="M131" s="1510">
        <f t="shared" si="18"/>
        <v>37500000</v>
      </c>
      <c r="N131" s="1510">
        <f>IF(J131&lt;I131,J131*L131,IF(J131&gt;=I131,F131))-562500</f>
        <v>6187500</v>
      </c>
      <c r="O131" s="2708">
        <v>37500000</v>
      </c>
      <c r="P131" s="2708">
        <v>6187500</v>
      </c>
      <c r="Q131" s="1509"/>
      <c r="R131" s="2653"/>
      <c r="S131" s="2653"/>
      <c r="T131" s="1507"/>
      <c r="U131" s="1495">
        <f t="shared" si="20"/>
        <v>37500000</v>
      </c>
      <c r="V131" s="1495">
        <f t="shared" si="21"/>
        <v>6187500</v>
      </c>
      <c r="W131" s="1495">
        <f t="shared" si="22"/>
        <v>0</v>
      </c>
      <c r="X131" s="1495">
        <f t="shared" si="23"/>
        <v>0</v>
      </c>
      <c r="Y131" s="1495">
        <f t="shared" si="24"/>
        <v>100</v>
      </c>
      <c r="Z131" s="1495">
        <f t="shared" si="25"/>
        <v>0</v>
      </c>
      <c r="AA131" s="1506">
        <f t="shared" si="26"/>
        <v>0</v>
      </c>
      <c r="AB131" s="2441"/>
      <c r="AC131" s="1504">
        <f t="shared" si="27"/>
        <v>0</v>
      </c>
      <c r="AD131" s="1503">
        <f t="shared" si="28"/>
        <v>0</v>
      </c>
      <c r="AE131" s="1503">
        <f t="shared" si="29"/>
        <v>0</v>
      </c>
      <c r="AF131" s="1502">
        <f t="shared" si="30"/>
        <v>0</v>
      </c>
    </row>
    <row r="132" spans="1:32" s="1474" customFormat="1" ht="23.25" customHeight="1">
      <c r="A132" s="2705">
        <v>67</v>
      </c>
      <c r="B132" s="1497" t="s">
        <v>2386</v>
      </c>
      <c r="C132" s="2706" t="s">
        <v>2387</v>
      </c>
      <c r="D132" s="2706"/>
      <c r="E132" s="1497">
        <v>7000000</v>
      </c>
      <c r="F132" s="2417">
        <f t="shared" si="17"/>
        <v>1260000</v>
      </c>
      <c r="G132" s="2707">
        <v>41373</v>
      </c>
      <c r="H132" s="2419">
        <v>0.18</v>
      </c>
      <c r="I132" s="2415">
        <v>12</v>
      </c>
      <c r="J132" s="2415">
        <v>12</v>
      </c>
      <c r="K132" s="2415">
        <v>583300</v>
      </c>
      <c r="L132" s="2415">
        <f t="shared" si="33"/>
        <v>105000</v>
      </c>
      <c r="M132" s="1510">
        <f t="shared" si="18"/>
        <v>7000000</v>
      </c>
      <c r="N132" s="1510">
        <f t="shared" si="19"/>
        <v>1260000</v>
      </c>
      <c r="O132" s="2708">
        <v>7000000</v>
      </c>
      <c r="P132" s="2708">
        <v>1260000</v>
      </c>
      <c r="Q132" s="1509"/>
      <c r="R132" s="2653"/>
      <c r="S132" s="2653"/>
      <c r="T132" s="1507"/>
      <c r="U132" s="1495">
        <f t="shared" si="20"/>
        <v>7000000</v>
      </c>
      <c r="V132" s="1495">
        <f t="shared" si="21"/>
        <v>1260000</v>
      </c>
      <c r="W132" s="1495">
        <f t="shared" si="22"/>
        <v>0</v>
      </c>
      <c r="X132" s="1495">
        <f t="shared" si="23"/>
        <v>0</v>
      </c>
      <c r="Y132" s="1495">
        <f t="shared" si="24"/>
        <v>100</v>
      </c>
      <c r="Z132" s="1495">
        <f t="shared" si="25"/>
        <v>0</v>
      </c>
      <c r="AA132" s="1506">
        <f t="shared" si="26"/>
        <v>0</v>
      </c>
      <c r="AB132" s="2441"/>
      <c r="AC132" s="1504">
        <f t="shared" si="27"/>
        <v>0</v>
      </c>
      <c r="AD132" s="1503">
        <f t="shared" si="28"/>
        <v>0</v>
      </c>
      <c r="AE132" s="1503">
        <f t="shared" si="29"/>
        <v>0</v>
      </c>
      <c r="AF132" s="1502">
        <f t="shared" si="30"/>
        <v>0</v>
      </c>
    </row>
    <row r="133" spans="1:32" s="1474" customFormat="1" ht="23.25" customHeight="1">
      <c r="A133" s="2705">
        <v>68</v>
      </c>
      <c r="B133" s="1497" t="s">
        <v>2068</v>
      </c>
      <c r="C133" s="2706" t="s">
        <v>2387</v>
      </c>
      <c r="D133" s="2706"/>
      <c r="E133" s="1497">
        <v>20000000</v>
      </c>
      <c r="F133" s="2417">
        <f t="shared" si="17"/>
        <v>3600000</v>
      </c>
      <c r="G133" s="2707">
        <v>41410</v>
      </c>
      <c r="H133" s="2419">
        <v>0.18</v>
      </c>
      <c r="I133" s="2415">
        <v>12</v>
      </c>
      <c r="J133" s="2415">
        <v>12</v>
      </c>
      <c r="K133" s="2415">
        <v>1666700</v>
      </c>
      <c r="L133" s="2415">
        <f t="shared" si="33"/>
        <v>300000</v>
      </c>
      <c r="M133" s="1510">
        <f t="shared" si="18"/>
        <v>20000000</v>
      </c>
      <c r="N133" s="1510">
        <f>IF(J133&lt;I133,J133*L133,IF(J133&gt;=I133,F133))-300000</f>
        <v>3300000</v>
      </c>
      <c r="O133" s="2708">
        <v>20000000</v>
      </c>
      <c r="P133" s="2708">
        <v>3300000</v>
      </c>
      <c r="Q133" s="1509"/>
      <c r="R133" s="2653"/>
      <c r="S133" s="2653"/>
      <c r="T133" s="1507"/>
      <c r="U133" s="1495">
        <f t="shared" si="20"/>
        <v>20000000</v>
      </c>
      <c r="V133" s="1495">
        <f t="shared" si="21"/>
        <v>3300000</v>
      </c>
      <c r="W133" s="1495">
        <f t="shared" si="22"/>
        <v>0</v>
      </c>
      <c r="X133" s="1495">
        <f t="shared" si="23"/>
        <v>0</v>
      </c>
      <c r="Y133" s="1495">
        <f t="shared" si="24"/>
        <v>100</v>
      </c>
      <c r="Z133" s="1495">
        <f t="shared" si="25"/>
        <v>0</v>
      </c>
      <c r="AA133" s="1506">
        <f t="shared" si="26"/>
        <v>0</v>
      </c>
      <c r="AB133" s="2441"/>
      <c r="AC133" s="1504">
        <f t="shared" si="27"/>
        <v>0</v>
      </c>
      <c r="AD133" s="1503">
        <f t="shared" si="28"/>
        <v>0</v>
      </c>
      <c r="AE133" s="1503">
        <f t="shared" si="29"/>
        <v>0</v>
      </c>
      <c r="AF133" s="1502">
        <f t="shared" si="30"/>
        <v>0</v>
      </c>
    </row>
    <row r="134" spans="1:32" s="1474" customFormat="1" ht="23.25" customHeight="1">
      <c r="A134" s="2705">
        <v>69</v>
      </c>
      <c r="B134" s="1497" t="s">
        <v>2197</v>
      </c>
      <c r="C134" s="2706" t="s">
        <v>2377</v>
      </c>
      <c r="D134" s="2706">
        <v>10</v>
      </c>
      <c r="E134" s="1497">
        <v>20000000</v>
      </c>
      <c r="F134" s="2417">
        <f t="shared" si="17"/>
        <v>3600000</v>
      </c>
      <c r="G134" s="2707">
        <v>41428</v>
      </c>
      <c r="H134" s="2419">
        <v>0.18</v>
      </c>
      <c r="I134" s="2415">
        <v>12</v>
      </c>
      <c r="J134" s="2415">
        <v>12</v>
      </c>
      <c r="K134" s="2415">
        <v>1666700</v>
      </c>
      <c r="L134" s="2415">
        <f t="shared" si="33"/>
        <v>300000</v>
      </c>
      <c r="M134" s="1510">
        <f t="shared" si="18"/>
        <v>20000000</v>
      </c>
      <c r="N134" s="2401">
        <f>IF(J134&lt;I134,J134*L134,IF(J134&gt;=I134,F134))-300000</f>
        <v>3300000</v>
      </c>
      <c r="O134" s="2708">
        <v>20000000</v>
      </c>
      <c r="P134" s="2708">
        <v>3300000</v>
      </c>
      <c r="Q134" s="1509"/>
      <c r="R134" s="2653"/>
      <c r="S134" s="2653"/>
      <c r="T134" s="1507"/>
      <c r="U134" s="1495">
        <f t="shared" si="20"/>
        <v>20000000</v>
      </c>
      <c r="V134" s="1495">
        <f t="shared" si="21"/>
        <v>3300000</v>
      </c>
      <c r="W134" s="1495">
        <f t="shared" si="22"/>
        <v>0</v>
      </c>
      <c r="X134" s="1495">
        <f t="shared" si="23"/>
        <v>0</v>
      </c>
      <c r="Y134" s="1495">
        <f t="shared" si="24"/>
        <v>100</v>
      </c>
      <c r="Z134" s="1495">
        <f t="shared" si="25"/>
        <v>0</v>
      </c>
      <c r="AA134" s="1506">
        <f t="shared" si="26"/>
        <v>0</v>
      </c>
      <c r="AB134" s="2441"/>
      <c r="AC134" s="1504">
        <f t="shared" si="27"/>
        <v>0</v>
      </c>
      <c r="AD134" s="1503">
        <f t="shared" si="28"/>
        <v>0</v>
      </c>
      <c r="AE134" s="1503">
        <f t="shared" si="29"/>
        <v>0</v>
      </c>
      <c r="AF134" s="1502">
        <f t="shared" si="30"/>
        <v>0</v>
      </c>
    </row>
    <row r="135" spans="1:32" s="1474" customFormat="1" ht="23.25" customHeight="1">
      <c r="A135" s="2705">
        <v>70</v>
      </c>
      <c r="B135" s="1497" t="s">
        <v>2052</v>
      </c>
      <c r="C135" s="2706" t="s">
        <v>2377</v>
      </c>
      <c r="D135" s="2706">
        <v>10</v>
      </c>
      <c r="E135" s="1497">
        <v>20000000</v>
      </c>
      <c r="F135" s="2417">
        <f t="shared" si="17"/>
        <v>3600000</v>
      </c>
      <c r="G135" s="2707">
        <v>41432</v>
      </c>
      <c r="H135" s="2419">
        <v>0.18</v>
      </c>
      <c r="I135" s="2415">
        <v>12</v>
      </c>
      <c r="J135" s="2415">
        <v>12</v>
      </c>
      <c r="K135" s="2415">
        <v>1666700</v>
      </c>
      <c r="L135" s="2415">
        <f t="shared" si="33"/>
        <v>300000</v>
      </c>
      <c r="M135" s="1510">
        <f t="shared" si="18"/>
        <v>20000000</v>
      </c>
      <c r="N135" s="1510">
        <f t="shared" si="19"/>
        <v>3600000</v>
      </c>
      <c r="O135" s="2708">
        <v>16373500</v>
      </c>
      <c r="P135" s="2708">
        <v>3000000</v>
      </c>
      <c r="Q135" s="1509"/>
      <c r="R135" s="2653"/>
      <c r="S135" s="2653"/>
      <c r="T135" s="1507"/>
      <c r="U135" s="1495">
        <f t="shared" si="20"/>
        <v>16373500</v>
      </c>
      <c r="V135" s="1495">
        <f t="shared" si="21"/>
        <v>3000000</v>
      </c>
      <c r="W135" s="1495">
        <f t="shared" si="22"/>
        <v>0</v>
      </c>
      <c r="X135" s="1495">
        <f t="shared" si="23"/>
        <v>3626500</v>
      </c>
      <c r="Y135" s="1495">
        <f t="shared" si="24"/>
        <v>81.867500000000007</v>
      </c>
      <c r="Z135" s="1495">
        <f t="shared" si="25"/>
        <v>3626500</v>
      </c>
      <c r="AA135" s="1506">
        <f t="shared" si="26"/>
        <v>600000</v>
      </c>
      <c r="AB135" s="2441">
        <v>7</v>
      </c>
      <c r="AC135" s="1504">
        <f t="shared" si="27"/>
        <v>0</v>
      </c>
      <c r="AD135" s="1503">
        <f t="shared" si="28"/>
        <v>0</v>
      </c>
      <c r="AE135" s="1503">
        <f t="shared" si="29"/>
        <v>0</v>
      </c>
      <c r="AF135" s="1502">
        <f t="shared" si="30"/>
        <v>3626500</v>
      </c>
    </row>
    <row r="136" spans="1:32" s="1474" customFormat="1" ht="23.25" customHeight="1">
      <c r="A136" s="2705">
        <v>71</v>
      </c>
      <c r="B136" s="1497" t="s">
        <v>1957</v>
      </c>
      <c r="C136" s="2706" t="s">
        <v>2377</v>
      </c>
      <c r="D136" s="2706">
        <v>10</v>
      </c>
      <c r="E136" s="1497">
        <v>40000000</v>
      </c>
      <c r="F136" s="2417">
        <f t="shared" si="17"/>
        <v>7200000</v>
      </c>
      <c r="G136" s="2707">
        <v>41070</v>
      </c>
      <c r="H136" s="2419">
        <v>0.18</v>
      </c>
      <c r="I136" s="2415">
        <v>12</v>
      </c>
      <c r="J136" s="2415">
        <v>12</v>
      </c>
      <c r="K136" s="2415">
        <v>3333300</v>
      </c>
      <c r="L136" s="2415">
        <f t="shared" si="33"/>
        <v>600000</v>
      </c>
      <c r="M136" s="1510">
        <f t="shared" si="18"/>
        <v>40000000</v>
      </c>
      <c r="N136" s="1510">
        <f t="shared" si="19"/>
        <v>7200000</v>
      </c>
      <c r="O136" s="2708">
        <v>40000000</v>
      </c>
      <c r="P136" s="2708">
        <v>7200000</v>
      </c>
      <c r="Q136" s="1509"/>
      <c r="R136" s="2653"/>
      <c r="S136" s="2653"/>
      <c r="T136" s="1507"/>
      <c r="U136" s="1495">
        <f t="shared" si="20"/>
        <v>40000000</v>
      </c>
      <c r="V136" s="1495">
        <f t="shared" si="21"/>
        <v>7200000</v>
      </c>
      <c r="W136" s="1495">
        <f t="shared" si="22"/>
        <v>0</v>
      </c>
      <c r="X136" s="1495">
        <f t="shared" si="23"/>
        <v>0</v>
      </c>
      <c r="Y136" s="1495">
        <f t="shared" si="24"/>
        <v>100</v>
      </c>
      <c r="Z136" s="1495">
        <f t="shared" si="25"/>
        <v>0</v>
      </c>
      <c r="AA136" s="1506">
        <f t="shared" si="26"/>
        <v>0</v>
      </c>
      <c r="AB136" s="2441"/>
      <c r="AC136" s="1504">
        <f t="shared" si="27"/>
        <v>0</v>
      </c>
      <c r="AD136" s="1503">
        <f t="shared" si="28"/>
        <v>0</v>
      </c>
      <c r="AE136" s="1503">
        <f t="shared" si="29"/>
        <v>0</v>
      </c>
      <c r="AF136" s="1502">
        <f t="shared" si="30"/>
        <v>0</v>
      </c>
    </row>
    <row r="137" spans="1:32" s="1474" customFormat="1" ht="23.25" customHeight="1">
      <c r="A137" s="2705">
        <v>72</v>
      </c>
      <c r="B137" s="1497" t="s">
        <v>2283</v>
      </c>
      <c r="C137" s="2706" t="s">
        <v>2377</v>
      </c>
      <c r="D137" s="2706">
        <v>10</v>
      </c>
      <c r="E137" s="1497">
        <v>27000000</v>
      </c>
      <c r="F137" s="2417">
        <f t="shared" si="17"/>
        <v>4860000</v>
      </c>
      <c r="G137" s="2707">
        <v>41438</v>
      </c>
      <c r="H137" s="2419">
        <v>0.18</v>
      </c>
      <c r="I137" s="2415">
        <v>12</v>
      </c>
      <c r="J137" s="2415">
        <v>12</v>
      </c>
      <c r="K137" s="2415">
        <f>E137/I137</f>
        <v>2250000</v>
      </c>
      <c r="L137" s="2415">
        <f t="shared" si="33"/>
        <v>405000</v>
      </c>
      <c r="M137" s="1510">
        <f t="shared" si="18"/>
        <v>27000000</v>
      </c>
      <c r="N137" s="1510">
        <f t="shared" si="19"/>
        <v>4860000</v>
      </c>
      <c r="O137" s="2708">
        <v>27000000</v>
      </c>
      <c r="P137" s="2708">
        <v>4860000</v>
      </c>
      <c r="Q137" s="1509"/>
      <c r="R137" s="2653"/>
      <c r="S137" s="2653"/>
      <c r="T137" s="1507"/>
      <c r="U137" s="1495">
        <f t="shared" si="20"/>
        <v>27000000</v>
      </c>
      <c r="V137" s="1495">
        <f t="shared" si="21"/>
        <v>4860000</v>
      </c>
      <c r="W137" s="1495">
        <f t="shared" si="22"/>
        <v>0</v>
      </c>
      <c r="X137" s="1495">
        <f t="shared" si="23"/>
        <v>0</v>
      </c>
      <c r="Y137" s="1495">
        <f t="shared" si="24"/>
        <v>100</v>
      </c>
      <c r="Z137" s="1495">
        <f t="shared" si="25"/>
        <v>0</v>
      </c>
      <c r="AA137" s="1506">
        <f t="shared" si="26"/>
        <v>0</v>
      </c>
      <c r="AB137" s="2441"/>
      <c r="AC137" s="1504">
        <f t="shared" si="27"/>
        <v>0</v>
      </c>
      <c r="AD137" s="1503">
        <f t="shared" si="28"/>
        <v>0</v>
      </c>
      <c r="AE137" s="1503">
        <f t="shared" si="29"/>
        <v>0</v>
      </c>
      <c r="AF137" s="1502">
        <f t="shared" si="30"/>
        <v>0</v>
      </c>
    </row>
    <row r="138" spans="1:32" s="1474" customFormat="1" ht="23.25" customHeight="1">
      <c r="A138" s="2705">
        <v>73</v>
      </c>
      <c r="B138" s="1497" t="s">
        <v>2427</v>
      </c>
      <c r="C138" s="2706" t="s">
        <v>2411</v>
      </c>
      <c r="D138" s="2706">
        <v>10</v>
      </c>
      <c r="E138" s="1497">
        <v>15000000</v>
      </c>
      <c r="F138" s="2417">
        <f t="shared" si="17"/>
        <v>2700000</v>
      </c>
      <c r="G138" s="2707">
        <v>41474</v>
      </c>
      <c r="H138" s="2419">
        <v>0.18</v>
      </c>
      <c r="I138" s="2415">
        <v>12</v>
      </c>
      <c r="J138" s="2415">
        <v>12</v>
      </c>
      <c r="K138" s="2415">
        <f>E138/I138</f>
        <v>1250000</v>
      </c>
      <c r="L138" s="2415">
        <f t="shared" si="33"/>
        <v>225000</v>
      </c>
      <c r="M138" s="1510">
        <f t="shared" si="18"/>
        <v>15000000</v>
      </c>
      <c r="N138" s="2401">
        <f>IF(J138&lt;I138,J138*L138,IF(J138&gt;=I138,F138))-900000</f>
        <v>1800000</v>
      </c>
      <c r="O138" s="2708">
        <v>15000000</v>
      </c>
      <c r="P138" s="2708">
        <v>1800000</v>
      </c>
      <c r="Q138" s="1509"/>
      <c r="R138" s="2653"/>
      <c r="S138" s="2653"/>
      <c r="T138" s="1507"/>
      <c r="U138" s="1495">
        <f t="shared" si="20"/>
        <v>15000000</v>
      </c>
      <c r="V138" s="1495">
        <f t="shared" si="21"/>
        <v>1800000</v>
      </c>
      <c r="W138" s="1495">
        <f t="shared" si="22"/>
        <v>0</v>
      </c>
      <c r="X138" s="1495">
        <f t="shared" si="23"/>
        <v>0</v>
      </c>
      <c r="Y138" s="1495">
        <f t="shared" si="24"/>
        <v>100</v>
      </c>
      <c r="Z138" s="1495">
        <f t="shared" si="25"/>
        <v>0</v>
      </c>
      <c r="AA138" s="1506">
        <f t="shared" si="26"/>
        <v>0</v>
      </c>
      <c r="AB138" s="2441"/>
      <c r="AC138" s="1504">
        <f t="shared" si="27"/>
        <v>0</v>
      </c>
      <c r="AD138" s="1503">
        <f t="shared" si="28"/>
        <v>0</v>
      </c>
      <c r="AE138" s="1503">
        <f t="shared" si="29"/>
        <v>0</v>
      </c>
      <c r="AF138" s="1502">
        <f t="shared" si="30"/>
        <v>0</v>
      </c>
    </row>
    <row r="139" spans="1:32" s="1474" customFormat="1" ht="23.25" customHeight="1">
      <c r="A139" s="2705">
        <v>74</v>
      </c>
      <c r="B139" s="1497" t="s">
        <v>2199</v>
      </c>
      <c r="C139" s="2706" t="s">
        <v>2411</v>
      </c>
      <c r="D139" s="2706">
        <v>10</v>
      </c>
      <c r="E139" s="1497">
        <v>20000000</v>
      </c>
      <c r="F139" s="2417">
        <f t="shared" si="17"/>
        <v>3600000</v>
      </c>
      <c r="G139" s="2707">
        <v>41474</v>
      </c>
      <c r="H139" s="2419">
        <v>0.18</v>
      </c>
      <c r="I139" s="2415">
        <v>12</v>
      </c>
      <c r="J139" s="2415">
        <v>12</v>
      </c>
      <c r="K139" s="2415">
        <v>1666700</v>
      </c>
      <c r="L139" s="2415">
        <f t="shared" si="33"/>
        <v>300000</v>
      </c>
      <c r="M139" s="1510">
        <f t="shared" si="18"/>
        <v>20000000</v>
      </c>
      <c r="N139" s="1510">
        <f t="shared" si="19"/>
        <v>3600000</v>
      </c>
      <c r="O139" s="2708">
        <v>20000000</v>
      </c>
      <c r="P139" s="2708">
        <v>3600000</v>
      </c>
      <c r="Q139" s="1509"/>
      <c r="R139" s="2653"/>
      <c r="S139" s="2653"/>
      <c r="T139" s="1507"/>
      <c r="U139" s="1495">
        <f t="shared" si="20"/>
        <v>20000000</v>
      </c>
      <c r="V139" s="1495">
        <f t="shared" si="21"/>
        <v>3600000</v>
      </c>
      <c r="W139" s="1495">
        <f t="shared" si="22"/>
        <v>0</v>
      </c>
      <c r="X139" s="1495">
        <f t="shared" si="23"/>
        <v>0</v>
      </c>
      <c r="Y139" s="1495">
        <f t="shared" si="24"/>
        <v>100</v>
      </c>
      <c r="Z139" s="1495">
        <f t="shared" si="25"/>
        <v>0</v>
      </c>
      <c r="AA139" s="1506">
        <f t="shared" si="26"/>
        <v>0</v>
      </c>
      <c r="AB139" s="2441"/>
      <c r="AC139" s="1504">
        <f t="shared" si="27"/>
        <v>0</v>
      </c>
      <c r="AD139" s="1503">
        <f t="shared" si="28"/>
        <v>0</v>
      </c>
      <c r="AE139" s="1503">
        <f t="shared" si="29"/>
        <v>0</v>
      </c>
      <c r="AF139" s="1502">
        <f t="shared" si="30"/>
        <v>0</v>
      </c>
    </row>
    <row r="140" spans="1:32" s="1474" customFormat="1" ht="23.25" customHeight="1">
      <c r="A140" s="2705">
        <v>75</v>
      </c>
      <c r="B140" s="1497" t="s">
        <v>2059</v>
      </c>
      <c r="C140" s="2706" t="s">
        <v>2411</v>
      </c>
      <c r="D140" s="2706">
        <v>10</v>
      </c>
      <c r="E140" s="1497">
        <v>20000000</v>
      </c>
      <c r="F140" s="2417">
        <f t="shared" si="17"/>
        <v>3600000</v>
      </c>
      <c r="G140" s="2707">
        <v>41488</v>
      </c>
      <c r="H140" s="2419">
        <v>0.18</v>
      </c>
      <c r="I140" s="2415">
        <v>12</v>
      </c>
      <c r="J140" s="2415">
        <v>12</v>
      </c>
      <c r="K140" s="2415">
        <v>1666700</v>
      </c>
      <c r="L140" s="2415">
        <f t="shared" si="33"/>
        <v>300000</v>
      </c>
      <c r="M140" s="1510">
        <f t="shared" si="18"/>
        <v>20000000</v>
      </c>
      <c r="N140" s="2401">
        <f t="shared" si="19"/>
        <v>3600000</v>
      </c>
      <c r="O140" s="3098">
        <v>20000000</v>
      </c>
      <c r="P140" s="3098">
        <v>3300000</v>
      </c>
      <c r="Q140" s="3090"/>
      <c r="R140" s="3099"/>
      <c r="S140" s="3099"/>
      <c r="T140" s="3091"/>
      <c r="U140" s="3041">
        <f t="shared" si="20"/>
        <v>20000000</v>
      </c>
      <c r="V140" s="3041">
        <f t="shared" si="21"/>
        <v>3300000</v>
      </c>
      <c r="W140" s="3041">
        <f t="shared" si="22"/>
        <v>0</v>
      </c>
      <c r="X140" s="3041">
        <f t="shared" si="23"/>
        <v>0</v>
      </c>
      <c r="Y140" s="3041">
        <f t="shared" si="24"/>
        <v>100</v>
      </c>
      <c r="Z140" s="3041">
        <f t="shared" si="25"/>
        <v>0</v>
      </c>
      <c r="AA140" s="3092">
        <f>SUM(N140-V140)-300000</f>
        <v>0</v>
      </c>
      <c r="AB140" s="2441"/>
      <c r="AC140" s="1504">
        <f t="shared" si="27"/>
        <v>0</v>
      </c>
      <c r="AD140" s="1503">
        <f t="shared" si="28"/>
        <v>0</v>
      </c>
      <c r="AE140" s="1503">
        <f t="shared" si="29"/>
        <v>0</v>
      </c>
      <c r="AF140" s="1502">
        <f t="shared" si="30"/>
        <v>0</v>
      </c>
    </row>
    <row r="141" spans="1:32" s="1474" customFormat="1" ht="23.25" customHeight="1">
      <c r="A141" s="2705">
        <v>76</v>
      </c>
      <c r="B141" s="1497" t="s">
        <v>2217</v>
      </c>
      <c r="C141" s="2706" t="s">
        <v>2411</v>
      </c>
      <c r="D141" s="2706">
        <v>10</v>
      </c>
      <c r="E141" s="1497">
        <v>25000000</v>
      </c>
      <c r="F141" s="2417">
        <f t="shared" si="17"/>
        <v>4500000</v>
      </c>
      <c r="G141" s="2707">
        <v>41488</v>
      </c>
      <c r="H141" s="2419">
        <v>0.18</v>
      </c>
      <c r="I141" s="2415">
        <v>12</v>
      </c>
      <c r="J141" s="2415">
        <v>12</v>
      </c>
      <c r="K141" s="2415">
        <f>E141/I141-33.33333</f>
        <v>2083300.0000033332</v>
      </c>
      <c r="L141" s="2415">
        <f t="shared" si="33"/>
        <v>375000</v>
      </c>
      <c r="M141" s="1510">
        <f t="shared" si="18"/>
        <v>25000000</v>
      </c>
      <c r="N141" s="2401">
        <f>IF(J141&lt;I141,J141*L141,IF(J141&gt;=I141,F141))-750000</f>
        <v>3750000</v>
      </c>
      <c r="O141" s="2708">
        <v>25000000</v>
      </c>
      <c r="P141" s="2708">
        <v>3750000</v>
      </c>
      <c r="Q141" s="1509"/>
      <c r="R141" s="2653"/>
      <c r="S141" s="2653"/>
      <c r="T141" s="1507"/>
      <c r="U141" s="1495">
        <f t="shared" si="20"/>
        <v>25000000</v>
      </c>
      <c r="V141" s="1495">
        <f t="shared" si="21"/>
        <v>3750000</v>
      </c>
      <c r="W141" s="1495">
        <f t="shared" si="22"/>
        <v>0</v>
      </c>
      <c r="X141" s="1495">
        <f t="shared" si="23"/>
        <v>0</v>
      </c>
      <c r="Y141" s="1495">
        <f t="shared" si="24"/>
        <v>100</v>
      </c>
      <c r="Z141" s="1495">
        <f t="shared" si="25"/>
        <v>0</v>
      </c>
      <c r="AA141" s="1506">
        <f t="shared" si="26"/>
        <v>0</v>
      </c>
      <c r="AB141" s="2441"/>
      <c r="AC141" s="1504">
        <f t="shared" si="27"/>
        <v>0</v>
      </c>
      <c r="AD141" s="1503">
        <f t="shared" si="28"/>
        <v>0</v>
      </c>
      <c r="AE141" s="1503">
        <f t="shared" si="29"/>
        <v>0</v>
      </c>
      <c r="AF141" s="1502">
        <f t="shared" si="30"/>
        <v>0</v>
      </c>
    </row>
    <row r="142" spans="1:32" s="1474" customFormat="1" ht="23.25" customHeight="1">
      <c r="A142" s="2705">
        <v>77</v>
      </c>
      <c r="B142" s="1497" t="s">
        <v>2057</v>
      </c>
      <c r="C142" s="2706" t="s">
        <v>2411</v>
      </c>
      <c r="D142" s="2706">
        <v>10</v>
      </c>
      <c r="E142" s="1497">
        <v>30000000</v>
      </c>
      <c r="F142" s="2417">
        <f t="shared" si="17"/>
        <v>5400000</v>
      </c>
      <c r="G142" s="2707">
        <v>41488</v>
      </c>
      <c r="H142" s="2419">
        <v>0.18</v>
      </c>
      <c r="I142" s="2415">
        <v>12</v>
      </c>
      <c r="J142" s="2415">
        <v>12</v>
      </c>
      <c r="K142" s="2415">
        <f>E142/I142</f>
        <v>2500000</v>
      </c>
      <c r="L142" s="2415">
        <f t="shared" si="33"/>
        <v>450000</v>
      </c>
      <c r="M142" s="1510">
        <f t="shared" si="18"/>
        <v>30000000</v>
      </c>
      <c r="N142" s="2401">
        <f>IF(J142&lt;I142,J142*L142,IF(J142&gt;=I142,F142))-450000</f>
        <v>4950000</v>
      </c>
      <c r="O142" s="2708">
        <v>30000000</v>
      </c>
      <c r="P142" s="2708">
        <v>4950000</v>
      </c>
      <c r="Q142" s="1509"/>
      <c r="R142" s="2653"/>
      <c r="S142" s="2653"/>
      <c r="T142" s="1507"/>
      <c r="U142" s="1495">
        <f t="shared" si="20"/>
        <v>30000000</v>
      </c>
      <c r="V142" s="1495">
        <f t="shared" si="21"/>
        <v>4950000</v>
      </c>
      <c r="W142" s="1495">
        <f t="shared" si="22"/>
        <v>0</v>
      </c>
      <c r="X142" s="1495">
        <f t="shared" si="23"/>
        <v>0</v>
      </c>
      <c r="Y142" s="1495">
        <f t="shared" si="24"/>
        <v>100</v>
      </c>
      <c r="Z142" s="1495">
        <f t="shared" si="25"/>
        <v>0</v>
      </c>
      <c r="AA142" s="1506">
        <f t="shared" si="26"/>
        <v>0</v>
      </c>
      <c r="AB142" s="2441"/>
      <c r="AC142" s="1504">
        <f t="shared" si="27"/>
        <v>0</v>
      </c>
      <c r="AD142" s="1503">
        <f t="shared" si="28"/>
        <v>0</v>
      </c>
      <c r="AE142" s="1503">
        <f t="shared" si="29"/>
        <v>0</v>
      </c>
      <c r="AF142" s="1502">
        <f t="shared" si="30"/>
        <v>0</v>
      </c>
    </row>
    <row r="143" spans="1:32" s="1474" customFormat="1" ht="23.25" customHeight="1">
      <c r="A143" s="2705">
        <v>78</v>
      </c>
      <c r="B143" s="1497" t="s">
        <v>2435</v>
      </c>
      <c r="C143" s="2706" t="s">
        <v>2411</v>
      </c>
      <c r="D143" s="2706">
        <v>10</v>
      </c>
      <c r="E143" s="1497">
        <v>10000000</v>
      </c>
      <c r="F143" s="2417">
        <f t="shared" si="17"/>
        <v>1800000</v>
      </c>
      <c r="G143" s="2707">
        <v>37853</v>
      </c>
      <c r="H143" s="2419">
        <v>0.18</v>
      </c>
      <c r="I143" s="2415">
        <v>12</v>
      </c>
      <c r="J143" s="2415">
        <v>12</v>
      </c>
      <c r="K143" s="2415">
        <f>E143/I143-33.33333</f>
        <v>833300.00000333332</v>
      </c>
      <c r="L143" s="2415">
        <f t="shared" si="33"/>
        <v>150000</v>
      </c>
      <c r="M143" s="1510">
        <f t="shared" si="18"/>
        <v>10000000</v>
      </c>
      <c r="N143" s="1510">
        <f t="shared" si="19"/>
        <v>1800000</v>
      </c>
      <c r="O143" s="2708">
        <v>10000000</v>
      </c>
      <c r="P143" s="2708">
        <v>1800000</v>
      </c>
      <c r="Q143" s="1509"/>
      <c r="R143" s="2653"/>
      <c r="S143" s="2653"/>
      <c r="T143" s="1507"/>
      <c r="U143" s="1495">
        <f t="shared" si="20"/>
        <v>10000000</v>
      </c>
      <c r="V143" s="1495">
        <f t="shared" si="21"/>
        <v>1800000</v>
      </c>
      <c r="W143" s="1495">
        <f t="shared" si="22"/>
        <v>0</v>
      </c>
      <c r="X143" s="1495">
        <f t="shared" si="23"/>
        <v>0</v>
      </c>
      <c r="Y143" s="1495">
        <f t="shared" si="24"/>
        <v>100</v>
      </c>
      <c r="Z143" s="1495">
        <f t="shared" si="25"/>
        <v>0</v>
      </c>
      <c r="AA143" s="1506">
        <f t="shared" si="26"/>
        <v>0</v>
      </c>
      <c r="AB143" s="2441"/>
      <c r="AC143" s="1504">
        <f t="shared" si="27"/>
        <v>0</v>
      </c>
      <c r="AD143" s="1503">
        <f t="shared" si="28"/>
        <v>0</v>
      </c>
      <c r="AE143" s="1503">
        <f t="shared" si="29"/>
        <v>0</v>
      </c>
      <c r="AF143" s="1502">
        <f t="shared" si="30"/>
        <v>0</v>
      </c>
    </row>
    <row r="144" spans="1:32" s="1474" customFormat="1" ht="23.25" customHeight="1">
      <c r="A144" s="2705">
        <v>79</v>
      </c>
      <c r="B144" s="1497" t="s">
        <v>1901</v>
      </c>
      <c r="C144" s="2706" t="s">
        <v>2411</v>
      </c>
      <c r="D144" s="2706">
        <v>10</v>
      </c>
      <c r="E144" s="1497">
        <v>25000000</v>
      </c>
      <c r="F144" s="2417">
        <f t="shared" si="17"/>
        <v>4500000</v>
      </c>
      <c r="G144" s="2707">
        <v>41506</v>
      </c>
      <c r="H144" s="2419">
        <v>0.18</v>
      </c>
      <c r="I144" s="2415">
        <v>12</v>
      </c>
      <c r="J144" s="2415">
        <v>12</v>
      </c>
      <c r="K144" s="2415">
        <f>E144/I144-33.333</f>
        <v>2083300.0003333332</v>
      </c>
      <c r="L144" s="2415">
        <f t="shared" si="33"/>
        <v>375000</v>
      </c>
      <c r="M144" s="1510">
        <f t="shared" si="18"/>
        <v>25000000</v>
      </c>
      <c r="N144" s="2401">
        <f>IF(J144&lt;I144,J144*L144,IF(J144&gt;=I144,F144))-375000</f>
        <v>4125000</v>
      </c>
      <c r="O144" s="2708">
        <v>25000000</v>
      </c>
      <c r="P144" s="2708">
        <v>4125000</v>
      </c>
      <c r="Q144" s="1509"/>
      <c r="R144" s="2653"/>
      <c r="S144" s="2653"/>
      <c r="T144" s="1507"/>
      <c r="U144" s="1495">
        <f t="shared" si="20"/>
        <v>25000000</v>
      </c>
      <c r="V144" s="1495">
        <f t="shared" si="21"/>
        <v>4125000</v>
      </c>
      <c r="W144" s="1495">
        <f t="shared" si="22"/>
        <v>0</v>
      </c>
      <c r="X144" s="1495">
        <f t="shared" si="23"/>
        <v>0</v>
      </c>
      <c r="Y144" s="1495">
        <f t="shared" si="24"/>
        <v>100</v>
      </c>
      <c r="Z144" s="1495">
        <f t="shared" si="25"/>
        <v>0</v>
      </c>
      <c r="AA144" s="1506">
        <f t="shared" si="26"/>
        <v>0</v>
      </c>
      <c r="AB144" s="2441"/>
      <c r="AC144" s="1504">
        <f t="shared" si="27"/>
        <v>0</v>
      </c>
      <c r="AD144" s="1503">
        <f t="shared" si="28"/>
        <v>0</v>
      </c>
      <c r="AE144" s="1503">
        <f t="shared" si="29"/>
        <v>0</v>
      </c>
      <c r="AF144" s="1502">
        <f t="shared" si="30"/>
        <v>0</v>
      </c>
    </row>
    <row r="145" spans="1:32" s="1474" customFormat="1" ht="23.25" customHeight="1">
      <c r="A145" s="2705">
        <v>80</v>
      </c>
      <c r="B145" s="1497" t="s">
        <v>2058</v>
      </c>
      <c r="C145" s="2706" t="s">
        <v>2411</v>
      </c>
      <c r="D145" s="2706">
        <v>10</v>
      </c>
      <c r="E145" s="1497">
        <v>20000000</v>
      </c>
      <c r="F145" s="2417">
        <f t="shared" si="17"/>
        <v>3600000</v>
      </c>
      <c r="G145" s="2707">
        <v>41521</v>
      </c>
      <c r="H145" s="2419">
        <v>0.18</v>
      </c>
      <c r="I145" s="2415">
        <v>12</v>
      </c>
      <c r="J145" s="2415">
        <v>12</v>
      </c>
      <c r="K145" s="2415">
        <v>1666700</v>
      </c>
      <c r="L145" s="2415">
        <f t="shared" si="33"/>
        <v>300000</v>
      </c>
      <c r="M145" s="1510">
        <f t="shared" si="18"/>
        <v>20000000</v>
      </c>
      <c r="N145" s="1510">
        <f t="shared" si="19"/>
        <v>3600000</v>
      </c>
      <c r="O145" s="2708">
        <v>20000000</v>
      </c>
      <c r="P145" s="2708">
        <v>3600000</v>
      </c>
      <c r="Q145" s="1509"/>
      <c r="R145" s="2653"/>
      <c r="S145" s="2653"/>
      <c r="T145" s="1507"/>
      <c r="U145" s="1495">
        <f t="shared" si="20"/>
        <v>20000000</v>
      </c>
      <c r="V145" s="1495">
        <f t="shared" si="21"/>
        <v>3600000</v>
      </c>
      <c r="W145" s="1495">
        <f t="shared" si="22"/>
        <v>0</v>
      </c>
      <c r="X145" s="1495">
        <f t="shared" si="23"/>
        <v>0</v>
      </c>
      <c r="Y145" s="1495">
        <f t="shared" si="24"/>
        <v>100</v>
      </c>
      <c r="Z145" s="1495">
        <f t="shared" si="25"/>
        <v>0</v>
      </c>
      <c r="AA145" s="1506">
        <f t="shared" si="26"/>
        <v>0</v>
      </c>
      <c r="AB145" s="2441"/>
      <c r="AC145" s="1504">
        <f t="shared" si="27"/>
        <v>0</v>
      </c>
      <c r="AD145" s="1503">
        <f t="shared" si="28"/>
        <v>0</v>
      </c>
      <c r="AE145" s="1503">
        <f t="shared" si="29"/>
        <v>0</v>
      </c>
      <c r="AF145" s="1502">
        <f t="shared" si="30"/>
        <v>0</v>
      </c>
    </row>
    <row r="146" spans="1:32" s="1474" customFormat="1" ht="23.25" customHeight="1">
      <c r="A146" s="2705">
        <v>81</v>
      </c>
      <c r="B146" s="1497" t="s">
        <v>2321</v>
      </c>
      <c r="C146" s="2706" t="s">
        <v>2411</v>
      </c>
      <c r="D146" s="2706">
        <v>10</v>
      </c>
      <c r="E146" s="1497">
        <v>10000000</v>
      </c>
      <c r="F146" s="2417">
        <f t="shared" si="17"/>
        <v>1800000</v>
      </c>
      <c r="G146" s="2707">
        <v>41521</v>
      </c>
      <c r="H146" s="2419">
        <v>0.18</v>
      </c>
      <c r="I146" s="2415">
        <v>12</v>
      </c>
      <c r="J146" s="2415">
        <v>12</v>
      </c>
      <c r="K146" s="2415">
        <v>833300</v>
      </c>
      <c r="L146" s="2415">
        <f t="shared" si="33"/>
        <v>150000</v>
      </c>
      <c r="M146" s="1510">
        <f t="shared" si="18"/>
        <v>10000000</v>
      </c>
      <c r="N146" s="2401">
        <f t="shared" si="19"/>
        <v>1800000</v>
      </c>
      <c r="O146" s="2708">
        <v>10000000</v>
      </c>
      <c r="P146" s="2708">
        <v>1650000</v>
      </c>
      <c r="Q146" s="1509"/>
      <c r="R146" s="2653"/>
      <c r="S146" s="2653"/>
      <c r="T146" s="1507"/>
      <c r="U146" s="1495">
        <f t="shared" si="20"/>
        <v>10000000</v>
      </c>
      <c r="V146" s="1495">
        <f t="shared" si="21"/>
        <v>1650000</v>
      </c>
      <c r="W146" s="1495">
        <f t="shared" si="22"/>
        <v>0</v>
      </c>
      <c r="X146" s="1495">
        <f t="shared" si="23"/>
        <v>0</v>
      </c>
      <c r="Y146" s="1495">
        <f t="shared" si="24"/>
        <v>100</v>
      </c>
      <c r="Z146" s="1495">
        <f t="shared" si="25"/>
        <v>0</v>
      </c>
      <c r="AA146" s="1506">
        <f>SUM(N146-V146)-150000</f>
        <v>0</v>
      </c>
      <c r="AB146" s="2441"/>
      <c r="AC146" s="1504">
        <f t="shared" si="27"/>
        <v>0</v>
      </c>
      <c r="AD146" s="1503">
        <f t="shared" si="28"/>
        <v>0</v>
      </c>
      <c r="AE146" s="1503">
        <f t="shared" si="29"/>
        <v>0</v>
      </c>
      <c r="AF146" s="1502">
        <f t="shared" si="30"/>
        <v>0</v>
      </c>
    </row>
    <row r="147" spans="1:32" s="1474" customFormat="1" ht="23.25" customHeight="1">
      <c r="A147" s="2705">
        <v>82</v>
      </c>
      <c r="B147" s="1497" t="s">
        <v>2128</v>
      </c>
      <c r="C147" s="2706" t="s">
        <v>2411</v>
      </c>
      <c r="D147" s="2706">
        <v>10</v>
      </c>
      <c r="E147" s="1497">
        <v>18000000</v>
      </c>
      <c r="F147" s="2417">
        <f t="shared" si="17"/>
        <v>3240000</v>
      </c>
      <c r="G147" s="2707">
        <v>41529</v>
      </c>
      <c r="H147" s="2419">
        <v>0.18</v>
      </c>
      <c r="I147" s="2415">
        <v>12</v>
      </c>
      <c r="J147" s="2415">
        <v>12</v>
      </c>
      <c r="K147" s="2415">
        <f>E147/I147</f>
        <v>1500000</v>
      </c>
      <c r="L147" s="2415">
        <f t="shared" si="33"/>
        <v>270000</v>
      </c>
      <c r="M147" s="1510">
        <f t="shared" si="18"/>
        <v>18000000</v>
      </c>
      <c r="N147" s="2401">
        <f t="shared" si="19"/>
        <v>3240000</v>
      </c>
      <c r="O147" s="2708">
        <v>18000000</v>
      </c>
      <c r="P147" s="2708">
        <v>2970000</v>
      </c>
      <c r="Q147" s="1509"/>
      <c r="R147" s="2653"/>
      <c r="S147" s="2653"/>
      <c r="T147" s="1507"/>
      <c r="U147" s="1495">
        <f t="shared" si="20"/>
        <v>18000000</v>
      </c>
      <c r="V147" s="1495">
        <f t="shared" si="21"/>
        <v>2970000</v>
      </c>
      <c r="W147" s="1495">
        <f t="shared" si="22"/>
        <v>0</v>
      </c>
      <c r="X147" s="1495">
        <f t="shared" si="23"/>
        <v>0</v>
      </c>
      <c r="Y147" s="1495">
        <f t="shared" si="24"/>
        <v>100</v>
      </c>
      <c r="Z147" s="1495">
        <f t="shared" si="25"/>
        <v>0</v>
      </c>
      <c r="AA147" s="1506">
        <f>SUM(N147-V147)-270000</f>
        <v>0</v>
      </c>
      <c r="AB147" s="2441"/>
      <c r="AC147" s="1504">
        <f t="shared" si="27"/>
        <v>0</v>
      </c>
      <c r="AD147" s="1503">
        <f t="shared" si="28"/>
        <v>0</v>
      </c>
      <c r="AE147" s="1503">
        <f t="shared" si="29"/>
        <v>0</v>
      </c>
      <c r="AF147" s="1502">
        <f t="shared" si="30"/>
        <v>0</v>
      </c>
    </row>
    <row r="148" spans="1:32" s="1474" customFormat="1" ht="23.25" customHeight="1">
      <c r="A148" s="2705">
        <v>83</v>
      </c>
      <c r="B148" s="1497" t="s">
        <v>2324</v>
      </c>
      <c r="C148" s="2706" t="s">
        <v>2411</v>
      </c>
      <c r="D148" s="2706">
        <v>10</v>
      </c>
      <c r="E148" s="1497">
        <v>12000000</v>
      </c>
      <c r="F148" s="2417">
        <f t="shared" si="17"/>
        <v>2160000</v>
      </c>
      <c r="G148" s="2707">
        <v>41529</v>
      </c>
      <c r="H148" s="2419">
        <v>0.18</v>
      </c>
      <c r="I148" s="2415">
        <v>12</v>
      </c>
      <c r="J148" s="2415">
        <v>12</v>
      </c>
      <c r="K148" s="2415">
        <f>E148/I148</f>
        <v>1000000</v>
      </c>
      <c r="L148" s="2415">
        <f t="shared" si="33"/>
        <v>180000</v>
      </c>
      <c r="M148" s="1510">
        <f t="shared" si="18"/>
        <v>12000000</v>
      </c>
      <c r="N148" s="1510">
        <f t="shared" si="19"/>
        <v>2160000</v>
      </c>
      <c r="O148" s="2708">
        <v>12000000</v>
      </c>
      <c r="P148" s="2708">
        <v>2160000</v>
      </c>
      <c r="Q148" s="1509"/>
      <c r="R148" s="2653"/>
      <c r="S148" s="2653"/>
      <c r="T148" s="1507"/>
      <c r="U148" s="1495">
        <f t="shared" si="20"/>
        <v>12000000</v>
      </c>
      <c r="V148" s="1495">
        <f t="shared" si="21"/>
        <v>2160000</v>
      </c>
      <c r="W148" s="1495">
        <f t="shared" si="22"/>
        <v>0</v>
      </c>
      <c r="X148" s="1495">
        <f t="shared" si="23"/>
        <v>0</v>
      </c>
      <c r="Y148" s="1495">
        <f t="shared" si="24"/>
        <v>100</v>
      </c>
      <c r="Z148" s="1495">
        <f t="shared" si="25"/>
        <v>0</v>
      </c>
      <c r="AA148" s="1506">
        <f t="shared" si="26"/>
        <v>0</v>
      </c>
      <c r="AB148" s="2441"/>
      <c r="AC148" s="1504">
        <f t="shared" si="27"/>
        <v>0</v>
      </c>
      <c r="AD148" s="1503">
        <f t="shared" si="28"/>
        <v>0</v>
      </c>
      <c r="AE148" s="1503">
        <f t="shared" si="29"/>
        <v>0</v>
      </c>
      <c r="AF148" s="1502">
        <f t="shared" si="30"/>
        <v>0</v>
      </c>
    </row>
    <row r="149" spans="1:32" s="1474" customFormat="1" ht="23.25" customHeight="1">
      <c r="A149" s="2705">
        <v>84</v>
      </c>
      <c r="B149" s="1497" t="s">
        <v>2457</v>
      </c>
      <c r="C149" s="2706" t="s">
        <v>2411</v>
      </c>
      <c r="D149" s="2706">
        <v>10</v>
      </c>
      <c r="E149" s="1497">
        <v>15000000</v>
      </c>
      <c r="F149" s="2417">
        <f t="shared" si="17"/>
        <v>2700000</v>
      </c>
      <c r="G149" s="2707">
        <v>41536</v>
      </c>
      <c r="H149" s="2419">
        <v>0.18</v>
      </c>
      <c r="I149" s="2415">
        <v>12</v>
      </c>
      <c r="J149" s="2415">
        <v>12</v>
      </c>
      <c r="K149" s="2415">
        <f>E149/I149</f>
        <v>1250000</v>
      </c>
      <c r="L149" s="2415">
        <f t="shared" si="33"/>
        <v>225000</v>
      </c>
      <c r="M149" s="1510">
        <f t="shared" si="18"/>
        <v>15000000</v>
      </c>
      <c r="N149" s="1510">
        <f t="shared" si="19"/>
        <v>2700000</v>
      </c>
      <c r="O149" s="2708">
        <v>10225000</v>
      </c>
      <c r="P149" s="2708">
        <v>2025000</v>
      </c>
      <c r="Q149" s="1509"/>
      <c r="R149" s="2653"/>
      <c r="S149" s="2653"/>
      <c r="T149" s="1507"/>
      <c r="U149" s="1495">
        <f t="shared" si="20"/>
        <v>10225000</v>
      </c>
      <c r="V149" s="1495">
        <f t="shared" si="21"/>
        <v>2025000</v>
      </c>
      <c r="W149" s="1495">
        <f t="shared" si="22"/>
        <v>0</v>
      </c>
      <c r="X149" s="1495">
        <f t="shared" si="23"/>
        <v>4775000</v>
      </c>
      <c r="Y149" s="1495">
        <f t="shared" si="24"/>
        <v>68.166666666666657</v>
      </c>
      <c r="Z149" s="1495">
        <f t="shared" si="25"/>
        <v>4775000</v>
      </c>
      <c r="AA149" s="1506">
        <f t="shared" si="26"/>
        <v>675000</v>
      </c>
      <c r="AB149" s="2441">
        <v>6</v>
      </c>
      <c r="AC149" s="1504">
        <f t="shared" si="27"/>
        <v>0</v>
      </c>
      <c r="AD149" s="1503">
        <f t="shared" si="28"/>
        <v>0</v>
      </c>
      <c r="AE149" s="1503">
        <f t="shared" si="29"/>
        <v>4775000</v>
      </c>
      <c r="AF149" s="1502">
        <f t="shared" si="30"/>
        <v>0</v>
      </c>
    </row>
    <row r="150" spans="1:32" s="1474" customFormat="1" ht="23.25" customHeight="1">
      <c r="A150" s="2705">
        <v>85</v>
      </c>
      <c r="B150" s="1497" t="s">
        <v>2145</v>
      </c>
      <c r="C150" s="2706" t="s">
        <v>2411</v>
      </c>
      <c r="D150" s="2706">
        <v>10</v>
      </c>
      <c r="E150" s="1497">
        <v>10000000</v>
      </c>
      <c r="F150" s="2417">
        <f t="shared" si="17"/>
        <v>1800000</v>
      </c>
      <c r="G150" s="2707">
        <v>41533</v>
      </c>
      <c r="H150" s="2419">
        <v>0.18</v>
      </c>
      <c r="I150" s="2415">
        <v>12</v>
      </c>
      <c r="J150" s="2415">
        <v>12</v>
      </c>
      <c r="K150" s="2415">
        <v>833300</v>
      </c>
      <c r="L150" s="2415">
        <f t="shared" si="33"/>
        <v>150000</v>
      </c>
      <c r="M150" s="1510">
        <f t="shared" si="18"/>
        <v>10000000</v>
      </c>
      <c r="N150" s="2401">
        <f>IF(J150&lt;I150,J150*L150,IF(J150&gt;=I150,F150))-150000</f>
        <v>1650000</v>
      </c>
      <c r="O150" s="2708">
        <v>10000000</v>
      </c>
      <c r="P150" s="2708">
        <v>1650000</v>
      </c>
      <c r="Q150" s="1509"/>
      <c r="R150" s="2653"/>
      <c r="S150" s="2653"/>
      <c r="T150" s="1507"/>
      <c r="U150" s="1495">
        <f t="shared" si="20"/>
        <v>10000000</v>
      </c>
      <c r="V150" s="1495">
        <f t="shared" si="21"/>
        <v>1650000</v>
      </c>
      <c r="W150" s="1495">
        <f t="shared" si="22"/>
        <v>0</v>
      </c>
      <c r="X150" s="1495">
        <f t="shared" si="23"/>
        <v>0</v>
      </c>
      <c r="Y150" s="1495">
        <f t="shared" si="24"/>
        <v>100</v>
      </c>
      <c r="Z150" s="1495">
        <f t="shared" si="25"/>
        <v>0</v>
      </c>
      <c r="AA150" s="1506">
        <f t="shared" si="26"/>
        <v>0</v>
      </c>
      <c r="AB150" s="2441"/>
      <c r="AC150" s="1504">
        <f t="shared" si="27"/>
        <v>0</v>
      </c>
      <c r="AD150" s="1503">
        <f t="shared" si="28"/>
        <v>0</v>
      </c>
      <c r="AE150" s="1503">
        <f t="shared" si="29"/>
        <v>0</v>
      </c>
      <c r="AF150" s="1502">
        <f t="shared" si="30"/>
        <v>0</v>
      </c>
    </row>
    <row r="151" spans="1:32" s="1474" customFormat="1" ht="23.25" customHeight="1">
      <c r="A151" s="2705">
        <v>86</v>
      </c>
      <c r="B151" s="1497" t="s">
        <v>2054</v>
      </c>
      <c r="C151" s="2706" t="s">
        <v>2465</v>
      </c>
      <c r="D151" s="2706">
        <v>10</v>
      </c>
      <c r="E151" s="1497">
        <v>24000000</v>
      </c>
      <c r="F151" s="2417">
        <f t="shared" si="17"/>
        <v>4320000</v>
      </c>
      <c r="G151" s="2707">
        <v>41568</v>
      </c>
      <c r="H151" s="2419">
        <v>0.18</v>
      </c>
      <c r="I151" s="2415">
        <v>12</v>
      </c>
      <c r="J151" s="2415">
        <v>12</v>
      </c>
      <c r="K151" s="2415">
        <f>E151/I151</f>
        <v>2000000</v>
      </c>
      <c r="L151" s="2415">
        <f t="shared" si="33"/>
        <v>360000</v>
      </c>
      <c r="M151" s="1510">
        <f t="shared" si="18"/>
        <v>24000000</v>
      </c>
      <c r="N151" s="1510">
        <f t="shared" si="19"/>
        <v>4320000</v>
      </c>
      <c r="O151" s="2708">
        <v>17330000</v>
      </c>
      <c r="P151" s="2708">
        <v>3240000</v>
      </c>
      <c r="Q151" s="1509"/>
      <c r="R151" s="3010"/>
      <c r="S151" s="3010"/>
      <c r="T151" s="1507"/>
      <c r="U151" s="1495">
        <f t="shared" si="20"/>
        <v>17330000</v>
      </c>
      <c r="V151" s="1495">
        <f t="shared" si="21"/>
        <v>3240000</v>
      </c>
      <c r="W151" s="1495">
        <f t="shared" si="22"/>
        <v>0</v>
      </c>
      <c r="X151" s="1495">
        <f t="shared" si="23"/>
        <v>6670000</v>
      </c>
      <c r="Y151" s="1495">
        <f t="shared" si="24"/>
        <v>72.208333333333329</v>
      </c>
      <c r="Z151" s="1495">
        <f t="shared" si="25"/>
        <v>6670000</v>
      </c>
      <c r="AA151" s="1506">
        <f t="shared" si="26"/>
        <v>1080000</v>
      </c>
      <c r="AB151" s="2441">
        <v>6</v>
      </c>
      <c r="AC151" s="1504">
        <f t="shared" si="27"/>
        <v>0</v>
      </c>
      <c r="AD151" s="1503">
        <f t="shared" si="28"/>
        <v>0</v>
      </c>
      <c r="AE151" s="1503">
        <f t="shared" si="29"/>
        <v>6670000</v>
      </c>
      <c r="AF151" s="1502">
        <f t="shared" si="30"/>
        <v>0</v>
      </c>
    </row>
    <row r="152" spans="1:32" s="1474" customFormat="1" ht="23.25" customHeight="1">
      <c r="A152" s="2705">
        <v>87</v>
      </c>
      <c r="B152" s="1497" t="s">
        <v>2468</v>
      </c>
      <c r="C152" s="2706" t="s">
        <v>2465</v>
      </c>
      <c r="D152" s="2706">
        <v>10</v>
      </c>
      <c r="E152" s="1497">
        <v>15000000</v>
      </c>
      <c r="F152" s="2417">
        <f t="shared" si="17"/>
        <v>2700000</v>
      </c>
      <c r="G152" s="2707">
        <v>41568</v>
      </c>
      <c r="H152" s="2419">
        <v>0.18</v>
      </c>
      <c r="I152" s="2415">
        <v>12</v>
      </c>
      <c r="J152" s="2415">
        <v>12</v>
      </c>
      <c r="K152" s="2415">
        <f>E152/I152</f>
        <v>1250000</v>
      </c>
      <c r="L152" s="2415">
        <f t="shared" si="33"/>
        <v>225000</v>
      </c>
      <c r="M152" s="1510">
        <f t="shared" si="18"/>
        <v>15000000</v>
      </c>
      <c r="N152" s="1510">
        <f t="shared" si="19"/>
        <v>2700000</v>
      </c>
      <c r="O152" s="2708">
        <v>15000000</v>
      </c>
      <c r="P152" s="2708">
        <v>2700000</v>
      </c>
      <c r="Q152" s="1509"/>
      <c r="R152" s="2653"/>
      <c r="S152" s="2653"/>
      <c r="T152" s="1507"/>
      <c r="U152" s="1495">
        <f t="shared" si="20"/>
        <v>15000000</v>
      </c>
      <c r="V152" s="1495">
        <f t="shared" si="21"/>
        <v>2700000</v>
      </c>
      <c r="W152" s="1495">
        <f t="shared" si="22"/>
        <v>0</v>
      </c>
      <c r="X152" s="1495">
        <f t="shared" si="23"/>
        <v>0</v>
      </c>
      <c r="Y152" s="1495">
        <f t="shared" si="24"/>
        <v>100</v>
      </c>
      <c r="Z152" s="1495">
        <f t="shared" si="25"/>
        <v>0</v>
      </c>
      <c r="AA152" s="1506">
        <f t="shared" si="26"/>
        <v>0</v>
      </c>
      <c r="AB152" s="2441"/>
      <c r="AC152" s="1504">
        <f t="shared" si="27"/>
        <v>0</v>
      </c>
      <c r="AD152" s="1503">
        <f t="shared" si="28"/>
        <v>0</v>
      </c>
      <c r="AE152" s="1503">
        <f t="shared" si="29"/>
        <v>0</v>
      </c>
      <c r="AF152" s="1502">
        <f t="shared" si="30"/>
        <v>0</v>
      </c>
    </row>
    <row r="153" spans="1:32" s="1474" customFormat="1" ht="23.25" customHeight="1">
      <c r="A153" s="2705">
        <v>88</v>
      </c>
      <c r="B153" s="1497" t="s">
        <v>2330</v>
      </c>
      <c r="C153" s="2706" t="s">
        <v>2465</v>
      </c>
      <c r="D153" s="2706">
        <v>10</v>
      </c>
      <c r="E153" s="1497">
        <v>12000000</v>
      </c>
      <c r="F153" s="2417">
        <f t="shared" si="17"/>
        <v>2160000</v>
      </c>
      <c r="G153" s="2707">
        <v>41556</v>
      </c>
      <c r="H153" s="2419">
        <v>0.18</v>
      </c>
      <c r="I153" s="2415">
        <v>12</v>
      </c>
      <c r="J153" s="2415">
        <v>12</v>
      </c>
      <c r="K153" s="2415">
        <f>E153/I153</f>
        <v>1000000</v>
      </c>
      <c r="L153" s="2415">
        <f t="shared" si="33"/>
        <v>180000</v>
      </c>
      <c r="M153" s="1510">
        <f t="shared" si="18"/>
        <v>12000000</v>
      </c>
      <c r="N153" s="2401">
        <f>IF(J153&lt;I153,J153*L153,IF(J153&gt;=I153,F153))-180000</f>
        <v>1980000</v>
      </c>
      <c r="O153" s="2708">
        <v>12000000</v>
      </c>
      <c r="P153" s="2708">
        <v>1980000</v>
      </c>
      <c r="Q153" s="1509"/>
      <c r="R153" s="2653"/>
      <c r="S153" s="2653"/>
      <c r="T153" s="1507"/>
      <c r="U153" s="1495">
        <f t="shared" si="20"/>
        <v>12000000</v>
      </c>
      <c r="V153" s="1495">
        <f t="shared" si="21"/>
        <v>1980000</v>
      </c>
      <c r="W153" s="1495">
        <f t="shared" si="22"/>
        <v>0</v>
      </c>
      <c r="X153" s="1495">
        <f t="shared" si="23"/>
        <v>0</v>
      </c>
      <c r="Y153" s="1495">
        <f t="shared" si="24"/>
        <v>100</v>
      </c>
      <c r="Z153" s="1495">
        <f t="shared" si="25"/>
        <v>0</v>
      </c>
      <c r="AA153" s="1506">
        <f t="shared" si="26"/>
        <v>0</v>
      </c>
      <c r="AB153" s="2441"/>
      <c r="AC153" s="1504">
        <f t="shared" si="27"/>
        <v>0</v>
      </c>
      <c r="AD153" s="1503">
        <f t="shared" si="28"/>
        <v>0</v>
      </c>
      <c r="AE153" s="1503">
        <f t="shared" si="29"/>
        <v>0</v>
      </c>
      <c r="AF153" s="1502">
        <f t="shared" si="30"/>
        <v>0</v>
      </c>
    </row>
    <row r="154" spans="1:32" s="1474" customFormat="1" ht="23.25" customHeight="1">
      <c r="A154" s="2705">
        <v>89</v>
      </c>
      <c r="B154" s="1497" t="s">
        <v>2323</v>
      </c>
      <c r="C154" s="2706" t="s">
        <v>2465</v>
      </c>
      <c r="D154" s="2706">
        <v>10</v>
      </c>
      <c r="E154" s="1497">
        <v>10000000</v>
      </c>
      <c r="F154" s="2417">
        <f t="shared" si="17"/>
        <v>1800000</v>
      </c>
      <c r="G154" s="2707">
        <v>41556</v>
      </c>
      <c r="H154" s="2419">
        <v>0.18</v>
      </c>
      <c r="I154" s="2415">
        <v>12</v>
      </c>
      <c r="J154" s="2415">
        <v>12</v>
      </c>
      <c r="K154" s="2415">
        <v>833300</v>
      </c>
      <c r="L154" s="2415">
        <f t="shared" si="33"/>
        <v>150000</v>
      </c>
      <c r="M154" s="1510">
        <f t="shared" si="18"/>
        <v>10000000</v>
      </c>
      <c r="N154" s="2401">
        <f>IF(J154&lt;I154,J154*L154,IF(J154&gt;=I154,F154))-150000</f>
        <v>1650000</v>
      </c>
      <c r="O154" s="2708">
        <v>10000000</v>
      </c>
      <c r="P154" s="2708">
        <v>1650000</v>
      </c>
      <c r="Q154" s="1509"/>
      <c r="R154" s="2653"/>
      <c r="S154" s="2653"/>
      <c r="T154" s="1507"/>
      <c r="U154" s="1495">
        <f t="shared" si="20"/>
        <v>10000000</v>
      </c>
      <c r="V154" s="1495">
        <f t="shared" si="21"/>
        <v>1650000</v>
      </c>
      <c r="W154" s="1495">
        <f t="shared" si="22"/>
        <v>0</v>
      </c>
      <c r="X154" s="1495">
        <f t="shared" si="23"/>
        <v>0</v>
      </c>
      <c r="Y154" s="1495">
        <f t="shared" si="24"/>
        <v>100</v>
      </c>
      <c r="Z154" s="1495">
        <f t="shared" si="25"/>
        <v>0</v>
      </c>
      <c r="AA154" s="1506">
        <f t="shared" si="26"/>
        <v>0</v>
      </c>
      <c r="AB154" s="2441"/>
      <c r="AC154" s="1504">
        <f t="shared" si="27"/>
        <v>0</v>
      </c>
      <c r="AD154" s="1503">
        <f t="shared" si="28"/>
        <v>0</v>
      </c>
      <c r="AE154" s="1503">
        <f t="shared" si="29"/>
        <v>0</v>
      </c>
      <c r="AF154" s="1502">
        <f t="shared" si="30"/>
        <v>0</v>
      </c>
    </row>
    <row r="155" spans="1:32" s="1474" customFormat="1" ht="23.25" customHeight="1">
      <c r="A155" s="2705">
        <v>90</v>
      </c>
      <c r="B155" s="1497" t="s">
        <v>2229</v>
      </c>
      <c r="C155" s="2706" t="s">
        <v>2465</v>
      </c>
      <c r="D155" s="2706">
        <v>10</v>
      </c>
      <c r="E155" s="1497">
        <v>17000000</v>
      </c>
      <c r="F155" s="2417">
        <f t="shared" si="17"/>
        <v>3060000</v>
      </c>
      <c r="G155" s="2707">
        <v>41596</v>
      </c>
      <c r="H155" s="2419">
        <v>0.18</v>
      </c>
      <c r="I155" s="2415">
        <v>12</v>
      </c>
      <c r="J155" s="2415">
        <v>12</v>
      </c>
      <c r="K155" s="2415">
        <v>1416700</v>
      </c>
      <c r="L155" s="2415">
        <f t="shared" si="33"/>
        <v>255000</v>
      </c>
      <c r="M155" s="1510">
        <f t="shared" si="18"/>
        <v>17000000</v>
      </c>
      <c r="N155" s="1510">
        <f t="shared" si="19"/>
        <v>3060000</v>
      </c>
      <c r="O155" s="2708">
        <v>17000000</v>
      </c>
      <c r="P155" s="2708">
        <v>3060000</v>
      </c>
      <c r="Q155" s="1509"/>
      <c r="R155" s="2653"/>
      <c r="S155" s="2653"/>
      <c r="T155" s="1507"/>
      <c r="U155" s="1495">
        <f t="shared" si="20"/>
        <v>17000000</v>
      </c>
      <c r="V155" s="1495">
        <f t="shared" si="21"/>
        <v>3060000</v>
      </c>
      <c r="W155" s="1495">
        <f t="shared" si="22"/>
        <v>0</v>
      </c>
      <c r="X155" s="1495">
        <f t="shared" si="23"/>
        <v>0</v>
      </c>
      <c r="Y155" s="1495">
        <f t="shared" si="24"/>
        <v>100</v>
      </c>
      <c r="Z155" s="1495">
        <f t="shared" si="25"/>
        <v>0</v>
      </c>
      <c r="AA155" s="1506">
        <f t="shared" si="26"/>
        <v>0</v>
      </c>
      <c r="AB155" s="2441"/>
      <c r="AC155" s="1504">
        <f t="shared" si="27"/>
        <v>0</v>
      </c>
      <c r="AD155" s="1503">
        <f t="shared" si="28"/>
        <v>0</v>
      </c>
      <c r="AE155" s="1503">
        <f t="shared" si="29"/>
        <v>0</v>
      </c>
      <c r="AF155" s="1502">
        <f t="shared" si="30"/>
        <v>0</v>
      </c>
    </row>
    <row r="156" spans="1:32" s="1474" customFormat="1" ht="23.25" customHeight="1">
      <c r="A156" s="2705">
        <v>91</v>
      </c>
      <c r="B156" s="1497" t="s">
        <v>2479</v>
      </c>
      <c r="C156" s="2706" t="s">
        <v>2465</v>
      </c>
      <c r="D156" s="2706">
        <v>10</v>
      </c>
      <c r="E156" s="1497">
        <v>22000000</v>
      </c>
      <c r="F156" s="2417">
        <f t="shared" si="17"/>
        <v>3960000</v>
      </c>
      <c r="G156" s="2707">
        <v>41599</v>
      </c>
      <c r="H156" s="2419">
        <v>0.18</v>
      </c>
      <c r="I156" s="2415">
        <v>12</v>
      </c>
      <c r="J156" s="2415">
        <v>12</v>
      </c>
      <c r="K156" s="2415">
        <v>1833300</v>
      </c>
      <c r="L156" s="2415">
        <f t="shared" si="33"/>
        <v>330000</v>
      </c>
      <c r="M156" s="1510">
        <f t="shared" si="18"/>
        <v>22000000</v>
      </c>
      <c r="N156" s="1510">
        <f t="shared" si="19"/>
        <v>3960000</v>
      </c>
      <c r="O156" s="2708">
        <v>22000000</v>
      </c>
      <c r="P156" s="2708">
        <v>3960000</v>
      </c>
      <c r="Q156" s="1509"/>
      <c r="R156" s="2653"/>
      <c r="S156" s="2653"/>
      <c r="T156" s="1507"/>
      <c r="U156" s="1495">
        <f t="shared" si="20"/>
        <v>22000000</v>
      </c>
      <c r="V156" s="1495">
        <f t="shared" si="21"/>
        <v>3960000</v>
      </c>
      <c r="W156" s="1495">
        <f t="shared" si="22"/>
        <v>0</v>
      </c>
      <c r="X156" s="1495">
        <f t="shared" si="23"/>
        <v>0</v>
      </c>
      <c r="Y156" s="1495">
        <f t="shared" si="24"/>
        <v>100</v>
      </c>
      <c r="Z156" s="1495">
        <f t="shared" si="25"/>
        <v>0</v>
      </c>
      <c r="AA156" s="1506">
        <f t="shared" si="26"/>
        <v>0</v>
      </c>
      <c r="AB156" s="2441"/>
      <c r="AC156" s="1504">
        <f t="shared" si="27"/>
        <v>0</v>
      </c>
      <c r="AD156" s="1503">
        <f t="shared" si="28"/>
        <v>0</v>
      </c>
      <c r="AE156" s="1503">
        <f t="shared" si="29"/>
        <v>0</v>
      </c>
      <c r="AF156" s="1502">
        <f t="shared" si="30"/>
        <v>0</v>
      </c>
    </row>
    <row r="157" spans="1:32" s="1474" customFormat="1" ht="23.25" customHeight="1">
      <c r="A157" s="2705">
        <v>92</v>
      </c>
      <c r="B157" s="1497" t="s">
        <v>2354</v>
      </c>
      <c r="C157" s="2706" t="s">
        <v>2465</v>
      </c>
      <c r="D157" s="2706">
        <v>10</v>
      </c>
      <c r="E157" s="1497">
        <v>24000000</v>
      </c>
      <c r="F157" s="2417">
        <f t="shared" si="17"/>
        <v>4320000</v>
      </c>
      <c r="G157" s="2707">
        <v>41599</v>
      </c>
      <c r="H157" s="2419">
        <v>0.18</v>
      </c>
      <c r="I157" s="2415">
        <v>12</v>
      </c>
      <c r="J157" s="2415">
        <v>12</v>
      </c>
      <c r="K157" s="2415">
        <f>E157/I157</f>
        <v>2000000</v>
      </c>
      <c r="L157" s="2415">
        <f t="shared" si="33"/>
        <v>360000</v>
      </c>
      <c r="M157" s="1510">
        <f t="shared" si="18"/>
        <v>24000000</v>
      </c>
      <c r="N157" s="1510">
        <f t="shared" si="19"/>
        <v>4320000</v>
      </c>
      <c r="O157" s="2708">
        <v>24000000</v>
      </c>
      <c r="P157" s="2708">
        <v>4320000</v>
      </c>
      <c r="Q157" s="1509"/>
      <c r="R157" s="2653"/>
      <c r="S157" s="2653"/>
      <c r="T157" s="1507"/>
      <c r="U157" s="1495">
        <f t="shared" si="20"/>
        <v>24000000</v>
      </c>
      <c r="V157" s="1495">
        <f t="shared" si="21"/>
        <v>4320000</v>
      </c>
      <c r="W157" s="1495">
        <f t="shared" si="22"/>
        <v>0</v>
      </c>
      <c r="X157" s="1495">
        <f t="shared" si="23"/>
        <v>0</v>
      </c>
      <c r="Y157" s="1495">
        <f t="shared" si="24"/>
        <v>100</v>
      </c>
      <c r="Z157" s="1495">
        <f t="shared" si="25"/>
        <v>0</v>
      </c>
      <c r="AA157" s="1506">
        <f t="shared" si="26"/>
        <v>0</v>
      </c>
      <c r="AB157" s="2441"/>
      <c r="AC157" s="1504">
        <f t="shared" si="27"/>
        <v>0</v>
      </c>
      <c r="AD157" s="1503">
        <f t="shared" si="28"/>
        <v>0</v>
      </c>
      <c r="AE157" s="1503">
        <f t="shared" si="29"/>
        <v>0</v>
      </c>
      <c r="AF157" s="1502">
        <f t="shared" si="30"/>
        <v>0</v>
      </c>
    </row>
    <row r="158" spans="1:32" s="1474" customFormat="1" ht="23.25" customHeight="1">
      <c r="A158" s="2705">
        <v>93</v>
      </c>
      <c r="B158" s="1497" t="s">
        <v>2501</v>
      </c>
      <c r="C158" s="2706" t="s">
        <v>2465</v>
      </c>
      <c r="D158" s="2706">
        <v>10</v>
      </c>
      <c r="E158" s="1497">
        <v>25000000</v>
      </c>
      <c r="F158" s="2417">
        <f t="shared" si="17"/>
        <v>4500000</v>
      </c>
      <c r="G158" s="2707">
        <v>41652</v>
      </c>
      <c r="H158" s="2419">
        <v>0.18</v>
      </c>
      <c r="I158" s="2415">
        <v>12</v>
      </c>
      <c r="J158" s="2415">
        <v>12</v>
      </c>
      <c r="K158" s="2415">
        <v>2083300</v>
      </c>
      <c r="L158" s="2415">
        <f t="shared" si="33"/>
        <v>375000</v>
      </c>
      <c r="M158" s="1510">
        <f t="shared" si="18"/>
        <v>25000000</v>
      </c>
      <c r="N158" s="1510">
        <f t="shared" si="19"/>
        <v>4500000</v>
      </c>
      <c r="O158" s="2708">
        <v>25000000</v>
      </c>
      <c r="P158" s="2708">
        <v>4500000</v>
      </c>
      <c r="Q158" s="1509"/>
      <c r="R158" s="2653"/>
      <c r="S158" s="2653"/>
      <c r="T158" s="1507"/>
      <c r="U158" s="1495">
        <f t="shared" si="20"/>
        <v>25000000</v>
      </c>
      <c r="V158" s="1495">
        <f t="shared" si="21"/>
        <v>4500000</v>
      </c>
      <c r="W158" s="1495">
        <f t="shared" si="22"/>
        <v>0</v>
      </c>
      <c r="X158" s="1495">
        <f t="shared" si="23"/>
        <v>0</v>
      </c>
      <c r="Y158" s="1495">
        <f t="shared" si="24"/>
        <v>100</v>
      </c>
      <c r="Z158" s="1495">
        <f t="shared" si="25"/>
        <v>0</v>
      </c>
      <c r="AA158" s="1506">
        <f t="shared" si="26"/>
        <v>0</v>
      </c>
      <c r="AB158" s="2441"/>
      <c r="AC158" s="1504">
        <f t="shared" si="27"/>
        <v>0</v>
      </c>
      <c r="AD158" s="1503">
        <f t="shared" si="28"/>
        <v>0</v>
      </c>
      <c r="AE158" s="1503">
        <f t="shared" si="29"/>
        <v>0</v>
      </c>
      <c r="AF158" s="1502">
        <f t="shared" si="30"/>
        <v>0</v>
      </c>
    </row>
    <row r="159" spans="1:32" s="3182" customFormat="1" ht="23.25" customHeight="1">
      <c r="A159" s="2705">
        <v>94</v>
      </c>
      <c r="B159" s="1497" t="s">
        <v>2510</v>
      </c>
      <c r="C159" s="2706" t="s">
        <v>2496</v>
      </c>
      <c r="D159" s="2706">
        <v>20</v>
      </c>
      <c r="E159" s="1497">
        <v>50000000</v>
      </c>
      <c r="F159" s="2175">
        <f t="shared" si="17"/>
        <v>9000000</v>
      </c>
      <c r="G159" s="3176">
        <v>41683</v>
      </c>
      <c r="H159" s="3177">
        <v>0.18</v>
      </c>
      <c r="I159" s="2708">
        <v>12</v>
      </c>
      <c r="J159" s="2708">
        <v>12</v>
      </c>
      <c r="K159" s="2708">
        <v>4166700</v>
      </c>
      <c r="L159" s="2708">
        <f t="shared" si="33"/>
        <v>750000</v>
      </c>
      <c r="M159" s="1509">
        <f t="shared" si="18"/>
        <v>50000000</v>
      </c>
      <c r="N159" s="1509">
        <f t="shared" si="19"/>
        <v>9000000</v>
      </c>
      <c r="O159" s="2708">
        <v>50000000</v>
      </c>
      <c r="P159" s="2708">
        <v>9000000</v>
      </c>
      <c r="Q159" s="1509"/>
      <c r="R159" s="2708"/>
      <c r="S159" s="2708"/>
      <c r="T159" s="1513"/>
      <c r="U159" s="2176">
        <f t="shared" si="20"/>
        <v>50000000</v>
      </c>
      <c r="V159" s="2176">
        <f t="shared" si="21"/>
        <v>9000000</v>
      </c>
      <c r="W159" s="2176">
        <f t="shared" si="22"/>
        <v>0</v>
      </c>
      <c r="X159" s="2176">
        <f t="shared" si="23"/>
        <v>0</v>
      </c>
      <c r="Y159" s="2176">
        <f t="shared" si="24"/>
        <v>100</v>
      </c>
      <c r="Z159" s="2176">
        <f t="shared" si="25"/>
        <v>0</v>
      </c>
      <c r="AA159" s="3178">
        <f t="shared" si="26"/>
        <v>0</v>
      </c>
      <c r="AB159" s="2441"/>
      <c r="AC159" s="3179">
        <f t="shared" si="27"/>
        <v>0</v>
      </c>
      <c r="AD159" s="3180">
        <f t="shared" si="28"/>
        <v>0</v>
      </c>
      <c r="AE159" s="3180">
        <f t="shared" si="29"/>
        <v>0</v>
      </c>
      <c r="AF159" s="3181">
        <f t="shared" si="30"/>
        <v>0</v>
      </c>
    </row>
    <row r="160" spans="1:32" s="1474" customFormat="1" ht="23.25" customHeight="1">
      <c r="A160" s="2705">
        <v>95</v>
      </c>
      <c r="B160" s="1497" t="s">
        <v>2055</v>
      </c>
      <c r="C160" s="2706" t="s">
        <v>2496</v>
      </c>
      <c r="D160" s="2706">
        <v>12</v>
      </c>
      <c r="E160" s="1497">
        <v>24000000</v>
      </c>
      <c r="F160" s="2417">
        <f t="shared" si="17"/>
        <v>4320000</v>
      </c>
      <c r="G160" s="2707">
        <v>41683</v>
      </c>
      <c r="H160" s="2419">
        <v>0.18</v>
      </c>
      <c r="I160" s="2415">
        <v>12</v>
      </c>
      <c r="J160" s="2415">
        <v>12</v>
      </c>
      <c r="K160" s="2415">
        <f>E160/I160</f>
        <v>2000000</v>
      </c>
      <c r="L160" s="2415">
        <f t="shared" si="33"/>
        <v>360000</v>
      </c>
      <c r="M160" s="1510">
        <f t="shared" si="18"/>
        <v>24000000</v>
      </c>
      <c r="N160" s="1510">
        <f t="shared" si="19"/>
        <v>4320000</v>
      </c>
      <c r="O160" s="2708">
        <v>24000000</v>
      </c>
      <c r="P160" s="2708">
        <v>4320000</v>
      </c>
      <c r="Q160" s="1509"/>
      <c r="R160" s="2653"/>
      <c r="S160" s="2653"/>
      <c r="T160" s="1507"/>
      <c r="U160" s="1495">
        <f t="shared" si="20"/>
        <v>24000000</v>
      </c>
      <c r="V160" s="1495">
        <f t="shared" si="21"/>
        <v>4320000</v>
      </c>
      <c r="W160" s="1495">
        <f t="shared" si="22"/>
        <v>0</v>
      </c>
      <c r="X160" s="1495">
        <f t="shared" si="23"/>
        <v>0</v>
      </c>
      <c r="Y160" s="1495">
        <f t="shared" si="24"/>
        <v>100</v>
      </c>
      <c r="Z160" s="1495">
        <f t="shared" si="25"/>
        <v>0</v>
      </c>
      <c r="AA160" s="1506">
        <f t="shared" si="26"/>
        <v>0</v>
      </c>
      <c r="AB160" s="2441"/>
      <c r="AC160" s="1504">
        <f t="shared" si="27"/>
        <v>0</v>
      </c>
      <c r="AD160" s="1503">
        <f t="shared" si="28"/>
        <v>0</v>
      </c>
      <c r="AE160" s="1503">
        <f t="shared" si="29"/>
        <v>0</v>
      </c>
      <c r="AF160" s="1502">
        <f t="shared" si="30"/>
        <v>0</v>
      </c>
    </row>
    <row r="161" spans="1:32" s="1474" customFormat="1" ht="23.25" customHeight="1">
      <c r="A161" s="2705">
        <v>96</v>
      </c>
      <c r="B161" s="1497" t="s">
        <v>2520</v>
      </c>
      <c r="C161" s="2706" t="s">
        <v>2496</v>
      </c>
      <c r="D161" s="2706">
        <v>15</v>
      </c>
      <c r="E161" s="1497">
        <v>30000000</v>
      </c>
      <c r="F161" s="2417">
        <f t="shared" si="17"/>
        <v>5400000</v>
      </c>
      <c r="G161" s="2707">
        <v>41709</v>
      </c>
      <c r="H161" s="2419">
        <v>0.18</v>
      </c>
      <c r="I161" s="2415">
        <v>12</v>
      </c>
      <c r="J161" s="2415">
        <v>12</v>
      </c>
      <c r="K161" s="2415">
        <f>E161/I161</f>
        <v>2500000</v>
      </c>
      <c r="L161" s="2415">
        <f t="shared" si="33"/>
        <v>450000</v>
      </c>
      <c r="M161" s="1510">
        <f t="shared" si="18"/>
        <v>30000000</v>
      </c>
      <c r="N161" s="2401">
        <f>IF(J161&lt;I161,J161*L161,IF(J161&gt;=I161,F161))-450000</f>
        <v>4950000</v>
      </c>
      <c r="O161" s="2708">
        <v>30000000</v>
      </c>
      <c r="P161" s="2708">
        <v>4950000</v>
      </c>
      <c r="Q161" s="1509"/>
      <c r="R161" s="2653"/>
      <c r="S161" s="2653"/>
      <c r="T161" s="1507"/>
      <c r="U161" s="1495">
        <f t="shared" si="20"/>
        <v>30000000</v>
      </c>
      <c r="V161" s="1495">
        <f t="shared" si="21"/>
        <v>4950000</v>
      </c>
      <c r="W161" s="1495">
        <f t="shared" si="22"/>
        <v>0</v>
      </c>
      <c r="X161" s="1495">
        <f t="shared" si="23"/>
        <v>0</v>
      </c>
      <c r="Y161" s="1495">
        <f t="shared" si="24"/>
        <v>100</v>
      </c>
      <c r="Z161" s="1495">
        <f t="shared" si="25"/>
        <v>0</v>
      </c>
      <c r="AA161" s="1506">
        <f t="shared" si="26"/>
        <v>0</v>
      </c>
      <c r="AB161" s="2441"/>
      <c r="AC161" s="1504">
        <f t="shared" si="27"/>
        <v>0</v>
      </c>
      <c r="AD161" s="1503">
        <f t="shared" si="28"/>
        <v>0</v>
      </c>
      <c r="AE161" s="1503">
        <f t="shared" si="29"/>
        <v>0</v>
      </c>
      <c r="AF161" s="1502">
        <f t="shared" si="30"/>
        <v>0</v>
      </c>
    </row>
    <row r="162" spans="1:32" s="1474" customFormat="1" ht="23.25" customHeight="1">
      <c r="A162" s="2705">
        <v>97</v>
      </c>
      <c r="B162" s="1497" t="s">
        <v>2320</v>
      </c>
      <c r="C162" s="2706" t="s">
        <v>2537</v>
      </c>
      <c r="D162" s="2706">
        <v>12</v>
      </c>
      <c r="E162" s="1497">
        <v>21000000</v>
      </c>
      <c r="F162" s="2417">
        <f t="shared" si="17"/>
        <v>3780000</v>
      </c>
      <c r="G162" s="2707">
        <v>41731</v>
      </c>
      <c r="H162" s="2419">
        <v>0.18</v>
      </c>
      <c r="I162" s="2415">
        <v>12</v>
      </c>
      <c r="J162" s="2415">
        <v>12</v>
      </c>
      <c r="K162" s="2415">
        <f>E162/I162</f>
        <v>1750000</v>
      </c>
      <c r="L162" s="2415">
        <f t="shared" si="33"/>
        <v>315000</v>
      </c>
      <c r="M162" s="1510">
        <f t="shared" si="18"/>
        <v>21000000</v>
      </c>
      <c r="N162" s="1510">
        <f t="shared" si="19"/>
        <v>3780000</v>
      </c>
      <c r="O162" s="2708">
        <v>12045000</v>
      </c>
      <c r="P162" s="2708">
        <v>2205000</v>
      </c>
      <c r="Q162" s="1509"/>
      <c r="R162" s="2653"/>
      <c r="S162" s="2653"/>
      <c r="T162" s="1507"/>
      <c r="U162" s="1495">
        <f t="shared" si="20"/>
        <v>12045000</v>
      </c>
      <c r="V162" s="1495">
        <f t="shared" si="21"/>
        <v>2205000</v>
      </c>
      <c r="W162" s="1495">
        <f t="shared" si="22"/>
        <v>0</v>
      </c>
      <c r="X162" s="1495">
        <f t="shared" si="23"/>
        <v>8955000</v>
      </c>
      <c r="Y162" s="1495">
        <f t="shared" si="24"/>
        <v>57.357142857142861</v>
      </c>
      <c r="Z162" s="1495">
        <f t="shared" si="25"/>
        <v>8955000</v>
      </c>
      <c r="AA162" s="1506">
        <f t="shared" si="26"/>
        <v>1575000</v>
      </c>
      <c r="AB162" s="2441">
        <v>5</v>
      </c>
      <c r="AC162" s="1504">
        <f t="shared" si="27"/>
        <v>0</v>
      </c>
      <c r="AD162" s="1503">
        <f t="shared" si="28"/>
        <v>0</v>
      </c>
      <c r="AE162" s="1503">
        <f t="shared" si="29"/>
        <v>8955000</v>
      </c>
      <c r="AF162" s="1502">
        <f t="shared" si="30"/>
        <v>0</v>
      </c>
    </row>
    <row r="163" spans="1:32" s="1474" customFormat="1" ht="23.25" customHeight="1">
      <c r="A163" s="2705">
        <v>98</v>
      </c>
      <c r="B163" s="1497" t="s">
        <v>2068</v>
      </c>
      <c r="C163" s="2706" t="s">
        <v>2537</v>
      </c>
      <c r="D163" s="2706">
        <v>12</v>
      </c>
      <c r="E163" s="1497">
        <v>27000000</v>
      </c>
      <c r="F163" s="2417">
        <f t="shared" si="17"/>
        <v>4860000</v>
      </c>
      <c r="G163" s="2707">
        <v>41746</v>
      </c>
      <c r="H163" s="2419">
        <v>0.18</v>
      </c>
      <c r="I163" s="2415">
        <v>12</v>
      </c>
      <c r="J163" s="2415">
        <v>12</v>
      </c>
      <c r="K163" s="2415">
        <f>E163/I163</f>
        <v>2250000</v>
      </c>
      <c r="L163" s="2415">
        <f t="shared" si="33"/>
        <v>405000</v>
      </c>
      <c r="M163" s="1510">
        <f t="shared" si="18"/>
        <v>27000000</v>
      </c>
      <c r="N163" s="1510">
        <f t="shared" si="19"/>
        <v>4860000</v>
      </c>
      <c r="O163" s="2708">
        <v>27000000</v>
      </c>
      <c r="P163" s="2708">
        <v>4860000</v>
      </c>
      <c r="Q163" s="1509"/>
      <c r="R163" s="2653"/>
      <c r="S163" s="2653"/>
      <c r="T163" s="1507"/>
      <c r="U163" s="1495">
        <f t="shared" si="20"/>
        <v>27000000</v>
      </c>
      <c r="V163" s="1495">
        <f t="shared" si="21"/>
        <v>4860000</v>
      </c>
      <c r="W163" s="1495">
        <f t="shared" si="22"/>
        <v>0</v>
      </c>
      <c r="X163" s="1495">
        <f t="shared" si="23"/>
        <v>0</v>
      </c>
      <c r="Y163" s="1495">
        <f t="shared" si="24"/>
        <v>100</v>
      </c>
      <c r="Z163" s="1495">
        <f t="shared" si="25"/>
        <v>0</v>
      </c>
      <c r="AA163" s="1506">
        <f t="shared" si="26"/>
        <v>0</v>
      </c>
      <c r="AB163" s="2441"/>
      <c r="AC163" s="1504">
        <f t="shared" si="27"/>
        <v>0</v>
      </c>
      <c r="AD163" s="1503">
        <f t="shared" si="28"/>
        <v>0</v>
      </c>
      <c r="AE163" s="1503">
        <f t="shared" si="29"/>
        <v>0</v>
      </c>
      <c r="AF163" s="1502">
        <f t="shared" si="30"/>
        <v>0</v>
      </c>
    </row>
    <row r="164" spans="1:32" s="1474" customFormat="1" ht="23.25" customHeight="1">
      <c r="A164" s="2705">
        <v>99</v>
      </c>
      <c r="B164" s="1497" t="s">
        <v>2197</v>
      </c>
      <c r="C164" s="2706" t="s">
        <v>2537</v>
      </c>
      <c r="D164" s="2706">
        <v>10</v>
      </c>
      <c r="E164" s="1497">
        <v>25000000</v>
      </c>
      <c r="F164" s="2417">
        <f t="shared" si="17"/>
        <v>4500000</v>
      </c>
      <c r="G164" s="2707">
        <v>41799</v>
      </c>
      <c r="H164" s="2419">
        <v>0.18</v>
      </c>
      <c r="I164" s="2415">
        <v>12</v>
      </c>
      <c r="J164" s="2415">
        <v>12</v>
      </c>
      <c r="K164" s="2415">
        <v>2083300</v>
      </c>
      <c r="L164" s="2415">
        <f t="shared" si="33"/>
        <v>375000</v>
      </c>
      <c r="M164" s="1510">
        <f t="shared" si="18"/>
        <v>25000000</v>
      </c>
      <c r="N164" s="2401">
        <f>IF(J164&lt;I164,J164*L164,IF(J164&gt;=I164,F164))-375000</f>
        <v>4125000</v>
      </c>
      <c r="O164" s="2708">
        <v>25000000</v>
      </c>
      <c r="P164" s="2708">
        <v>4125000</v>
      </c>
      <c r="Q164" s="1509"/>
      <c r="R164" s="2653"/>
      <c r="S164" s="2653"/>
      <c r="T164" s="1507"/>
      <c r="U164" s="1495">
        <f t="shared" si="20"/>
        <v>25000000</v>
      </c>
      <c r="V164" s="1495">
        <f t="shared" si="21"/>
        <v>4125000</v>
      </c>
      <c r="W164" s="1495">
        <f t="shared" si="22"/>
        <v>0</v>
      </c>
      <c r="X164" s="1495">
        <f t="shared" si="23"/>
        <v>0</v>
      </c>
      <c r="Y164" s="1495">
        <f t="shared" si="24"/>
        <v>100</v>
      </c>
      <c r="Z164" s="1495">
        <f t="shared" si="25"/>
        <v>0</v>
      </c>
      <c r="AA164" s="1506">
        <f t="shared" si="26"/>
        <v>0</v>
      </c>
      <c r="AB164" s="2441"/>
      <c r="AC164" s="1504">
        <f t="shared" si="27"/>
        <v>0</v>
      </c>
      <c r="AD164" s="1503">
        <f t="shared" si="28"/>
        <v>0</v>
      </c>
      <c r="AE164" s="1503">
        <f t="shared" si="29"/>
        <v>0</v>
      </c>
      <c r="AF164" s="1502">
        <f t="shared" si="30"/>
        <v>0</v>
      </c>
    </row>
    <row r="165" spans="1:32" s="1474" customFormat="1" ht="23.25" customHeight="1">
      <c r="A165" s="2705">
        <v>100</v>
      </c>
      <c r="B165" s="1497" t="s">
        <v>2063</v>
      </c>
      <c r="C165" s="2706" t="s">
        <v>2537</v>
      </c>
      <c r="D165" s="2706">
        <v>10</v>
      </c>
      <c r="E165" s="1497">
        <v>32000000</v>
      </c>
      <c r="F165" s="2417">
        <f t="shared" si="17"/>
        <v>5760000</v>
      </c>
      <c r="G165" s="2707">
        <v>41802</v>
      </c>
      <c r="H165" s="2419">
        <v>0.18</v>
      </c>
      <c r="I165" s="2415">
        <v>12</v>
      </c>
      <c r="J165" s="2415">
        <v>12</v>
      </c>
      <c r="K165" s="2415">
        <v>2666700</v>
      </c>
      <c r="L165" s="2415">
        <f t="shared" si="33"/>
        <v>480000</v>
      </c>
      <c r="M165" s="1510">
        <f t="shared" si="18"/>
        <v>32000000</v>
      </c>
      <c r="N165" s="1510">
        <f t="shared" si="19"/>
        <v>5760000</v>
      </c>
      <c r="O165" s="2708">
        <v>32000000</v>
      </c>
      <c r="P165" s="2708">
        <v>5760000</v>
      </c>
      <c r="Q165" s="1509"/>
      <c r="R165" s="2653"/>
      <c r="S165" s="2653"/>
      <c r="T165" s="1507"/>
      <c r="U165" s="1495">
        <f t="shared" si="20"/>
        <v>32000000</v>
      </c>
      <c r="V165" s="1495">
        <f t="shared" si="21"/>
        <v>5760000</v>
      </c>
      <c r="W165" s="1495">
        <f t="shared" si="22"/>
        <v>0</v>
      </c>
      <c r="X165" s="1495">
        <f t="shared" si="23"/>
        <v>0</v>
      </c>
      <c r="Y165" s="1495">
        <f t="shared" si="24"/>
        <v>100</v>
      </c>
      <c r="Z165" s="1495">
        <f t="shared" si="25"/>
        <v>0</v>
      </c>
      <c r="AA165" s="1506">
        <f t="shared" si="26"/>
        <v>0</v>
      </c>
      <c r="AB165" s="2441"/>
      <c r="AC165" s="1504">
        <f t="shared" si="27"/>
        <v>0</v>
      </c>
      <c r="AD165" s="1503">
        <f t="shared" si="28"/>
        <v>0</v>
      </c>
      <c r="AE165" s="1503">
        <f t="shared" si="29"/>
        <v>0</v>
      </c>
      <c r="AF165" s="1502">
        <f t="shared" si="30"/>
        <v>0</v>
      </c>
    </row>
    <row r="166" spans="1:32" s="1474" customFormat="1" ht="23.25" customHeight="1">
      <c r="A166" s="2705">
        <v>101</v>
      </c>
      <c r="B166" s="1497" t="s">
        <v>1957</v>
      </c>
      <c r="C166" s="2706" t="s">
        <v>2537</v>
      </c>
      <c r="D166" s="2706">
        <v>10</v>
      </c>
      <c r="E166" s="1497">
        <v>45000000</v>
      </c>
      <c r="F166" s="2417">
        <f t="shared" si="17"/>
        <v>8100000</v>
      </c>
      <c r="G166" s="2707">
        <v>41806</v>
      </c>
      <c r="H166" s="2419">
        <v>0.18</v>
      </c>
      <c r="I166" s="2415">
        <v>12</v>
      </c>
      <c r="J166" s="2415">
        <v>12</v>
      </c>
      <c r="K166" s="2415">
        <f>E166/I166</f>
        <v>3750000</v>
      </c>
      <c r="L166" s="2415">
        <f t="shared" si="33"/>
        <v>675000</v>
      </c>
      <c r="M166" s="1510">
        <f t="shared" si="18"/>
        <v>45000000</v>
      </c>
      <c r="N166" s="1510">
        <f t="shared" si="19"/>
        <v>8100000</v>
      </c>
      <c r="O166" s="2708">
        <v>45000000</v>
      </c>
      <c r="P166" s="2708">
        <v>8100000</v>
      </c>
      <c r="Q166" s="1509"/>
      <c r="R166" s="2653"/>
      <c r="S166" s="2653"/>
      <c r="T166" s="1507"/>
      <c r="U166" s="1495">
        <f t="shared" si="20"/>
        <v>45000000</v>
      </c>
      <c r="V166" s="1495">
        <f t="shared" si="21"/>
        <v>8100000</v>
      </c>
      <c r="W166" s="1495">
        <f t="shared" si="22"/>
        <v>0</v>
      </c>
      <c r="X166" s="1495">
        <f t="shared" si="23"/>
        <v>0</v>
      </c>
      <c r="Y166" s="1495">
        <f t="shared" si="24"/>
        <v>100</v>
      </c>
      <c r="Z166" s="1495">
        <f t="shared" si="25"/>
        <v>0</v>
      </c>
      <c r="AA166" s="1506">
        <f t="shared" si="26"/>
        <v>0</v>
      </c>
      <c r="AB166" s="2441"/>
      <c r="AC166" s="1504">
        <f t="shared" si="27"/>
        <v>0</v>
      </c>
      <c r="AD166" s="1503">
        <f t="shared" si="28"/>
        <v>0</v>
      </c>
      <c r="AE166" s="1503">
        <f t="shared" si="29"/>
        <v>0</v>
      </c>
      <c r="AF166" s="1502">
        <f t="shared" si="30"/>
        <v>0</v>
      </c>
    </row>
    <row r="167" spans="1:32" s="3182" customFormat="1" ht="23.25" customHeight="1">
      <c r="A167" s="2705">
        <v>102</v>
      </c>
      <c r="B167" s="1497" t="s">
        <v>2564</v>
      </c>
      <c r="C167" s="2706" t="s">
        <v>2563</v>
      </c>
      <c r="D167" s="2706">
        <v>12</v>
      </c>
      <c r="E167" s="1497">
        <v>41000000</v>
      </c>
      <c r="F167" s="2175">
        <f t="shared" si="17"/>
        <v>7380000</v>
      </c>
      <c r="G167" s="3176">
        <v>41835</v>
      </c>
      <c r="H167" s="3177">
        <v>0.18</v>
      </c>
      <c r="I167" s="2708">
        <v>12</v>
      </c>
      <c r="J167" s="2708">
        <v>12</v>
      </c>
      <c r="K167" s="2708">
        <v>3416700</v>
      </c>
      <c r="L167" s="2708">
        <f t="shared" si="33"/>
        <v>615000</v>
      </c>
      <c r="M167" s="1509">
        <f t="shared" si="18"/>
        <v>41000000</v>
      </c>
      <c r="N167" s="1509">
        <f t="shared" si="19"/>
        <v>7380000</v>
      </c>
      <c r="O167" s="2708">
        <v>30750300</v>
      </c>
      <c r="P167" s="2708">
        <v>5535000</v>
      </c>
      <c r="Q167" s="1509"/>
      <c r="R167" s="2708"/>
      <c r="S167" s="2708"/>
      <c r="T167" s="1513"/>
      <c r="U167" s="2176">
        <f t="shared" si="20"/>
        <v>30750300</v>
      </c>
      <c r="V167" s="2176">
        <f t="shared" si="21"/>
        <v>5535000</v>
      </c>
      <c r="W167" s="2176">
        <f t="shared" si="22"/>
        <v>0</v>
      </c>
      <c r="X167" s="2176">
        <f t="shared" si="23"/>
        <v>10249700</v>
      </c>
      <c r="Y167" s="2176">
        <f t="shared" si="24"/>
        <v>75.000731707317073</v>
      </c>
      <c r="Z167" s="2176">
        <f t="shared" si="25"/>
        <v>10249700</v>
      </c>
      <c r="AA167" s="3178">
        <f t="shared" si="26"/>
        <v>1845000</v>
      </c>
      <c r="AB167" s="2441">
        <v>5</v>
      </c>
      <c r="AC167" s="3179">
        <f t="shared" si="27"/>
        <v>0</v>
      </c>
      <c r="AD167" s="3180">
        <f t="shared" si="28"/>
        <v>0</v>
      </c>
      <c r="AE167" s="3180">
        <f t="shared" si="29"/>
        <v>10249700</v>
      </c>
      <c r="AF167" s="3181">
        <f t="shared" si="30"/>
        <v>0</v>
      </c>
    </row>
    <row r="168" spans="1:32" s="1474" customFormat="1" ht="23.25" customHeight="1">
      <c r="A168" s="2705">
        <v>103</v>
      </c>
      <c r="B168" s="1497" t="s">
        <v>2571</v>
      </c>
      <c r="C168" s="2706" t="s">
        <v>2563</v>
      </c>
      <c r="D168" s="2706">
        <v>12</v>
      </c>
      <c r="E168" s="1497">
        <v>35000000</v>
      </c>
      <c r="F168" s="2417">
        <f t="shared" si="17"/>
        <v>6300000</v>
      </c>
      <c r="G168" s="2707">
        <v>41705</v>
      </c>
      <c r="H168" s="2419">
        <v>0.18</v>
      </c>
      <c r="I168" s="2415">
        <v>12</v>
      </c>
      <c r="J168" s="2415">
        <v>12</v>
      </c>
      <c r="K168" s="2415">
        <v>2916700</v>
      </c>
      <c r="L168" s="2415">
        <f t="shared" si="33"/>
        <v>525000</v>
      </c>
      <c r="M168" s="1510">
        <f t="shared" si="18"/>
        <v>35000000</v>
      </c>
      <c r="N168" s="1510">
        <f>IF(J168&lt;I168,J168*L168,IF(J168&gt;=I168,F168))-2*L168</f>
        <v>5250000</v>
      </c>
      <c r="O168" s="2708">
        <v>35000000</v>
      </c>
      <c r="P168" s="2708">
        <v>5250000</v>
      </c>
      <c r="Q168" s="1509"/>
      <c r="R168" s="2653"/>
      <c r="S168" s="2653"/>
      <c r="T168" s="1507"/>
      <c r="U168" s="1495">
        <f t="shared" si="20"/>
        <v>35000000</v>
      </c>
      <c r="V168" s="1495">
        <f t="shared" si="21"/>
        <v>5250000</v>
      </c>
      <c r="W168" s="1495">
        <f t="shared" si="22"/>
        <v>0</v>
      </c>
      <c r="X168" s="1495">
        <f t="shared" si="23"/>
        <v>0</v>
      </c>
      <c r="Y168" s="1495">
        <f t="shared" si="24"/>
        <v>100</v>
      </c>
      <c r="Z168" s="1495">
        <f t="shared" si="25"/>
        <v>0</v>
      </c>
      <c r="AA168" s="1506">
        <f t="shared" si="26"/>
        <v>0</v>
      </c>
      <c r="AB168" s="2441"/>
      <c r="AC168" s="1504">
        <f t="shared" si="27"/>
        <v>0</v>
      </c>
      <c r="AD168" s="1503">
        <f t="shared" si="28"/>
        <v>0</v>
      </c>
      <c r="AE168" s="1503">
        <f t="shared" si="29"/>
        <v>0</v>
      </c>
      <c r="AF168" s="1502">
        <f t="shared" si="30"/>
        <v>0</v>
      </c>
    </row>
    <row r="169" spans="1:32" s="1474" customFormat="1" ht="23.25" customHeight="1">
      <c r="A169" s="2705">
        <v>104</v>
      </c>
      <c r="B169" s="1497" t="s">
        <v>1901</v>
      </c>
      <c r="C169" s="2706" t="s">
        <v>2563</v>
      </c>
      <c r="D169" s="2706">
        <v>12</v>
      </c>
      <c r="E169" s="1497">
        <v>35000000</v>
      </c>
      <c r="F169" s="2417">
        <f t="shared" si="17"/>
        <v>6300000</v>
      </c>
      <c r="G169" s="2707">
        <v>41856</v>
      </c>
      <c r="H169" s="2419">
        <v>0.18</v>
      </c>
      <c r="I169" s="2415">
        <v>12</v>
      </c>
      <c r="J169" s="2415">
        <v>12</v>
      </c>
      <c r="K169" s="2415">
        <v>2916700</v>
      </c>
      <c r="L169" s="2415">
        <f t="shared" si="33"/>
        <v>525000</v>
      </c>
      <c r="M169" s="1510">
        <f t="shared" si="18"/>
        <v>35000000</v>
      </c>
      <c r="N169" s="1510">
        <f t="shared" si="19"/>
        <v>6300000</v>
      </c>
      <c r="O169" s="2708">
        <v>35000000</v>
      </c>
      <c r="P169" s="2708">
        <v>6300000</v>
      </c>
      <c r="Q169" s="1509"/>
      <c r="R169" s="3010"/>
      <c r="S169" s="3010"/>
      <c r="T169" s="1507"/>
      <c r="U169" s="1495">
        <f t="shared" si="20"/>
        <v>35000000</v>
      </c>
      <c r="V169" s="1495">
        <f t="shared" si="21"/>
        <v>6300000</v>
      </c>
      <c r="W169" s="1495">
        <f t="shared" si="22"/>
        <v>0</v>
      </c>
      <c r="X169" s="1495">
        <f t="shared" si="23"/>
        <v>0</v>
      </c>
      <c r="Y169" s="1495">
        <f t="shared" si="24"/>
        <v>100</v>
      </c>
      <c r="Z169" s="1495">
        <f t="shared" si="25"/>
        <v>0</v>
      </c>
      <c r="AA169" s="1506">
        <f t="shared" si="26"/>
        <v>0</v>
      </c>
      <c r="AB169" s="2441"/>
      <c r="AC169" s="1504">
        <f t="shared" si="27"/>
        <v>0</v>
      </c>
      <c r="AD169" s="1503">
        <f t="shared" si="28"/>
        <v>0</v>
      </c>
      <c r="AE169" s="1503">
        <f t="shared" si="29"/>
        <v>0</v>
      </c>
      <c r="AF169" s="1502">
        <f t="shared" si="30"/>
        <v>0</v>
      </c>
    </row>
    <row r="170" spans="1:32" s="1474" customFormat="1" ht="23.25" customHeight="1">
      <c r="A170" s="2705">
        <v>105</v>
      </c>
      <c r="B170" s="1497" t="s">
        <v>2059</v>
      </c>
      <c r="C170" s="2706" t="s">
        <v>2563</v>
      </c>
      <c r="D170" s="2706">
        <v>10</v>
      </c>
      <c r="E170" s="1497">
        <v>17000000</v>
      </c>
      <c r="F170" s="2417">
        <f t="shared" si="17"/>
        <v>3060000</v>
      </c>
      <c r="G170" s="2707">
        <v>41856</v>
      </c>
      <c r="H170" s="2419">
        <v>0.18</v>
      </c>
      <c r="I170" s="2415">
        <v>12</v>
      </c>
      <c r="J170" s="2415">
        <v>12</v>
      </c>
      <c r="K170" s="2415">
        <v>1416700</v>
      </c>
      <c r="L170" s="2415">
        <f t="shared" ref="L170:L202" si="34">F170/I170</f>
        <v>255000</v>
      </c>
      <c r="M170" s="1510">
        <f t="shared" si="18"/>
        <v>17000000</v>
      </c>
      <c r="N170" s="1510">
        <f>IF(J170&lt;I170,J170*L170,IF(J170&gt;=I170,F170))-2*L170</f>
        <v>2550000</v>
      </c>
      <c r="O170" s="2708">
        <v>17000000</v>
      </c>
      <c r="P170" s="2708">
        <v>2550000</v>
      </c>
      <c r="Q170" s="1509"/>
      <c r="R170" s="2653"/>
      <c r="S170" s="2653"/>
      <c r="T170" s="1507"/>
      <c r="U170" s="1495">
        <f t="shared" si="20"/>
        <v>17000000</v>
      </c>
      <c r="V170" s="1495">
        <f t="shared" si="21"/>
        <v>2550000</v>
      </c>
      <c r="W170" s="1495">
        <f t="shared" si="22"/>
        <v>0</v>
      </c>
      <c r="X170" s="1495">
        <f t="shared" si="23"/>
        <v>0</v>
      </c>
      <c r="Y170" s="1495">
        <f t="shared" si="24"/>
        <v>100</v>
      </c>
      <c r="Z170" s="1495">
        <f t="shared" si="25"/>
        <v>0</v>
      </c>
      <c r="AA170" s="1506">
        <f t="shared" si="26"/>
        <v>0</v>
      </c>
      <c r="AB170" s="2441"/>
      <c r="AC170" s="1504">
        <f t="shared" si="27"/>
        <v>0</v>
      </c>
      <c r="AD170" s="1503">
        <f t="shared" si="28"/>
        <v>0</v>
      </c>
      <c r="AE170" s="1503">
        <f t="shared" si="29"/>
        <v>0</v>
      </c>
      <c r="AF170" s="1502">
        <f t="shared" si="30"/>
        <v>0</v>
      </c>
    </row>
    <row r="171" spans="1:32" s="1474" customFormat="1" ht="23.25" customHeight="1">
      <c r="A171" s="2705">
        <v>106</v>
      </c>
      <c r="B171" s="1497" t="s">
        <v>2199</v>
      </c>
      <c r="C171" s="2706" t="s">
        <v>2563</v>
      </c>
      <c r="D171" s="2706">
        <v>10</v>
      </c>
      <c r="E171" s="1497">
        <v>27500000</v>
      </c>
      <c r="F171" s="2417">
        <f t="shared" si="17"/>
        <v>4950000</v>
      </c>
      <c r="G171" s="2707">
        <v>41856</v>
      </c>
      <c r="H171" s="2419">
        <v>0.18</v>
      </c>
      <c r="I171" s="2415">
        <v>12</v>
      </c>
      <c r="J171" s="2415">
        <v>12</v>
      </c>
      <c r="K171" s="2415">
        <v>2291700</v>
      </c>
      <c r="L171" s="2415">
        <f t="shared" si="34"/>
        <v>412500</v>
      </c>
      <c r="M171" s="1510">
        <f t="shared" si="18"/>
        <v>27500000</v>
      </c>
      <c r="N171" s="1510">
        <f t="shared" si="19"/>
        <v>4950000</v>
      </c>
      <c r="O171" s="2708">
        <v>27500000</v>
      </c>
      <c r="P171" s="2708">
        <v>4950000</v>
      </c>
      <c r="Q171" s="1509"/>
      <c r="R171" s="2708"/>
      <c r="S171" s="2708"/>
      <c r="T171" s="1507"/>
      <c r="U171" s="1495">
        <f t="shared" si="20"/>
        <v>27500000</v>
      </c>
      <c r="V171" s="1495">
        <f t="shared" si="21"/>
        <v>4950000</v>
      </c>
      <c r="W171" s="1495">
        <f t="shared" si="22"/>
        <v>0</v>
      </c>
      <c r="X171" s="1495">
        <f t="shared" si="23"/>
        <v>0</v>
      </c>
      <c r="Y171" s="1495">
        <f t="shared" si="24"/>
        <v>100</v>
      </c>
      <c r="Z171" s="1495">
        <f t="shared" si="25"/>
        <v>0</v>
      </c>
      <c r="AA171" s="1506">
        <f t="shared" si="26"/>
        <v>0</v>
      </c>
      <c r="AB171" s="2441"/>
      <c r="AC171" s="1504">
        <f t="shared" si="27"/>
        <v>0</v>
      </c>
      <c r="AD171" s="1503">
        <f t="shared" si="28"/>
        <v>0</v>
      </c>
      <c r="AE171" s="1503">
        <f t="shared" si="29"/>
        <v>0</v>
      </c>
      <c r="AF171" s="1502">
        <f t="shared" si="30"/>
        <v>0</v>
      </c>
    </row>
    <row r="172" spans="1:32" s="1474" customFormat="1" ht="23.25" customHeight="1">
      <c r="A172" s="2705">
        <v>107</v>
      </c>
      <c r="B172" s="1497" t="s">
        <v>2435</v>
      </c>
      <c r="C172" s="2706" t="s">
        <v>2563</v>
      </c>
      <c r="D172" s="2706">
        <v>12</v>
      </c>
      <c r="E172" s="1497">
        <v>20000000</v>
      </c>
      <c r="F172" s="2417">
        <f t="shared" si="17"/>
        <v>3600000</v>
      </c>
      <c r="G172" s="2707">
        <v>41863</v>
      </c>
      <c r="H172" s="2419">
        <v>0.18</v>
      </c>
      <c r="I172" s="2415">
        <v>12</v>
      </c>
      <c r="J172" s="2415">
        <v>12</v>
      </c>
      <c r="K172" s="2415">
        <v>1666700</v>
      </c>
      <c r="L172" s="2415">
        <f t="shared" si="34"/>
        <v>300000</v>
      </c>
      <c r="M172" s="1510">
        <f t="shared" si="18"/>
        <v>20000000</v>
      </c>
      <c r="N172" s="1510">
        <f t="shared" si="19"/>
        <v>3600000</v>
      </c>
      <c r="O172" s="2708">
        <v>20000000</v>
      </c>
      <c r="P172" s="2708">
        <v>3600000</v>
      </c>
      <c r="Q172" s="1509"/>
      <c r="R172" s="2708"/>
      <c r="S172" s="2708"/>
      <c r="T172" s="1507"/>
      <c r="U172" s="1495">
        <f t="shared" si="20"/>
        <v>20000000</v>
      </c>
      <c r="V172" s="1495">
        <f t="shared" si="21"/>
        <v>3600000</v>
      </c>
      <c r="W172" s="1495">
        <f t="shared" si="22"/>
        <v>0</v>
      </c>
      <c r="X172" s="1495">
        <f t="shared" si="23"/>
        <v>0</v>
      </c>
      <c r="Y172" s="1495">
        <f t="shared" si="24"/>
        <v>100</v>
      </c>
      <c r="Z172" s="1495">
        <f t="shared" si="25"/>
        <v>0</v>
      </c>
      <c r="AA172" s="1506">
        <f t="shared" si="26"/>
        <v>0</v>
      </c>
      <c r="AB172" s="2441"/>
      <c r="AC172" s="1504">
        <f t="shared" si="27"/>
        <v>0</v>
      </c>
      <c r="AD172" s="1503">
        <f t="shared" si="28"/>
        <v>0</v>
      </c>
      <c r="AE172" s="1503">
        <f t="shared" si="29"/>
        <v>0</v>
      </c>
      <c r="AF172" s="1502">
        <f t="shared" si="30"/>
        <v>0</v>
      </c>
    </row>
    <row r="173" spans="1:32" s="1474" customFormat="1" ht="23.25" customHeight="1">
      <c r="A173" s="2705">
        <v>108</v>
      </c>
      <c r="B173" s="1497" t="s">
        <v>2321</v>
      </c>
      <c r="C173" s="2706" t="s">
        <v>2563</v>
      </c>
      <c r="D173" s="2706">
        <v>10</v>
      </c>
      <c r="E173" s="1497">
        <v>19000000</v>
      </c>
      <c r="F173" s="2417">
        <f t="shared" si="17"/>
        <v>3420000</v>
      </c>
      <c r="G173" s="2707">
        <v>41866</v>
      </c>
      <c r="H173" s="2419">
        <v>0.18</v>
      </c>
      <c r="I173" s="2415">
        <v>12</v>
      </c>
      <c r="J173" s="2415">
        <v>12</v>
      </c>
      <c r="K173" s="2415">
        <v>1583300</v>
      </c>
      <c r="L173" s="2415">
        <f t="shared" si="34"/>
        <v>285000</v>
      </c>
      <c r="M173" s="1510">
        <f t="shared" si="18"/>
        <v>19000000</v>
      </c>
      <c r="N173" s="1510">
        <f t="shared" ref="N173:N174" si="35">IF(J173&lt;I173,J173*L173,IF(J173&gt;=I173,F173))-1*L173</f>
        <v>3135000</v>
      </c>
      <c r="O173" s="2708">
        <v>19000000</v>
      </c>
      <c r="P173" s="2708">
        <v>3135000</v>
      </c>
      <c r="Q173" s="1509"/>
      <c r="R173" s="2708"/>
      <c r="S173" s="2708"/>
      <c r="T173" s="1507"/>
      <c r="U173" s="1495">
        <f t="shared" si="20"/>
        <v>19000000</v>
      </c>
      <c r="V173" s="1495">
        <f t="shared" si="21"/>
        <v>3135000</v>
      </c>
      <c r="W173" s="1495">
        <f t="shared" si="22"/>
        <v>0</v>
      </c>
      <c r="X173" s="1495">
        <f t="shared" si="23"/>
        <v>0</v>
      </c>
      <c r="Y173" s="1495">
        <f t="shared" si="24"/>
        <v>100</v>
      </c>
      <c r="Z173" s="1495">
        <f t="shared" si="25"/>
        <v>0</v>
      </c>
      <c r="AA173" s="1506">
        <f t="shared" si="26"/>
        <v>0</v>
      </c>
      <c r="AB173" s="2441"/>
      <c r="AC173" s="1504">
        <f t="shared" si="27"/>
        <v>0</v>
      </c>
      <c r="AD173" s="1503">
        <f t="shared" si="28"/>
        <v>0</v>
      </c>
      <c r="AE173" s="1503">
        <f t="shared" si="29"/>
        <v>0</v>
      </c>
      <c r="AF173" s="1502">
        <f t="shared" si="30"/>
        <v>0</v>
      </c>
    </row>
    <row r="174" spans="1:32" s="1474" customFormat="1" ht="23.25" customHeight="1">
      <c r="A174" s="2705">
        <v>109</v>
      </c>
      <c r="B174" s="1497" t="s">
        <v>2128</v>
      </c>
      <c r="C174" s="2706" t="s">
        <v>2563</v>
      </c>
      <c r="D174" s="2706">
        <v>10</v>
      </c>
      <c r="E174" s="1497">
        <v>24000000</v>
      </c>
      <c r="F174" s="2417">
        <f t="shared" si="17"/>
        <v>4320000</v>
      </c>
      <c r="G174" s="2707">
        <v>41866</v>
      </c>
      <c r="H174" s="2419">
        <v>0.18</v>
      </c>
      <c r="I174" s="2415">
        <v>12</v>
      </c>
      <c r="J174" s="2415">
        <v>12</v>
      </c>
      <c r="K174" s="2415">
        <f>E174/I174</f>
        <v>2000000</v>
      </c>
      <c r="L174" s="2415">
        <f t="shared" si="34"/>
        <v>360000</v>
      </c>
      <c r="M174" s="1510">
        <f t="shared" si="18"/>
        <v>24000000</v>
      </c>
      <c r="N174" s="1510">
        <f t="shared" si="35"/>
        <v>3960000</v>
      </c>
      <c r="O174" s="2708">
        <v>24000000</v>
      </c>
      <c r="P174" s="2708">
        <v>3960000</v>
      </c>
      <c r="Q174" s="1509"/>
      <c r="R174" s="2708"/>
      <c r="S174" s="2708"/>
      <c r="T174" s="1507"/>
      <c r="U174" s="1495">
        <f t="shared" si="20"/>
        <v>24000000</v>
      </c>
      <c r="V174" s="1495">
        <f t="shared" si="21"/>
        <v>3960000</v>
      </c>
      <c r="W174" s="1495">
        <f t="shared" si="22"/>
        <v>0</v>
      </c>
      <c r="X174" s="1495">
        <f t="shared" si="23"/>
        <v>0</v>
      </c>
      <c r="Y174" s="1495">
        <f t="shared" si="24"/>
        <v>100</v>
      </c>
      <c r="Z174" s="1495">
        <f t="shared" si="25"/>
        <v>0</v>
      </c>
      <c r="AA174" s="1506">
        <f t="shared" si="26"/>
        <v>0</v>
      </c>
      <c r="AB174" s="2441"/>
      <c r="AC174" s="1504">
        <f t="shared" si="27"/>
        <v>0</v>
      </c>
      <c r="AD174" s="1503">
        <f t="shared" si="28"/>
        <v>0</v>
      </c>
      <c r="AE174" s="1503">
        <f t="shared" si="29"/>
        <v>0</v>
      </c>
      <c r="AF174" s="1502">
        <f t="shared" si="30"/>
        <v>0</v>
      </c>
    </row>
    <row r="175" spans="1:32" s="1474" customFormat="1" ht="23.25" customHeight="1">
      <c r="A175" s="2705">
        <v>110</v>
      </c>
      <c r="B175" s="1497" t="s">
        <v>2145</v>
      </c>
      <c r="C175" s="2706" t="s">
        <v>2563</v>
      </c>
      <c r="D175" s="2706">
        <v>10</v>
      </c>
      <c r="E175" s="1497">
        <v>16000000</v>
      </c>
      <c r="F175" s="2417">
        <f t="shared" si="17"/>
        <v>2880000</v>
      </c>
      <c r="G175" s="2707">
        <v>41890</v>
      </c>
      <c r="H175" s="2419">
        <v>0.18</v>
      </c>
      <c r="I175" s="2415">
        <v>12</v>
      </c>
      <c r="J175" s="2415">
        <v>12</v>
      </c>
      <c r="K175" s="2415">
        <v>1333300</v>
      </c>
      <c r="L175" s="2415">
        <f t="shared" si="34"/>
        <v>240000</v>
      </c>
      <c r="M175" s="1510">
        <f t="shared" si="18"/>
        <v>16000000</v>
      </c>
      <c r="N175" s="1510">
        <f t="shared" si="19"/>
        <v>2880000</v>
      </c>
      <c r="O175" s="2708">
        <v>16000000</v>
      </c>
      <c r="P175" s="2708">
        <v>2880000</v>
      </c>
      <c r="Q175" s="1509"/>
      <c r="R175" s="2708"/>
      <c r="S175" s="2708"/>
      <c r="T175" s="1507"/>
      <c r="U175" s="1495">
        <f t="shared" si="20"/>
        <v>16000000</v>
      </c>
      <c r="V175" s="1495">
        <f t="shared" si="21"/>
        <v>2880000</v>
      </c>
      <c r="W175" s="1495">
        <f t="shared" si="22"/>
        <v>0</v>
      </c>
      <c r="X175" s="1495">
        <f t="shared" si="23"/>
        <v>0</v>
      </c>
      <c r="Y175" s="1495">
        <f t="shared" si="24"/>
        <v>100</v>
      </c>
      <c r="Z175" s="1495">
        <f t="shared" si="25"/>
        <v>0</v>
      </c>
      <c r="AA175" s="1506">
        <f t="shared" si="26"/>
        <v>0</v>
      </c>
      <c r="AB175" s="2441"/>
      <c r="AC175" s="1504">
        <f t="shared" si="27"/>
        <v>0</v>
      </c>
      <c r="AD175" s="1503">
        <f t="shared" si="28"/>
        <v>0</v>
      </c>
      <c r="AE175" s="1503">
        <f t="shared" si="29"/>
        <v>0</v>
      </c>
      <c r="AF175" s="1502">
        <f t="shared" si="30"/>
        <v>0</v>
      </c>
    </row>
    <row r="176" spans="1:32" s="1474" customFormat="1" ht="23.25" customHeight="1">
      <c r="A176" s="2705">
        <v>111</v>
      </c>
      <c r="B176" s="1497" t="s">
        <v>2323</v>
      </c>
      <c r="C176" s="2706" t="s">
        <v>2563</v>
      </c>
      <c r="D176" s="2706">
        <v>12</v>
      </c>
      <c r="E176" s="1497">
        <v>16000000</v>
      </c>
      <c r="F176" s="2417">
        <f t="shared" si="17"/>
        <v>2880000</v>
      </c>
      <c r="G176" s="2707">
        <v>41890</v>
      </c>
      <c r="H176" s="2419">
        <v>0.18</v>
      </c>
      <c r="I176" s="2415">
        <v>12</v>
      </c>
      <c r="J176" s="2415">
        <v>12</v>
      </c>
      <c r="K176" s="2415">
        <v>1333300</v>
      </c>
      <c r="L176" s="2415">
        <f t="shared" si="34"/>
        <v>240000</v>
      </c>
      <c r="M176" s="1510">
        <f t="shared" si="18"/>
        <v>16000000</v>
      </c>
      <c r="N176" s="1510">
        <f t="shared" ref="N176" si="36">IF(J176&lt;I176,J176*L176,IF(J176&gt;=I176,F176))-1*L176</f>
        <v>2640000</v>
      </c>
      <c r="O176" s="2708">
        <v>16000000</v>
      </c>
      <c r="P176" s="2708">
        <v>2640000</v>
      </c>
      <c r="Q176" s="1509"/>
      <c r="R176" s="2708"/>
      <c r="S176" s="2708"/>
      <c r="T176" s="1507"/>
      <c r="U176" s="1495">
        <f t="shared" si="20"/>
        <v>16000000</v>
      </c>
      <c r="V176" s="1495">
        <f t="shared" si="21"/>
        <v>2640000</v>
      </c>
      <c r="W176" s="1495">
        <f t="shared" si="22"/>
        <v>0</v>
      </c>
      <c r="X176" s="1495">
        <f t="shared" si="23"/>
        <v>0</v>
      </c>
      <c r="Y176" s="1495">
        <f t="shared" si="24"/>
        <v>100</v>
      </c>
      <c r="Z176" s="1495">
        <f t="shared" si="25"/>
        <v>0</v>
      </c>
      <c r="AA176" s="1506">
        <f t="shared" si="26"/>
        <v>0</v>
      </c>
      <c r="AB176" s="2441"/>
      <c r="AC176" s="1504">
        <f t="shared" si="27"/>
        <v>0</v>
      </c>
      <c r="AD176" s="1503">
        <f t="shared" si="28"/>
        <v>0</v>
      </c>
      <c r="AE176" s="1503">
        <f t="shared" si="29"/>
        <v>0</v>
      </c>
      <c r="AF176" s="1502">
        <f t="shared" si="30"/>
        <v>0</v>
      </c>
    </row>
    <row r="177" spans="1:32" s="1474" customFormat="1" ht="23.25" customHeight="1">
      <c r="A177" s="2705">
        <v>112</v>
      </c>
      <c r="B177" s="1497" t="s">
        <v>2058</v>
      </c>
      <c r="C177" s="2706" t="s">
        <v>2563</v>
      </c>
      <c r="D177" s="2706">
        <v>12</v>
      </c>
      <c r="E177" s="1497">
        <v>17000000</v>
      </c>
      <c r="F177" s="2417">
        <f t="shared" si="17"/>
        <v>3060000</v>
      </c>
      <c r="G177" s="2707">
        <v>41894</v>
      </c>
      <c r="H177" s="2419">
        <v>0.18</v>
      </c>
      <c r="I177" s="2415">
        <v>12</v>
      </c>
      <c r="J177" s="2415">
        <v>12</v>
      </c>
      <c r="K177" s="2415">
        <v>1416700</v>
      </c>
      <c r="L177" s="2415">
        <f t="shared" si="34"/>
        <v>255000</v>
      </c>
      <c r="M177" s="1510">
        <f t="shared" si="18"/>
        <v>17000000</v>
      </c>
      <c r="N177" s="1510">
        <f>IF(J177&lt;I177,J177*L177,IF(J177&gt;=I177,F177))-1*L177</f>
        <v>2805000</v>
      </c>
      <c r="O177" s="2708">
        <v>17000000</v>
      </c>
      <c r="P177" s="2708">
        <v>2805000</v>
      </c>
      <c r="Q177" s="1509"/>
      <c r="R177" s="2708"/>
      <c r="S177" s="2708"/>
      <c r="T177" s="1507"/>
      <c r="U177" s="1495">
        <f t="shared" si="20"/>
        <v>17000000</v>
      </c>
      <c r="V177" s="1495">
        <f t="shared" si="21"/>
        <v>2805000</v>
      </c>
      <c r="W177" s="1495">
        <f t="shared" si="22"/>
        <v>0</v>
      </c>
      <c r="X177" s="1495">
        <f t="shared" si="23"/>
        <v>0</v>
      </c>
      <c r="Y177" s="1495">
        <f t="shared" si="24"/>
        <v>100</v>
      </c>
      <c r="Z177" s="1495">
        <f t="shared" si="25"/>
        <v>0</v>
      </c>
      <c r="AA177" s="1506">
        <f t="shared" si="26"/>
        <v>0</v>
      </c>
      <c r="AB177" s="2441"/>
      <c r="AC177" s="1504">
        <f t="shared" si="27"/>
        <v>0</v>
      </c>
      <c r="AD177" s="1503">
        <f t="shared" si="28"/>
        <v>0</v>
      </c>
      <c r="AE177" s="1503">
        <f t="shared" si="29"/>
        <v>0</v>
      </c>
      <c r="AF177" s="1502">
        <f t="shared" si="30"/>
        <v>0</v>
      </c>
    </row>
    <row r="178" spans="1:32" s="1474" customFormat="1" ht="23.25" customHeight="1">
      <c r="A178" s="2705">
        <v>113</v>
      </c>
      <c r="B178" s="1497" t="s">
        <v>2324</v>
      </c>
      <c r="C178" s="2706" t="s">
        <v>2563</v>
      </c>
      <c r="D178" s="2706">
        <v>10</v>
      </c>
      <c r="E178" s="1497">
        <v>20000000</v>
      </c>
      <c r="F178" s="2417">
        <f t="shared" si="17"/>
        <v>3600000</v>
      </c>
      <c r="G178" s="2707">
        <v>41898</v>
      </c>
      <c r="H178" s="2419">
        <v>0.18</v>
      </c>
      <c r="I178" s="2415">
        <v>12</v>
      </c>
      <c r="J178" s="2415">
        <v>12</v>
      </c>
      <c r="K178" s="2415">
        <v>1666700</v>
      </c>
      <c r="L178" s="2415">
        <f t="shared" si="34"/>
        <v>300000</v>
      </c>
      <c r="M178" s="1510">
        <f t="shared" si="18"/>
        <v>20000000</v>
      </c>
      <c r="N178" s="1510">
        <f t="shared" si="19"/>
        <v>3600000</v>
      </c>
      <c r="O178" s="2708">
        <v>20000000</v>
      </c>
      <c r="P178" s="2708">
        <v>3600000</v>
      </c>
      <c r="Q178" s="1509"/>
      <c r="R178" s="2708"/>
      <c r="S178" s="2708"/>
      <c r="T178" s="1507"/>
      <c r="U178" s="1495">
        <f t="shared" si="20"/>
        <v>20000000</v>
      </c>
      <c r="V178" s="1495">
        <f t="shared" si="21"/>
        <v>3600000</v>
      </c>
      <c r="W178" s="1495">
        <f t="shared" si="22"/>
        <v>0</v>
      </c>
      <c r="X178" s="1495">
        <f t="shared" si="23"/>
        <v>0</v>
      </c>
      <c r="Y178" s="1495">
        <f t="shared" si="24"/>
        <v>100</v>
      </c>
      <c r="Z178" s="1495">
        <f t="shared" si="25"/>
        <v>0</v>
      </c>
      <c r="AA178" s="1506">
        <f t="shared" si="26"/>
        <v>0</v>
      </c>
      <c r="AB178" s="2441"/>
      <c r="AC178" s="1504">
        <f t="shared" si="27"/>
        <v>0</v>
      </c>
      <c r="AD178" s="1503">
        <f t="shared" si="28"/>
        <v>0</v>
      </c>
      <c r="AE178" s="1503">
        <f t="shared" si="29"/>
        <v>0</v>
      </c>
      <c r="AF178" s="1502">
        <f t="shared" si="30"/>
        <v>0</v>
      </c>
    </row>
    <row r="179" spans="1:32" s="1474" customFormat="1" ht="23.25" customHeight="1">
      <c r="A179" s="2705">
        <v>114</v>
      </c>
      <c r="B179" s="1497" t="s">
        <v>2330</v>
      </c>
      <c r="C179" s="2706" t="s">
        <v>2582</v>
      </c>
      <c r="D179" s="2706">
        <v>10</v>
      </c>
      <c r="E179" s="1497">
        <v>20000000</v>
      </c>
      <c r="F179" s="2417">
        <f t="shared" si="17"/>
        <v>3600000</v>
      </c>
      <c r="G179" s="2707">
        <v>41899</v>
      </c>
      <c r="H179" s="2419">
        <v>0.18</v>
      </c>
      <c r="I179" s="2415">
        <v>12</v>
      </c>
      <c r="J179" s="2415">
        <v>12</v>
      </c>
      <c r="K179" s="2415">
        <v>1666700</v>
      </c>
      <c r="L179" s="2415">
        <f t="shared" si="34"/>
        <v>300000</v>
      </c>
      <c r="M179" s="1510">
        <f t="shared" si="18"/>
        <v>20000000</v>
      </c>
      <c r="N179" s="1510">
        <f t="shared" si="19"/>
        <v>3600000</v>
      </c>
      <c r="O179" s="2708">
        <v>20000000</v>
      </c>
      <c r="P179" s="2708">
        <v>3600000</v>
      </c>
      <c r="Q179" s="1509"/>
      <c r="R179" s="2708"/>
      <c r="S179" s="2708"/>
      <c r="T179" s="1507"/>
      <c r="U179" s="1495">
        <f t="shared" si="20"/>
        <v>20000000</v>
      </c>
      <c r="V179" s="1495">
        <f t="shared" si="21"/>
        <v>3600000</v>
      </c>
      <c r="W179" s="1495">
        <f t="shared" si="22"/>
        <v>0</v>
      </c>
      <c r="X179" s="1495">
        <f t="shared" si="23"/>
        <v>0</v>
      </c>
      <c r="Y179" s="1495">
        <f t="shared" si="24"/>
        <v>100</v>
      </c>
      <c r="Z179" s="1495">
        <f t="shared" si="25"/>
        <v>0</v>
      </c>
      <c r="AA179" s="1506">
        <f t="shared" si="26"/>
        <v>0</v>
      </c>
      <c r="AB179" s="2441"/>
      <c r="AC179" s="1504">
        <f t="shared" si="27"/>
        <v>0</v>
      </c>
      <c r="AD179" s="1503">
        <f t="shared" si="28"/>
        <v>0</v>
      </c>
      <c r="AE179" s="1503">
        <f t="shared" si="29"/>
        <v>0</v>
      </c>
      <c r="AF179" s="1502">
        <f t="shared" si="30"/>
        <v>0</v>
      </c>
    </row>
    <row r="180" spans="1:32" s="1474" customFormat="1" ht="23.25" customHeight="1">
      <c r="A180" s="2705">
        <v>115</v>
      </c>
      <c r="B180" s="1497" t="s">
        <v>2587</v>
      </c>
      <c r="C180" s="2706" t="s">
        <v>2582</v>
      </c>
      <c r="D180" s="2706">
        <v>10</v>
      </c>
      <c r="E180" s="1497">
        <v>18000000</v>
      </c>
      <c r="F180" s="2417">
        <f t="shared" si="17"/>
        <v>3240000</v>
      </c>
      <c r="G180" s="2707">
        <v>41932</v>
      </c>
      <c r="H180" s="2419">
        <v>0.18</v>
      </c>
      <c r="I180" s="2415">
        <v>12</v>
      </c>
      <c r="J180" s="2415">
        <v>12</v>
      </c>
      <c r="K180" s="2415">
        <v>1500000</v>
      </c>
      <c r="L180" s="2415">
        <f t="shared" si="34"/>
        <v>270000</v>
      </c>
      <c r="M180" s="1510">
        <f t="shared" si="18"/>
        <v>18000000</v>
      </c>
      <c r="N180" s="1510">
        <f t="shared" si="19"/>
        <v>3240000</v>
      </c>
      <c r="O180" s="2708">
        <v>18000000</v>
      </c>
      <c r="P180" s="2708">
        <v>3240000</v>
      </c>
      <c r="Q180" s="1509"/>
      <c r="R180" s="2708"/>
      <c r="S180" s="2708"/>
      <c r="T180" s="1507"/>
      <c r="U180" s="1495">
        <f t="shared" si="20"/>
        <v>18000000</v>
      </c>
      <c r="V180" s="1495">
        <f t="shared" si="21"/>
        <v>3240000</v>
      </c>
      <c r="W180" s="1495">
        <f t="shared" si="22"/>
        <v>0</v>
      </c>
      <c r="X180" s="1495">
        <f t="shared" si="23"/>
        <v>0</v>
      </c>
      <c r="Y180" s="1495">
        <f t="shared" si="24"/>
        <v>100</v>
      </c>
      <c r="Z180" s="1495">
        <f t="shared" si="25"/>
        <v>0</v>
      </c>
      <c r="AA180" s="1506">
        <f t="shared" si="26"/>
        <v>0</v>
      </c>
      <c r="AB180" s="2441"/>
      <c r="AC180" s="1504">
        <f t="shared" si="27"/>
        <v>0</v>
      </c>
      <c r="AD180" s="1503">
        <f t="shared" si="28"/>
        <v>0</v>
      </c>
      <c r="AE180" s="1503">
        <f t="shared" si="29"/>
        <v>0</v>
      </c>
      <c r="AF180" s="1502">
        <f t="shared" si="30"/>
        <v>0</v>
      </c>
    </row>
    <row r="181" spans="1:32" s="1474" customFormat="1" ht="23.25" customHeight="1">
      <c r="A181" s="2705">
        <v>116</v>
      </c>
      <c r="B181" s="1497" t="s">
        <v>2597</v>
      </c>
      <c r="C181" s="2706" t="s">
        <v>2582</v>
      </c>
      <c r="D181" s="2706">
        <v>10</v>
      </c>
      <c r="E181" s="1497">
        <v>30000000</v>
      </c>
      <c r="F181" s="2417">
        <f t="shared" si="17"/>
        <v>5400000</v>
      </c>
      <c r="G181" s="3173" t="s">
        <v>2599</v>
      </c>
      <c r="H181" s="2419">
        <v>0.18</v>
      </c>
      <c r="I181" s="2415">
        <v>12</v>
      </c>
      <c r="J181" s="2415">
        <v>12</v>
      </c>
      <c r="K181" s="2415">
        <f t="shared" ref="K181:K188" si="37">E181/I181</f>
        <v>2500000</v>
      </c>
      <c r="L181" s="2415">
        <f t="shared" si="34"/>
        <v>450000</v>
      </c>
      <c r="M181" s="1510">
        <f t="shared" si="18"/>
        <v>30000000</v>
      </c>
      <c r="N181" s="1510">
        <f t="shared" si="19"/>
        <v>5400000</v>
      </c>
      <c r="O181" s="2708">
        <v>30000000</v>
      </c>
      <c r="P181" s="2708">
        <v>5400000</v>
      </c>
      <c r="Q181" s="1509"/>
      <c r="R181" s="2708"/>
      <c r="S181" s="2708"/>
      <c r="T181" s="1507"/>
      <c r="U181" s="1495">
        <f t="shared" si="20"/>
        <v>30000000</v>
      </c>
      <c r="V181" s="1495">
        <f t="shared" si="21"/>
        <v>5400000</v>
      </c>
      <c r="W181" s="1495">
        <f t="shared" si="22"/>
        <v>0</v>
      </c>
      <c r="X181" s="1495">
        <f t="shared" si="23"/>
        <v>0</v>
      </c>
      <c r="Y181" s="1495">
        <f t="shared" si="24"/>
        <v>100</v>
      </c>
      <c r="Z181" s="1495">
        <f t="shared" si="25"/>
        <v>0</v>
      </c>
      <c r="AA181" s="1506">
        <f t="shared" si="26"/>
        <v>0</v>
      </c>
      <c r="AB181" s="2441"/>
      <c r="AC181" s="1504">
        <f t="shared" si="27"/>
        <v>0</v>
      </c>
      <c r="AD181" s="1503">
        <f t="shared" si="28"/>
        <v>0</v>
      </c>
      <c r="AE181" s="1503">
        <f t="shared" si="29"/>
        <v>0</v>
      </c>
      <c r="AF181" s="1502">
        <f t="shared" si="30"/>
        <v>0</v>
      </c>
    </row>
    <row r="182" spans="1:32" s="1474" customFormat="1" ht="23.25" customHeight="1">
      <c r="A182" s="2705">
        <v>117</v>
      </c>
      <c r="B182" s="1497" t="s">
        <v>2598</v>
      </c>
      <c r="C182" s="2706" t="s">
        <v>2582</v>
      </c>
      <c r="D182" s="2706">
        <v>10</v>
      </c>
      <c r="E182" s="1497">
        <v>30000000</v>
      </c>
      <c r="F182" s="2417">
        <f t="shared" si="17"/>
        <v>5400000</v>
      </c>
      <c r="G182" s="3173" t="s">
        <v>2599</v>
      </c>
      <c r="H182" s="2419">
        <v>0.18</v>
      </c>
      <c r="I182" s="2415">
        <v>12</v>
      </c>
      <c r="J182" s="2415">
        <v>12</v>
      </c>
      <c r="K182" s="2415">
        <f t="shared" si="37"/>
        <v>2500000</v>
      </c>
      <c r="L182" s="2415">
        <f t="shared" si="34"/>
        <v>450000</v>
      </c>
      <c r="M182" s="1510">
        <f t="shared" si="18"/>
        <v>30000000</v>
      </c>
      <c r="N182" s="1510">
        <f t="shared" si="19"/>
        <v>5400000</v>
      </c>
      <c r="O182" s="2708">
        <v>30000000</v>
      </c>
      <c r="P182" s="2708">
        <v>5400000</v>
      </c>
      <c r="Q182" s="1509"/>
      <c r="R182" s="2708"/>
      <c r="S182" s="2708"/>
      <c r="T182" s="1507"/>
      <c r="U182" s="1495">
        <f t="shared" si="20"/>
        <v>30000000</v>
      </c>
      <c r="V182" s="1495">
        <f t="shared" si="21"/>
        <v>5400000</v>
      </c>
      <c r="W182" s="1495">
        <f t="shared" si="22"/>
        <v>0</v>
      </c>
      <c r="X182" s="1495">
        <f t="shared" si="23"/>
        <v>0</v>
      </c>
      <c r="Y182" s="1495">
        <f t="shared" si="24"/>
        <v>100</v>
      </c>
      <c r="Z182" s="1495">
        <f t="shared" si="25"/>
        <v>0</v>
      </c>
      <c r="AA182" s="1506">
        <f t="shared" si="26"/>
        <v>0</v>
      </c>
      <c r="AB182" s="2441"/>
      <c r="AC182" s="1504">
        <f t="shared" si="27"/>
        <v>0</v>
      </c>
      <c r="AD182" s="1503">
        <f t="shared" si="28"/>
        <v>0</v>
      </c>
      <c r="AE182" s="1503">
        <f t="shared" si="29"/>
        <v>0</v>
      </c>
      <c r="AF182" s="1502">
        <f t="shared" si="30"/>
        <v>0</v>
      </c>
    </row>
    <row r="183" spans="1:32" s="1474" customFormat="1" ht="23.25" customHeight="1">
      <c r="A183" s="2705">
        <v>118</v>
      </c>
      <c r="B183" s="1497" t="s">
        <v>2600</v>
      </c>
      <c r="C183" s="2706" t="s">
        <v>2582</v>
      </c>
      <c r="D183" s="2706">
        <v>10</v>
      </c>
      <c r="E183" s="1497">
        <v>7000000</v>
      </c>
      <c r="F183" s="2417">
        <f t="shared" si="17"/>
        <v>1260000</v>
      </c>
      <c r="G183" s="3173" t="s">
        <v>2599</v>
      </c>
      <c r="H183" s="2419">
        <v>0.18</v>
      </c>
      <c r="I183" s="2415">
        <v>12</v>
      </c>
      <c r="J183" s="2415">
        <v>12</v>
      </c>
      <c r="K183" s="2415">
        <v>583300</v>
      </c>
      <c r="L183" s="2415">
        <f t="shared" si="34"/>
        <v>105000</v>
      </c>
      <c r="M183" s="1510">
        <f t="shared" si="18"/>
        <v>7000000</v>
      </c>
      <c r="N183" s="1510">
        <f>IF(J183&lt;I183,J183*L183,IF(J183&gt;=I183,F183))-1*L183</f>
        <v>1155000</v>
      </c>
      <c r="O183" s="2708">
        <v>7000000</v>
      </c>
      <c r="P183" s="2708">
        <v>1155000</v>
      </c>
      <c r="Q183" s="1509"/>
      <c r="R183" s="2708"/>
      <c r="S183" s="2708"/>
      <c r="T183" s="1507"/>
      <c r="U183" s="1495">
        <f t="shared" si="20"/>
        <v>7000000</v>
      </c>
      <c r="V183" s="1495">
        <f t="shared" si="21"/>
        <v>1155000</v>
      </c>
      <c r="W183" s="1495">
        <f t="shared" si="22"/>
        <v>0</v>
      </c>
      <c r="X183" s="1495">
        <f t="shared" si="23"/>
        <v>0</v>
      </c>
      <c r="Y183" s="1495">
        <f t="shared" si="24"/>
        <v>100</v>
      </c>
      <c r="Z183" s="1495">
        <f t="shared" si="25"/>
        <v>0</v>
      </c>
      <c r="AA183" s="1506">
        <f t="shared" si="26"/>
        <v>0</v>
      </c>
      <c r="AB183" s="2441"/>
      <c r="AC183" s="1504">
        <f t="shared" si="27"/>
        <v>0</v>
      </c>
      <c r="AD183" s="1503">
        <f t="shared" si="28"/>
        <v>0</v>
      </c>
      <c r="AE183" s="1503">
        <f t="shared" si="29"/>
        <v>0</v>
      </c>
      <c r="AF183" s="1502">
        <f t="shared" si="30"/>
        <v>0</v>
      </c>
    </row>
    <row r="184" spans="1:32" s="1474" customFormat="1" ht="23.25" customHeight="1">
      <c r="A184" s="2705">
        <v>119</v>
      </c>
      <c r="B184" s="1497" t="s">
        <v>2229</v>
      </c>
      <c r="C184" s="2706" t="s">
        <v>2582</v>
      </c>
      <c r="D184" s="2706">
        <v>12</v>
      </c>
      <c r="E184" s="1497">
        <v>24000000</v>
      </c>
      <c r="F184" s="2417">
        <f t="shared" si="17"/>
        <v>4320000</v>
      </c>
      <c r="G184" s="2707">
        <v>41954</v>
      </c>
      <c r="H184" s="2419">
        <v>0.18</v>
      </c>
      <c r="I184" s="2415">
        <v>12</v>
      </c>
      <c r="J184" s="2415">
        <v>12</v>
      </c>
      <c r="K184" s="2415">
        <f t="shared" si="37"/>
        <v>2000000</v>
      </c>
      <c r="L184" s="2415">
        <f t="shared" si="34"/>
        <v>360000</v>
      </c>
      <c r="M184" s="1510">
        <f t="shared" si="18"/>
        <v>24000000</v>
      </c>
      <c r="N184" s="1510">
        <f t="shared" si="19"/>
        <v>4320000</v>
      </c>
      <c r="O184" s="2708">
        <v>24000000</v>
      </c>
      <c r="P184" s="2708">
        <v>4320000</v>
      </c>
      <c r="Q184" s="1509"/>
      <c r="R184" s="2708"/>
      <c r="S184" s="2708"/>
      <c r="T184" s="1507"/>
      <c r="U184" s="1495">
        <f t="shared" si="20"/>
        <v>24000000</v>
      </c>
      <c r="V184" s="1495">
        <f t="shared" si="21"/>
        <v>4320000</v>
      </c>
      <c r="W184" s="1495">
        <f t="shared" si="22"/>
        <v>0</v>
      </c>
      <c r="X184" s="1495">
        <f t="shared" si="23"/>
        <v>0</v>
      </c>
      <c r="Y184" s="1495">
        <f t="shared" si="24"/>
        <v>100</v>
      </c>
      <c r="Z184" s="1495">
        <f t="shared" si="25"/>
        <v>0</v>
      </c>
      <c r="AA184" s="1506">
        <f t="shared" si="26"/>
        <v>0</v>
      </c>
      <c r="AB184" s="2441"/>
      <c r="AC184" s="1504">
        <f t="shared" si="27"/>
        <v>0</v>
      </c>
      <c r="AD184" s="1503">
        <f t="shared" si="28"/>
        <v>0</v>
      </c>
      <c r="AE184" s="1503">
        <f t="shared" si="29"/>
        <v>0</v>
      </c>
      <c r="AF184" s="1502">
        <f t="shared" si="30"/>
        <v>0</v>
      </c>
    </row>
    <row r="185" spans="1:32" s="1474" customFormat="1" ht="23.25" customHeight="1">
      <c r="A185" s="2705">
        <v>120</v>
      </c>
      <c r="B185" s="1497" t="s">
        <v>1977</v>
      </c>
      <c r="C185" s="2706" t="s">
        <v>2615</v>
      </c>
      <c r="D185" s="2706">
        <v>12</v>
      </c>
      <c r="E185" s="1497">
        <v>35000000</v>
      </c>
      <c r="F185" s="2417">
        <f t="shared" si="17"/>
        <v>6300000</v>
      </c>
      <c r="G185" s="2707">
        <v>42051</v>
      </c>
      <c r="H185" s="2419">
        <v>0.18</v>
      </c>
      <c r="I185" s="2415">
        <v>12</v>
      </c>
      <c r="J185" s="2415">
        <v>12</v>
      </c>
      <c r="K185" s="2415">
        <v>2916700</v>
      </c>
      <c r="L185" s="2415">
        <f t="shared" si="34"/>
        <v>525000</v>
      </c>
      <c r="M185" s="1510">
        <f t="shared" si="18"/>
        <v>35000000</v>
      </c>
      <c r="N185" s="1510">
        <f>IF(J185&lt;I185,J185*L185,IF(J185&gt;=I185,F185))-1*L185</f>
        <v>5775000</v>
      </c>
      <c r="O185" s="2708">
        <v>35000000</v>
      </c>
      <c r="P185" s="2708">
        <v>5775000</v>
      </c>
      <c r="Q185" s="1509"/>
      <c r="R185" s="3010"/>
      <c r="S185" s="3010"/>
      <c r="T185" s="1507"/>
      <c r="U185" s="1495">
        <f t="shared" si="20"/>
        <v>35000000</v>
      </c>
      <c r="V185" s="1495">
        <f t="shared" si="21"/>
        <v>5775000</v>
      </c>
      <c r="W185" s="1495">
        <f t="shared" si="22"/>
        <v>0</v>
      </c>
      <c r="X185" s="1495">
        <f t="shared" si="23"/>
        <v>0</v>
      </c>
      <c r="Y185" s="1495">
        <f t="shared" si="24"/>
        <v>100</v>
      </c>
      <c r="Z185" s="1495">
        <f t="shared" si="25"/>
        <v>0</v>
      </c>
      <c r="AA185" s="1506">
        <f t="shared" si="26"/>
        <v>0</v>
      </c>
      <c r="AB185" s="2441"/>
      <c r="AC185" s="1504">
        <f t="shared" si="27"/>
        <v>0</v>
      </c>
      <c r="AD185" s="1503">
        <f t="shared" si="28"/>
        <v>0</v>
      </c>
      <c r="AE185" s="1503">
        <f t="shared" si="29"/>
        <v>0</v>
      </c>
      <c r="AF185" s="1502">
        <f t="shared" si="30"/>
        <v>0</v>
      </c>
    </row>
    <row r="186" spans="1:32" s="1474" customFormat="1" ht="23.25" customHeight="1">
      <c r="A186" s="2705">
        <v>121</v>
      </c>
      <c r="B186" s="1497" t="s">
        <v>2510</v>
      </c>
      <c r="C186" s="2706" t="s">
        <v>2615</v>
      </c>
      <c r="D186" s="2706">
        <v>15</v>
      </c>
      <c r="E186" s="1497">
        <v>50000000</v>
      </c>
      <c r="F186" s="2417">
        <f t="shared" si="17"/>
        <v>9000000</v>
      </c>
      <c r="G186" s="2707">
        <v>42051</v>
      </c>
      <c r="H186" s="2419">
        <v>0.18</v>
      </c>
      <c r="I186" s="2415">
        <v>12</v>
      </c>
      <c r="J186" s="2415">
        <v>12</v>
      </c>
      <c r="K186" s="2415">
        <v>4166700</v>
      </c>
      <c r="L186" s="2415">
        <f t="shared" si="34"/>
        <v>750000</v>
      </c>
      <c r="M186" s="1510">
        <f t="shared" si="18"/>
        <v>50000000</v>
      </c>
      <c r="N186" s="1510">
        <f t="shared" si="19"/>
        <v>9000000</v>
      </c>
      <c r="O186" s="2708">
        <v>20655100</v>
      </c>
      <c r="P186" s="2708">
        <v>3750000</v>
      </c>
      <c r="Q186" s="1509"/>
      <c r="R186" s="3010">
        <v>50000</v>
      </c>
      <c r="S186" s="3010">
        <v>750000</v>
      </c>
      <c r="T186" s="1507"/>
      <c r="U186" s="1495">
        <f t="shared" si="20"/>
        <v>20705100</v>
      </c>
      <c r="V186" s="1495">
        <f t="shared" si="21"/>
        <v>4500000</v>
      </c>
      <c r="W186" s="1495">
        <f t="shared" si="22"/>
        <v>0</v>
      </c>
      <c r="X186" s="1495">
        <f t="shared" si="23"/>
        <v>29294900</v>
      </c>
      <c r="Y186" s="1495">
        <f t="shared" si="24"/>
        <v>41.410200000000003</v>
      </c>
      <c r="Z186" s="1495">
        <f t="shared" si="25"/>
        <v>29294900</v>
      </c>
      <c r="AA186" s="1506">
        <f t="shared" si="26"/>
        <v>4500000</v>
      </c>
      <c r="AB186" s="2441">
        <v>5</v>
      </c>
      <c r="AC186" s="1504">
        <f t="shared" si="27"/>
        <v>0</v>
      </c>
      <c r="AD186" s="1503">
        <f t="shared" si="28"/>
        <v>0</v>
      </c>
      <c r="AE186" s="1503">
        <f t="shared" si="29"/>
        <v>29294900</v>
      </c>
      <c r="AF186" s="1502">
        <f t="shared" si="30"/>
        <v>0</v>
      </c>
    </row>
    <row r="187" spans="1:32" s="1474" customFormat="1" ht="23.25" customHeight="1">
      <c r="A187" s="2705">
        <v>122</v>
      </c>
      <c r="B187" s="1497" t="s">
        <v>2055</v>
      </c>
      <c r="C187" s="2706" t="s">
        <v>2615</v>
      </c>
      <c r="D187" s="2706">
        <v>10</v>
      </c>
      <c r="E187" s="1497">
        <v>32500000</v>
      </c>
      <c r="F187" s="2417">
        <f t="shared" si="17"/>
        <v>5850000</v>
      </c>
      <c r="G187" s="2707">
        <v>42051</v>
      </c>
      <c r="H187" s="2419">
        <v>0.18</v>
      </c>
      <c r="I187" s="2415">
        <v>12</v>
      </c>
      <c r="J187" s="2415">
        <v>12</v>
      </c>
      <c r="K187" s="2415">
        <v>2708300</v>
      </c>
      <c r="L187" s="2415">
        <f t="shared" si="34"/>
        <v>487500</v>
      </c>
      <c r="M187" s="1510">
        <f t="shared" si="18"/>
        <v>32500000</v>
      </c>
      <c r="N187" s="1510">
        <f t="shared" si="19"/>
        <v>5850000</v>
      </c>
      <c r="O187" s="2708">
        <v>27083000</v>
      </c>
      <c r="P187" s="2708">
        <v>4875000</v>
      </c>
      <c r="Q187" s="1509"/>
      <c r="R187" s="3010">
        <v>2708300</v>
      </c>
      <c r="S187" s="3010">
        <v>487500</v>
      </c>
      <c r="T187" s="1507"/>
      <c r="U187" s="1495">
        <f t="shared" si="20"/>
        <v>29791300</v>
      </c>
      <c r="V187" s="1495">
        <f t="shared" si="21"/>
        <v>5362500</v>
      </c>
      <c r="W187" s="1495">
        <f t="shared" si="22"/>
        <v>0</v>
      </c>
      <c r="X187" s="1495">
        <f t="shared" si="23"/>
        <v>2708700</v>
      </c>
      <c r="Y187" s="1495">
        <f t="shared" si="24"/>
        <v>91.665538461538461</v>
      </c>
      <c r="Z187" s="1495">
        <f t="shared" si="25"/>
        <v>2708700</v>
      </c>
      <c r="AA187" s="1506">
        <f t="shared" si="26"/>
        <v>487500</v>
      </c>
      <c r="AB187" s="2441">
        <v>2</v>
      </c>
      <c r="AC187" s="1504">
        <f t="shared" si="27"/>
        <v>2708700</v>
      </c>
      <c r="AD187" s="1503">
        <f t="shared" si="28"/>
        <v>0</v>
      </c>
      <c r="AE187" s="1503">
        <f t="shared" si="29"/>
        <v>0</v>
      </c>
      <c r="AF187" s="1502">
        <f t="shared" si="30"/>
        <v>0</v>
      </c>
    </row>
    <row r="188" spans="1:32" s="1474" customFormat="1" ht="23.25" customHeight="1">
      <c r="A188" s="2705">
        <v>123</v>
      </c>
      <c r="B188" s="1497" t="s">
        <v>2648</v>
      </c>
      <c r="C188" s="2706" t="s">
        <v>2658</v>
      </c>
      <c r="D188" s="2706">
        <v>10</v>
      </c>
      <c r="E188" s="1497">
        <v>30000000</v>
      </c>
      <c r="F188" s="2417">
        <f t="shared" si="17"/>
        <v>5400000</v>
      </c>
      <c r="G188" s="2707">
        <v>42073</v>
      </c>
      <c r="H188" s="2419">
        <v>0.18</v>
      </c>
      <c r="I188" s="2415">
        <v>12</v>
      </c>
      <c r="J188" s="2415">
        <v>11</v>
      </c>
      <c r="K188" s="2415">
        <f t="shared" si="37"/>
        <v>2500000</v>
      </c>
      <c r="L188" s="2415">
        <f t="shared" si="34"/>
        <v>450000</v>
      </c>
      <c r="M188" s="1510">
        <f t="shared" si="18"/>
        <v>27500000</v>
      </c>
      <c r="N188" s="1510">
        <f t="shared" si="19"/>
        <v>4950000</v>
      </c>
      <c r="O188" s="2708">
        <v>25000000</v>
      </c>
      <c r="P188" s="2708">
        <v>4500000</v>
      </c>
      <c r="Q188" s="1509"/>
      <c r="R188" s="3010"/>
      <c r="S188" s="3010"/>
      <c r="T188" s="1507"/>
      <c r="U188" s="1495">
        <f t="shared" si="20"/>
        <v>25000000</v>
      </c>
      <c r="V188" s="1495">
        <f t="shared" si="21"/>
        <v>4500000</v>
      </c>
      <c r="W188" s="1495">
        <f t="shared" si="22"/>
        <v>0</v>
      </c>
      <c r="X188" s="1495">
        <f t="shared" si="23"/>
        <v>5000000</v>
      </c>
      <c r="Y188" s="1495">
        <f t="shared" si="24"/>
        <v>90.909090909090907</v>
      </c>
      <c r="Z188" s="1495">
        <f t="shared" si="25"/>
        <v>2500000</v>
      </c>
      <c r="AA188" s="1506">
        <f t="shared" si="26"/>
        <v>450000</v>
      </c>
      <c r="AB188" s="2441"/>
      <c r="AC188" s="1504">
        <f t="shared" si="27"/>
        <v>0</v>
      </c>
      <c r="AD188" s="1503">
        <f t="shared" si="28"/>
        <v>0</v>
      </c>
      <c r="AE188" s="1503">
        <f t="shared" si="29"/>
        <v>0</v>
      </c>
      <c r="AF188" s="1502">
        <f t="shared" si="30"/>
        <v>0</v>
      </c>
    </row>
    <row r="189" spans="1:32" s="1474" customFormat="1" ht="23.25" customHeight="1">
      <c r="A189" s="2705">
        <v>124</v>
      </c>
      <c r="B189" s="1497" t="s">
        <v>2649</v>
      </c>
      <c r="C189" s="2706" t="s">
        <v>2615</v>
      </c>
      <c r="D189" s="2706">
        <v>10</v>
      </c>
      <c r="E189" s="1497">
        <v>7000000</v>
      </c>
      <c r="F189" s="2417">
        <f t="shared" si="17"/>
        <v>1260000</v>
      </c>
      <c r="G189" s="2707">
        <v>42073</v>
      </c>
      <c r="H189" s="2419">
        <v>0.18</v>
      </c>
      <c r="I189" s="2415">
        <v>12</v>
      </c>
      <c r="J189" s="2415">
        <v>11</v>
      </c>
      <c r="K189" s="2415">
        <f t="shared" ref="K189:K193" si="38">ROUND(E189/I189,-2)</f>
        <v>583300</v>
      </c>
      <c r="L189" s="2415">
        <f t="shared" si="34"/>
        <v>105000</v>
      </c>
      <c r="M189" s="1510">
        <f t="shared" si="18"/>
        <v>6416300</v>
      </c>
      <c r="N189" s="1510">
        <f t="shared" si="19"/>
        <v>1155000</v>
      </c>
      <c r="O189" s="2708">
        <v>5833000</v>
      </c>
      <c r="P189" s="2708">
        <v>1050000</v>
      </c>
      <c r="Q189" s="1509"/>
      <c r="R189" s="3010">
        <v>583300</v>
      </c>
      <c r="S189" s="3010">
        <v>105000</v>
      </c>
      <c r="T189" s="1507"/>
      <c r="U189" s="1495">
        <f t="shared" si="20"/>
        <v>6416300</v>
      </c>
      <c r="V189" s="1495">
        <f t="shared" si="21"/>
        <v>1155000</v>
      </c>
      <c r="W189" s="1495">
        <f t="shared" si="22"/>
        <v>0</v>
      </c>
      <c r="X189" s="1495">
        <f t="shared" si="23"/>
        <v>583700</v>
      </c>
      <c r="Y189" s="1495">
        <f t="shared" si="24"/>
        <v>100</v>
      </c>
      <c r="Z189" s="1495">
        <f t="shared" si="25"/>
        <v>0</v>
      </c>
      <c r="AA189" s="1506">
        <f t="shared" si="26"/>
        <v>0</v>
      </c>
      <c r="AB189" s="2441"/>
      <c r="AC189" s="1504">
        <f t="shared" si="27"/>
        <v>0</v>
      </c>
      <c r="AD189" s="1503">
        <f t="shared" si="28"/>
        <v>0</v>
      </c>
      <c r="AE189" s="1503">
        <f t="shared" si="29"/>
        <v>0</v>
      </c>
      <c r="AF189" s="1502">
        <f t="shared" si="30"/>
        <v>0</v>
      </c>
    </row>
    <row r="190" spans="1:32" s="1474" customFormat="1" ht="23.25" customHeight="1">
      <c r="A190" s="2705">
        <v>125</v>
      </c>
      <c r="B190" s="1497" t="s">
        <v>2704</v>
      </c>
      <c r="C190" s="2706" t="s">
        <v>2615</v>
      </c>
      <c r="D190" s="2706">
        <v>10</v>
      </c>
      <c r="E190" s="1497">
        <v>6300000</v>
      </c>
      <c r="F190" s="2417">
        <f t="shared" si="17"/>
        <v>1134000</v>
      </c>
      <c r="G190" s="2707">
        <v>42073</v>
      </c>
      <c r="H190" s="2419">
        <v>0.18</v>
      </c>
      <c r="I190" s="2415">
        <v>12</v>
      </c>
      <c r="J190" s="2415">
        <v>11</v>
      </c>
      <c r="K190" s="2415">
        <f t="shared" si="38"/>
        <v>525000</v>
      </c>
      <c r="L190" s="2415">
        <f t="shared" si="34"/>
        <v>94500</v>
      </c>
      <c r="M190" s="1510">
        <f t="shared" si="18"/>
        <v>5775000</v>
      </c>
      <c r="N190" s="1510">
        <f t="shared" si="19"/>
        <v>1039500</v>
      </c>
      <c r="O190" s="2708">
        <v>5250000</v>
      </c>
      <c r="P190" s="2708">
        <v>945000</v>
      </c>
      <c r="Q190" s="1509"/>
      <c r="R190" s="3010">
        <v>525000</v>
      </c>
      <c r="S190" s="3010">
        <v>94500</v>
      </c>
      <c r="T190" s="1507"/>
      <c r="U190" s="1495">
        <f t="shared" si="20"/>
        <v>5775000</v>
      </c>
      <c r="V190" s="1495">
        <f t="shared" si="21"/>
        <v>1039500</v>
      </c>
      <c r="W190" s="1495">
        <f t="shared" si="22"/>
        <v>0</v>
      </c>
      <c r="X190" s="1495">
        <f t="shared" si="23"/>
        <v>525000</v>
      </c>
      <c r="Y190" s="1495">
        <f t="shared" si="24"/>
        <v>100</v>
      </c>
      <c r="Z190" s="1495">
        <f t="shared" si="25"/>
        <v>0</v>
      </c>
      <c r="AA190" s="1506">
        <f t="shared" si="26"/>
        <v>0</v>
      </c>
      <c r="AB190" s="2441"/>
      <c r="AC190" s="1504">
        <f t="shared" si="27"/>
        <v>0</v>
      </c>
      <c r="AD190" s="1503">
        <f t="shared" si="28"/>
        <v>0</v>
      </c>
      <c r="AE190" s="1503">
        <f t="shared" si="29"/>
        <v>0</v>
      </c>
      <c r="AF190" s="1502">
        <f t="shared" si="30"/>
        <v>0</v>
      </c>
    </row>
    <row r="191" spans="1:32" s="1474" customFormat="1" ht="23.25" customHeight="1">
      <c r="A191" s="2705">
        <v>126</v>
      </c>
      <c r="B191" s="1497" t="s">
        <v>2661</v>
      </c>
      <c r="C191" s="2706" t="s">
        <v>2615</v>
      </c>
      <c r="D191" s="2706">
        <v>10</v>
      </c>
      <c r="E191" s="1497">
        <v>33000000</v>
      </c>
      <c r="F191" s="2417">
        <f t="shared" si="17"/>
        <v>5940000</v>
      </c>
      <c r="G191" s="2707">
        <v>42114</v>
      </c>
      <c r="H191" s="2419">
        <v>0.18</v>
      </c>
      <c r="I191" s="2415">
        <v>12</v>
      </c>
      <c r="J191" s="2415">
        <v>9</v>
      </c>
      <c r="K191" s="2415">
        <f t="shared" si="38"/>
        <v>2750000</v>
      </c>
      <c r="L191" s="2415">
        <f t="shared" si="34"/>
        <v>495000</v>
      </c>
      <c r="M191" s="1510">
        <f t="shared" si="18"/>
        <v>24750000</v>
      </c>
      <c r="N191" s="1510">
        <f t="shared" si="19"/>
        <v>4455000</v>
      </c>
      <c r="O191" s="2708">
        <v>24750000</v>
      </c>
      <c r="P191" s="2708">
        <v>4455000</v>
      </c>
      <c r="Q191" s="1509"/>
      <c r="R191" s="3010">
        <v>2750000</v>
      </c>
      <c r="S191" s="3010">
        <v>495000</v>
      </c>
      <c r="T191" s="1507"/>
      <c r="U191" s="1495">
        <f t="shared" si="20"/>
        <v>27500000</v>
      </c>
      <c r="V191" s="1495">
        <f t="shared" si="21"/>
        <v>4950000</v>
      </c>
      <c r="W191" s="1495">
        <f t="shared" si="22"/>
        <v>0</v>
      </c>
      <c r="X191" s="1495">
        <f t="shared" si="23"/>
        <v>5500000</v>
      </c>
      <c r="Y191" s="1495">
        <f t="shared" si="24"/>
        <v>111.11111111111111</v>
      </c>
      <c r="Z191" s="1495">
        <f t="shared" si="25"/>
        <v>-2750000</v>
      </c>
      <c r="AA191" s="1506">
        <f t="shared" si="26"/>
        <v>-495000</v>
      </c>
      <c r="AB191" s="2441"/>
      <c r="AC191" s="1504">
        <f t="shared" si="27"/>
        <v>0</v>
      </c>
      <c r="AD191" s="1503">
        <f t="shared" si="28"/>
        <v>0</v>
      </c>
      <c r="AE191" s="1503">
        <f t="shared" si="29"/>
        <v>0</v>
      </c>
      <c r="AF191" s="1502">
        <f t="shared" si="30"/>
        <v>0</v>
      </c>
    </row>
    <row r="192" spans="1:32" s="1474" customFormat="1" ht="23.25" customHeight="1">
      <c r="A192" s="2705">
        <v>127</v>
      </c>
      <c r="B192" s="1497" t="s">
        <v>2056</v>
      </c>
      <c r="C192" s="2706" t="s">
        <v>2658</v>
      </c>
      <c r="D192" s="2706">
        <v>12</v>
      </c>
      <c r="E192" s="1497">
        <v>40000000</v>
      </c>
      <c r="F192" s="2417">
        <f t="shared" si="17"/>
        <v>7200000</v>
      </c>
      <c r="G192" s="2707">
        <v>42168</v>
      </c>
      <c r="H192" s="2419">
        <v>0.18</v>
      </c>
      <c r="I192" s="2415">
        <v>12</v>
      </c>
      <c r="J192" s="2415">
        <v>8</v>
      </c>
      <c r="K192" s="2415">
        <f t="shared" si="38"/>
        <v>3333300</v>
      </c>
      <c r="L192" s="2415">
        <f t="shared" si="34"/>
        <v>600000</v>
      </c>
      <c r="M192" s="1510">
        <f t="shared" si="18"/>
        <v>26666400</v>
      </c>
      <c r="N192" s="1510">
        <f t="shared" si="19"/>
        <v>4800000</v>
      </c>
      <c r="O192" s="2708">
        <v>23333100</v>
      </c>
      <c r="P192" s="2708">
        <v>4200000</v>
      </c>
      <c r="Q192" s="1509"/>
      <c r="R192" s="3010">
        <v>3333300</v>
      </c>
      <c r="S192" s="3010">
        <v>600000</v>
      </c>
      <c r="T192" s="1507"/>
      <c r="U192" s="1495">
        <f t="shared" si="20"/>
        <v>26666400</v>
      </c>
      <c r="V192" s="1495">
        <f t="shared" si="21"/>
        <v>4800000</v>
      </c>
      <c r="W192" s="1495">
        <f t="shared" si="22"/>
        <v>0</v>
      </c>
      <c r="X192" s="1495">
        <f t="shared" si="23"/>
        <v>13333600</v>
      </c>
      <c r="Y192" s="1495">
        <f t="shared" si="24"/>
        <v>100</v>
      </c>
      <c r="Z192" s="1495">
        <f t="shared" si="25"/>
        <v>0</v>
      </c>
      <c r="AA192" s="1506">
        <f t="shared" si="26"/>
        <v>0</v>
      </c>
      <c r="AB192" s="2441">
        <v>2</v>
      </c>
      <c r="AC192" s="1504">
        <f t="shared" si="27"/>
        <v>13333600</v>
      </c>
      <c r="AD192" s="1503">
        <f t="shared" si="28"/>
        <v>0</v>
      </c>
      <c r="AE192" s="1503">
        <f t="shared" si="29"/>
        <v>0</v>
      </c>
      <c r="AF192" s="1502">
        <f t="shared" si="30"/>
        <v>0</v>
      </c>
    </row>
    <row r="193" spans="1:32" s="1474" customFormat="1" ht="23.25" customHeight="1">
      <c r="A193" s="2705">
        <v>128</v>
      </c>
      <c r="B193" s="1497" t="s">
        <v>2197</v>
      </c>
      <c r="C193" s="2706" t="s">
        <v>2658</v>
      </c>
      <c r="D193" s="2706">
        <v>12</v>
      </c>
      <c r="E193" s="1497">
        <v>30000000</v>
      </c>
      <c r="F193" s="2417">
        <f t="shared" si="17"/>
        <v>5400000</v>
      </c>
      <c r="G193" s="2707">
        <v>42168</v>
      </c>
      <c r="H193" s="2419">
        <v>0.18</v>
      </c>
      <c r="I193" s="2415">
        <v>12</v>
      </c>
      <c r="J193" s="2415">
        <v>8</v>
      </c>
      <c r="K193" s="2415">
        <f t="shared" si="38"/>
        <v>2500000</v>
      </c>
      <c r="L193" s="2415">
        <f t="shared" si="34"/>
        <v>450000</v>
      </c>
      <c r="M193" s="1510">
        <f t="shared" si="18"/>
        <v>20000000</v>
      </c>
      <c r="N193" s="1510">
        <f t="shared" si="19"/>
        <v>3600000</v>
      </c>
      <c r="O193" s="2708">
        <v>17500000</v>
      </c>
      <c r="P193" s="2708">
        <v>3150000</v>
      </c>
      <c r="Q193" s="1509"/>
      <c r="R193" s="3010">
        <v>2500000</v>
      </c>
      <c r="S193" s="3010">
        <v>450000</v>
      </c>
      <c r="T193" s="1507"/>
      <c r="U193" s="1495">
        <f t="shared" si="20"/>
        <v>20000000</v>
      </c>
      <c r="V193" s="1495">
        <f t="shared" si="21"/>
        <v>3600000</v>
      </c>
      <c r="W193" s="1495">
        <f t="shared" si="22"/>
        <v>0</v>
      </c>
      <c r="X193" s="1495">
        <f t="shared" si="23"/>
        <v>10000000</v>
      </c>
      <c r="Y193" s="1495">
        <f t="shared" si="24"/>
        <v>100</v>
      </c>
      <c r="Z193" s="1495">
        <f t="shared" si="25"/>
        <v>0</v>
      </c>
      <c r="AA193" s="1506">
        <f t="shared" si="26"/>
        <v>0</v>
      </c>
      <c r="AB193" s="2441"/>
      <c r="AC193" s="1504">
        <f t="shared" si="27"/>
        <v>0</v>
      </c>
      <c r="AD193" s="1503">
        <f t="shared" si="28"/>
        <v>0</v>
      </c>
      <c r="AE193" s="1503">
        <f t="shared" si="29"/>
        <v>0</v>
      </c>
      <c r="AF193" s="1502">
        <f t="shared" si="30"/>
        <v>0</v>
      </c>
    </row>
    <row r="194" spans="1:32" s="1474" customFormat="1" ht="23.25" customHeight="1">
      <c r="A194" s="2705">
        <v>129</v>
      </c>
      <c r="B194" s="1497" t="s">
        <v>2063</v>
      </c>
      <c r="C194" s="2706" t="s">
        <v>2658</v>
      </c>
      <c r="D194" s="2706">
        <v>12</v>
      </c>
      <c r="E194" s="1497">
        <v>37000000</v>
      </c>
      <c r="F194" s="2417">
        <f t="shared" si="17"/>
        <v>6660000</v>
      </c>
      <c r="G194" s="2707">
        <v>42070</v>
      </c>
      <c r="H194" s="2419">
        <v>0.18</v>
      </c>
      <c r="I194" s="2415">
        <v>12</v>
      </c>
      <c r="J194" s="2415">
        <v>7</v>
      </c>
      <c r="K194" s="2415">
        <f t="shared" ref="K194:K202" si="39">ROUND(E194/I194,-2)</f>
        <v>3083300</v>
      </c>
      <c r="L194" s="2415">
        <f t="shared" si="34"/>
        <v>555000</v>
      </c>
      <c r="M194" s="1510">
        <f t="shared" si="18"/>
        <v>21583100</v>
      </c>
      <c r="N194" s="1510">
        <f t="shared" si="19"/>
        <v>3885000</v>
      </c>
      <c r="O194" s="2708">
        <v>18499800</v>
      </c>
      <c r="P194" s="2708">
        <v>3330000</v>
      </c>
      <c r="Q194" s="1509"/>
      <c r="R194" s="3010">
        <v>3083300</v>
      </c>
      <c r="S194" s="3010">
        <v>555000</v>
      </c>
      <c r="T194" s="1507"/>
      <c r="U194" s="1495">
        <f t="shared" si="20"/>
        <v>21583100</v>
      </c>
      <c r="V194" s="1495">
        <f t="shared" si="21"/>
        <v>3885000</v>
      </c>
      <c r="W194" s="1495">
        <f t="shared" si="22"/>
        <v>0</v>
      </c>
      <c r="X194" s="1495">
        <f t="shared" si="23"/>
        <v>15416900</v>
      </c>
      <c r="Y194" s="1495">
        <f t="shared" si="24"/>
        <v>100</v>
      </c>
      <c r="Z194" s="1495">
        <f t="shared" si="25"/>
        <v>0</v>
      </c>
      <c r="AA194" s="1506">
        <f t="shared" si="26"/>
        <v>0</v>
      </c>
      <c r="AB194" s="2441"/>
      <c r="AC194" s="1504">
        <f t="shared" si="27"/>
        <v>0</v>
      </c>
      <c r="AD194" s="1503">
        <f t="shared" si="28"/>
        <v>0</v>
      </c>
      <c r="AE194" s="1503">
        <f t="shared" si="29"/>
        <v>0</v>
      </c>
      <c r="AF194" s="1502">
        <f t="shared" si="30"/>
        <v>0</v>
      </c>
    </row>
    <row r="195" spans="1:32" s="1474" customFormat="1" ht="23.25" customHeight="1">
      <c r="A195" s="2705">
        <v>130</v>
      </c>
      <c r="B195" s="1497" t="s">
        <v>2683</v>
      </c>
      <c r="C195" s="2706" t="s">
        <v>2670</v>
      </c>
      <c r="D195" s="2706">
        <v>12</v>
      </c>
      <c r="E195" s="1497">
        <v>19000000</v>
      </c>
      <c r="F195" s="2417">
        <f t="shared" si="17"/>
        <v>3420000</v>
      </c>
      <c r="G195" s="2707">
        <v>42284</v>
      </c>
      <c r="H195" s="2419">
        <v>0.18</v>
      </c>
      <c r="I195" s="2415">
        <v>12</v>
      </c>
      <c r="J195" s="2415">
        <v>7</v>
      </c>
      <c r="K195" s="2415">
        <f t="shared" si="39"/>
        <v>1583300</v>
      </c>
      <c r="L195" s="2415">
        <f t="shared" si="34"/>
        <v>285000</v>
      </c>
      <c r="M195" s="1510">
        <f t="shared" si="18"/>
        <v>11083100</v>
      </c>
      <c r="N195" s="1510">
        <f t="shared" si="19"/>
        <v>1995000</v>
      </c>
      <c r="O195" s="2708">
        <v>9499800</v>
      </c>
      <c r="P195" s="2708">
        <v>1710000</v>
      </c>
      <c r="Q195" s="1509"/>
      <c r="R195" s="3010">
        <v>1583300</v>
      </c>
      <c r="S195" s="3010">
        <v>285000</v>
      </c>
      <c r="T195" s="1507"/>
      <c r="U195" s="1495">
        <f t="shared" si="20"/>
        <v>11083100</v>
      </c>
      <c r="V195" s="1495">
        <f t="shared" si="21"/>
        <v>1995000</v>
      </c>
      <c r="W195" s="1495">
        <f t="shared" si="22"/>
        <v>0</v>
      </c>
      <c r="X195" s="1495">
        <f t="shared" si="23"/>
        <v>7916900</v>
      </c>
      <c r="Y195" s="1495">
        <f t="shared" si="24"/>
        <v>100</v>
      </c>
      <c r="Z195" s="1495">
        <f t="shared" si="25"/>
        <v>0</v>
      </c>
      <c r="AA195" s="1506">
        <f t="shared" si="26"/>
        <v>0</v>
      </c>
      <c r="AB195" s="2441"/>
      <c r="AC195" s="1504">
        <f t="shared" si="27"/>
        <v>0</v>
      </c>
      <c r="AD195" s="1503">
        <f t="shared" si="28"/>
        <v>0</v>
      </c>
      <c r="AE195" s="1503">
        <f t="shared" si="29"/>
        <v>0</v>
      </c>
      <c r="AF195" s="1502">
        <f t="shared" si="30"/>
        <v>0</v>
      </c>
    </row>
    <row r="196" spans="1:32" s="1474" customFormat="1" ht="23.25" customHeight="1">
      <c r="A196" s="2705">
        <v>131</v>
      </c>
      <c r="B196" s="1497" t="s">
        <v>1957</v>
      </c>
      <c r="C196" s="2706" t="s">
        <v>2670</v>
      </c>
      <c r="D196" s="2706">
        <v>15</v>
      </c>
      <c r="E196" s="1497">
        <v>50000000</v>
      </c>
      <c r="F196" s="2417">
        <f t="shared" si="17"/>
        <v>9000000</v>
      </c>
      <c r="G196" s="2707">
        <v>42199</v>
      </c>
      <c r="H196" s="2419">
        <v>0.18</v>
      </c>
      <c r="I196" s="2415">
        <v>12</v>
      </c>
      <c r="J196" s="2415">
        <v>7</v>
      </c>
      <c r="K196" s="2415">
        <f t="shared" si="39"/>
        <v>4166700</v>
      </c>
      <c r="L196" s="2415">
        <f t="shared" si="34"/>
        <v>750000</v>
      </c>
      <c r="M196" s="1510">
        <f t="shared" si="18"/>
        <v>29166900</v>
      </c>
      <c r="N196" s="1510">
        <f t="shared" si="19"/>
        <v>5250000</v>
      </c>
      <c r="O196" s="2708">
        <v>25000200</v>
      </c>
      <c r="P196" s="2708">
        <v>4500000</v>
      </c>
      <c r="Q196" s="1509"/>
      <c r="R196" s="3010">
        <v>4166700</v>
      </c>
      <c r="S196" s="3010">
        <v>750000</v>
      </c>
      <c r="T196" s="1507"/>
      <c r="U196" s="1495">
        <f t="shared" si="20"/>
        <v>29166900</v>
      </c>
      <c r="V196" s="1495">
        <f t="shared" si="21"/>
        <v>5250000</v>
      </c>
      <c r="W196" s="1495">
        <f t="shared" si="22"/>
        <v>0</v>
      </c>
      <c r="X196" s="1495">
        <f t="shared" si="23"/>
        <v>20833100</v>
      </c>
      <c r="Y196" s="1495">
        <f t="shared" si="24"/>
        <v>100</v>
      </c>
      <c r="Z196" s="1495">
        <f t="shared" si="25"/>
        <v>0</v>
      </c>
      <c r="AA196" s="1506">
        <f t="shared" si="26"/>
        <v>0</v>
      </c>
      <c r="AB196" s="2441"/>
      <c r="AC196" s="1504">
        <f t="shared" si="27"/>
        <v>0</v>
      </c>
      <c r="AD196" s="1503">
        <f t="shared" si="28"/>
        <v>0</v>
      </c>
      <c r="AE196" s="1503">
        <f t="shared" si="29"/>
        <v>0</v>
      </c>
      <c r="AF196" s="1502">
        <f t="shared" si="30"/>
        <v>0</v>
      </c>
    </row>
    <row r="197" spans="1:32" s="1474" customFormat="1" ht="23.25" customHeight="1">
      <c r="A197" s="2705">
        <v>132</v>
      </c>
      <c r="B197" s="1497" t="s">
        <v>2128</v>
      </c>
      <c r="C197" s="2706" t="s">
        <v>2670</v>
      </c>
      <c r="D197" s="2706">
        <v>10</v>
      </c>
      <c r="E197" s="1497">
        <v>30000000</v>
      </c>
      <c r="F197" s="2417">
        <f t="shared" si="17"/>
        <v>5400000</v>
      </c>
      <c r="G197" s="2707">
        <v>42220</v>
      </c>
      <c r="H197" s="2419">
        <v>0.18</v>
      </c>
      <c r="I197" s="2415">
        <v>12</v>
      </c>
      <c r="J197" s="2415">
        <v>6</v>
      </c>
      <c r="K197" s="2415">
        <f t="shared" si="39"/>
        <v>2500000</v>
      </c>
      <c r="L197" s="2415">
        <f t="shared" si="34"/>
        <v>450000</v>
      </c>
      <c r="M197" s="1510">
        <f t="shared" si="18"/>
        <v>15000000</v>
      </c>
      <c r="N197" s="1510">
        <f t="shared" si="19"/>
        <v>2700000</v>
      </c>
      <c r="O197" s="2708">
        <v>12500000</v>
      </c>
      <c r="P197" s="2708">
        <v>2250000</v>
      </c>
      <c r="Q197" s="1509"/>
      <c r="R197" s="3010">
        <v>2500000</v>
      </c>
      <c r="S197" s="3010">
        <v>450000</v>
      </c>
      <c r="T197" s="1507"/>
      <c r="U197" s="1495">
        <f t="shared" si="20"/>
        <v>15000000</v>
      </c>
      <c r="V197" s="1495">
        <f t="shared" si="21"/>
        <v>2700000</v>
      </c>
      <c r="W197" s="1495">
        <f t="shared" si="22"/>
        <v>0</v>
      </c>
      <c r="X197" s="1495">
        <f t="shared" si="23"/>
        <v>15000000</v>
      </c>
      <c r="Y197" s="1495">
        <f t="shared" si="24"/>
        <v>100</v>
      </c>
      <c r="Z197" s="1495">
        <f t="shared" si="25"/>
        <v>0</v>
      </c>
      <c r="AA197" s="1506">
        <f t="shared" si="26"/>
        <v>0</v>
      </c>
      <c r="AB197" s="2441"/>
      <c r="AC197" s="1504">
        <f t="shared" si="27"/>
        <v>0</v>
      </c>
      <c r="AD197" s="1503">
        <f t="shared" si="28"/>
        <v>0</v>
      </c>
      <c r="AE197" s="1503">
        <f t="shared" si="29"/>
        <v>0</v>
      </c>
      <c r="AF197" s="1502">
        <f t="shared" si="30"/>
        <v>0</v>
      </c>
    </row>
    <row r="198" spans="1:32" s="1474" customFormat="1" ht="23.25" customHeight="1">
      <c r="A198" s="2705">
        <v>133</v>
      </c>
      <c r="B198" s="1497" t="s">
        <v>2321</v>
      </c>
      <c r="C198" s="2706" t="s">
        <v>2670</v>
      </c>
      <c r="D198" s="2706">
        <v>10</v>
      </c>
      <c r="E198" s="1497">
        <v>25000000</v>
      </c>
      <c r="F198" s="2417">
        <f t="shared" si="17"/>
        <v>4500000</v>
      </c>
      <c r="G198" s="2707">
        <v>42223</v>
      </c>
      <c r="H198" s="2419">
        <v>0.18</v>
      </c>
      <c r="I198" s="2415">
        <v>12</v>
      </c>
      <c r="J198" s="2415">
        <v>6</v>
      </c>
      <c r="K198" s="2415">
        <f t="shared" si="39"/>
        <v>2083300</v>
      </c>
      <c r="L198" s="2415">
        <f t="shared" si="34"/>
        <v>375000</v>
      </c>
      <c r="M198" s="1510">
        <f t="shared" ref="M198:M207" si="40">IF(J198&lt;I198,J198*K198,IF(J198&gt;=I198,E198))</f>
        <v>12499800</v>
      </c>
      <c r="N198" s="1510">
        <f t="shared" ref="N198:N207" si="41">IF(J198&lt;I198,J198*L198,IF(J198&gt;=I198,F198))</f>
        <v>2250000</v>
      </c>
      <c r="O198" s="2708">
        <v>10268200</v>
      </c>
      <c r="P198" s="2708">
        <v>1875000</v>
      </c>
      <c r="Q198" s="1509"/>
      <c r="R198" s="3010">
        <v>2095000</v>
      </c>
      <c r="S198" s="3010">
        <v>375000</v>
      </c>
      <c r="T198" s="1507"/>
      <c r="U198" s="1495">
        <f t="shared" ref="U198:U207" si="42">SUM(O198+R198)</f>
        <v>12363200</v>
      </c>
      <c r="V198" s="1495">
        <f t="shared" ref="V198:V207" si="43">SUM(P198+S198)</f>
        <v>2250000</v>
      </c>
      <c r="W198" s="1495">
        <f t="shared" ref="W198:W207" si="44">SUM(Q198+T198)</f>
        <v>0</v>
      </c>
      <c r="X198" s="1495">
        <f t="shared" si="23"/>
        <v>12636800</v>
      </c>
      <c r="Y198" s="1495">
        <f t="shared" ref="Y198:Y207" si="45">SUM(U198/M198)*100</f>
        <v>98.907182514920237</v>
      </c>
      <c r="Z198" s="1495">
        <f t="shared" ref="Z198:Z202" si="46">SUM(M198-U198)</f>
        <v>136600</v>
      </c>
      <c r="AA198" s="1506">
        <f t="shared" ref="AA198:AA202" si="47">SUM(N198-V198)</f>
        <v>0</v>
      </c>
      <c r="AB198" s="2441"/>
      <c r="AC198" s="1504">
        <f t="shared" ref="AC198:AC202" si="48">IF(AND(AB198&gt;0,AB198&lt;=2),X198,0)</f>
        <v>0</v>
      </c>
      <c r="AD198" s="1503">
        <f t="shared" ref="AD198:AD202" si="49">IF(AND(AB198&gt;=3,AB198&lt;=4),X198,0)</f>
        <v>0</v>
      </c>
      <c r="AE198" s="1503">
        <f t="shared" ref="AE198:AE202" si="50">IF(AND(AB198&gt;=5,AB198&lt;=6),X198,0)</f>
        <v>0</v>
      </c>
      <c r="AF198" s="1502">
        <f t="shared" ref="AF198:AF202" si="51">IF(AB198&gt;6,X198,0)</f>
        <v>0</v>
      </c>
    </row>
    <row r="199" spans="1:32" s="1474" customFormat="1" ht="23.25" customHeight="1">
      <c r="A199" s="2705">
        <v>134</v>
      </c>
      <c r="B199" s="1497" t="s">
        <v>2199</v>
      </c>
      <c r="C199" s="2706" t="s">
        <v>2670</v>
      </c>
      <c r="D199" s="2706">
        <v>12</v>
      </c>
      <c r="E199" s="1497">
        <v>32500000</v>
      </c>
      <c r="F199" s="2417">
        <f t="shared" si="17"/>
        <v>5850000</v>
      </c>
      <c r="G199" s="2707">
        <v>42229</v>
      </c>
      <c r="H199" s="2419">
        <v>0.18</v>
      </c>
      <c r="I199" s="2415">
        <v>12</v>
      </c>
      <c r="J199" s="2415">
        <v>6</v>
      </c>
      <c r="K199" s="2415">
        <f t="shared" si="39"/>
        <v>2708300</v>
      </c>
      <c r="L199" s="2415">
        <f t="shared" si="34"/>
        <v>487500</v>
      </c>
      <c r="M199" s="1510">
        <f t="shared" si="40"/>
        <v>16249800</v>
      </c>
      <c r="N199" s="1510">
        <f t="shared" si="41"/>
        <v>2925000</v>
      </c>
      <c r="O199" s="2708">
        <v>13541500</v>
      </c>
      <c r="P199" s="2708">
        <v>2437500</v>
      </c>
      <c r="Q199" s="1509"/>
      <c r="R199" s="3010">
        <v>2708300</v>
      </c>
      <c r="S199" s="3010">
        <v>487500</v>
      </c>
      <c r="T199" s="1507"/>
      <c r="U199" s="1495">
        <f t="shared" si="42"/>
        <v>16249800</v>
      </c>
      <c r="V199" s="1495">
        <f t="shared" si="43"/>
        <v>2925000</v>
      </c>
      <c r="W199" s="1495">
        <f t="shared" si="44"/>
        <v>0</v>
      </c>
      <c r="X199" s="1495">
        <f t="shared" si="23"/>
        <v>16250200</v>
      </c>
      <c r="Y199" s="1495">
        <f t="shared" si="45"/>
        <v>100</v>
      </c>
      <c r="Z199" s="1495">
        <f t="shared" si="46"/>
        <v>0</v>
      </c>
      <c r="AA199" s="1506">
        <f t="shared" si="47"/>
        <v>0</v>
      </c>
      <c r="AB199" s="2441"/>
      <c r="AC199" s="1504">
        <f t="shared" si="48"/>
        <v>0</v>
      </c>
      <c r="AD199" s="1503">
        <f t="shared" si="49"/>
        <v>0</v>
      </c>
      <c r="AE199" s="1503">
        <f t="shared" si="50"/>
        <v>0</v>
      </c>
      <c r="AF199" s="1502">
        <f t="shared" si="51"/>
        <v>0</v>
      </c>
    </row>
    <row r="200" spans="1:32" s="1474" customFormat="1" ht="23.25" customHeight="1">
      <c r="A200" s="2705">
        <v>135</v>
      </c>
      <c r="B200" s="1497" t="s">
        <v>2435</v>
      </c>
      <c r="C200" s="2706" t="s">
        <v>2670</v>
      </c>
      <c r="D200" s="2706">
        <v>10</v>
      </c>
      <c r="E200" s="1497">
        <v>25000000</v>
      </c>
      <c r="F200" s="2417">
        <f t="shared" si="17"/>
        <v>4500000</v>
      </c>
      <c r="G200" s="2707">
        <v>42236</v>
      </c>
      <c r="H200" s="2419">
        <v>0.18</v>
      </c>
      <c r="I200" s="2415">
        <v>12</v>
      </c>
      <c r="J200" s="2415">
        <v>6</v>
      </c>
      <c r="K200" s="2415">
        <f t="shared" si="39"/>
        <v>2083300</v>
      </c>
      <c r="L200" s="2415">
        <f t="shared" si="34"/>
        <v>375000</v>
      </c>
      <c r="M200" s="1510">
        <f t="shared" si="40"/>
        <v>12499800</v>
      </c>
      <c r="N200" s="1510">
        <f t="shared" si="41"/>
        <v>2250000</v>
      </c>
      <c r="O200" s="2708">
        <v>10416500</v>
      </c>
      <c r="P200" s="2708">
        <v>1875000</v>
      </c>
      <c r="Q200" s="1509"/>
      <c r="R200" s="3010">
        <v>2083300</v>
      </c>
      <c r="S200" s="3010">
        <v>375000</v>
      </c>
      <c r="T200" s="1507"/>
      <c r="U200" s="1495">
        <f t="shared" si="42"/>
        <v>12499800</v>
      </c>
      <c r="V200" s="1495">
        <f t="shared" si="43"/>
        <v>2250000</v>
      </c>
      <c r="W200" s="1495">
        <f t="shared" si="44"/>
        <v>0</v>
      </c>
      <c r="X200" s="1495">
        <f t="shared" si="23"/>
        <v>12500200</v>
      </c>
      <c r="Y200" s="1495">
        <f t="shared" si="45"/>
        <v>100</v>
      </c>
      <c r="Z200" s="1495">
        <f t="shared" si="46"/>
        <v>0</v>
      </c>
      <c r="AA200" s="1506">
        <f t="shared" si="47"/>
        <v>0</v>
      </c>
      <c r="AB200" s="2441"/>
      <c r="AC200" s="1504">
        <f t="shared" si="48"/>
        <v>0</v>
      </c>
      <c r="AD200" s="1503">
        <f t="shared" si="49"/>
        <v>0</v>
      </c>
      <c r="AE200" s="1503">
        <f t="shared" si="50"/>
        <v>0</v>
      </c>
      <c r="AF200" s="1502">
        <f t="shared" si="51"/>
        <v>0</v>
      </c>
    </row>
    <row r="201" spans="1:32" s="1474" customFormat="1" ht="23.25" customHeight="1">
      <c r="A201" s="2705">
        <v>136</v>
      </c>
      <c r="B201" s="1497" t="s">
        <v>2058</v>
      </c>
      <c r="C201" s="2706" t="s">
        <v>2670</v>
      </c>
      <c r="D201" s="2706">
        <v>7</v>
      </c>
      <c r="E201" s="1497">
        <v>21000000</v>
      </c>
      <c r="F201" s="2417">
        <f t="shared" si="17"/>
        <v>3780000</v>
      </c>
      <c r="G201" s="2707">
        <v>42236</v>
      </c>
      <c r="H201" s="2419">
        <v>0.18</v>
      </c>
      <c r="I201" s="2415">
        <v>12</v>
      </c>
      <c r="J201" s="2415">
        <v>6</v>
      </c>
      <c r="K201" s="2415">
        <f t="shared" si="39"/>
        <v>1750000</v>
      </c>
      <c r="L201" s="2415">
        <f t="shared" si="34"/>
        <v>315000</v>
      </c>
      <c r="M201" s="1510">
        <f t="shared" si="40"/>
        <v>10500000</v>
      </c>
      <c r="N201" s="1510">
        <f t="shared" si="41"/>
        <v>1890000</v>
      </c>
      <c r="O201" s="2708">
        <v>8750000</v>
      </c>
      <c r="P201" s="2708">
        <v>1575000</v>
      </c>
      <c r="Q201" s="1509"/>
      <c r="R201" s="3010">
        <v>1750000</v>
      </c>
      <c r="S201" s="3010">
        <v>315000</v>
      </c>
      <c r="T201" s="1507"/>
      <c r="U201" s="1495">
        <f t="shared" si="42"/>
        <v>10500000</v>
      </c>
      <c r="V201" s="1495">
        <f t="shared" si="43"/>
        <v>1890000</v>
      </c>
      <c r="W201" s="1495">
        <f t="shared" si="44"/>
        <v>0</v>
      </c>
      <c r="X201" s="1495">
        <f t="shared" si="23"/>
        <v>10500000</v>
      </c>
      <c r="Y201" s="1495">
        <f t="shared" si="45"/>
        <v>100</v>
      </c>
      <c r="Z201" s="1495">
        <f t="shared" si="46"/>
        <v>0</v>
      </c>
      <c r="AA201" s="1506">
        <f t="shared" si="47"/>
        <v>0</v>
      </c>
      <c r="AB201" s="2441"/>
      <c r="AC201" s="1504">
        <f t="shared" si="48"/>
        <v>0</v>
      </c>
      <c r="AD201" s="1503">
        <f t="shared" si="49"/>
        <v>0</v>
      </c>
      <c r="AE201" s="1503">
        <f t="shared" si="50"/>
        <v>0</v>
      </c>
      <c r="AF201" s="1502">
        <f t="shared" si="51"/>
        <v>0</v>
      </c>
    </row>
    <row r="202" spans="1:32" s="1474" customFormat="1" ht="23.25" customHeight="1">
      <c r="A202" s="2705">
        <v>137</v>
      </c>
      <c r="B202" s="1497" t="s">
        <v>2323</v>
      </c>
      <c r="C202" s="2706" t="s">
        <v>2670</v>
      </c>
      <c r="D202" s="2706">
        <v>8</v>
      </c>
      <c r="E202" s="1497">
        <v>24000000</v>
      </c>
      <c r="F202" s="2417">
        <f t="shared" si="17"/>
        <v>4320000</v>
      </c>
      <c r="G202" s="2707">
        <v>42263</v>
      </c>
      <c r="H202" s="2419">
        <v>0.18</v>
      </c>
      <c r="I202" s="2415">
        <v>12</v>
      </c>
      <c r="J202" s="2415">
        <v>5</v>
      </c>
      <c r="K202" s="2415">
        <f t="shared" si="39"/>
        <v>2000000</v>
      </c>
      <c r="L202" s="2415">
        <f t="shared" si="34"/>
        <v>360000</v>
      </c>
      <c r="M202" s="1510">
        <f t="shared" si="40"/>
        <v>10000000</v>
      </c>
      <c r="N202" s="1510">
        <f t="shared" si="41"/>
        <v>1800000</v>
      </c>
      <c r="O202" s="2708">
        <v>8000000</v>
      </c>
      <c r="P202" s="2708">
        <v>1440000</v>
      </c>
      <c r="Q202" s="1509"/>
      <c r="R202" s="3010">
        <v>2000000</v>
      </c>
      <c r="S202" s="3010">
        <v>360000</v>
      </c>
      <c r="T202" s="1507"/>
      <c r="U202" s="1495">
        <f t="shared" si="42"/>
        <v>10000000</v>
      </c>
      <c r="V202" s="1495">
        <f t="shared" si="43"/>
        <v>1800000</v>
      </c>
      <c r="W202" s="1495">
        <f t="shared" si="44"/>
        <v>0</v>
      </c>
      <c r="X202" s="1495">
        <f t="shared" si="23"/>
        <v>14000000</v>
      </c>
      <c r="Y202" s="1495">
        <f t="shared" si="45"/>
        <v>100</v>
      </c>
      <c r="Z202" s="1495">
        <f t="shared" si="46"/>
        <v>0</v>
      </c>
      <c r="AA202" s="1506">
        <f t="shared" si="47"/>
        <v>0</v>
      </c>
      <c r="AB202" s="2441"/>
      <c r="AC202" s="1504">
        <f t="shared" si="48"/>
        <v>0</v>
      </c>
      <c r="AD202" s="1503">
        <f t="shared" si="49"/>
        <v>0</v>
      </c>
      <c r="AE202" s="1503">
        <f t="shared" si="50"/>
        <v>0</v>
      </c>
      <c r="AF202" s="1502">
        <f t="shared" si="51"/>
        <v>0</v>
      </c>
    </row>
    <row r="203" spans="1:32" s="1474" customFormat="1" ht="23.25" customHeight="1">
      <c r="A203" s="2705">
        <v>138</v>
      </c>
      <c r="B203" s="1497" t="s">
        <v>2324</v>
      </c>
      <c r="C203" s="2706" t="s">
        <v>2689</v>
      </c>
      <c r="D203" s="2706">
        <v>12</v>
      </c>
      <c r="E203" s="1497">
        <v>25000000</v>
      </c>
      <c r="F203" s="2417">
        <v>4500000</v>
      </c>
      <c r="G203" s="2707">
        <v>42292</v>
      </c>
      <c r="H203" s="2419">
        <v>0.18</v>
      </c>
      <c r="I203" s="2415">
        <v>12</v>
      </c>
      <c r="J203" s="2415">
        <v>4</v>
      </c>
      <c r="K203" s="2415">
        <f t="shared" ref="K203:K217" si="52">ROUND(E203/I203,-2)</f>
        <v>2083300</v>
      </c>
      <c r="L203" s="2415">
        <f t="shared" ref="L203:L217" si="53">F203/I203</f>
        <v>375000</v>
      </c>
      <c r="M203" s="1510">
        <f t="shared" ref="M203:M205" si="54">IF(J203&lt;I203,J203*K203,IF(J203&gt;=I203,E203))</f>
        <v>8333200</v>
      </c>
      <c r="N203" s="1510">
        <f t="shared" ref="N203:N205" si="55">IF(J203&lt;I203,J203*L203,IF(J203&gt;=I203,F203))</f>
        <v>1500000</v>
      </c>
      <c r="O203" s="2708">
        <v>5791600</v>
      </c>
      <c r="P203" s="2708">
        <v>1125000</v>
      </c>
      <c r="Q203" s="1509"/>
      <c r="R203" s="3010">
        <f>458300+1625000</f>
        <v>2083300</v>
      </c>
      <c r="S203" s="3010">
        <v>375000</v>
      </c>
      <c r="T203" s="1507"/>
      <c r="U203" s="1495">
        <f t="shared" ref="U203:U205" si="56">SUM(O203+R203)</f>
        <v>7874900</v>
      </c>
      <c r="V203" s="1495">
        <f t="shared" ref="V203:V205" si="57">SUM(P203+S203)</f>
        <v>1500000</v>
      </c>
      <c r="W203" s="1495">
        <f t="shared" ref="W203:W205" si="58">SUM(Q203+T203)</f>
        <v>0</v>
      </c>
      <c r="X203" s="1495">
        <f t="shared" si="23"/>
        <v>17125100</v>
      </c>
      <c r="Y203" s="1495">
        <f t="shared" si="45"/>
        <v>94.500312004992082</v>
      </c>
      <c r="Z203" s="1495">
        <f t="shared" ref="Z203:Z211" si="59">SUM(M203-U203)</f>
        <v>458300</v>
      </c>
      <c r="AA203" s="1506">
        <f t="shared" ref="AA203:AA211" si="60">SUM(N203-V203)</f>
        <v>0</v>
      </c>
      <c r="AB203" s="2441"/>
      <c r="AC203" s="1504">
        <f t="shared" ref="AC203:AC215" si="61">IF(AND(AB203&gt;0,AB203&lt;=2),X203,0)</f>
        <v>0</v>
      </c>
      <c r="AD203" s="1503">
        <f t="shared" ref="AD203:AD215" si="62">IF(AND(AB203&gt;=3,AB203&lt;=4),X203,0)</f>
        <v>0</v>
      </c>
      <c r="AE203" s="1503">
        <f t="shared" ref="AE203:AE215" si="63">IF(AND(AB203&gt;=5,AB203&lt;=6),X203,0)</f>
        <v>0</v>
      </c>
      <c r="AF203" s="1502">
        <f t="shared" ref="AF203:AF215" si="64">IF(AB203&gt;6,X203,0)</f>
        <v>0</v>
      </c>
    </row>
    <row r="204" spans="1:32" s="1474" customFormat="1" ht="23.25" customHeight="1">
      <c r="A204" s="2705">
        <v>139</v>
      </c>
      <c r="B204" s="1497" t="s">
        <v>2145</v>
      </c>
      <c r="C204" s="2706" t="s">
        <v>2670</v>
      </c>
      <c r="D204" s="2706">
        <v>7</v>
      </c>
      <c r="E204" s="1497">
        <v>21000000</v>
      </c>
      <c r="F204" s="2417">
        <v>3780000</v>
      </c>
      <c r="G204" s="2707">
        <v>42292</v>
      </c>
      <c r="H204" s="2419">
        <v>0.18</v>
      </c>
      <c r="I204" s="2415">
        <v>12</v>
      </c>
      <c r="J204" s="2415">
        <v>4</v>
      </c>
      <c r="K204" s="2415">
        <f t="shared" si="52"/>
        <v>1750000</v>
      </c>
      <c r="L204" s="2415">
        <f t="shared" si="53"/>
        <v>315000</v>
      </c>
      <c r="M204" s="1510">
        <f t="shared" si="54"/>
        <v>7000000</v>
      </c>
      <c r="N204" s="1510">
        <f t="shared" si="55"/>
        <v>1260000</v>
      </c>
      <c r="O204" s="2708">
        <v>5250000</v>
      </c>
      <c r="P204" s="2708">
        <v>945000</v>
      </c>
      <c r="Q204" s="1509"/>
      <c r="R204" s="3010">
        <v>1750000</v>
      </c>
      <c r="S204" s="3010">
        <v>315000</v>
      </c>
      <c r="T204" s="1507"/>
      <c r="U204" s="1495">
        <f t="shared" si="56"/>
        <v>7000000</v>
      </c>
      <c r="V204" s="1495">
        <f t="shared" si="57"/>
        <v>1260000</v>
      </c>
      <c r="W204" s="1495">
        <f t="shared" si="58"/>
        <v>0</v>
      </c>
      <c r="X204" s="1495">
        <f t="shared" si="23"/>
        <v>14000000</v>
      </c>
      <c r="Y204" s="1495">
        <f t="shared" si="45"/>
        <v>100</v>
      </c>
      <c r="Z204" s="1495">
        <f t="shared" si="59"/>
        <v>0</v>
      </c>
      <c r="AA204" s="1506">
        <f t="shared" si="60"/>
        <v>0</v>
      </c>
      <c r="AB204" s="2441"/>
      <c r="AC204" s="1504">
        <f t="shared" si="61"/>
        <v>0</v>
      </c>
      <c r="AD204" s="1503">
        <f t="shared" si="62"/>
        <v>0</v>
      </c>
      <c r="AE204" s="1503">
        <f t="shared" si="63"/>
        <v>0</v>
      </c>
      <c r="AF204" s="1502">
        <f t="shared" si="64"/>
        <v>0</v>
      </c>
    </row>
    <row r="205" spans="1:32" s="1474" customFormat="1" ht="23.25" customHeight="1">
      <c r="A205" s="2705">
        <v>140</v>
      </c>
      <c r="B205" s="1497" t="s">
        <v>2593</v>
      </c>
      <c r="C205" s="2706" t="s">
        <v>2689</v>
      </c>
      <c r="D205" s="2706">
        <v>7</v>
      </c>
      <c r="E205" s="1497">
        <v>10500000</v>
      </c>
      <c r="F205" s="2417">
        <v>1890000</v>
      </c>
      <c r="G205" s="2707">
        <v>42292</v>
      </c>
      <c r="H205" s="2419">
        <v>0.18</v>
      </c>
      <c r="I205" s="2415">
        <v>12</v>
      </c>
      <c r="J205" s="2415">
        <v>4</v>
      </c>
      <c r="K205" s="2415">
        <f t="shared" si="52"/>
        <v>875000</v>
      </c>
      <c r="L205" s="2415">
        <f t="shared" si="53"/>
        <v>157500</v>
      </c>
      <c r="M205" s="1510">
        <f t="shared" si="54"/>
        <v>3500000</v>
      </c>
      <c r="N205" s="1510">
        <f t="shared" si="55"/>
        <v>630000</v>
      </c>
      <c r="O205" s="2708">
        <v>2625000</v>
      </c>
      <c r="P205" s="2708">
        <v>472500</v>
      </c>
      <c r="Q205" s="1509"/>
      <c r="R205" s="3010">
        <v>875000</v>
      </c>
      <c r="S205" s="3010">
        <v>157500</v>
      </c>
      <c r="T205" s="1507"/>
      <c r="U205" s="1495">
        <f t="shared" si="56"/>
        <v>3500000</v>
      </c>
      <c r="V205" s="1495">
        <f t="shared" si="57"/>
        <v>630000</v>
      </c>
      <c r="W205" s="1495">
        <f t="shared" si="58"/>
        <v>0</v>
      </c>
      <c r="X205" s="1495">
        <f t="shared" si="23"/>
        <v>7000000</v>
      </c>
      <c r="Y205" s="1495">
        <f t="shared" si="45"/>
        <v>100</v>
      </c>
      <c r="Z205" s="1495">
        <f t="shared" si="59"/>
        <v>0</v>
      </c>
      <c r="AA205" s="1506">
        <f t="shared" si="60"/>
        <v>0</v>
      </c>
      <c r="AB205" s="2441"/>
      <c r="AC205" s="1504">
        <f t="shared" si="61"/>
        <v>0</v>
      </c>
      <c r="AD205" s="1503">
        <f t="shared" si="62"/>
        <v>0</v>
      </c>
      <c r="AE205" s="1503">
        <f t="shared" si="63"/>
        <v>0</v>
      </c>
      <c r="AF205" s="1502">
        <f t="shared" si="64"/>
        <v>0</v>
      </c>
    </row>
    <row r="206" spans="1:32" s="1474" customFormat="1" ht="23.25" customHeight="1">
      <c r="A206" s="2705">
        <v>141</v>
      </c>
      <c r="B206" s="1497" t="s">
        <v>1901</v>
      </c>
      <c r="C206" s="2706" t="s">
        <v>2689</v>
      </c>
      <c r="D206" s="2706">
        <v>15</v>
      </c>
      <c r="E206" s="1497">
        <v>25000000</v>
      </c>
      <c r="F206" s="2417">
        <v>4500000</v>
      </c>
      <c r="G206" s="2707">
        <v>42292</v>
      </c>
      <c r="H206" s="2419">
        <v>0.18</v>
      </c>
      <c r="I206" s="2415">
        <v>12</v>
      </c>
      <c r="J206" s="2415">
        <v>4</v>
      </c>
      <c r="K206" s="2415">
        <f t="shared" si="52"/>
        <v>2083300</v>
      </c>
      <c r="L206" s="2415">
        <f t="shared" si="53"/>
        <v>375000</v>
      </c>
      <c r="M206" s="1510">
        <f t="shared" si="40"/>
        <v>8333200</v>
      </c>
      <c r="N206" s="1510">
        <f t="shared" si="41"/>
        <v>1500000</v>
      </c>
      <c r="O206" s="2708">
        <v>6249900</v>
      </c>
      <c r="P206" s="2708">
        <v>1125000</v>
      </c>
      <c r="Q206" s="1509"/>
      <c r="R206" s="3010">
        <v>2083300</v>
      </c>
      <c r="S206" s="3010">
        <v>375000</v>
      </c>
      <c r="T206" s="1507"/>
      <c r="U206" s="1495">
        <f t="shared" si="42"/>
        <v>8333200</v>
      </c>
      <c r="V206" s="1495">
        <f t="shared" si="43"/>
        <v>1500000</v>
      </c>
      <c r="W206" s="1495">
        <f t="shared" si="44"/>
        <v>0</v>
      </c>
      <c r="X206" s="1495">
        <f t="shared" si="23"/>
        <v>16666800</v>
      </c>
      <c r="Y206" s="1495">
        <f t="shared" si="45"/>
        <v>100</v>
      </c>
      <c r="Z206" s="1495">
        <f t="shared" si="59"/>
        <v>0</v>
      </c>
      <c r="AA206" s="1506">
        <f t="shared" si="60"/>
        <v>0</v>
      </c>
      <c r="AB206" s="2441"/>
      <c r="AC206" s="1504">
        <f t="shared" si="61"/>
        <v>0</v>
      </c>
      <c r="AD206" s="1503">
        <f t="shared" si="62"/>
        <v>0</v>
      </c>
      <c r="AE206" s="1503">
        <f t="shared" si="63"/>
        <v>0</v>
      </c>
      <c r="AF206" s="1502">
        <f t="shared" si="64"/>
        <v>0</v>
      </c>
    </row>
    <row r="207" spans="1:32" s="1474" customFormat="1" ht="23.25" customHeight="1">
      <c r="A207" s="2705">
        <v>142</v>
      </c>
      <c r="B207" s="1497" t="s">
        <v>2716</v>
      </c>
      <c r="C207" s="2706" t="s">
        <v>2689</v>
      </c>
      <c r="D207" s="2706">
        <v>10</v>
      </c>
      <c r="E207" s="1497">
        <v>10000000</v>
      </c>
      <c r="F207" s="2417">
        <f t="shared" si="17"/>
        <v>1800000</v>
      </c>
      <c r="G207" s="2707">
        <v>42317</v>
      </c>
      <c r="H207" s="2419">
        <v>0.18</v>
      </c>
      <c r="I207" s="2415">
        <v>12</v>
      </c>
      <c r="J207" s="2415">
        <v>3</v>
      </c>
      <c r="K207" s="2415">
        <f t="shared" si="52"/>
        <v>833300</v>
      </c>
      <c r="L207" s="2415">
        <f t="shared" si="53"/>
        <v>150000</v>
      </c>
      <c r="M207" s="1510">
        <f t="shared" si="40"/>
        <v>2499900</v>
      </c>
      <c r="N207" s="1510">
        <f t="shared" si="41"/>
        <v>450000</v>
      </c>
      <c r="O207" s="2708">
        <v>1666600</v>
      </c>
      <c r="P207" s="2708">
        <v>300000</v>
      </c>
      <c r="Q207" s="1509"/>
      <c r="R207" s="3010">
        <v>833300</v>
      </c>
      <c r="S207" s="3010">
        <v>150000</v>
      </c>
      <c r="T207" s="1507"/>
      <c r="U207" s="1495">
        <f t="shared" si="42"/>
        <v>2499900</v>
      </c>
      <c r="V207" s="1495">
        <f t="shared" si="43"/>
        <v>450000</v>
      </c>
      <c r="W207" s="1495">
        <f t="shared" si="44"/>
        <v>0</v>
      </c>
      <c r="X207" s="1495">
        <f t="shared" si="23"/>
        <v>7500100</v>
      </c>
      <c r="Y207" s="1495">
        <f t="shared" si="45"/>
        <v>100</v>
      </c>
      <c r="Z207" s="1495">
        <f t="shared" si="59"/>
        <v>0</v>
      </c>
      <c r="AA207" s="1506">
        <f t="shared" si="60"/>
        <v>0</v>
      </c>
      <c r="AB207" s="2441"/>
      <c r="AC207" s="1504">
        <f t="shared" si="61"/>
        <v>0</v>
      </c>
      <c r="AD207" s="1503">
        <f t="shared" si="62"/>
        <v>0</v>
      </c>
      <c r="AE207" s="1503">
        <f t="shared" si="63"/>
        <v>0</v>
      </c>
      <c r="AF207" s="1502">
        <f t="shared" si="64"/>
        <v>0</v>
      </c>
    </row>
    <row r="208" spans="1:32" s="1474" customFormat="1" ht="23.25" customHeight="1">
      <c r="A208" s="2705">
        <v>143</v>
      </c>
      <c r="B208" s="1497" t="s">
        <v>2717</v>
      </c>
      <c r="C208" s="2706" t="s">
        <v>2689</v>
      </c>
      <c r="D208" s="2706">
        <v>10</v>
      </c>
      <c r="E208" s="1497">
        <v>22000000</v>
      </c>
      <c r="F208" s="2417">
        <f t="shared" si="17"/>
        <v>3960000</v>
      </c>
      <c r="G208" s="2707">
        <v>42317</v>
      </c>
      <c r="H208" s="2419">
        <v>0.18</v>
      </c>
      <c r="I208" s="2415">
        <v>12</v>
      </c>
      <c r="J208" s="2415">
        <v>3</v>
      </c>
      <c r="K208" s="2415">
        <f t="shared" si="52"/>
        <v>1833300</v>
      </c>
      <c r="L208" s="2415">
        <f t="shared" si="53"/>
        <v>330000</v>
      </c>
      <c r="M208" s="1510">
        <f t="shared" ref="M208:M215" si="65">IF(J208&lt;I208,J208*K208,IF(J208&gt;=I208,E208))</f>
        <v>5499900</v>
      </c>
      <c r="N208" s="1510">
        <f t="shared" ref="N208:N215" si="66">IF(J208&lt;I208,J208*L208,IF(J208&gt;=I208,F208))</f>
        <v>990000</v>
      </c>
      <c r="O208" s="2708">
        <v>3666600</v>
      </c>
      <c r="P208" s="2708">
        <v>660000</v>
      </c>
      <c r="Q208" s="1509"/>
      <c r="R208" s="3010">
        <v>1833300</v>
      </c>
      <c r="S208" s="3010">
        <v>330000</v>
      </c>
      <c r="T208" s="1507"/>
      <c r="U208" s="1495">
        <f t="shared" ref="U208:U215" si="67">SUM(O208+R208)</f>
        <v>5499900</v>
      </c>
      <c r="V208" s="1495">
        <f t="shared" ref="V208:V215" si="68">SUM(P208+S208)</f>
        <v>990000</v>
      </c>
      <c r="W208" s="1495">
        <f t="shared" ref="W208:W215" si="69">SUM(Q208+T208)</f>
        <v>0</v>
      </c>
      <c r="X208" s="1495">
        <f t="shared" si="23"/>
        <v>16500100</v>
      </c>
      <c r="Y208" s="1495">
        <f t="shared" ref="Y208:Y215" si="70">SUM(U208/M208)*100</f>
        <v>100</v>
      </c>
      <c r="Z208" s="1495">
        <f t="shared" si="59"/>
        <v>0</v>
      </c>
      <c r="AA208" s="1506">
        <f t="shared" si="60"/>
        <v>0</v>
      </c>
      <c r="AB208" s="2441"/>
      <c r="AC208" s="1504">
        <f t="shared" si="61"/>
        <v>0</v>
      </c>
      <c r="AD208" s="1503">
        <f t="shared" si="62"/>
        <v>0</v>
      </c>
      <c r="AE208" s="1503">
        <f t="shared" si="63"/>
        <v>0</v>
      </c>
      <c r="AF208" s="1502">
        <f t="shared" si="64"/>
        <v>0</v>
      </c>
    </row>
    <row r="209" spans="1:32" s="1474" customFormat="1" ht="23.25" customHeight="1">
      <c r="A209" s="2705">
        <v>144</v>
      </c>
      <c r="B209" s="1497" t="s">
        <v>2330</v>
      </c>
      <c r="C209" s="2706" t="s">
        <v>2689</v>
      </c>
      <c r="D209" s="2706">
        <v>14</v>
      </c>
      <c r="E209" s="1497">
        <v>26000000</v>
      </c>
      <c r="F209" s="2417">
        <f t="shared" si="17"/>
        <v>4680000</v>
      </c>
      <c r="G209" s="2707">
        <v>42317</v>
      </c>
      <c r="H209" s="2419">
        <v>0.18</v>
      </c>
      <c r="I209" s="2415">
        <v>12</v>
      </c>
      <c r="J209" s="2415">
        <v>3</v>
      </c>
      <c r="K209" s="2415">
        <f t="shared" si="52"/>
        <v>2166700</v>
      </c>
      <c r="L209" s="2415">
        <f t="shared" si="53"/>
        <v>390000</v>
      </c>
      <c r="M209" s="1510">
        <f t="shared" si="65"/>
        <v>6500100</v>
      </c>
      <c r="N209" s="1510">
        <f t="shared" si="66"/>
        <v>1170000</v>
      </c>
      <c r="O209" s="2708">
        <v>4333400</v>
      </c>
      <c r="P209" s="2708">
        <v>780000</v>
      </c>
      <c r="Q209" s="1509"/>
      <c r="R209" s="3010">
        <v>2166700</v>
      </c>
      <c r="S209" s="3010">
        <v>390000</v>
      </c>
      <c r="T209" s="1507"/>
      <c r="U209" s="1495">
        <f t="shared" si="67"/>
        <v>6500100</v>
      </c>
      <c r="V209" s="1495">
        <f t="shared" si="68"/>
        <v>1170000</v>
      </c>
      <c r="W209" s="1495">
        <f t="shared" si="69"/>
        <v>0</v>
      </c>
      <c r="X209" s="1495">
        <f t="shared" si="23"/>
        <v>19499900</v>
      </c>
      <c r="Y209" s="1495">
        <f t="shared" si="70"/>
        <v>100</v>
      </c>
      <c r="Z209" s="1495">
        <f t="shared" si="59"/>
        <v>0</v>
      </c>
      <c r="AA209" s="1506">
        <f t="shared" si="60"/>
        <v>0</v>
      </c>
      <c r="AB209" s="2441"/>
      <c r="AC209" s="1504">
        <f t="shared" si="61"/>
        <v>0</v>
      </c>
      <c r="AD209" s="1503">
        <f t="shared" si="62"/>
        <v>0</v>
      </c>
      <c r="AE209" s="1503">
        <f t="shared" si="63"/>
        <v>0</v>
      </c>
      <c r="AF209" s="1502">
        <f t="shared" si="64"/>
        <v>0</v>
      </c>
    </row>
    <row r="210" spans="1:32" s="1474" customFormat="1" ht="23.25" customHeight="1">
      <c r="A210" s="2705">
        <v>145</v>
      </c>
      <c r="B210" s="1497" t="s">
        <v>2611</v>
      </c>
      <c r="C210" s="2706" t="s">
        <v>2689</v>
      </c>
      <c r="D210" s="2706">
        <v>12</v>
      </c>
      <c r="E210" s="1497">
        <v>11500000</v>
      </c>
      <c r="F210" s="2417">
        <f t="shared" si="17"/>
        <v>2070000</v>
      </c>
      <c r="G210" s="2707">
        <v>42317</v>
      </c>
      <c r="H210" s="2419">
        <v>0.18</v>
      </c>
      <c r="I210" s="2415">
        <v>12</v>
      </c>
      <c r="J210" s="2415">
        <v>3</v>
      </c>
      <c r="K210" s="2415">
        <f t="shared" si="52"/>
        <v>958300</v>
      </c>
      <c r="L210" s="2415">
        <f t="shared" si="53"/>
        <v>172500</v>
      </c>
      <c r="M210" s="1510">
        <f t="shared" si="65"/>
        <v>2874900</v>
      </c>
      <c r="N210" s="1510">
        <f t="shared" si="66"/>
        <v>517500</v>
      </c>
      <c r="O210" s="2708">
        <v>1916600</v>
      </c>
      <c r="P210" s="2708">
        <v>345000</v>
      </c>
      <c r="Q210" s="1509"/>
      <c r="R210" s="3010">
        <v>958300</v>
      </c>
      <c r="S210" s="3010">
        <v>172500</v>
      </c>
      <c r="T210" s="1507"/>
      <c r="U210" s="1495">
        <f t="shared" si="67"/>
        <v>2874900</v>
      </c>
      <c r="V210" s="1495">
        <f t="shared" si="68"/>
        <v>517500</v>
      </c>
      <c r="W210" s="1495">
        <f t="shared" si="69"/>
        <v>0</v>
      </c>
      <c r="X210" s="1495">
        <f t="shared" si="23"/>
        <v>8625100</v>
      </c>
      <c r="Y210" s="1495">
        <f t="shared" si="70"/>
        <v>100</v>
      </c>
      <c r="Z210" s="1495">
        <f t="shared" si="59"/>
        <v>0</v>
      </c>
      <c r="AA210" s="1506">
        <f t="shared" si="60"/>
        <v>0</v>
      </c>
      <c r="AB210" s="2441"/>
      <c r="AC210" s="1504">
        <f t="shared" si="61"/>
        <v>0</v>
      </c>
      <c r="AD210" s="1503">
        <f t="shared" si="62"/>
        <v>0</v>
      </c>
      <c r="AE210" s="1503">
        <f t="shared" si="63"/>
        <v>0</v>
      </c>
      <c r="AF210" s="1502">
        <f t="shared" si="64"/>
        <v>0</v>
      </c>
    </row>
    <row r="211" spans="1:32" s="1474" customFormat="1" ht="23.25" customHeight="1">
      <c r="A211" s="2705">
        <v>146</v>
      </c>
      <c r="B211" s="1497" t="s">
        <v>2592</v>
      </c>
      <c r="C211" s="2706" t="s">
        <v>2689</v>
      </c>
      <c r="D211" s="2706">
        <v>7</v>
      </c>
      <c r="E211" s="1497">
        <v>10500000</v>
      </c>
      <c r="F211" s="2417">
        <f t="shared" si="17"/>
        <v>1890000</v>
      </c>
      <c r="G211" s="2707">
        <v>42317</v>
      </c>
      <c r="H211" s="2419">
        <v>0.18</v>
      </c>
      <c r="I211" s="2415">
        <v>12</v>
      </c>
      <c r="J211" s="2415">
        <v>3</v>
      </c>
      <c r="K211" s="2415">
        <f t="shared" si="52"/>
        <v>875000</v>
      </c>
      <c r="L211" s="2415">
        <f t="shared" si="53"/>
        <v>157500</v>
      </c>
      <c r="M211" s="1510">
        <f t="shared" si="65"/>
        <v>2625000</v>
      </c>
      <c r="N211" s="1510">
        <f t="shared" si="66"/>
        <v>472500</v>
      </c>
      <c r="O211" s="2708">
        <v>1750000</v>
      </c>
      <c r="P211" s="2708">
        <v>315000</v>
      </c>
      <c r="Q211" s="1509"/>
      <c r="R211" s="3010">
        <v>875000</v>
      </c>
      <c r="S211" s="3010">
        <v>157500</v>
      </c>
      <c r="T211" s="1507"/>
      <c r="U211" s="1495">
        <f t="shared" si="67"/>
        <v>2625000</v>
      </c>
      <c r="V211" s="1495">
        <f t="shared" si="68"/>
        <v>472500</v>
      </c>
      <c r="W211" s="1495">
        <f t="shared" si="69"/>
        <v>0</v>
      </c>
      <c r="X211" s="1495">
        <f t="shared" si="23"/>
        <v>7875000</v>
      </c>
      <c r="Y211" s="1495">
        <f t="shared" si="70"/>
        <v>100</v>
      </c>
      <c r="Z211" s="1495">
        <f t="shared" si="59"/>
        <v>0</v>
      </c>
      <c r="AA211" s="1506">
        <f t="shared" si="60"/>
        <v>0</v>
      </c>
      <c r="AB211" s="2441"/>
      <c r="AC211" s="1504">
        <f t="shared" si="61"/>
        <v>0</v>
      </c>
      <c r="AD211" s="1503">
        <f t="shared" si="62"/>
        <v>0</v>
      </c>
      <c r="AE211" s="1503">
        <f t="shared" si="63"/>
        <v>0</v>
      </c>
      <c r="AF211" s="1502">
        <f t="shared" si="64"/>
        <v>0</v>
      </c>
    </row>
    <row r="212" spans="1:32" s="1474" customFormat="1" ht="23.25" customHeight="1">
      <c r="A212" s="2705">
        <v>147</v>
      </c>
      <c r="B212" s="1497" t="s">
        <v>2597</v>
      </c>
      <c r="C212" s="2706" t="s">
        <v>2714</v>
      </c>
      <c r="D212" s="2706">
        <v>10</v>
      </c>
      <c r="E212" s="1497">
        <v>35000000</v>
      </c>
      <c r="F212" s="2417">
        <f t="shared" si="17"/>
        <v>6300000</v>
      </c>
      <c r="G212" s="2707">
        <v>42328</v>
      </c>
      <c r="H212" s="2419">
        <v>0.18</v>
      </c>
      <c r="I212" s="2415">
        <v>12</v>
      </c>
      <c r="J212" s="2415">
        <v>3</v>
      </c>
      <c r="K212" s="2415">
        <f t="shared" si="52"/>
        <v>2916700</v>
      </c>
      <c r="L212" s="2415">
        <f t="shared" si="53"/>
        <v>525000</v>
      </c>
      <c r="M212" s="1510">
        <f t="shared" si="65"/>
        <v>8750100</v>
      </c>
      <c r="N212" s="1510">
        <f t="shared" si="66"/>
        <v>1575000</v>
      </c>
      <c r="O212" s="2708">
        <v>5833400</v>
      </c>
      <c r="P212" s="2708">
        <v>1050000</v>
      </c>
      <c r="Q212" s="1509"/>
      <c r="R212" s="3010">
        <v>2916700</v>
      </c>
      <c r="S212" s="3010">
        <v>525000</v>
      </c>
      <c r="T212" s="1507"/>
      <c r="U212" s="1495">
        <f t="shared" si="67"/>
        <v>8750100</v>
      </c>
      <c r="V212" s="1495">
        <f t="shared" si="68"/>
        <v>1575000</v>
      </c>
      <c r="W212" s="1495">
        <f t="shared" si="69"/>
        <v>0</v>
      </c>
      <c r="X212" s="1495">
        <f t="shared" si="23"/>
        <v>26249900</v>
      </c>
      <c r="Y212" s="1495">
        <f t="shared" si="70"/>
        <v>100</v>
      </c>
      <c r="Z212" s="1495">
        <f t="shared" ref="Z212:Z215" si="71">SUM(M212-U212)</f>
        <v>0</v>
      </c>
      <c r="AA212" s="1506">
        <f t="shared" ref="AA212:AA215" si="72">SUM(N212-V212)</f>
        <v>0</v>
      </c>
      <c r="AB212" s="2441"/>
      <c r="AC212" s="1504">
        <f t="shared" si="61"/>
        <v>0</v>
      </c>
      <c r="AD212" s="1503">
        <f t="shared" si="62"/>
        <v>0</v>
      </c>
      <c r="AE212" s="1503">
        <f t="shared" si="63"/>
        <v>0</v>
      </c>
      <c r="AF212" s="1502">
        <f t="shared" si="64"/>
        <v>0</v>
      </c>
    </row>
    <row r="213" spans="1:32" s="1474" customFormat="1" ht="23.25" customHeight="1">
      <c r="A213" s="2705">
        <v>148</v>
      </c>
      <c r="B213" s="1497" t="s">
        <v>2598</v>
      </c>
      <c r="C213" s="2706" t="s">
        <v>2714</v>
      </c>
      <c r="D213" s="2706">
        <v>10</v>
      </c>
      <c r="E213" s="1497">
        <v>35000000</v>
      </c>
      <c r="F213" s="2417">
        <f t="shared" si="17"/>
        <v>6300000</v>
      </c>
      <c r="G213" s="2707">
        <v>42328</v>
      </c>
      <c r="H213" s="2419">
        <v>0.18</v>
      </c>
      <c r="I213" s="2415">
        <v>12</v>
      </c>
      <c r="J213" s="2415">
        <v>3</v>
      </c>
      <c r="K213" s="2415">
        <f t="shared" si="52"/>
        <v>2916700</v>
      </c>
      <c r="L213" s="2415">
        <f t="shared" si="53"/>
        <v>525000</v>
      </c>
      <c r="M213" s="1510">
        <f t="shared" si="65"/>
        <v>8750100</v>
      </c>
      <c r="N213" s="1510">
        <f t="shared" si="66"/>
        <v>1575000</v>
      </c>
      <c r="O213" s="2708">
        <v>5833400</v>
      </c>
      <c r="P213" s="2708">
        <v>1050000</v>
      </c>
      <c r="Q213" s="1509"/>
      <c r="R213" s="3010">
        <v>2916700</v>
      </c>
      <c r="S213" s="3010">
        <v>525000</v>
      </c>
      <c r="T213" s="1507"/>
      <c r="U213" s="1495">
        <f t="shared" si="67"/>
        <v>8750100</v>
      </c>
      <c r="V213" s="1495">
        <f t="shared" si="68"/>
        <v>1575000</v>
      </c>
      <c r="W213" s="1495">
        <f t="shared" si="69"/>
        <v>0</v>
      </c>
      <c r="X213" s="1495">
        <f t="shared" si="23"/>
        <v>26249900</v>
      </c>
      <c r="Y213" s="1495">
        <f t="shared" si="70"/>
        <v>100</v>
      </c>
      <c r="Z213" s="1495">
        <f t="shared" si="71"/>
        <v>0</v>
      </c>
      <c r="AA213" s="1506">
        <f t="shared" si="72"/>
        <v>0</v>
      </c>
      <c r="AB213" s="2441"/>
      <c r="AC213" s="1504">
        <f t="shared" si="61"/>
        <v>0</v>
      </c>
      <c r="AD213" s="1503">
        <f t="shared" si="62"/>
        <v>0</v>
      </c>
      <c r="AE213" s="1503">
        <f t="shared" si="63"/>
        <v>0</v>
      </c>
      <c r="AF213" s="1502">
        <f t="shared" si="64"/>
        <v>0</v>
      </c>
    </row>
    <row r="214" spans="1:32" s="1474" customFormat="1" ht="23.25" customHeight="1">
      <c r="A214" s="2705">
        <v>149</v>
      </c>
      <c r="B214" s="1497" t="s">
        <v>2229</v>
      </c>
      <c r="C214" s="2706" t="s">
        <v>2689</v>
      </c>
      <c r="D214" s="2706">
        <v>10</v>
      </c>
      <c r="E214" s="1497">
        <v>28000000</v>
      </c>
      <c r="F214" s="2417">
        <f t="shared" si="17"/>
        <v>5040000</v>
      </c>
      <c r="G214" s="2707">
        <v>42341</v>
      </c>
      <c r="H214" s="2419">
        <v>0.18</v>
      </c>
      <c r="I214" s="2415">
        <v>12</v>
      </c>
      <c r="J214" s="2415">
        <v>2</v>
      </c>
      <c r="K214" s="2415">
        <f t="shared" si="52"/>
        <v>2333300</v>
      </c>
      <c r="L214" s="2415">
        <f t="shared" si="53"/>
        <v>420000</v>
      </c>
      <c r="M214" s="1510">
        <f t="shared" si="65"/>
        <v>4666600</v>
      </c>
      <c r="N214" s="1510">
        <f t="shared" si="66"/>
        <v>840000</v>
      </c>
      <c r="O214" s="2708">
        <v>2333300</v>
      </c>
      <c r="P214" s="2708">
        <v>420000</v>
      </c>
      <c r="Q214" s="1509"/>
      <c r="R214" s="3010">
        <v>2333300</v>
      </c>
      <c r="S214" s="3010">
        <v>420000</v>
      </c>
      <c r="T214" s="1507"/>
      <c r="U214" s="1495">
        <f t="shared" si="67"/>
        <v>4666600</v>
      </c>
      <c r="V214" s="1495">
        <f t="shared" si="68"/>
        <v>840000</v>
      </c>
      <c r="W214" s="1495">
        <f t="shared" si="69"/>
        <v>0</v>
      </c>
      <c r="X214" s="1495">
        <f t="shared" si="23"/>
        <v>23333400</v>
      </c>
      <c r="Y214" s="1495">
        <f t="shared" si="70"/>
        <v>100</v>
      </c>
      <c r="Z214" s="1495">
        <f t="shared" si="71"/>
        <v>0</v>
      </c>
      <c r="AA214" s="1506">
        <f t="shared" si="72"/>
        <v>0</v>
      </c>
      <c r="AB214" s="2441"/>
      <c r="AC214" s="1504">
        <f t="shared" si="61"/>
        <v>0</v>
      </c>
      <c r="AD214" s="1503">
        <f t="shared" si="62"/>
        <v>0</v>
      </c>
      <c r="AE214" s="1503">
        <f t="shared" si="63"/>
        <v>0</v>
      </c>
      <c r="AF214" s="1502">
        <f t="shared" si="64"/>
        <v>0</v>
      </c>
    </row>
    <row r="215" spans="1:32" s="1474" customFormat="1" ht="23.25" customHeight="1">
      <c r="A215" s="2705">
        <v>150</v>
      </c>
      <c r="B215" s="1497" t="s">
        <v>1977</v>
      </c>
      <c r="C215" s="2706" t="s">
        <v>2714</v>
      </c>
      <c r="D215" s="2706">
        <v>18</v>
      </c>
      <c r="E215" s="1497">
        <v>40000000</v>
      </c>
      <c r="F215" s="2417">
        <f t="shared" si="17"/>
        <v>7200000</v>
      </c>
      <c r="G215" s="2707">
        <v>42411</v>
      </c>
      <c r="H215" s="2419">
        <v>0.18</v>
      </c>
      <c r="I215" s="2415">
        <v>12</v>
      </c>
      <c r="J215" s="2415">
        <v>0</v>
      </c>
      <c r="K215" s="2415">
        <f t="shared" si="52"/>
        <v>3333300</v>
      </c>
      <c r="L215" s="2415">
        <f t="shared" si="53"/>
        <v>600000</v>
      </c>
      <c r="M215" s="1510">
        <f t="shared" si="65"/>
        <v>0</v>
      </c>
      <c r="N215" s="1510">
        <f t="shared" si="66"/>
        <v>0</v>
      </c>
      <c r="O215" s="2708"/>
      <c r="P215" s="2708"/>
      <c r="Q215" s="1509"/>
      <c r="R215" s="2653"/>
      <c r="S215" s="2653"/>
      <c r="T215" s="1507"/>
      <c r="U215" s="1495">
        <f t="shared" si="67"/>
        <v>0</v>
      </c>
      <c r="V215" s="1495">
        <f t="shared" si="68"/>
        <v>0</v>
      </c>
      <c r="W215" s="1495">
        <f t="shared" si="69"/>
        <v>0</v>
      </c>
      <c r="X215" s="1495">
        <f t="shared" si="23"/>
        <v>40000000</v>
      </c>
      <c r="Y215" s="1495" t="e">
        <f t="shared" si="70"/>
        <v>#DIV/0!</v>
      </c>
      <c r="Z215" s="1495">
        <f t="shared" si="71"/>
        <v>0</v>
      </c>
      <c r="AA215" s="1506">
        <f t="shared" si="72"/>
        <v>0</v>
      </c>
      <c r="AB215" s="2441"/>
      <c r="AC215" s="1504">
        <f t="shared" si="61"/>
        <v>0</v>
      </c>
      <c r="AD215" s="1503">
        <f t="shared" si="62"/>
        <v>0</v>
      </c>
      <c r="AE215" s="1503">
        <f t="shared" si="63"/>
        <v>0</v>
      </c>
      <c r="AF215" s="1502">
        <f t="shared" si="64"/>
        <v>0</v>
      </c>
    </row>
    <row r="216" spans="1:32" s="1474" customFormat="1" ht="23.25" customHeight="1">
      <c r="A216" s="2705"/>
      <c r="B216" s="1497"/>
      <c r="C216" s="2706"/>
      <c r="D216" s="2706"/>
      <c r="E216" s="1497"/>
      <c r="F216" s="2417">
        <f t="shared" si="17"/>
        <v>0</v>
      </c>
      <c r="G216" s="2707"/>
      <c r="H216" s="2419"/>
      <c r="I216" s="2415"/>
      <c r="J216" s="2415">
        <v>0</v>
      </c>
      <c r="K216" s="2415" t="e">
        <f t="shared" si="52"/>
        <v>#DIV/0!</v>
      </c>
      <c r="L216" s="2415" t="e">
        <f t="shared" si="53"/>
        <v>#DIV/0!</v>
      </c>
      <c r="M216" s="1510">
        <f t="shared" si="18"/>
        <v>0</v>
      </c>
      <c r="N216" s="1510">
        <f t="shared" si="19"/>
        <v>0</v>
      </c>
      <c r="O216" s="2708"/>
      <c r="P216" s="2708"/>
      <c r="Q216" s="1509"/>
      <c r="R216" s="2653"/>
      <c r="S216" s="2653"/>
      <c r="T216" s="1507"/>
      <c r="U216" s="1495">
        <f t="shared" si="20"/>
        <v>0</v>
      </c>
      <c r="V216" s="1495">
        <f t="shared" si="21"/>
        <v>0</v>
      </c>
      <c r="W216" s="1495">
        <f t="shared" si="22"/>
        <v>0</v>
      </c>
      <c r="X216" s="1495">
        <f t="shared" ref="X216:X217" si="73">SUM(E216-U216)</f>
        <v>0</v>
      </c>
      <c r="Y216" s="1495" t="e">
        <f t="shared" si="24"/>
        <v>#DIV/0!</v>
      </c>
      <c r="Z216" s="1495">
        <f t="shared" si="25"/>
        <v>0</v>
      </c>
      <c r="AA216" s="1506">
        <f t="shared" si="26"/>
        <v>0</v>
      </c>
      <c r="AB216" s="2441"/>
      <c r="AC216" s="1504">
        <f t="shared" si="27"/>
        <v>0</v>
      </c>
      <c r="AD216" s="1503">
        <f t="shared" si="28"/>
        <v>0</v>
      </c>
      <c r="AE216" s="1503">
        <f t="shared" si="29"/>
        <v>0</v>
      </c>
      <c r="AF216" s="1502">
        <f t="shared" si="30"/>
        <v>0</v>
      </c>
    </row>
    <row r="217" spans="1:32" s="1474" customFormat="1" ht="23.25" customHeight="1">
      <c r="A217" s="2705"/>
      <c r="B217" s="1497"/>
      <c r="C217" s="2706"/>
      <c r="D217" s="2706"/>
      <c r="E217" s="1497"/>
      <c r="F217" s="2417">
        <f t="shared" si="17"/>
        <v>0</v>
      </c>
      <c r="G217" s="2707"/>
      <c r="H217" s="2419"/>
      <c r="I217" s="2415"/>
      <c r="J217" s="2415">
        <v>0</v>
      </c>
      <c r="K217" s="2415" t="e">
        <f t="shared" si="52"/>
        <v>#DIV/0!</v>
      </c>
      <c r="L217" s="2415" t="e">
        <f t="shared" si="53"/>
        <v>#DIV/0!</v>
      </c>
      <c r="M217" s="1510">
        <f t="shared" si="18"/>
        <v>0</v>
      </c>
      <c r="N217" s="1510">
        <f t="shared" si="19"/>
        <v>0</v>
      </c>
      <c r="O217" s="2708"/>
      <c r="P217" s="2708"/>
      <c r="Q217" s="1509"/>
      <c r="R217" s="2653"/>
      <c r="S217" s="2653"/>
      <c r="T217" s="1507"/>
      <c r="U217" s="1495">
        <f t="shared" si="20"/>
        <v>0</v>
      </c>
      <c r="V217" s="1495">
        <f t="shared" si="21"/>
        <v>0</v>
      </c>
      <c r="W217" s="1495">
        <f t="shared" si="22"/>
        <v>0</v>
      </c>
      <c r="X217" s="1495">
        <f t="shared" si="73"/>
        <v>0</v>
      </c>
      <c r="Y217" s="1495" t="e">
        <f t="shared" si="24"/>
        <v>#DIV/0!</v>
      </c>
      <c r="Z217" s="1495">
        <f t="shared" si="25"/>
        <v>0</v>
      </c>
      <c r="AA217" s="1506">
        <f t="shared" si="26"/>
        <v>0</v>
      </c>
      <c r="AB217" s="2441"/>
      <c r="AC217" s="1504">
        <f t="shared" si="27"/>
        <v>0</v>
      </c>
      <c r="AD217" s="1503">
        <f t="shared" si="28"/>
        <v>0</v>
      </c>
      <c r="AE217" s="1503">
        <f t="shared" si="29"/>
        <v>0</v>
      </c>
      <c r="AF217" s="1502">
        <f t="shared" si="30"/>
        <v>0</v>
      </c>
    </row>
    <row r="218" spans="1:32" s="1474" customFormat="1" ht="23.25" customHeight="1" thickBot="1">
      <c r="A218" s="1501"/>
      <c r="B218" s="1496"/>
      <c r="C218" s="1499"/>
      <c r="D218" s="1499"/>
      <c r="E218" s="1496"/>
      <c r="F218" s="2417">
        <f t="shared" si="17"/>
        <v>0</v>
      </c>
      <c r="G218" s="1499"/>
      <c r="H218" s="1500"/>
      <c r="I218" s="1499"/>
      <c r="J218" s="1499"/>
      <c r="K218" s="1499"/>
      <c r="L218" s="1499"/>
      <c r="M218" s="1510">
        <f t="shared" si="18"/>
        <v>0</v>
      </c>
      <c r="N218" s="1510">
        <f t="shared" si="19"/>
        <v>0</v>
      </c>
      <c r="O218" s="1497"/>
      <c r="P218" s="1497"/>
      <c r="Q218" s="1497"/>
      <c r="R218" s="2983"/>
      <c r="S218" s="2983"/>
      <c r="T218" s="1496"/>
      <c r="U218" s="1495">
        <f t="shared" si="20"/>
        <v>0</v>
      </c>
      <c r="V218" s="1495">
        <f t="shared" si="21"/>
        <v>0</v>
      </c>
      <c r="W218" s="1495">
        <f t="shared" si="22"/>
        <v>0</v>
      </c>
      <c r="X218" s="1495">
        <f t="shared" si="23"/>
        <v>0</v>
      </c>
      <c r="Y218" s="1495" t="e">
        <f t="shared" si="24"/>
        <v>#DIV/0!</v>
      </c>
      <c r="Z218" s="1495">
        <f t="shared" si="25"/>
        <v>0</v>
      </c>
      <c r="AA218" s="1506">
        <f t="shared" si="26"/>
        <v>0</v>
      </c>
      <c r="AB218" s="1492"/>
      <c r="AC218" s="1504">
        <f t="shared" si="27"/>
        <v>0</v>
      </c>
      <c r="AD218" s="1503">
        <f t="shared" si="28"/>
        <v>0</v>
      </c>
      <c r="AE218" s="1503">
        <f t="shared" si="29"/>
        <v>0</v>
      </c>
      <c r="AF218" s="1502">
        <f t="shared" si="30"/>
        <v>0</v>
      </c>
    </row>
    <row r="219" spans="1:32" s="1474" customFormat="1" ht="11.25" customHeight="1" thickTop="1" thickBot="1">
      <c r="A219" s="1488"/>
      <c r="B219" s="1486"/>
      <c r="C219" s="1487"/>
      <c r="D219" s="1487"/>
      <c r="E219" s="1486"/>
      <c r="F219" s="1486"/>
      <c r="G219" s="1486"/>
      <c r="H219" s="1486"/>
      <c r="I219" s="1486"/>
      <c r="J219" s="1486"/>
      <c r="K219" s="1486"/>
      <c r="L219" s="1486"/>
      <c r="M219" s="1486"/>
      <c r="N219" s="1486"/>
      <c r="O219" s="1486"/>
      <c r="P219" s="1486"/>
      <c r="Q219" s="1486"/>
      <c r="R219" s="1486"/>
      <c r="S219" s="1486"/>
      <c r="T219" s="1486"/>
      <c r="U219" s="1486"/>
      <c r="V219" s="1486"/>
      <c r="W219" s="1486"/>
      <c r="X219" s="1486"/>
      <c r="Y219" s="1486"/>
      <c r="Z219" s="1486"/>
      <c r="AA219" s="1485"/>
      <c r="AB219" s="1484"/>
      <c r="AC219" s="1483"/>
      <c r="AD219" s="1483"/>
      <c r="AE219" s="1483"/>
      <c r="AF219" s="1482"/>
    </row>
    <row r="220" spans="1:32" s="1474" customFormat="1" ht="33" customHeight="1" thickTop="1" thickBot="1">
      <c r="A220" s="3751" t="s">
        <v>934</v>
      </c>
      <c r="B220" s="3752"/>
      <c r="C220" s="3752"/>
      <c r="D220" s="2551">
        <f>SUM(D66:D218)</f>
        <v>896</v>
      </c>
      <c r="E220" s="2546">
        <f>SUM(E66:E218)</f>
        <v>2967600000</v>
      </c>
      <c r="F220" s="1480">
        <f>SUM(F66:F218)</f>
        <v>534168000</v>
      </c>
      <c r="G220" s="1481"/>
      <c r="H220" s="1481"/>
      <c r="I220" s="1481"/>
      <c r="J220" s="1481"/>
      <c r="K220" s="1481"/>
      <c r="L220" s="1481"/>
      <c r="M220" s="1480">
        <f t="shared" ref="M220:W220" si="74">SUM(M66:M218)</f>
        <v>2577323200</v>
      </c>
      <c r="N220" s="1480">
        <f t="shared" si="74"/>
        <v>448386000</v>
      </c>
      <c r="O220" s="1480">
        <f t="shared" si="74"/>
        <v>2449756700</v>
      </c>
      <c r="P220" s="1480">
        <f t="shared" si="74"/>
        <v>425311500</v>
      </c>
      <c r="Q220" s="1480">
        <f t="shared" si="74"/>
        <v>0</v>
      </c>
      <c r="R220" s="1480">
        <f t="shared" si="74"/>
        <v>56044700</v>
      </c>
      <c r="S220" s="1480">
        <f t="shared" si="74"/>
        <v>10827000</v>
      </c>
      <c r="T220" s="1480">
        <f t="shared" si="74"/>
        <v>0</v>
      </c>
      <c r="U220" s="1480">
        <f t="shared" si="74"/>
        <v>2505801400</v>
      </c>
      <c r="V220" s="1480">
        <f t="shared" si="74"/>
        <v>436138500</v>
      </c>
      <c r="W220" s="1480">
        <f t="shared" si="74"/>
        <v>0</v>
      </c>
      <c r="X220" s="1480">
        <f>SUM(X66:X218)</f>
        <v>461798600</v>
      </c>
      <c r="Y220" s="1480">
        <f>SUM(U220/M220)*100</f>
        <v>97.224958049498795</v>
      </c>
      <c r="Z220" s="1480">
        <f>SUM(Z66:Z218)</f>
        <v>71521800</v>
      </c>
      <c r="AA220" s="1479">
        <f>SUM(AA66:AA218)</f>
        <v>11317500</v>
      </c>
      <c r="AB220" s="1478"/>
      <c r="AC220" s="1477">
        <f>SUM(AC66:AC218)</f>
        <v>16042300</v>
      </c>
      <c r="AD220" s="1476">
        <f>SUM(AD66:AD218)</f>
        <v>0</v>
      </c>
      <c r="AE220" s="1476">
        <f>SUM(AE66:AE218)</f>
        <v>59944600</v>
      </c>
      <c r="AF220" s="1475">
        <f>SUM(AF66:AF218)</f>
        <v>8523600</v>
      </c>
    </row>
    <row r="221" spans="1:32" s="1461" customFormat="1" ht="17.25" thickTop="1" thickBot="1">
      <c r="A221" s="3753" t="s">
        <v>1464</v>
      </c>
      <c r="B221" s="3754"/>
      <c r="C221" s="3754"/>
      <c r="D221" s="2552">
        <f>COUNT(D66:D218)</f>
        <v>83</v>
      </c>
      <c r="G221" s="1462"/>
      <c r="H221" s="1462"/>
      <c r="I221" s="1462"/>
      <c r="J221" s="1462"/>
      <c r="K221" s="1472"/>
      <c r="L221" s="1472"/>
      <c r="AB221" s="1462"/>
    </row>
    <row r="222" spans="1:32" s="1461" customFormat="1" ht="18.75" thickTop="1">
      <c r="A222" s="1465"/>
      <c r="B222" s="1465"/>
      <c r="C222" s="1466"/>
      <c r="D222" s="1466"/>
      <c r="E222" s="3410" t="s">
        <v>1463</v>
      </c>
      <c r="F222" s="3410"/>
      <c r="G222" s="3410"/>
      <c r="H222" s="3410"/>
      <c r="I222" s="3410"/>
      <c r="J222" s="3410"/>
      <c r="K222" s="3410"/>
      <c r="L222" s="3410"/>
      <c r="M222" s="3410"/>
      <c r="N222" s="3410"/>
      <c r="O222" s="1467"/>
      <c r="P222" s="1467"/>
      <c r="Q222" s="1467"/>
      <c r="R222" s="1467"/>
      <c r="S222" s="1467"/>
      <c r="T222" s="1467"/>
      <c r="U222" s="1471"/>
      <c r="V222" s="3410" t="s">
        <v>1462</v>
      </c>
      <c r="W222" s="3410"/>
      <c r="X222" s="3410"/>
      <c r="Y222" s="3410"/>
      <c r="Z222" s="1465"/>
      <c r="AA222" s="1465"/>
      <c r="AB222" s="1462"/>
    </row>
    <row r="223" spans="1:32" s="1461" customFormat="1" ht="57" customHeight="1">
      <c r="A223" s="1468"/>
      <c r="B223" s="1468"/>
      <c r="C223" s="1470"/>
      <c r="D223" s="1470"/>
      <c r="E223" s="1468"/>
      <c r="F223" s="1468"/>
      <c r="G223" s="1470"/>
      <c r="H223" s="1470"/>
      <c r="I223" s="1470"/>
      <c r="J223" s="1470"/>
      <c r="K223" s="1469"/>
      <c r="L223" s="1469"/>
      <c r="M223" s="1468"/>
      <c r="N223" s="1468"/>
      <c r="O223" s="1468"/>
      <c r="P223" s="1468"/>
      <c r="Q223" s="1468"/>
      <c r="R223" s="1468"/>
      <c r="S223" s="1468"/>
      <c r="T223" s="1468"/>
      <c r="U223" s="1468"/>
      <c r="V223" s="1468"/>
      <c r="W223" s="1468"/>
      <c r="X223" s="1468"/>
      <c r="Y223" s="1468"/>
      <c r="Z223" s="1468"/>
      <c r="AA223" s="1468"/>
      <c r="AB223" s="1462"/>
    </row>
    <row r="224" spans="1:32" s="1461" customFormat="1" ht="18">
      <c r="A224" s="1465"/>
      <c r="B224" s="1465"/>
      <c r="C224" s="1466"/>
      <c r="D224" s="1466"/>
      <c r="E224" s="3410" t="str">
        <f>E52</f>
        <v>Endang Taryana</v>
      </c>
      <c r="F224" s="3410"/>
      <c r="G224" s="3410"/>
      <c r="H224" s="3410"/>
      <c r="I224" s="3410"/>
      <c r="J224" s="3410"/>
      <c r="K224" s="3410"/>
      <c r="L224" s="3410"/>
      <c r="M224" s="3410"/>
      <c r="N224" s="3410"/>
      <c r="O224" s="1467" t="s">
        <v>1461</v>
      </c>
      <c r="P224" s="3410"/>
      <c r="Q224" s="3410"/>
      <c r="R224" s="3410"/>
      <c r="S224" s="1465"/>
      <c r="T224" s="1465"/>
      <c r="U224" s="1465"/>
      <c r="V224" s="3410" t="str">
        <f>V52</f>
        <v>Arin Yustini, SE</v>
      </c>
      <c r="W224" s="3410"/>
      <c r="X224" s="3410"/>
      <c r="Y224" s="3410"/>
      <c r="Z224" s="1465"/>
      <c r="AA224" s="1465"/>
      <c r="AB224" s="1462"/>
    </row>
    <row r="225" spans="1:32" ht="18">
      <c r="A225" s="1465"/>
      <c r="B225" s="1465"/>
      <c r="C225" s="1466"/>
      <c r="D225" s="1466"/>
      <c r="E225" s="3410" t="s">
        <v>23</v>
      </c>
      <c r="F225" s="3410"/>
      <c r="G225" s="3410"/>
      <c r="H225" s="3410"/>
      <c r="I225" s="3410"/>
      <c r="J225" s="3410"/>
      <c r="K225" s="3410"/>
      <c r="L225" s="3410"/>
      <c r="M225" s="3410"/>
      <c r="N225" s="3410"/>
      <c r="O225" s="1465"/>
      <c r="P225" s="3410"/>
      <c r="Q225" s="3410"/>
      <c r="R225" s="3410"/>
      <c r="S225" s="1465"/>
      <c r="T225" s="1465"/>
      <c r="U225" s="1465"/>
      <c r="V225" s="3410" t="s">
        <v>24</v>
      </c>
      <c r="W225" s="3410"/>
      <c r="X225" s="3410"/>
      <c r="Y225" s="3410"/>
      <c r="Z225" s="1465"/>
      <c r="AA225" s="1465"/>
      <c r="AE225" s="1461"/>
      <c r="AF225" s="1461"/>
    </row>
  </sheetData>
  <protectedRanges>
    <protectedRange sqref="W13:W46 W66:W218" name="Range1_1"/>
  </protectedRanges>
  <mergeCells count="74">
    <mergeCell ref="E225:N225"/>
    <mergeCell ref="K63:L63"/>
    <mergeCell ref="E63:F63"/>
    <mergeCell ref="G63:G64"/>
    <mergeCell ref="E224:N224"/>
    <mergeCell ref="E222:N222"/>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222:Y222"/>
    <mergeCell ref="U63:W63"/>
    <mergeCell ref="E52:N52"/>
    <mergeCell ref="A55:AA55"/>
    <mergeCell ref="E53:N53"/>
    <mergeCell ref="P53:R53"/>
    <mergeCell ref="R63:T63"/>
    <mergeCell ref="A221:C221"/>
    <mergeCell ref="A59:C59"/>
    <mergeCell ref="A60:C60"/>
    <mergeCell ref="A61:C61"/>
    <mergeCell ref="H63:H65"/>
    <mergeCell ref="V225:Y225"/>
    <mergeCell ref="Z63:AA63"/>
    <mergeCell ref="P52:R52"/>
    <mergeCell ref="V52:Y52"/>
    <mergeCell ref="V224:Y224"/>
    <mergeCell ref="P224:R224"/>
    <mergeCell ref="P225:R225"/>
    <mergeCell ref="V53:Y53"/>
    <mergeCell ref="A54:AA54"/>
    <mergeCell ref="A220:C220"/>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ageMargins left="0.15748031496062992" right="0.15748031496062992" top="0.59" bottom="0.99" header="0.62" footer="0.95"/>
  <pageSetup paperSize="5" scale="39" orientation="landscape" r:id="rId1"/>
  <headerFooter alignWithMargins="0"/>
  <drawing r:id="rId2"/>
  <legacyDrawing r:id="rId3"/>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H166"/>
  <sheetViews>
    <sheetView topLeftCell="A10" zoomScale="65" zoomScaleNormal="65" workbookViewId="0">
      <pane xSplit="3" ySplit="3" topLeftCell="H144" activePane="bottomRight" state="frozen"/>
      <selection activeCell="A10" sqref="A10"/>
      <selection pane="topRight" activeCell="D10" sqref="D10"/>
      <selection pane="bottomLeft" activeCell="A13" sqref="A13"/>
      <selection pane="bottomRight" activeCell="Q156" sqref="Q156"/>
    </sheetView>
  </sheetViews>
  <sheetFormatPr defaultColWidth="9.140625" defaultRowHeight="15.75"/>
  <cols>
    <col min="1" max="1" width="7.14062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7.5703125" style="1461" customWidth="1"/>
    <col min="15" max="15" width="18.140625" style="1461" customWidth="1"/>
    <col min="16" max="16" width="17.8554687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8"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525" t="s">
        <v>0</v>
      </c>
      <c r="B1" s="3525"/>
      <c r="C1" s="3525"/>
      <c r="D1" s="3525"/>
      <c r="E1" s="3525"/>
      <c r="F1" s="3525"/>
      <c r="G1" s="3525"/>
      <c r="H1" s="3525"/>
      <c r="I1" s="3525"/>
      <c r="J1" s="3525"/>
      <c r="K1" s="3525"/>
      <c r="L1" s="3525"/>
      <c r="M1" s="3525"/>
      <c r="N1" s="3525"/>
      <c r="O1" s="3525"/>
      <c r="P1" s="3525"/>
      <c r="Q1" s="3525"/>
      <c r="R1" s="3525"/>
      <c r="S1" s="3525"/>
      <c r="T1" s="3525"/>
      <c r="U1" s="3525"/>
      <c r="V1" s="3525"/>
      <c r="W1" s="3525"/>
      <c r="X1" s="3525"/>
      <c r="Y1" s="3525"/>
      <c r="Z1" s="3525"/>
      <c r="AA1" s="3525"/>
      <c r="AB1" s="1562"/>
      <c r="AC1" s="1560"/>
      <c r="AD1" s="1560"/>
      <c r="AE1" s="1560"/>
      <c r="AF1" s="1560"/>
    </row>
    <row r="2" spans="1:32" s="1559" customFormat="1" ht="24.75" customHeight="1">
      <c r="A2" s="3525" t="str">
        <f>'LPP-SPP'!A2:W2</f>
        <v>LAPORAN PERKEMBANGAN PINJAMAN  SPP</v>
      </c>
      <c r="B2" s="3525"/>
      <c r="C2" s="3525"/>
      <c r="D2" s="3525"/>
      <c r="E2" s="3525"/>
      <c r="F2" s="3525"/>
      <c r="G2" s="3525"/>
      <c r="H2" s="3525"/>
      <c r="I2" s="3525"/>
      <c r="J2" s="3525"/>
      <c r="K2" s="3525"/>
      <c r="L2" s="3525"/>
      <c r="M2" s="3525"/>
      <c r="N2" s="3525"/>
      <c r="O2" s="3525"/>
      <c r="P2" s="3525"/>
      <c r="Q2" s="3525"/>
      <c r="R2" s="3525"/>
      <c r="S2" s="3525"/>
      <c r="T2" s="3525"/>
      <c r="U2" s="3525"/>
      <c r="V2" s="3525"/>
      <c r="W2" s="3525"/>
      <c r="X2" s="3525"/>
      <c r="Y2" s="3525"/>
      <c r="Z2" s="3525"/>
      <c r="AA2" s="3525"/>
      <c r="AB2" s="1562"/>
      <c r="AC2" s="1560"/>
      <c r="AD2" s="1560"/>
      <c r="AE2" s="1560"/>
      <c r="AF2" s="1560"/>
    </row>
    <row r="3" spans="1:32" s="1559" customFormat="1" ht="34.5">
      <c r="A3" s="3525" t="s">
        <v>1506</v>
      </c>
      <c r="B3" s="3525"/>
      <c r="C3" s="3525"/>
      <c r="D3" s="3525"/>
      <c r="E3" s="3525"/>
      <c r="F3" s="3525"/>
      <c r="G3" s="3525"/>
      <c r="H3" s="3525"/>
      <c r="I3" s="3525"/>
      <c r="J3" s="3525"/>
      <c r="K3" s="3525"/>
      <c r="L3" s="3525"/>
      <c r="M3" s="3525"/>
      <c r="N3" s="3525"/>
      <c r="O3" s="3525"/>
      <c r="P3" s="3525"/>
      <c r="Q3" s="3525"/>
      <c r="R3" s="3525"/>
      <c r="S3" s="3525"/>
      <c r="T3" s="3525"/>
      <c r="U3" s="3525"/>
      <c r="V3" s="3525"/>
      <c r="W3" s="3525"/>
      <c r="X3" s="3525"/>
      <c r="Y3" s="3525"/>
      <c r="Z3" s="3525"/>
      <c r="AA3" s="3525"/>
      <c r="AB3" s="1561"/>
      <c r="AC3" s="1560"/>
      <c r="AD3" s="1560"/>
      <c r="AE3" s="1560"/>
      <c r="AF3" s="1560"/>
    </row>
    <row r="4" spans="1:32" s="1542" customFormat="1" ht="24.75" customHeight="1">
      <c r="A4" s="3525" t="str">
        <f>'LPP-SPP'!A4</f>
        <v>Per - Februari 2016 2016</v>
      </c>
      <c r="B4" s="3525"/>
      <c r="C4" s="3525"/>
      <c r="D4" s="3525"/>
      <c r="E4" s="3525"/>
      <c r="F4" s="3525"/>
      <c r="G4" s="3525"/>
      <c r="H4" s="3525"/>
      <c r="I4" s="3525"/>
      <c r="J4" s="3525"/>
      <c r="K4" s="3525"/>
      <c r="L4" s="3525"/>
      <c r="M4" s="3525"/>
      <c r="N4" s="3525"/>
      <c r="O4" s="3525"/>
      <c r="P4" s="3525"/>
      <c r="Q4" s="3525"/>
      <c r="R4" s="3525"/>
      <c r="S4" s="3525"/>
      <c r="T4" s="3525"/>
      <c r="U4" s="3525"/>
      <c r="V4" s="3525"/>
      <c r="W4" s="3525"/>
      <c r="X4" s="3525"/>
      <c r="Y4" s="3525"/>
      <c r="Z4" s="3525"/>
      <c r="AA4" s="3525"/>
      <c r="AB4" s="1556"/>
      <c r="AC4" s="1555"/>
      <c r="AD4" s="1555"/>
      <c r="AE4" s="1555"/>
      <c r="AF4" s="1555"/>
    </row>
    <row r="5" spans="1:32" s="1542" customFormat="1" ht="24.75" customHeight="1">
      <c r="A5" s="3410" t="s">
        <v>1503</v>
      </c>
      <c r="B5" s="3410"/>
      <c r="C5" s="3410"/>
      <c r="D5" s="1553"/>
      <c r="E5" s="1558" t="str">
        <f>":  "&amp;DT!I9</f>
        <v>:  BABAKAN PANJANG</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3" t="s">
        <v>36</v>
      </c>
      <c r="B10" s="3413" t="s">
        <v>1499</v>
      </c>
      <c r="C10" s="3413"/>
      <c r="D10" s="3413" t="s">
        <v>1498</v>
      </c>
      <c r="E10" s="3413" t="s">
        <v>1497</v>
      </c>
      <c r="F10" s="3413"/>
      <c r="G10" s="3413" t="s">
        <v>1496</v>
      </c>
      <c r="H10" s="3413" t="s">
        <v>1495</v>
      </c>
      <c r="I10" s="3413" t="s">
        <v>1494</v>
      </c>
      <c r="J10" s="3413" t="s">
        <v>1493</v>
      </c>
      <c r="K10" s="3413" t="s">
        <v>1492</v>
      </c>
      <c r="L10" s="3413"/>
      <c r="M10" s="3413" t="s">
        <v>1491</v>
      </c>
      <c r="N10" s="3413"/>
      <c r="O10" s="3413" t="s">
        <v>1490</v>
      </c>
      <c r="P10" s="3413"/>
      <c r="Q10" s="3413"/>
      <c r="R10" s="3413" t="s">
        <v>1489</v>
      </c>
      <c r="S10" s="3413"/>
      <c r="T10" s="3413"/>
      <c r="U10" s="3413" t="s">
        <v>1488</v>
      </c>
      <c r="V10" s="3413"/>
      <c r="W10" s="3413"/>
      <c r="X10" s="3413" t="s">
        <v>1487</v>
      </c>
      <c r="Y10" s="3413" t="s">
        <v>1486</v>
      </c>
      <c r="Z10" s="3413" t="s">
        <v>1485</v>
      </c>
      <c r="AA10" s="3413"/>
      <c r="AB10" s="2865" t="s">
        <v>1484</v>
      </c>
      <c r="AC10" s="1541" t="s">
        <v>1483</v>
      </c>
      <c r="AD10" s="1540" t="s">
        <v>1482</v>
      </c>
      <c r="AE10" s="1540" t="s">
        <v>1481</v>
      </c>
      <c r="AF10" s="1539" t="s">
        <v>1480</v>
      </c>
    </row>
    <row r="11" spans="1:32" ht="31.5" customHeight="1">
      <c r="A11" s="3413"/>
      <c r="B11" s="1536" t="s">
        <v>1479</v>
      </c>
      <c r="C11" s="1536" t="s">
        <v>1478</v>
      </c>
      <c r="D11" s="3413"/>
      <c r="E11" s="1537" t="s">
        <v>16</v>
      </c>
      <c r="F11" s="1537" t="s">
        <v>1476</v>
      </c>
      <c r="G11" s="3413"/>
      <c r="H11" s="3413"/>
      <c r="I11" s="3413"/>
      <c r="J11" s="3413"/>
      <c r="K11" s="3413" t="s">
        <v>16</v>
      </c>
      <c r="L11" s="3413" t="s">
        <v>1476</v>
      </c>
      <c r="M11" s="1537" t="s">
        <v>16</v>
      </c>
      <c r="N11" s="1537" t="s">
        <v>1476</v>
      </c>
      <c r="O11" s="1537" t="s">
        <v>16</v>
      </c>
      <c r="P11" s="1537" t="s">
        <v>1476</v>
      </c>
      <c r="Q11" s="1537" t="s">
        <v>1477</v>
      </c>
      <c r="R11" s="1537" t="s">
        <v>16</v>
      </c>
      <c r="S11" s="1537" t="s">
        <v>1476</v>
      </c>
      <c r="T11" s="1537" t="s">
        <v>1477</v>
      </c>
      <c r="U11" s="1537" t="s">
        <v>16</v>
      </c>
      <c r="V11" s="1537" t="s">
        <v>1476</v>
      </c>
      <c r="W11" s="1537" t="s">
        <v>1477</v>
      </c>
      <c r="X11" s="3413"/>
      <c r="Y11" s="3413"/>
      <c r="Z11" s="1537" t="s">
        <v>16</v>
      </c>
      <c r="AA11" s="2163" t="s">
        <v>1476</v>
      </c>
      <c r="AB11" s="1537"/>
      <c r="AC11" s="1531" t="s">
        <v>1475</v>
      </c>
      <c r="AD11" s="1530" t="s">
        <v>1474</v>
      </c>
      <c r="AE11" s="1530" t="s">
        <v>1473</v>
      </c>
      <c r="AF11" s="1529" t="s">
        <v>1472</v>
      </c>
    </row>
    <row r="12" spans="1:32" s="1528" customFormat="1" ht="14.25" customHeight="1" thickBot="1">
      <c r="A12" s="2163">
        <v>1</v>
      </c>
      <c r="B12" s="2163">
        <v>2</v>
      </c>
      <c r="C12" s="2163">
        <v>3</v>
      </c>
      <c r="D12" s="3413"/>
      <c r="E12" s="2163">
        <v>4</v>
      </c>
      <c r="F12" s="2163">
        <v>5</v>
      </c>
      <c r="G12" s="2163">
        <v>6</v>
      </c>
      <c r="H12" s="3413"/>
      <c r="I12" s="3413"/>
      <c r="J12" s="3413"/>
      <c r="K12" s="3413"/>
      <c r="L12" s="3413"/>
      <c r="M12" s="2163">
        <v>7</v>
      </c>
      <c r="N12" s="2163">
        <v>8</v>
      </c>
      <c r="O12" s="2163">
        <v>9</v>
      </c>
      <c r="P12" s="2163">
        <v>10</v>
      </c>
      <c r="Q12" s="2163">
        <v>11</v>
      </c>
      <c r="R12" s="2163">
        <v>12</v>
      </c>
      <c r="S12" s="2163">
        <v>13</v>
      </c>
      <c r="T12" s="2163">
        <v>14</v>
      </c>
      <c r="U12" s="2163" t="s">
        <v>1471</v>
      </c>
      <c r="V12" s="2163" t="s">
        <v>1470</v>
      </c>
      <c r="W12" s="2163" t="s">
        <v>1469</v>
      </c>
      <c r="X12" s="2163" t="s">
        <v>1468</v>
      </c>
      <c r="Y12" s="2163" t="s">
        <v>1467</v>
      </c>
      <c r="Z12" s="2163" t="s">
        <v>1466</v>
      </c>
      <c r="AA12" s="2163" t="s">
        <v>1465</v>
      </c>
      <c r="AB12" s="2865">
        <v>22</v>
      </c>
      <c r="AC12" s="1518">
        <v>23</v>
      </c>
      <c r="AD12" s="1517">
        <v>24</v>
      </c>
      <c r="AE12" s="1517">
        <v>25</v>
      </c>
      <c r="AF12" s="1516">
        <v>26</v>
      </c>
    </row>
    <row r="13" spans="1:32" s="1474" customFormat="1" ht="23.25" customHeight="1" thickTop="1">
      <c r="A13" s="1515">
        <v>1</v>
      </c>
      <c r="B13" s="1513" t="s">
        <v>1912</v>
      </c>
      <c r="C13" s="1514" t="s">
        <v>1916</v>
      </c>
      <c r="D13" s="1514"/>
      <c r="E13" s="1513">
        <v>7500000</v>
      </c>
      <c r="F13" s="1512">
        <f t="shared" ref="F13:F46" si="0">E13*H13</f>
        <v>1350000</v>
      </c>
      <c r="G13" s="2141">
        <v>39776</v>
      </c>
      <c r="H13" s="1511">
        <v>0.18</v>
      </c>
      <c r="I13" s="1508">
        <v>12</v>
      </c>
      <c r="J13" s="1569">
        <v>12</v>
      </c>
      <c r="K13" s="1508">
        <v>625000</v>
      </c>
      <c r="L13" s="1508">
        <v>112500</v>
      </c>
      <c r="M13" s="1567">
        <f t="shared" ref="M13:M46" si="1">IF(J13&lt;I13,J13*K13,IF(J13&gt;=I13,E13))</f>
        <v>7500000</v>
      </c>
      <c r="N13" s="1510">
        <f t="shared" ref="N13:N46" si="2">IF(J13&lt;I13,J13*L13,IF(J13&gt;=I13,F13))</f>
        <v>1350000</v>
      </c>
      <c r="O13" s="1509">
        <v>7500000</v>
      </c>
      <c r="P13" s="1509">
        <v>1350000</v>
      </c>
      <c r="Q13" s="1509"/>
      <c r="R13" s="1508">
        <v>0</v>
      </c>
      <c r="S13" s="1508">
        <v>0</v>
      </c>
      <c r="T13" s="1507"/>
      <c r="U13" s="1495">
        <f t="shared" ref="U13:U46" si="3">SUM(O13+R13)</f>
        <v>7500000</v>
      </c>
      <c r="V13" s="1495">
        <f t="shared" ref="V13:V46" si="4">SUM(P13+S13)</f>
        <v>1350000</v>
      </c>
      <c r="W13" s="1495">
        <f t="shared" ref="W13:W46" si="5">SUM(Q13+T13)</f>
        <v>0</v>
      </c>
      <c r="X13" s="1495">
        <f t="shared" ref="X13:X46" si="6">SUM(E13-U13)</f>
        <v>0</v>
      </c>
      <c r="Y13" s="1495">
        <f t="shared" ref="Y13:Y46" si="7">SUM(U13/M13)*100</f>
        <v>100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f>A13+1</f>
        <v>2</v>
      </c>
      <c r="B14" s="1513" t="s">
        <v>2069</v>
      </c>
      <c r="C14" s="1514" t="s">
        <v>1916</v>
      </c>
      <c r="D14" s="1514"/>
      <c r="E14" s="1513">
        <v>6000000</v>
      </c>
      <c r="F14" s="1512">
        <f t="shared" si="0"/>
        <v>1080000</v>
      </c>
      <c r="G14" s="2141">
        <v>39776</v>
      </c>
      <c r="H14" s="1511">
        <v>0.18</v>
      </c>
      <c r="I14" s="1508">
        <v>12</v>
      </c>
      <c r="J14" s="1508">
        <v>12</v>
      </c>
      <c r="K14" s="1508">
        <v>500000</v>
      </c>
      <c r="L14" s="1508">
        <v>90000</v>
      </c>
      <c r="M14" s="1510">
        <f t="shared" si="1"/>
        <v>6000000</v>
      </c>
      <c r="N14" s="1510">
        <f t="shared" si="2"/>
        <v>1080000</v>
      </c>
      <c r="O14" s="1509">
        <v>6000000</v>
      </c>
      <c r="P14" s="1509">
        <v>1080000</v>
      </c>
      <c r="Q14" s="1509"/>
      <c r="R14" s="1508">
        <v>0</v>
      </c>
      <c r="S14" s="1508">
        <v>0</v>
      </c>
      <c r="T14" s="1507"/>
      <c r="U14" s="1495">
        <f t="shared" si="3"/>
        <v>6000000</v>
      </c>
      <c r="V14" s="1495">
        <f t="shared" si="4"/>
        <v>1080000</v>
      </c>
      <c r="W14" s="1495">
        <f t="shared" si="5"/>
        <v>0</v>
      </c>
      <c r="X14" s="1495">
        <f t="shared" si="6"/>
        <v>0</v>
      </c>
      <c r="Y14" s="1495">
        <f t="shared" si="7"/>
        <v>100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f t="shared" ref="A15:A30" si="14">A14+1</f>
        <v>3</v>
      </c>
      <c r="B15" s="1513" t="s">
        <v>2070</v>
      </c>
      <c r="C15" s="1514" t="s">
        <v>1916</v>
      </c>
      <c r="D15" s="1514"/>
      <c r="E15" s="1513">
        <v>9000000</v>
      </c>
      <c r="F15" s="1512">
        <f t="shared" si="0"/>
        <v>1620000</v>
      </c>
      <c r="G15" s="2141">
        <v>39776</v>
      </c>
      <c r="H15" s="1511">
        <v>0.18</v>
      </c>
      <c r="I15" s="1508">
        <v>12</v>
      </c>
      <c r="J15" s="1508">
        <v>12</v>
      </c>
      <c r="K15" s="1508">
        <v>750000</v>
      </c>
      <c r="L15" s="1508">
        <v>135000</v>
      </c>
      <c r="M15" s="1510">
        <f t="shared" si="1"/>
        <v>9000000</v>
      </c>
      <c r="N15" s="1510">
        <f t="shared" si="2"/>
        <v>1620000</v>
      </c>
      <c r="O15" s="1509">
        <v>9000000</v>
      </c>
      <c r="P15" s="1509">
        <v>1620000</v>
      </c>
      <c r="Q15" s="1509"/>
      <c r="R15" s="1508">
        <v>0</v>
      </c>
      <c r="S15" s="1508">
        <v>0</v>
      </c>
      <c r="T15" s="1507"/>
      <c r="U15" s="1495">
        <f t="shared" si="3"/>
        <v>9000000</v>
      </c>
      <c r="V15" s="1495">
        <f t="shared" si="4"/>
        <v>1620000</v>
      </c>
      <c r="W15" s="1495">
        <f t="shared" si="5"/>
        <v>0</v>
      </c>
      <c r="X15" s="1495">
        <f t="shared" si="6"/>
        <v>0</v>
      </c>
      <c r="Y15" s="1495">
        <f t="shared" si="7"/>
        <v>100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f t="shared" si="14"/>
        <v>4</v>
      </c>
      <c r="B16" s="1513" t="s">
        <v>2071</v>
      </c>
      <c r="C16" s="1514" t="s">
        <v>1916</v>
      </c>
      <c r="D16" s="1514"/>
      <c r="E16" s="1513">
        <v>12000000</v>
      </c>
      <c r="F16" s="1512">
        <f t="shared" si="0"/>
        <v>2160000</v>
      </c>
      <c r="G16" s="2141">
        <v>39776</v>
      </c>
      <c r="H16" s="1511">
        <v>0.18</v>
      </c>
      <c r="I16" s="1508">
        <v>12</v>
      </c>
      <c r="J16" s="1508">
        <v>12</v>
      </c>
      <c r="K16" s="1508">
        <v>1000000</v>
      </c>
      <c r="L16" s="1508">
        <v>180000</v>
      </c>
      <c r="M16" s="1510">
        <f t="shared" si="1"/>
        <v>12000000</v>
      </c>
      <c r="N16" s="1510">
        <f t="shared" si="2"/>
        <v>2160000</v>
      </c>
      <c r="O16" s="1509">
        <v>12000000</v>
      </c>
      <c r="P16" s="1509">
        <v>2160000</v>
      </c>
      <c r="Q16" s="1509"/>
      <c r="R16" s="1508">
        <v>0</v>
      </c>
      <c r="S16" s="1508">
        <v>0</v>
      </c>
      <c r="T16" s="1507"/>
      <c r="U16" s="1495">
        <f t="shared" si="3"/>
        <v>12000000</v>
      </c>
      <c r="V16" s="1495">
        <f t="shared" si="4"/>
        <v>2160000</v>
      </c>
      <c r="W16" s="1495">
        <f t="shared" si="5"/>
        <v>0</v>
      </c>
      <c r="X16" s="1495">
        <f t="shared" si="6"/>
        <v>0</v>
      </c>
      <c r="Y16" s="1495">
        <f t="shared" si="7"/>
        <v>100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f t="shared" si="14"/>
        <v>5</v>
      </c>
      <c r="B17" s="1513" t="s">
        <v>2072</v>
      </c>
      <c r="C17" s="1514" t="s">
        <v>1916</v>
      </c>
      <c r="D17" s="1514"/>
      <c r="E17" s="1513">
        <v>8000000</v>
      </c>
      <c r="F17" s="1512">
        <f t="shared" si="0"/>
        <v>1440000</v>
      </c>
      <c r="G17" s="2141">
        <v>39776</v>
      </c>
      <c r="H17" s="1511">
        <v>0.18</v>
      </c>
      <c r="I17" s="1508">
        <v>12</v>
      </c>
      <c r="J17" s="1508">
        <v>12</v>
      </c>
      <c r="K17" s="1508">
        <v>666700</v>
      </c>
      <c r="L17" s="1508">
        <v>120000</v>
      </c>
      <c r="M17" s="1510">
        <f t="shared" si="1"/>
        <v>8000000</v>
      </c>
      <c r="N17" s="1510">
        <f t="shared" si="2"/>
        <v>1440000</v>
      </c>
      <c r="O17" s="1509">
        <v>8000000</v>
      </c>
      <c r="P17" s="1509">
        <v>1440000</v>
      </c>
      <c r="Q17" s="1509"/>
      <c r="R17" s="1508">
        <v>0</v>
      </c>
      <c r="S17" s="1508">
        <v>0</v>
      </c>
      <c r="T17" s="1507"/>
      <c r="U17" s="1495">
        <f t="shared" si="3"/>
        <v>8000000</v>
      </c>
      <c r="V17" s="1495">
        <f t="shared" si="4"/>
        <v>1440000</v>
      </c>
      <c r="W17" s="1495">
        <f t="shared" si="5"/>
        <v>0</v>
      </c>
      <c r="X17" s="1495">
        <f t="shared" si="6"/>
        <v>0</v>
      </c>
      <c r="Y17" s="1495">
        <f t="shared" si="7"/>
        <v>100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f t="shared" si="14"/>
        <v>6</v>
      </c>
      <c r="B18" s="1513" t="s">
        <v>2073</v>
      </c>
      <c r="C18" s="1514" t="s">
        <v>1916</v>
      </c>
      <c r="D18" s="1514"/>
      <c r="E18" s="1513">
        <v>10000000</v>
      </c>
      <c r="F18" s="1512">
        <f t="shared" si="0"/>
        <v>1800000</v>
      </c>
      <c r="G18" s="2141">
        <v>39776</v>
      </c>
      <c r="H18" s="1511">
        <v>0.18</v>
      </c>
      <c r="I18" s="1508">
        <v>12</v>
      </c>
      <c r="J18" s="1508">
        <v>12</v>
      </c>
      <c r="K18" s="1508">
        <v>833300</v>
      </c>
      <c r="L18" s="1508">
        <v>150000</v>
      </c>
      <c r="M18" s="1510">
        <f t="shared" si="1"/>
        <v>10000000</v>
      </c>
      <c r="N18" s="1510">
        <f t="shared" si="2"/>
        <v>1800000</v>
      </c>
      <c r="O18" s="1509">
        <v>10000000</v>
      </c>
      <c r="P18" s="1509">
        <v>1800000</v>
      </c>
      <c r="Q18" s="1509"/>
      <c r="R18" s="1508">
        <v>0</v>
      </c>
      <c r="S18" s="1508">
        <v>0</v>
      </c>
      <c r="T18" s="1507"/>
      <c r="U18" s="1495">
        <f t="shared" si="3"/>
        <v>10000000</v>
      </c>
      <c r="V18" s="1495">
        <f t="shared" si="4"/>
        <v>1800000</v>
      </c>
      <c r="W18" s="1495">
        <f t="shared" si="5"/>
        <v>0</v>
      </c>
      <c r="X18" s="1495">
        <f t="shared" si="6"/>
        <v>0</v>
      </c>
      <c r="Y18" s="1495">
        <f t="shared" si="7"/>
        <v>100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f t="shared" si="14"/>
        <v>7</v>
      </c>
      <c r="B19" s="1513" t="s">
        <v>2074</v>
      </c>
      <c r="C19" s="1514" t="s">
        <v>1919</v>
      </c>
      <c r="D19" s="1514"/>
      <c r="E19" s="1513">
        <v>6000000</v>
      </c>
      <c r="F19" s="1512">
        <f t="shared" si="0"/>
        <v>1080000</v>
      </c>
      <c r="G19" s="2141">
        <v>40098</v>
      </c>
      <c r="H19" s="1511">
        <v>0.18</v>
      </c>
      <c r="I19" s="1508">
        <v>12</v>
      </c>
      <c r="J19" s="1508">
        <v>12</v>
      </c>
      <c r="K19" s="1508">
        <v>500000</v>
      </c>
      <c r="L19" s="1508">
        <v>90000</v>
      </c>
      <c r="M19" s="1510">
        <f t="shared" si="1"/>
        <v>6000000</v>
      </c>
      <c r="N19" s="1510">
        <f t="shared" si="2"/>
        <v>1080000</v>
      </c>
      <c r="O19" s="1509">
        <v>6000000</v>
      </c>
      <c r="P19" s="1509">
        <v>1080000</v>
      </c>
      <c r="Q19" s="1509"/>
      <c r="R19" s="1508">
        <v>0</v>
      </c>
      <c r="S19" s="1508">
        <v>0</v>
      </c>
      <c r="T19" s="1507"/>
      <c r="U19" s="1495">
        <f t="shared" si="3"/>
        <v>6000000</v>
      </c>
      <c r="V19" s="1495">
        <f t="shared" si="4"/>
        <v>1080000</v>
      </c>
      <c r="W19" s="1495">
        <f t="shared" si="5"/>
        <v>0</v>
      </c>
      <c r="X19" s="1495">
        <f t="shared" si="6"/>
        <v>0</v>
      </c>
      <c r="Y19" s="1495">
        <f t="shared" si="7"/>
        <v>100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f t="shared" si="14"/>
        <v>8</v>
      </c>
      <c r="B20" s="1513" t="s">
        <v>1957</v>
      </c>
      <c r="C20" s="1514" t="s">
        <v>1919</v>
      </c>
      <c r="D20" s="1514"/>
      <c r="E20" s="1513">
        <v>7000000</v>
      </c>
      <c r="F20" s="1512">
        <f t="shared" si="0"/>
        <v>1260000</v>
      </c>
      <c r="G20" s="2141">
        <v>40098</v>
      </c>
      <c r="H20" s="1511">
        <v>0.18</v>
      </c>
      <c r="I20" s="1508">
        <v>12</v>
      </c>
      <c r="J20" s="1508">
        <v>12</v>
      </c>
      <c r="K20" s="1508">
        <v>583300</v>
      </c>
      <c r="L20" s="1508">
        <v>105000</v>
      </c>
      <c r="M20" s="1510">
        <f t="shared" si="1"/>
        <v>7000000</v>
      </c>
      <c r="N20" s="1510">
        <f t="shared" si="2"/>
        <v>1260000</v>
      </c>
      <c r="O20" s="1509">
        <v>7000000</v>
      </c>
      <c r="P20" s="1509">
        <v>1260000</v>
      </c>
      <c r="Q20" s="1509"/>
      <c r="R20" s="1508">
        <v>0</v>
      </c>
      <c r="S20" s="1508">
        <v>0</v>
      </c>
      <c r="T20" s="1507"/>
      <c r="U20" s="1495">
        <f t="shared" si="3"/>
        <v>7000000</v>
      </c>
      <c r="V20" s="1495">
        <f t="shared" si="4"/>
        <v>1260000</v>
      </c>
      <c r="W20" s="1495">
        <f t="shared" si="5"/>
        <v>0</v>
      </c>
      <c r="X20" s="1495">
        <f t="shared" si="6"/>
        <v>0</v>
      </c>
      <c r="Y20" s="1495">
        <f t="shared" si="7"/>
        <v>100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f t="shared" si="14"/>
        <v>9</v>
      </c>
      <c r="B21" s="1513" t="s">
        <v>1973</v>
      </c>
      <c r="C21" s="1514" t="s">
        <v>1919</v>
      </c>
      <c r="D21" s="1514"/>
      <c r="E21" s="1513">
        <v>6000000</v>
      </c>
      <c r="F21" s="1512">
        <f t="shared" si="0"/>
        <v>1080000</v>
      </c>
      <c r="G21" s="2141">
        <v>40098</v>
      </c>
      <c r="H21" s="1511">
        <v>0.18</v>
      </c>
      <c r="I21" s="1508">
        <v>12</v>
      </c>
      <c r="J21" s="1508">
        <v>12</v>
      </c>
      <c r="K21" s="1508">
        <v>500000</v>
      </c>
      <c r="L21" s="1508">
        <v>90000</v>
      </c>
      <c r="M21" s="1510">
        <f t="shared" si="1"/>
        <v>6000000</v>
      </c>
      <c r="N21" s="1510">
        <f t="shared" si="2"/>
        <v>1080000</v>
      </c>
      <c r="O21" s="1509">
        <v>6000000</v>
      </c>
      <c r="P21" s="1509">
        <v>1080000</v>
      </c>
      <c r="Q21" s="1509"/>
      <c r="R21" s="1508">
        <v>0</v>
      </c>
      <c r="S21" s="1508">
        <v>0</v>
      </c>
      <c r="T21" s="1507"/>
      <c r="U21" s="1495">
        <f t="shared" si="3"/>
        <v>6000000</v>
      </c>
      <c r="V21" s="1495">
        <f t="shared" si="4"/>
        <v>1080000</v>
      </c>
      <c r="W21" s="1495">
        <f t="shared" si="5"/>
        <v>0</v>
      </c>
      <c r="X21" s="1495">
        <f t="shared" si="6"/>
        <v>0</v>
      </c>
      <c r="Y21" s="1495">
        <f t="shared" si="7"/>
        <v>100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f t="shared" si="14"/>
        <v>10</v>
      </c>
      <c r="B22" s="1513" t="s">
        <v>2075</v>
      </c>
      <c r="C22" s="1514" t="s">
        <v>1919</v>
      </c>
      <c r="D22" s="1514"/>
      <c r="E22" s="1513">
        <v>6000000</v>
      </c>
      <c r="F22" s="1512">
        <f t="shared" si="0"/>
        <v>1080000</v>
      </c>
      <c r="G22" s="2141">
        <v>40098</v>
      </c>
      <c r="H22" s="1511">
        <v>0.18</v>
      </c>
      <c r="I22" s="1508">
        <v>12</v>
      </c>
      <c r="J22" s="1508">
        <v>12</v>
      </c>
      <c r="K22" s="1508">
        <v>500000</v>
      </c>
      <c r="L22" s="1508">
        <v>90000</v>
      </c>
      <c r="M22" s="1510">
        <f t="shared" si="1"/>
        <v>6000000</v>
      </c>
      <c r="N22" s="1510">
        <f t="shared" si="2"/>
        <v>1080000</v>
      </c>
      <c r="O22" s="1509">
        <v>6000000</v>
      </c>
      <c r="P22" s="1509">
        <v>1080000</v>
      </c>
      <c r="Q22" s="1509"/>
      <c r="R22" s="1508">
        <v>0</v>
      </c>
      <c r="S22" s="1508">
        <v>0</v>
      </c>
      <c r="T22" s="1507"/>
      <c r="U22" s="1495">
        <f t="shared" si="3"/>
        <v>6000000</v>
      </c>
      <c r="V22" s="1495">
        <f t="shared" si="4"/>
        <v>1080000</v>
      </c>
      <c r="W22" s="1495">
        <f t="shared" si="5"/>
        <v>0</v>
      </c>
      <c r="X22" s="1495">
        <f t="shared" si="6"/>
        <v>0</v>
      </c>
      <c r="Y22" s="1495">
        <f t="shared" si="7"/>
        <v>100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f t="shared" si="14"/>
        <v>11</v>
      </c>
      <c r="B23" s="1513" t="s">
        <v>1951</v>
      </c>
      <c r="C23" s="1514" t="s">
        <v>1919</v>
      </c>
      <c r="D23" s="1514"/>
      <c r="E23" s="1513">
        <v>7000000</v>
      </c>
      <c r="F23" s="1512">
        <f t="shared" si="0"/>
        <v>1260000</v>
      </c>
      <c r="G23" s="2141">
        <v>40098</v>
      </c>
      <c r="H23" s="1511">
        <v>0.18</v>
      </c>
      <c r="I23" s="1508">
        <v>12</v>
      </c>
      <c r="J23" s="1508">
        <v>12</v>
      </c>
      <c r="K23" s="1508">
        <v>583300</v>
      </c>
      <c r="L23" s="1508">
        <v>105000</v>
      </c>
      <c r="M23" s="1510">
        <f t="shared" si="1"/>
        <v>7000000</v>
      </c>
      <c r="N23" s="1510">
        <f t="shared" si="2"/>
        <v>1260000</v>
      </c>
      <c r="O23" s="1509">
        <v>7000000</v>
      </c>
      <c r="P23" s="1509">
        <v>1260000</v>
      </c>
      <c r="Q23" s="1509"/>
      <c r="R23" s="1508">
        <v>0</v>
      </c>
      <c r="S23" s="1508">
        <v>0</v>
      </c>
      <c r="T23" s="1507"/>
      <c r="U23" s="1495">
        <f t="shared" si="3"/>
        <v>7000000</v>
      </c>
      <c r="V23" s="1495">
        <f t="shared" si="4"/>
        <v>1260000</v>
      </c>
      <c r="W23" s="1495">
        <f t="shared" si="5"/>
        <v>0</v>
      </c>
      <c r="X23" s="1495">
        <f t="shared" si="6"/>
        <v>0</v>
      </c>
      <c r="Y23" s="1495">
        <f t="shared" si="7"/>
        <v>100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f t="shared" si="14"/>
        <v>12</v>
      </c>
      <c r="B24" s="1513" t="s">
        <v>2001</v>
      </c>
      <c r="C24" s="1514" t="s">
        <v>1919</v>
      </c>
      <c r="D24" s="1514"/>
      <c r="E24" s="1513">
        <v>7000000</v>
      </c>
      <c r="F24" s="1512">
        <f t="shared" si="0"/>
        <v>1260000</v>
      </c>
      <c r="G24" s="2141">
        <v>40098</v>
      </c>
      <c r="H24" s="1511">
        <v>0.18</v>
      </c>
      <c r="I24" s="1508">
        <v>12</v>
      </c>
      <c r="J24" s="1508">
        <v>12</v>
      </c>
      <c r="K24" s="1508">
        <v>583300</v>
      </c>
      <c r="L24" s="1508">
        <v>105000</v>
      </c>
      <c r="M24" s="1510">
        <f t="shared" si="1"/>
        <v>7000000</v>
      </c>
      <c r="N24" s="1510">
        <f t="shared" si="2"/>
        <v>1260000</v>
      </c>
      <c r="O24" s="1509">
        <v>7000000</v>
      </c>
      <c r="P24" s="1509">
        <v>1260000</v>
      </c>
      <c r="Q24" s="1509"/>
      <c r="R24" s="1508"/>
      <c r="S24" s="1508"/>
      <c r="T24" s="1507"/>
      <c r="U24" s="1495">
        <f t="shared" si="3"/>
        <v>7000000</v>
      </c>
      <c r="V24" s="1495">
        <f t="shared" si="4"/>
        <v>1260000</v>
      </c>
      <c r="W24" s="1495">
        <f t="shared" si="5"/>
        <v>0</v>
      </c>
      <c r="X24" s="1495">
        <f t="shared" si="6"/>
        <v>0</v>
      </c>
      <c r="Y24" s="1495">
        <f t="shared" si="7"/>
        <v>100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f t="shared" si="14"/>
        <v>13</v>
      </c>
      <c r="B25" s="1513" t="s">
        <v>2076</v>
      </c>
      <c r="C25" s="1514" t="s">
        <v>1919</v>
      </c>
      <c r="D25" s="1514"/>
      <c r="E25" s="1513">
        <v>6000000</v>
      </c>
      <c r="F25" s="1512">
        <f t="shared" si="0"/>
        <v>1080000</v>
      </c>
      <c r="G25" s="2141">
        <v>40098</v>
      </c>
      <c r="H25" s="1511">
        <v>0.18</v>
      </c>
      <c r="I25" s="1508">
        <v>12</v>
      </c>
      <c r="J25" s="1508">
        <v>12</v>
      </c>
      <c r="K25" s="1508">
        <v>500000</v>
      </c>
      <c r="L25" s="1508">
        <v>90000</v>
      </c>
      <c r="M25" s="1510">
        <f t="shared" si="1"/>
        <v>6000000</v>
      </c>
      <c r="N25" s="1510">
        <f t="shared" si="2"/>
        <v>1080000</v>
      </c>
      <c r="O25" s="1509">
        <v>6000000</v>
      </c>
      <c r="P25" s="1509">
        <v>1080000</v>
      </c>
      <c r="Q25" s="1509"/>
      <c r="R25" s="1508"/>
      <c r="S25" s="1508"/>
      <c r="T25" s="1507"/>
      <c r="U25" s="1495">
        <f t="shared" si="3"/>
        <v>6000000</v>
      </c>
      <c r="V25" s="1495">
        <f t="shared" si="4"/>
        <v>1080000</v>
      </c>
      <c r="W25" s="1495">
        <f t="shared" si="5"/>
        <v>0</v>
      </c>
      <c r="X25" s="1495">
        <f t="shared" si="6"/>
        <v>0</v>
      </c>
      <c r="Y25" s="1495">
        <f t="shared" si="7"/>
        <v>100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f t="shared" si="14"/>
        <v>14</v>
      </c>
      <c r="B26" s="1513" t="s">
        <v>2077</v>
      </c>
      <c r="C26" s="1514" t="s">
        <v>1919</v>
      </c>
      <c r="D26" s="1514"/>
      <c r="E26" s="1513">
        <v>6000000</v>
      </c>
      <c r="F26" s="1512">
        <f t="shared" si="0"/>
        <v>1080000</v>
      </c>
      <c r="G26" s="2141">
        <v>40098</v>
      </c>
      <c r="H26" s="1511">
        <v>0.18</v>
      </c>
      <c r="I26" s="1508">
        <v>12</v>
      </c>
      <c r="J26" s="1508">
        <v>12</v>
      </c>
      <c r="K26" s="1508">
        <v>500000</v>
      </c>
      <c r="L26" s="1508">
        <v>90000</v>
      </c>
      <c r="M26" s="1510">
        <f t="shared" si="1"/>
        <v>6000000</v>
      </c>
      <c r="N26" s="1510">
        <f t="shared" si="2"/>
        <v>1080000</v>
      </c>
      <c r="O26" s="1509">
        <v>6000000</v>
      </c>
      <c r="P26" s="1509">
        <v>1080000</v>
      </c>
      <c r="Q26" s="1509"/>
      <c r="R26" s="1508"/>
      <c r="S26" s="1508"/>
      <c r="T26" s="1507"/>
      <c r="U26" s="1495">
        <f t="shared" si="3"/>
        <v>6000000</v>
      </c>
      <c r="V26" s="1495">
        <f t="shared" si="4"/>
        <v>1080000</v>
      </c>
      <c r="W26" s="1495">
        <f t="shared" si="5"/>
        <v>0</v>
      </c>
      <c r="X26" s="1495">
        <f t="shared" si="6"/>
        <v>0</v>
      </c>
      <c r="Y26" s="1495">
        <f t="shared" si="7"/>
        <v>100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f t="shared" si="14"/>
        <v>15</v>
      </c>
      <c r="B27" s="1513" t="s">
        <v>2078</v>
      </c>
      <c r="C27" s="1514" t="s">
        <v>2079</v>
      </c>
      <c r="D27" s="1514"/>
      <c r="E27" s="1513">
        <v>7500000</v>
      </c>
      <c r="F27" s="1512">
        <f t="shared" si="0"/>
        <v>1350000</v>
      </c>
      <c r="G27" s="2141">
        <v>40850</v>
      </c>
      <c r="H27" s="1511">
        <v>0.18</v>
      </c>
      <c r="I27" s="1508">
        <v>12</v>
      </c>
      <c r="J27" s="1508">
        <v>12</v>
      </c>
      <c r="K27" s="1508">
        <v>625000</v>
      </c>
      <c r="L27" s="1508">
        <v>112500</v>
      </c>
      <c r="M27" s="1510">
        <f t="shared" si="1"/>
        <v>7500000</v>
      </c>
      <c r="N27" s="1510">
        <f t="shared" si="2"/>
        <v>1350000</v>
      </c>
      <c r="O27" s="1509">
        <v>7500000</v>
      </c>
      <c r="P27" s="1509">
        <v>1350000</v>
      </c>
      <c r="Q27" s="1509"/>
      <c r="R27" s="1508"/>
      <c r="S27" s="1508"/>
      <c r="T27" s="1507"/>
      <c r="U27" s="1495">
        <f t="shared" si="3"/>
        <v>7500000</v>
      </c>
      <c r="V27" s="1495">
        <f t="shared" si="4"/>
        <v>1350000</v>
      </c>
      <c r="W27" s="1495">
        <f t="shared" si="5"/>
        <v>0</v>
      </c>
      <c r="X27" s="1495">
        <f t="shared" si="6"/>
        <v>0</v>
      </c>
      <c r="Y27" s="1495">
        <f t="shared" si="7"/>
        <v>100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f t="shared" si="14"/>
        <v>16</v>
      </c>
      <c r="B28" s="1513" t="s">
        <v>1952</v>
      </c>
      <c r="C28" s="1514" t="s">
        <v>2079</v>
      </c>
      <c r="D28" s="1514"/>
      <c r="E28" s="1513">
        <v>7400000</v>
      </c>
      <c r="F28" s="1512">
        <f t="shared" si="0"/>
        <v>1332000</v>
      </c>
      <c r="G28" s="2141">
        <v>40850</v>
      </c>
      <c r="H28" s="1511">
        <v>0.18</v>
      </c>
      <c r="I28" s="1508">
        <v>12</v>
      </c>
      <c r="J28" s="1508">
        <v>12</v>
      </c>
      <c r="K28" s="1508">
        <v>616700</v>
      </c>
      <c r="L28" s="1508">
        <v>111000</v>
      </c>
      <c r="M28" s="1510">
        <f t="shared" si="1"/>
        <v>7400000</v>
      </c>
      <c r="N28" s="1510">
        <f t="shared" si="2"/>
        <v>1332000</v>
      </c>
      <c r="O28" s="1509">
        <v>7400000</v>
      </c>
      <c r="P28" s="1509">
        <v>1332000</v>
      </c>
      <c r="Q28" s="1509"/>
      <c r="R28" s="1508"/>
      <c r="S28" s="1508"/>
      <c r="T28" s="1507"/>
      <c r="U28" s="1495">
        <f t="shared" si="3"/>
        <v>7400000</v>
      </c>
      <c r="V28" s="1495">
        <f t="shared" si="4"/>
        <v>1332000</v>
      </c>
      <c r="W28" s="1495">
        <f t="shared" si="5"/>
        <v>0</v>
      </c>
      <c r="X28" s="1495">
        <f t="shared" si="6"/>
        <v>0</v>
      </c>
      <c r="Y28" s="1495">
        <f t="shared" si="7"/>
        <v>100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f t="shared" si="14"/>
        <v>17</v>
      </c>
      <c r="B29" s="1513" t="s">
        <v>2080</v>
      </c>
      <c r="C29" s="1514" t="s">
        <v>2079</v>
      </c>
      <c r="D29" s="1514"/>
      <c r="E29" s="1513">
        <v>12000000</v>
      </c>
      <c r="F29" s="1512">
        <f t="shared" si="0"/>
        <v>2160000</v>
      </c>
      <c r="G29" s="2141">
        <v>40850</v>
      </c>
      <c r="H29" s="1511">
        <v>0.18</v>
      </c>
      <c r="I29" s="1508">
        <v>12</v>
      </c>
      <c r="J29" s="1508">
        <v>12</v>
      </c>
      <c r="K29" s="1508">
        <v>1000000</v>
      </c>
      <c r="L29" s="1508">
        <v>180000</v>
      </c>
      <c r="M29" s="1510">
        <f t="shared" si="1"/>
        <v>12000000</v>
      </c>
      <c r="N29" s="1510">
        <f t="shared" si="2"/>
        <v>2160000</v>
      </c>
      <c r="O29" s="1509">
        <v>12000000</v>
      </c>
      <c r="P29" s="1509">
        <v>2160000</v>
      </c>
      <c r="Q29" s="1509"/>
      <c r="R29" s="1508"/>
      <c r="S29" s="1508"/>
      <c r="T29" s="1507"/>
      <c r="U29" s="1495">
        <f t="shared" si="3"/>
        <v>12000000</v>
      </c>
      <c r="V29" s="1495">
        <f t="shared" si="4"/>
        <v>2160000</v>
      </c>
      <c r="W29" s="1495">
        <f t="shared" si="5"/>
        <v>0</v>
      </c>
      <c r="X29" s="1495">
        <f t="shared" si="6"/>
        <v>0</v>
      </c>
      <c r="Y29" s="1495">
        <f t="shared" si="7"/>
        <v>100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f t="shared" si="14"/>
        <v>18</v>
      </c>
      <c r="B30" s="1513" t="s">
        <v>2081</v>
      </c>
      <c r="C30" s="1514" t="s">
        <v>2079</v>
      </c>
      <c r="D30" s="1514"/>
      <c r="E30" s="1513">
        <v>9000000</v>
      </c>
      <c r="F30" s="1512">
        <f t="shared" si="0"/>
        <v>1620000</v>
      </c>
      <c r="G30" s="2141">
        <v>40850</v>
      </c>
      <c r="H30" s="1511">
        <v>0.18</v>
      </c>
      <c r="I30" s="1508">
        <v>12</v>
      </c>
      <c r="J30" s="1508">
        <v>12</v>
      </c>
      <c r="K30" s="1508">
        <v>750000</v>
      </c>
      <c r="L30" s="1508">
        <v>135000</v>
      </c>
      <c r="M30" s="1510">
        <f t="shared" si="1"/>
        <v>9000000</v>
      </c>
      <c r="N30" s="1510">
        <f t="shared" si="2"/>
        <v>1620000</v>
      </c>
      <c r="O30" s="1509">
        <v>9000000</v>
      </c>
      <c r="P30" s="1509">
        <v>1620000</v>
      </c>
      <c r="Q30" s="1509"/>
      <c r="R30" s="2650"/>
      <c r="S30" s="2650"/>
      <c r="T30" s="1507"/>
      <c r="U30" s="1495">
        <f t="shared" si="3"/>
        <v>9000000</v>
      </c>
      <c r="V30" s="1495">
        <f t="shared" si="4"/>
        <v>1620000</v>
      </c>
      <c r="W30" s="1495">
        <f t="shared" si="5"/>
        <v>0</v>
      </c>
      <c r="X30" s="1495">
        <f t="shared" si="6"/>
        <v>0</v>
      </c>
      <c r="Y30" s="1495">
        <f t="shared" si="7"/>
        <v>100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v>19</v>
      </c>
      <c r="B31" s="1513" t="s">
        <v>1971</v>
      </c>
      <c r="C31" s="1514" t="s">
        <v>2225</v>
      </c>
      <c r="D31" s="1514">
        <v>10</v>
      </c>
      <c r="E31" s="1513">
        <v>7000000</v>
      </c>
      <c r="F31" s="1512">
        <f t="shared" si="0"/>
        <v>1260000</v>
      </c>
      <c r="G31" s="2141">
        <v>40878</v>
      </c>
      <c r="H31" s="1511">
        <v>0.18</v>
      </c>
      <c r="I31" s="1508">
        <v>12</v>
      </c>
      <c r="J31" s="1508">
        <v>12</v>
      </c>
      <c r="K31" s="1508">
        <v>583300</v>
      </c>
      <c r="L31" s="1508">
        <f>F31/I31</f>
        <v>105000</v>
      </c>
      <c r="M31" s="1510">
        <f t="shared" si="1"/>
        <v>7000000</v>
      </c>
      <c r="N31" s="1510">
        <f>IF(J31&lt;I31,J31*L31,IF(J31&gt;=I31,F31))-105000</f>
        <v>1155000</v>
      </c>
      <c r="O31" s="1509">
        <v>7000000</v>
      </c>
      <c r="P31" s="1509">
        <v>1155000</v>
      </c>
      <c r="Q31" s="1509"/>
      <c r="R31" s="2650"/>
      <c r="S31" s="2650"/>
      <c r="T31" s="1507"/>
      <c r="U31" s="1495">
        <f t="shared" si="3"/>
        <v>7000000</v>
      </c>
      <c r="V31" s="1495">
        <f t="shared" si="4"/>
        <v>1155000</v>
      </c>
      <c r="W31" s="1495">
        <f t="shared" si="5"/>
        <v>0</v>
      </c>
      <c r="X31" s="1495">
        <f t="shared" si="6"/>
        <v>0</v>
      </c>
      <c r="Y31" s="1495">
        <f t="shared" si="7"/>
        <v>100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v>20</v>
      </c>
      <c r="B32" s="1513" t="s">
        <v>1941</v>
      </c>
      <c r="C32" s="1514" t="s">
        <v>2245</v>
      </c>
      <c r="D32" s="1514">
        <v>10</v>
      </c>
      <c r="E32" s="1513">
        <v>10000000</v>
      </c>
      <c r="F32" s="1512">
        <f t="shared" si="0"/>
        <v>1800000</v>
      </c>
      <c r="G32" s="2141">
        <v>41170</v>
      </c>
      <c r="H32" s="1511">
        <v>0.18</v>
      </c>
      <c r="I32" s="1508">
        <v>12</v>
      </c>
      <c r="J32" s="1508">
        <v>12</v>
      </c>
      <c r="K32" s="1508">
        <v>833300</v>
      </c>
      <c r="L32" s="1508">
        <v>150000</v>
      </c>
      <c r="M32" s="1510">
        <f t="shared" si="1"/>
        <v>10000000</v>
      </c>
      <c r="N32" s="1510">
        <f>IF(J32&lt;I32,J32*L32,IF(J32&gt;=I32,F32))-300000</f>
        <v>1500000</v>
      </c>
      <c r="O32" s="1509">
        <v>10000000</v>
      </c>
      <c r="P32" s="1509">
        <v>1500000</v>
      </c>
      <c r="Q32" s="1509"/>
      <c r="R32" s="2650"/>
      <c r="S32" s="2650"/>
      <c r="T32" s="1507"/>
      <c r="U32" s="1495">
        <f t="shared" si="3"/>
        <v>10000000</v>
      </c>
      <c r="V32" s="1495">
        <f t="shared" si="4"/>
        <v>1500000</v>
      </c>
      <c r="W32" s="1495">
        <f t="shared" si="5"/>
        <v>0</v>
      </c>
      <c r="X32" s="1495">
        <f t="shared" si="6"/>
        <v>0</v>
      </c>
      <c r="Y32" s="1495">
        <f t="shared" si="7"/>
        <v>100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v>0</v>
      </c>
      <c r="P33" s="1509">
        <v>0</v>
      </c>
      <c r="Q33" s="1509"/>
      <c r="R33" s="2650"/>
      <c r="S33" s="2650"/>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20</v>
      </c>
      <c r="E48" s="1480">
        <f>SUM(E13:E46)</f>
        <v>156400000</v>
      </c>
      <c r="F48" s="1480">
        <f>SUM(F13:F46)</f>
        <v>28152000</v>
      </c>
      <c r="G48" s="1481"/>
      <c r="H48" s="1481"/>
      <c r="I48" s="1481"/>
      <c r="J48" s="1481"/>
      <c r="K48" s="1481"/>
      <c r="L48" s="1481"/>
      <c r="M48" s="1480">
        <f t="shared" ref="M48:X48" si="15">SUM(M13:M46)</f>
        <v>156400000</v>
      </c>
      <c r="N48" s="1480">
        <f t="shared" si="15"/>
        <v>27747000</v>
      </c>
      <c r="O48" s="1480">
        <f t="shared" si="15"/>
        <v>156400000</v>
      </c>
      <c r="P48" s="1480">
        <f t="shared" si="15"/>
        <v>27747000</v>
      </c>
      <c r="Q48" s="1480">
        <f t="shared" si="15"/>
        <v>0</v>
      </c>
      <c r="R48" s="1480">
        <f t="shared" si="15"/>
        <v>0</v>
      </c>
      <c r="S48" s="1480">
        <f t="shared" si="15"/>
        <v>0</v>
      </c>
      <c r="T48" s="1480">
        <f t="shared" si="15"/>
        <v>0</v>
      </c>
      <c r="U48" s="1480">
        <f t="shared" si="15"/>
        <v>156400000</v>
      </c>
      <c r="V48" s="1480">
        <f t="shared" si="15"/>
        <v>27747000</v>
      </c>
      <c r="W48" s="1480">
        <f t="shared" si="15"/>
        <v>0</v>
      </c>
      <c r="X48" s="1480">
        <f t="shared" si="15"/>
        <v>0</v>
      </c>
      <c r="Y48" s="1480">
        <f>SUM(U48/M48)*100</f>
        <v>100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2</v>
      </c>
      <c r="E49" s="1473">
        <f>COUNT(E13:E46)</f>
        <v>20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525" t="s">
        <v>0</v>
      </c>
      <c r="B54" s="3525"/>
      <c r="C54" s="3525"/>
      <c r="D54" s="3525"/>
      <c r="E54" s="3525"/>
      <c r="F54" s="3525"/>
      <c r="G54" s="3525"/>
      <c r="H54" s="3525"/>
      <c r="I54" s="3525"/>
      <c r="J54" s="3525"/>
      <c r="K54" s="3525"/>
      <c r="L54" s="3525"/>
      <c r="M54" s="3525"/>
      <c r="N54" s="3525"/>
      <c r="O54" s="3525"/>
      <c r="P54" s="3525"/>
      <c r="Q54" s="3525"/>
      <c r="R54" s="3525"/>
      <c r="S54" s="3525"/>
      <c r="T54" s="3525"/>
      <c r="U54" s="3525"/>
      <c r="V54" s="3525"/>
      <c r="W54" s="3525"/>
      <c r="X54" s="3525"/>
      <c r="Y54" s="3525"/>
      <c r="Z54" s="3525"/>
      <c r="AA54" s="3525"/>
      <c r="AB54" s="1562"/>
      <c r="AC54" s="1560"/>
      <c r="AD54" s="1560"/>
      <c r="AE54" s="1560"/>
      <c r="AF54" s="1560"/>
    </row>
    <row r="55" spans="1:32" s="1559" customFormat="1" ht="24.75" customHeight="1">
      <c r="A55" s="3525" t="str">
        <f>A2</f>
        <v>LAPORAN PERKEMBANGAN PINJAMAN  SPP</v>
      </c>
      <c r="B55" s="3525"/>
      <c r="C55" s="3525"/>
      <c r="D55" s="3525"/>
      <c r="E55" s="3525"/>
      <c r="F55" s="3525"/>
      <c r="G55" s="3525"/>
      <c r="H55" s="3525"/>
      <c r="I55" s="3525"/>
      <c r="J55" s="3525"/>
      <c r="K55" s="3525"/>
      <c r="L55" s="3525"/>
      <c r="M55" s="3525"/>
      <c r="N55" s="3525"/>
      <c r="O55" s="3525"/>
      <c r="P55" s="3525"/>
      <c r="Q55" s="3525"/>
      <c r="R55" s="3525"/>
      <c r="S55" s="3525"/>
      <c r="T55" s="3525"/>
      <c r="U55" s="3525"/>
      <c r="V55" s="3525"/>
      <c r="W55" s="3525"/>
      <c r="X55" s="3525"/>
      <c r="Y55" s="3525"/>
      <c r="Z55" s="3525"/>
      <c r="AA55" s="3525"/>
      <c r="AB55" s="1562"/>
      <c r="AC55" s="1560"/>
      <c r="AD55" s="1560"/>
      <c r="AE55" s="1560"/>
      <c r="AF55" s="1560"/>
    </row>
    <row r="56" spans="1:32" s="1559" customFormat="1" ht="34.5">
      <c r="A56" s="3525" t="s">
        <v>1504</v>
      </c>
      <c r="B56" s="3525"/>
      <c r="C56" s="3525"/>
      <c r="D56" s="3525"/>
      <c r="E56" s="3525"/>
      <c r="F56" s="3525"/>
      <c r="G56" s="3525"/>
      <c r="H56" s="3525"/>
      <c r="I56" s="3525"/>
      <c r="J56" s="3525"/>
      <c r="K56" s="3525"/>
      <c r="L56" s="3525"/>
      <c r="M56" s="3525"/>
      <c r="N56" s="3525"/>
      <c r="O56" s="3525"/>
      <c r="P56" s="3525"/>
      <c r="Q56" s="3525"/>
      <c r="R56" s="3525"/>
      <c r="S56" s="3525"/>
      <c r="T56" s="3525"/>
      <c r="U56" s="3525"/>
      <c r="V56" s="3525"/>
      <c r="W56" s="3525"/>
      <c r="X56" s="3525"/>
      <c r="Y56" s="3525"/>
      <c r="Z56" s="3525"/>
      <c r="AA56" s="3525"/>
      <c r="AB56" s="1561"/>
      <c r="AC56" s="1560"/>
      <c r="AD56" s="1560"/>
      <c r="AE56" s="1560"/>
      <c r="AF56" s="1560"/>
    </row>
    <row r="57" spans="1:32" s="1547" customFormat="1" ht="18.75" customHeight="1">
      <c r="A57" s="3525" t="str">
        <f>A4</f>
        <v>Per - Februari 2016 2016</v>
      </c>
      <c r="B57" s="3525"/>
      <c r="C57" s="3525"/>
      <c r="D57" s="3525"/>
      <c r="E57" s="3525"/>
      <c r="F57" s="3525"/>
      <c r="G57" s="3525"/>
      <c r="H57" s="3525"/>
      <c r="I57" s="3525"/>
      <c r="J57" s="3525"/>
      <c r="K57" s="3525"/>
      <c r="L57" s="3525"/>
      <c r="M57" s="3525"/>
      <c r="N57" s="3525"/>
      <c r="O57" s="3525"/>
      <c r="P57" s="3525"/>
      <c r="Q57" s="3525"/>
      <c r="R57" s="3525"/>
      <c r="S57" s="3525"/>
      <c r="T57" s="3525"/>
      <c r="U57" s="3525"/>
      <c r="V57" s="3525"/>
      <c r="W57" s="3525"/>
      <c r="X57" s="3525"/>
      <c r="Y57" s="3525"/>
      <c r="Z57" s="3525"/>
      <c r="AA57" s="3525"/>
      <c r="AB57" s="1556"/>
      <c r="AC57" s="1548"/>
      <c r="AD57" s="1548"/>
    </row>
    <row r="58" spans="1:32" s="1542" customFormat="1" ht="24.75" customHeight="1">
      <c r="A58" s="3410" t="s">
        <v>1503</v>
      </c>
      <c r="B58" s="3410"/>
      <c r="C58" s="3410"/>
      <c r="D58" s="1553"/>
      <c r="E58" s="1558" t="str">
        <f>E5</f>
        <v>:  BABAKAN PANJANG</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3" t="s">
        <v>36</v>
      </c>
      <c r="B63" s="3413" t="s">
        <v>1499</v>
      </c>
      <c r="C63" s="3413"/>
      <c r="D63" s="3413" t="s">
        <v>1498</v>
      </c>
      <c r="E63" s="3413" t="s">
        <v>1497</v>
      </c>
      <c r="F63" s="3413"/>
      <c r="G63" s="3413" t="s">
        <v>1496</v>
      </c>
      <c r="H63" s="3413" t="s">
        <v>1495</v>
      </c>
      <c r="I63" s="3413" t="s">
        <v>1494</v>
      </c>
      <c r="J63" s="3413" t="s">
        <v>1493</v>
      </c>
      <c r="K63" s="3413" t="s">
        <v>1492</v>
      </c>
      <c r="L63" s="3413"/>
      <c r="M63" s="3413" t="s">
        <v>1491</v>
      </c>
      <c r="N63" s="3413"/>
      <c r="O63" s="3413" t="s">
        <v>1490</v>
      </c>
      <c r="P63" s="3413"/>
      <c r="Q63" s="3413"/>
      <c r="R63" s="3413" t="s">
        <v>1489</v>
      </c>
      <c r="S63" s="3413"/>
      <c r="T63" s="3413"/>
      <c r="U63" s="3413" t="s">
        <v>1488</v>
      </c>
      <c r="V63" s="3413"/>
      <c r="W63" s="3413"/>
      <c r="X63" s="3413" t="s">
        <v>1487</v>
      </c>
      <c r="Y63" s="3413" t="s">
        <v>1486</v>
      </c>
      <c r="Z63" s="3413" t="s">
        <v>1485</v>
      </c>
      <c r="AA63" s="3413"/>
      <c r="AB63" s="2865" t="s">
        <v>1484</v>
      </c>
      <c r="AC63" s="1541" t="s">
        <v>1483</v>
      </c>
      <c r="AD63" s="1540" t="s">
        <v>1482</v>
      </c>
      <c r="AE63" s="1540" t="s">
        <v>1481</v>
      </c>
      <c r="AF63" s="1539" t="s">
        <v>1480</v>
      </c>
    </row>
    <row r="64" spans="1:32" s="1528" customFormat="1" ht="22.5" customHeight="1">
      <c r="A64" s="3413"/>
      <c r="B64" s="1536" t="s">
        <v>1479</v>
      </c>
      <c r="C64" s="1536" t="s">
        <v>1478</v>
      </c>
      <c r="D64" s="3413"/>
      <c r="E64" s="1537" t="s">
        <v>16</v>
      </c>
      <c r="F64" s="1537" t="s">
        <v>1476</v>
      </c>
      <c r="G64" s="3413"/>
      <c r="H64" s="3413"/>
      <c r="I64" s="3413"/>
      <c r="J64" s="3413"/>
      <c r="K64" s="3413" t="s">
        <v>16</v>
      </c>
      <c r="L64" s="3413" t="s">
        <v>1476</v>
      </c>
      <c r="M64" s="1537" t="s">
        <v>16</v>
      </c>
      <c r="N64" s="1537" t="s">
        <v>1476</v>
      </c>
      <c r="O64" s="1537" t="s">
        <v>16</v>
      </c>
      <c r="P64" s="1537" t="s">
        <v>1476</v>
      </c>
      <c r="Q64" s="1537" t="s">
        <v>1477</v>
      </c>
      <c r="R64" s="1537" t="s">
        <v>16</v>
      </c>
      <c r="S64" s="1537" t="s">
        <v>1476</v>
      </c>
      <c r="T64" s="1537" t="s">
        <v>1477</v>
      </c>
      <c r="U64" s="1537" t="s">
        <v>16</v>
      </c>
      <c r="V64" s="1537" t="s">
        <v>1476</v>
      </c>
      <c r="W64" s="1537" t="s">
        <v>1477</v>
      </c>
      <c r="X64" s="3413"/>
      <c r="Y64" s="3413"/>
      <c r="Z64" s="1537" t="s">
        <v>16</v>
      </c>
      <c r="AA64" s="2163" t="s">
        <v>1476</v>
      </c>
      <c r="AB64" s="1537"/>
      <c r="AC64" s="1531" t="s">
        <v>1475</v>
      </c>
      <c r="AD64" s="1530" t="s">
        <v>1474</v>
      </c>
      <c r="AE64" s="1530" t="s">
        <v>1473</v>
      </c>
      <c r="AF64" s="1529" t="s">
        <v>1472</v>
      </c>
    </row>
    <row r="65" spans="1:34" s="1461" customFormat="1" ht="13.5" customHeight="1" thickBot="1">
      <c r="A65" s="2163">
        <v>1</v>
      </c>
      <c r="B65" s="2163">
        <v>2</v>
      </c>
      <c r="C65" s="2163">
        <v>3</v>
      </c>
      <c r="D65" s="3413"/>
      <c r="E65" s="2163">
        <v>4</v>
      </c>
      <c r="F65" s="2163">
        <v>5</v>
      </c>
      <c r="G65" s="2163">
        <v>6</v>
      </c>
      <c r="H65" s="3413"/>
      <c r="I65" s="3413"/>
      <c r="J65" s="3413"/>
      <c r="K65" s="3413"/>
      <c r="L65" s="3413"/>
      <c r="M65" s="2163">
        <v>7</v>
      </c>
      <c r="N65" s="2163">
        <v>8</v>
      </c>
      <c r="O65" s="2163">
        <v>9</v>
      </c>
      <c r="P65" s="2163">
        <v>10</v>
      </c>
      <c r="Q65" s="2163">
        <v>11</v>
      </c>
      <c r="R65" s="2163">
        <v>12</v>
      </c>
      <c r="S65" s="2163">
        <v>13</v>
      </c>
      <c r="T65" s="2163">
        <v>14</v>
      </c>
      <c r="U65" s="2163" t="s">
        <v>1471</v>
      </c>
      <c r="V65" s="2163" t="s">
        <v>1470</v>
      </c>
      <c r="W65" s="2163" t="s">
        <v>1469</v>
      </c>
      <c r="X65" s="2163" t="s">
        <v>1468</v>
      </c>
      <c r="Y65" s="2163" t="s">
        <v>1467</v>
      </c>
      <c r="Z65" s="2163" t="s">
        <v>1466</v>
      </c>
      <c r="AA65" s="2163" t="s">
        <v>1465</v>
      </c>
      <c r="AB65" s="2865">
        <v>22</v>
      </c>
      <c r="AC65" s="1518">
        <v>23</v>
      </c>
      <c r="AD65" s="1517">
        <v>24</v>
      </c>
      <c r="AE65" s="1517">
        <v>25</v>
      </c>
      <c r="AF65" s="1516">
        <v>26</v>
      </c>
    </row>
    <row r="66" spans="1:34" s="1474" customFormat="1" ht="23.25" customHeight="1" thickTop="1">
      <c r="A66" s="1515">
        <v>1</v>
      </c>
      <c r="B66" s="1513" t="s">
        <v>1912</v>
      </c>
      <c r="C66" s="1514" t="s">
        <v>1928</v>
      </c>
      <c r="D66" s="1514"/>
      <c r="E66" s="1513">
        <v>8400000</v>
      </c>
      <c r="F66" s="1512">
        <f t="shared" ref="F66:F159" si="16">E66*H66</f>
        <v>1512000</v>
      </c>
      <c r="G66" s="2141">
        <v>39934</v>
      </c>
      <c r="H66" s="1511">
        <v>0.18</v>
      </c>
      <c r="I66" s="1508">
        <v>12</v>
      </c>
      <c r="J66" s="1508">
        <v>12</v>
      </c>
      <c r="K66" s="1508">
        <v>700000</v>
      </c>
      <c r="L66" s="1508">
        <v>126000</v>
      </c>
      <c r="M66" s="1510">
        <f t="shared" ref="M66:M159" si="17">IF(J66&lt;I66,J66*K66,IF(J66&gt;=I66,E66))</f>
        <v>8400000</v>
      </c>
      <c r="N66" s="1510">
        <f t="shared" ref="N66:N159" si="18">IF(J66&lt;I66,J66*L66,IF(J66&gt;=I66,F66))</f>
        <v>1512000</v>
      </c>
      <c r="O66" s="1509">
        <v>8400000</v>
      </c>
      <c r="P66" s="1509">
        <v>1512000</v>
      </c>
      <c r="Q66" s="1509"/>
      <c r="R66" s="2650"/>
      <c r="S66" s="2650"/>
      <c r="T66" s="2840"/>
      <c r="U66" s="1495">
        <f t="shared" ref="U66:U159" si="19">SUM(O66+R66)</f>
        <v>8400000</v>
      </c>
      <c r="V66" s="1495">
        <f t="shared" ref="V66:V159" si="20">SUM(P66+S66)</f>
        <v>1512000</v>
      </c>
      <c r="W66" s="1495">
        <f t="shared" ref="W66:W159" si="21">SUM(Q66+T66)</f>
        <v>0</v>
      </c>
      <c r="X66" s="1495">
        <f t="shared" ref="X66:X159" si="22">SUM(E66-U66)</f>
        <v>0</v>
      </c>
      <c r="Y66" s="1495">
        <f t="shared" ref="Y66:Y159" si="23">SUM(U66/M66)*100</f>
        <v>100</v>
      </c>
      <c r="Z66" s="1495">
        <f t="shared" ref="Z66:Z159" si="24">SUM(M66-U66)</f>
        <v>0</v>
      </c>
      <c r="AA66" s="1506">
        <f t="shared" ref="AA66:AA159" si="25">SUM(N66-V66)</f>
        <v>0</v>
      </c>
      <c r="AB66" s="1505"/>
      <c r="AC66" s="1504">
        <f t="shared" ref="AC66:AC159" si="26">IF(AND(AB66&gt;0,AB66&lt;=2),X66,0)</f>
        <v>0</v>
      </c>
      <c r="AD66" s="1503">
        <f t="shared" ref="AD66:AD159" si="27">IF(AND(AB66&gt;=3,AB66&lt;=4),X66,0)</f>
        <v>0</v>
      </c>
      <c r="AE66" s="1503">
        <f t="shared" ref="AE66:AE159" si="28">IF(AND(AB66&gt;=5,AB66&lt;=6),X66,0)</f>
        <v>0</v>
      </c>
      <c r="AF66" s="1502">
        <f t="shared" ref="AF66:AF159" si="29">IF(AB66&gt;6,X66,0)</f>
        <v>0</v>
      </c>
    </row>
    <row r="67" spans="1:34" s="1474" customFormat="1" ht="23.25" customHeight="1">
      <c r="A67" s="1515">
        <f>A66+1</f>
        <v>2</v>
      </c>
      <c r="B67" s="1513" t="s">
        <v>1977</v>
      </c>
      <c r="C67" s="1514" t="s">
        <v>1931</v>
      </c>
      <c r="D67" s="1514"/>
      <c r="E67" s="1513">
        <v>6000000</v>
      </c>
      <c r="F67" s="1512">
        <f t="shared" si="16"/>
        <v>1080000</v>
      </c>
      <c r="G67" s="2141">
        <v>40246</v>
      </c>
      <c r="H67" s="1511">
        <v>0.18</v>
      </c>
      <c r="I67" s="1508">
        <v>12</v>
      </c>
      <c r="J67" s="1508">
        <v>12</v>
      </c>
      <c r="K67" s="1508">
        <v>500000</v>
      </c>
      <c r="L67" s="1508">
        <v>90000</v>
      </c>
      <c r="M67" s="1510">
        <f t="shared" si="17"/>
        <v>6000000</v>
      </c>
      <c r="N67" s="1510">
        <f t="shared" si="18"/>
        <v>1080000</v>
      </c>
      <c r="O67" s="1509">
        <v>6000000</v>
      </c>
      <c r="P67" s="1509">
        <v>1080000</v>
      </c>
      <c r="Q67" s="1509"/>
      <c r="R67" s="2650"/>
      <c r="S67" s="2650"/>
      <c r="T67" s="2840"/>
      <c r="U67" s="1495">
        <f t="shared" si="19"/>
        <v>6000000</v>
      </c>
      <c r="V67" s="1495">
        <f t="shared" si="20"/>
        <v>1080000</v>
      </c>
      <c r="W67" s="1495">
        <f t="shared" si="21"/>
        <v>0</v>
      </c>
      <c r="X67" s="1495">
        <f t="shared" si="22"/>
        <v>0</v>
      </c>
      <c r="Y67" s="1495">
        <f t="shared" si="23"/>
        <v>100</v>
      </c>
      <c r="Z67" s="1495">
        <f t="shared" si="24"/>
        <v>0</v>
      </c>
      <c r="AA67" s="1506">
        <f t="shared" si="25"/>
        <v>0</v>
      </c>
      <c r="AB67" s="1505"/>
      <c r="AC67" s="1504">
        <f t="shared" si="26"/>
        <v>0</v>
      </c>
      <c r="AD67" s="1503">
        <f t="shared" si="27"/>
        <v>0</v>
      </c>
      <c r="AE67" s="1503">
        <f t="shared" si="28"/>
        <v>0</v>
      </c>
      <c r="AF67" s="1502">
        <f t="shared" si="29"/>
        <v>0</v>
      </c>
    </row>
    <row r="68" spans="1:34" s="1474" customFormat="1" ht="23.25" customHeight="1">
      <c r="A68" s="1515">
        <f t="shared" ref="A68:A83" si="30">A67+1</f>
        <v>3</v>
      </c>
      <c r="B68" s="1513" t="s">
        <v>2073</v>
      </c>
      <c r="C68" s="1514" t="s">
        <v>1932</v>
      </c>
      <c r="D68" s="1514"/>
      <c r="E68" s="1513">
        <v>11000000</v>
      </c>
      <c r="F68" s="1512">
        <f t="shared" si="16"/>
        <v>1980000</v>
      </c>
      <c r="G68" s="2141">
        <v>40338</v>
      </c>
      <c r="H68" s="1511">
        <v>0.18</v>
      </c>
      <c r="I68" s="1508">
        <v>12</v>
      </c>
      <c r="J68" s="1508">
        <v>12</v>
      </c>
      <c r="K68" s="1508">
        <v>916700</v>
      </c>
      <c r="L68" s="1508">
        <v>165000</v>
      </c>
      <c r="M68" s="1510">
        <f t="shared" si="17"/>
        <v>11000000</v>
      </c>
      <c r="N68" s="1510">
        <f t="shared" si="18"/>
        <v>1980000</v>
      </c>
      <c r="O68" s="1509">
        <v>11000000</v>
      </c>
      <c r="P68" s="1509">
        <v>1980000</v>
      </c>
      <c r="Q68" s="1509"/>
      <c r="R68" s="2650"/>
      <c r="S68" s="2650"/>
      <c r="T68" s="2840"/>
      <c r="U68" s="1495">
        <f t="shared" si="19"/>
        <v>11000000</v>
      </c>
      <c r="V68" s="1495">
        <f t="shared" si="20"/>
        <v>1980000</v>
      </c>
      <c r="W68" s="1495">
        <f t="shared" si="21"/>
        <v>0</v>
      </c>
      <c r="X68" s="1495">
        <f t="shared" si="22"/>
        <v>0</v>
      </c>
      <c r="Y68" s="1495">
        <f t="shared" si="23"/>
        <v>100</v>
      </c>
      <c r="Z68" s="1495">
        <f t="shared" si="24"/>
        <v>0</v>
      </c>
      <c r="AA68" s="1506">
        <f t="shared" si="25"/>
        <v>0</v>
      </c>
      <c r="AB68" s="1505"/>
      <c r="AC68" s="1504">
        <f t="shared" si="26"/>
        <v>0</v>
      </c>
      <c r="AD68" s="1503">
        <f t="shared" si="27"/>
        <v>0</v>
      </c>
      <c r="AE68" s="1503">
        <f t="shared" si="28"/>
        <v>0</v>
      </c>
      <c r="AF68" s="1502">
        <f t="shared" si="29"/>
        <v>0</v>
      </c>
    </row>
    <row r="69" spans="1:34" s="1474" customFormat="1" ht="23.25" customHeight="1">
      <c r="A69" s="1515">
        <f t="shared" si="30"/>
        <v>4</v>
      </c>
      <c r="B69" s="1513" t="s">
        <v>2082</v>
      </c>
      <c r="C69" s="1514" t="s">
        <v>1932</v>
      </c>
      <c r="D69" s="1514"/>
      <c r="E69" s="1513">
        <v>10000000</v>
      </c>
      <c r="F69" s="1512">
        <f t="shared" si="16"/>
        <v>1800000</v>
      </c>
      <c r="G69" s="2141">
        <v>40338</v>
      </c>
      <c r="H69" s="1511">
        <v>0.18</v>
      </c>
      <c r="I69" s="1508">
        <v>12</v>
      </c>
      <c r="J69" s="1508">
        <v>12</v>
      </c>
      <c r="K69" s="1508">
        <v>833300</v>
      </c>
      <c r="L69" s="1508">
        <v>150000</v>
      </c>
      <c r="M69" s="1510">
        <f t="shared" si="17"/>
        <v>10000000</v>
      </c>
      <c r="N69" s="1510">
        <f t="shared" si="18"/>
        <v>1800000</v>
      </c>
      <c r="O69" s="1509">
        <v>10000000</v>
      </c>
      <c r="P69" s="1509">
        <v>1800000</v>
      </c>
      <c r="Q69" s="1509"/>
      <c r="R69" s="2650"/>
      <c r="S69" s="2650"/>
      <c r="T69" s="2840"/>
      <c r="U69" s="1495">
        <f t="shared" si="19"/>
        <v>10000000</v>
      </c>
      <c r="V69" s="1495">
        <f t="shared" si="20"/>
        <v>1800000</v>
      </c>
      <c r="W69" s="1495">
        <f t="shared" si="21"/>
        <v>0</v>
      </c>
      <c r="X69" s="1495">
        <f t="shared" si="22"/>
        <v>0</v>
      </c>
      <c r="Y69" s="1495">
        <f t="shared" si="23"/>
        <v>100</v>
      </c>
      <c r="Z69" s="1495">
        <f t="shared" si="24"/>
        <v>0</v>
      </c>
      <c r="AA69" s="1506">
        <f t="shared" si="25"/>
        <v>0</v>
      </c>
      <c r="AB69" s="1505"/>
      <c r="AC69" s="1504">
        <f t="shared" si="26"/>
        <v>0</v>
      </c>
      <c r="AD69" s="1503">
        <f t="shared" si="27"/>
        <v>0</v>
      </c>
      <c r="AE69" s="1503">
        <f t="shared" si="28"/>
        <v>0</v>
      </c>
      <c r="AF69" s="1502">
        <f t="shared" si="29"/>
        <v>0</v>
      </c>
    </row>
    <row r="70" spans="1:34" s="1474" customFormat="1" ht="23.25" customHeight="1">
      <c r="A70" s="1515">
        <f t="shared" si="30"/>
        <v>5</v>
      </c>
      <c r="B70" s="1513" t="s">
        <v>2071</v>
      </c>
      <c r="C70" s="1514" t="s">
        <v>1932</v>
      </c>
      <c r="D70" s="1514"/>
      <c r="E70" s="1513">
        <v>18000000</v>
      </c>
      <c r="F70" s="1512">
        <f t="shared" si="16"/>
        <v>3240000</v>
      </c>
      <c r="G70" s="2141">
        <v>40338</v>
      </c>
      <c r="H70" s="1511">
        <v>0.18</v>
      </c>
      <c r="I70" s="1508">
        <v>12</v>
      </c>
      <c r="J70" s="1508">
        <v>12</v>
      </c>
      <c r="K70" s="1508">
        <v>1500000</v>
      </c>
      <c r="L70" s="1508">
        <v>270000</v>
      </c>
      <c r="M70" s="1510">
        <f t="shared" si="17"/>
        <v>18000000</v>
      </c>
      <c r="N70" s="1510">
        <f t="shared" si="18"/>
        <v>3240000</v>
      </c>
      <c r="O70" s="1509">
        <v>18000000</v>
      </c>
      <c r="P70" s="1509">
        <v>3240000</v>
      </c>
      <c r="Q70" s="1509"/>
      <c r="R70" s="2650"/>
      <c r="S70" s="2650"/>
      <c r="T70" s="2840"/>
      <c r="U70" s="1495">
        <f t="shared" si="19"/>
        <v>18000000</v>
      </c>
      <c r="V70" s="1495">
        <f t="shared" si="20"/>
        <v>3240000</v>
      </c>
      <c r="W70" s="1495">
        <f t="shared" si="21"/>
        <v>0</v>
      </c>
      <c r="X70" s="1495">
        <f t="shared" si="22"/>
        <v>0</v>
      </c>
      <c r="Y70" s="1495">
        <f t="shared" si="23"/>
        <v>100</v>
      </c>
      <c r="Z70" s="1495">
        <f t="shared" si="24"/>
        <v>0</v>
      </c>
      <c r="AA70" s="1506">
        <f t="shared" si="25"/>
        <v>0</v>
      </c>
      <c r="AB70" s="1505"/>
      <c r="AC70" s="1504">
        <f t="shared" si="26"/>
        <v>0</v>
      </c>
      <c r="AD70" s="1503">
        <f t="shared" si="27"/>
        <v>0</v>
      </c>
      <c r="AE70" s="1503">
        <f t="shared" si="28"/>
        <v>0</v>
      </c>
      <c r="AF70" s="1502">
        <f t="shared" si="29"/>
        <v>0</v>
      </c>
    </row>
    <row r="71" spans="1:34" s="1474" customFormat="1" ht="23.25" customHeight="1">
      <c r="A71" s="1515">
        <f t="shared" si="30"/>
        <v>6</v>
      </c>
      <c r="B71" s="1513" t="s">
        <v>2070</v>
      </c>
      <c r="C71" s="1514" t="s">
        <v>1932</v>
      </c>
      <c r="D71" s="1514"/>
      <c r="E71" s="1513">
        <v>13000000</v>
      </c>
      <c r="F71" s="1512">
        <f t="shared" si="16"/>
        <v>2340000</v>
      </c>
      <c r="G71" s="2141">
        <v>40364</v>
      </c>
      <c r="H71" s="1511">
        <v>0.18</v>
      </c>
      <c r="I71" s="1508">
        <v>12</v>
      </c>
      <c r="J71" s="1508">
        <v>12</v>
      </c>
      <c r="K71" s="1508">
        <v>1083300</v>
      </c>
      <c r="L71" s="1508">
        <v>195000</v>
      </c>
      <c r="M71" s="1510">
        <f t="shared" si="17"/>
        <v>13000000</v>
      </c>
      <c r="N71" s="1510">
        <f t="shared" si="18"/>
        <v>2340000</v>
      </c>
      <c r="O71" s="1509">
        <v>13000000</v>
      </c>
      <c r="P71" s="1509">
        <v>2340000</v>
      </c>
      <c r="Q71" s="1509"/>
      <c r="R71" s="2650"/>
      <c r="S71" s="2650"/>
      <c r="T71" s="2840"/>
      <c r="U71" s="1495">
        <f t="shared" si="19"/>
        <v>13000000</v>
      </c>
      <c r="V71" s="1495">
        <f t="shared" si="20"/>
        <v>2340000</v>
      </c>
      <c r="W71" s="1495">
        <f t="shared" si="21"/>
        <v>0</v>
      </c>
      <c r="X71" s="1495">
        <f t="shared" si="22"/>
        <v>0</v>
      </c>
      <c r="Y71" s="1495">
        <f t="shared" si="23"/>
        <v>100</v>
      </c>
      <c r="Z71" s="1495">
        <f t="shared" si="24"/>
        <v>0</v>
      </c>
      <c r="AA71" s="1506">
        <f t="shared" si="25"/>
        <v>0</v>
      </c>
      <c r="AB71" s="1505"/>
      <c r="AC71" s="1504">
        <f t="shared" si="26"/>
        <v>0</v>
      </c>
      <c r="AD71" s="1503">
        <f t="shared" si="27"/>
        <v>0</v>
      </c>
      <c r="AE71" s="1503">
        <f t="shared" si="28"/>
        <v>0</v>
      </c>
      <c r="AF71" s="1502">
        <f t="shared" si="29"/>
        <v>0</v>
      </c>
    </row>
    <row r="72" spans="1:34" s="1474" customFormat="1" ht="23.25" customHeight="1">
      <c r="A72" s="1515">
        <f t="shared" si="30"/>
        <v>7</v>
      </c>
      <c r="B72" s="1513" t="s">
        <v>2072</v>
      </c>
      <c r="C72" s="1514" t="s">
        <v>1932</v>
      </c>
      <c r="D72" s="1514"/>
      <c r="E72" s="1513">
        <v>18200000</v>
      </c>
      <c r="F72" s="1512">
        <f t="shared" si="16"/>
        <v>3276000</v>
      </c>
      <c r="G72" s="2141">
        <v>40364</v>
      </c>
      <c r="H72" s="1511">
        <v>0.18</v>
      </c>
      <c r="I72" s="1508">
        <v>12</v>
      </c>
      <c r="J72" s="1508">
        <v>12</v>
      </c>
      <c r="K72" s="1508">
        <v>1516700</v>
      </c>
      <c r="L72" s="1508">
        <v>273000</v>
      </c>
      <c r="M72" s="1510">
        <f t="shared" si="17"/>
        <v>18200000</v>
      </c>
      <c r="N72" s="1510">
        <f t="shared" si="18"/>
        <v>3276000</v>
      </c>
      <c r="O72" s="1509">
        <v>18200000</v>
      </c>
      <c r="P72" s="1509">
        <v>3276000</v>
      </c>
      <c r="Q72" s="1509"/>
      <c r="R72" s="2650"/>
      <c r="S72" s="2650"/>
      <c r="T72" s="2840"/>
      <c r="U72" s="1495">
        <f t="shared" si="19"/>
        <v>18200000</v>
      </c>
      <c r="V72" s="1495">
        <f t="shared" si="20"/>
        <v>3276000</v>
      </c>
      <c r="W72" s="1495">
        <f t="shared" si="21"/>
        <v>0</v>
      </c>
      <c r="X72" s="1495">
        <f t="shared" si="22"/>
        <v>0</v>
      </c>
      <c r="Y72" s="1495">
        <f t="shared" si="23"/>
        <v>100</v>
      </c>
      <c r="Z72" s="1495">
        <f t="shared" si="24"/>
        <v>0</v>
      </c>
      <c r="AA72" s="1506">
        <f t="shared" si="25"/>
        <v>0</v>
      </c>
      <c r="AB72" s="1505"/>
      <c r="AC72" s="1504">
        <f t="shared" si="26"/>
        <v>0</v>
      </c>
      <c r="AD72" s="1503">
        <f t="shared" si="27"/>
        <v>0</v>
      </c>
      <c r="AE72" s="1503">
        <f t="shared" si="28"/>
        <v>0</v>
      </c>
      <c r="AF72" s="1502">
        <f t="shared" si="29"/>
        <v>0</v>
      </c>
    </row>
    <row r="73" spans="1:34" s="1474" customFormat="1" ht="23.25" customHeight="1">
      <c r="A73" s="1515">
        <f t="shared" si="30"/>
        <v>8</v>
      </c>
      <c r="B73" s="1513" t="s">
        <v>2083</v>
      </c>
      <c r="C73" s="1514" t="s">
        <v>1932</v>
      </c>
      <c r="D73" s="1514"/>
      <c r="E73" s="1513">
        <v>8000000</v>
      </c>
      <c r="F73" s="1512">
        <f t="shared" si="16"/>
        <v>1440000</v>
      </c>
      <c r="G73" s="2141">
        <v>40338</v>
      </c>
      <c r="H73" s="1511">
        <v>0.18</v>
      </c>
      <c r="I73" s="1508">
        <v>12</v>
      </c>
      <c r="J73" s="1508">
        <v>12</v>
      </c>
      <c r="K73" s="1508">
        <v>666700</v>
      </c>
      <c r="L73" s="1508">
        <v>120000</v>
      </c>
      <c r="M73" s="1510">
        <f t="shared" si="17"/>
        <v>8000000</v>
      </c>
      <c r="N73" s="1510">
        <f t="shared" si="18"/>
        <v>1440000</v>
      </c>
      <c r="O73" s="1509">
        <v>8000000</v>
      </c>
      <c r="P73" s="1509">
        <v>1440000</v>
      </c>
      <c r="Q73" s="1509"/>
      <c r="R73" s="2650"/>
      <c r="S73" s="2650"/>
      <c r="T73" s="2840"/>
      <c r="U73" s="1495">
        <f t="shared" si="19"/>
        <v>8000000</v>
      </c>
      <c r="V73" s="1495">
        <f t="shared" si="20"/>
        <v>1440000</v>
      </c>
      <c r="W73" s="1495">
        <f t="shared" si="21"/>
        <v>0</v>
      </c>
      <c r="X73" s="1495">
        <f t="shared" si="22"/>
        <v>0</v>
      </c>
      <c r="Y73" s="1495">
        <f t="shared" si="23"/>
        <v>100</v>
      </c>
      <c r="Z73" s="1495">
        <f t="shared" si="24"/>
        <v>0</v>
      </c>
      <c r="AA73" s="1506">
        <f t="shared" si="25"/>
        <v>0</v>
      </c>
      <c r="AB73" s="1505"/>
      <c r="AC73" s="1504">
        <f t="shared" si="26"/>
        <v>0</v>
      </c>
      <c r="AD73" s="1503">
        <f t="shared" si="27"/>
        <v>0</v>
      </c>
      <c r="AE73" s="1503">
        <f t="shared" si="28"/>
        <v>0</v>
      </c>
      <c r="AF73" s="1502">
        <f t="shared" si="29"/>
        <v>0</v>
      </c>
    </row>
    <row r="74" spans="1:34" s="1474" customFormat="1" ht="23.25" customHeight="1">
      <c r="A74" s="1515">
        <f t="shared" si="30"/>
        <v>9</v>
      </c>
      <c r="B74" s="1513" t="s">
        <v>2077</v>
      </c>
      <c r="C74" s="1514" t="s">
        <v>1935</v>
      </c>
      <c r="D74" s="1514"/>
      <c r="E74" s="1513">
        <v>15000000</v>
      </c>
      <c r="F74" s="1512">
        <f t="shared" si="16"/>
        <v>2700000</v>
      </c>
      <c r="G74" s="2141">
        <v>40478</v>
      </c>
      <c r="H74" s="1511">
        <v>0.18</v>
      </c>
      <c r="I74" s="1508">
        <v>12</v>
      </c>
      <c r="J74" s="1508">
        <v>12</v>
      </c>
      <c r="K74" s="1508">
        <v>1250000</v>
      </c>
      <c r="L74" s="1508">
        <v>225000</v>
      </c>
      <c r="M74" s="1510">
        <f t="shared" si="17"/>
        <v>15000000</v>
      </c>
      <c r="N74" s="1510">
        <f t="shared" si="18"/>
        <v>2700000</v>
      </c>
      <c r="O74" s="1509">
        <v>15000000</v>
      </c>
      <c r="P74" s="1509">
        <v>2700000</v>
      </c>
      <c r="Q74" s="1509"/>
      <c r="R74" s="2650"/>
      <c r="S74" s="2650"/>
      <c r="T74" s="2840"/>
      <c r="U74" s="1495">
        <f t="shared" si="19"/>
        <v>15000000</v>
      </c>
      <c r="V74" s="1495">
        <f t="shared" si="20"/>
        <v>2700000</v>
      </c>
      <c r="W74" s="1495">
        <f t="shared" si="21"/>
        <v>0</v>
      </c>
      <c r="X74" s="1495">
        <f t="shared" si="22"/>
        <v>0</v>
      </c>
      <c r="Y74" s="1495">
        <f t="shared" si="23"/>
        <v>100</v>
      </c>
      <c r="Z74" s="1495">
        <f t="shared" si="24"/>
        <v>0</v>
      </c>
      <c r="AA74" s="1506">
        <f t="shared" si="25"/>
        <v>0</v>
      </c>
      <c r="AB74" s="1505"/>
      <c r="AC74" s="1504">
        <f t="shared" si="26"/>
        <v>0</v>
      </c>
      <c r="AD74" s="1503">
        <f t="shared" si="27"/>
        <v>0</v>
      </c>
      <c r="AE74" s="1503">
        <f t="shared" si="28"/>
        <v>0</v>
      </c>
      <c r="AF74" s="1502">
        <f t="shared" si="29"/>
        <v>0</v>
      </c>
    </row>
    <row r="75" spans="1:34" s="1474" customFormat="1" ht="23.25" customHeight="1">
      <c r="A75" s="1515">
        <f t="shared" si="30"/>
        <v>10</v>
      </c>
      <c r="B75" s="1513" t="s">
        <v>2076</v>
      </c>
      <c r="C75" s="1514" t="s">
        <v>1935</v>
      </c>
      <c r="D75" s="1514"/>
      <c r="E75" s="1513">
        <v>18000000</v>
      </c>
      <c r="F75" s="1512">
        <f t="shared" si="16"/>
        <v>3240000</v>
      </c>
      <c r="G75" s="2141">
        <v>40485</v>
      </c>
      <c r="H75" s="1511">
        <v>0.18</v>
      </c>
      <c r="I75" s="1508">
        <v>12</v>
      </c>
      <c r="J75" s="1508">
        <v>12</v>
      </c>
      <c r="K75" s="1508">
        <v>1500000</v>
      </c>
      <c r="L75" s="1508">
        <v>270000</v>
      </c>
      <c r="M75" s="1510">
        <f t="shared" si="17"/>
        <v>18000000</v>
      </c>
      <c r="N75" s="1510">
        <f t="shared" si="18"/>
        <v>3240000</v>
      </c>
      <c r="O75" s="1509">
        <v>18000000</v>
      </c>
      <c r="P75" s="1509">
        <v>3240000</v>
      </c>
      <c r="Q75" s="1509"/>
      <c r="R75" s="2650"/>
      <c r="S75" s="2650"/>
      <c r="T75" s="2840"/>
      <c r="U75" s="1495">
        <f t="shared" si="19"/>
        <v>18000000</v>
      </c>
      <c r="V75" s="1495">
        <f t="shared" si="20"/>
        <v>3240000</v>
      </c>
      <c r="W75" s="1495">
        <f t="shared" si="21"/>
        <v>0</v>
      </c>
      <c r="X75" s="1495">
        <f t="shared" si="22"/>
        <v>0</v>
      </c>
      <c r="Y75" s="1495">
        <f t="shared" si="23"/>
        <v>100</v>
      </c>
      <c r="Z75" s="1495">
        <f t="shared" si="24"/>
        <v>0</v>
      </c>
      <c r="AA75" s="1506">
        <f t="shared" si="25"/>
        <v>0</v>
      </c>
      <c r="AB75" s="1505"/>
      <c r="AC75" s="1504">
        <f t="shared" si="26"/>
        <v>0</v>
      </c>
      <c r="AD75" s="1503">
        <f t="shared" si="27"/>
        <v>0</v>
      </c>
      <c r="AE75" s="1503">
        <f t="shared" si="28"/>
        <v>0</v>
      </c>
      <c r="AF75" s="1502">
        <f t="shared" si="29"/>
        <v>0</v>
      </c>
    </row>
    <row r="76" spans="1:34" s="1474" customFormat="1" ht="23.25" customHeight="1">
      <c r="A76" s="1515">
        <f t="shared" si="30"/>
        <v>11</v>
      </c>
      <c r="B76" s="1513" t="s">
        <v>2084</v>
      </c>
      <c r="C76" s="1514" t="s">
        <v>1935</v>
      </c>
      <c r="D76" s="1514"/>
      <c r="E76" s="1513">
        <v>12000000</v>
      </c>
      <c r="F76" s="1512">
        <f t="shared" si="16"/>
        <v>2160000</v>
      </c>
      <c r="G76" s="2141">
        <v>40485</v>
      </c>
      <c r="H76" s="1511">
        <v>0.18</v>
      </c>
      <c r="I76" s="1508">
        <v>12</v>
      </c>
      <c r="J76" s="1508">
        <v>12</v>
      </c>
      <c r="K76" s="1508">
        <v>1000000</v>
      </c>
      <c r="L76" s="1508">
        <v>180000</v>
      </c>
      <c r="M76" s="1510">
        <f t="shared" si="17"/>
        <v>12000000</v>
      </c>
      <c r="N76" s="1510">
        <f t="shared" si="18"/>
        <v>2160000</v>
      </c>
      <c r="O76" s="1509">
        <v>12000000</v>
      </c>
      <c r="P76" s="1509">
        <v>2160000</v>
      </c>
      <c r="Q76" s="1509"/>
      <c r="R76" s="2650"/>
      <c r="S76" s="2650"/>
      <c r="T76" s="2840"/>
      <c r="U76" s="1495">
        <f t="shared" si="19"/>
        <v>12000000</v>
      </c>
      <c r="V76" s="1495">
        <f t="shared" si="20"/>
        <v>2160000</v>
      </c>
      <c r="W76" s="1495">
        <f t="shared" si="21"/>
        <v>0</v>
      </c>
      <c r="X76" s="1495">
        <f t="shared" si="22"/>
        <v>0</v>
      </c>
      <c r="Y76" s="1495">
        <f t="shared" si="23"/>
        <v>100</v>
      </c>
      <c r="Z76" s="1495">
        <f t="shared" si="24"/>
        <v>0</v>
      </c>
      <c r="AA76" s="1506">
        <f t="shared" si="25"/>
        <v>0</v>
      </c>
      <c r="AB76" s="1505"/>
      <c r="AC76" s="1504">
        <f t="shared" si="26"/>
        <v>0</v>
      </c>
      <c r="AD76" s="1503">
        <f t="shared" si="27"/>
        <v>0</v>
      </c>
      <c r="AE76" s="1503">
        <f t="shared" si="28"/>
        <v>0</v>
      </c>
      <c r="AF76" s="1502">
        <f t="shared" si="29"/>
        <v>0</v>
      </c>
    </row>
    <row r="77" spans="1:34" s="1474" customFormat="1" ht="23.25" customHeight="1">
      <c r="A77" s="2683">
        <f t="shared" si="30"/>
        <v>12</v>
      </c>
      <c r="B77" s="2684" t="s">
        <v>1973</v>
      </c>
      <c r="C77" s="2685" t="s">
        <v>1935</v>
      </c>
      <c r="D77" s="2685">
        <v>10</v>
      </c>
      <c r="E77" s="2684">
        <v>18000000</v>
      </c>
      <c r="F77" s="2684">
        <f t="shared" si="16"/>
        <v>3240000</v>
      </c>
      <c r="G77" s="2686">
        <v>40485</v>
      </c>
      <c r="H77" s="2687">
        <v>0.18</v>
      </c>
      <c r="I77" s="2688">
        <v>12</v>
      </c>
      <c r="J77" s="2688">
        <v>12</v>
      </c>
      <c r="K77" s="2688">
        <v>1500000</v>
      </c>
      <c r="L77" s="2688">
        <v>270000</v>
      </c>
      <c r="M77" s="2688">
        <f t="shared" si="17"/>
        <v>18000000</v>
      </c>
      <c r="N77" s="2688">
        <f t="shared" si="18"/>
        <v>3240000</v>
      </c>
      <c r="O77" s="2688">
        <v>16930000</v>
      </c>
      <c r="P77" s="2688">
        <v>3240000</v>
      </c>
      <c r="Q77" s="2688"/>
      <c r="R77" s="2650"/>
      <c r="S77" s="2650"/>
      <c r="T77" s="2840"/>
      <c r="U77" s="2689">
        <f t="shared" si="19"/>
        <v>16930000</v>
      </c>
      <c r="V77" s="2689">
        <f t="shared" si="20"/>
        <v>3240000</v>
      </c>
      <c r="W77" s="2689">
        <f t="shared" si="21"/>
        <v>0</v>
      </c>
      <c r="X77" s="2689">
        <f t="shared" si="22"/>
        <v>1070000</v>
      </c>
      <c r="Y77" s="1495">
        <f t="shared" si="23"/>
        <v>94.055555555555557</v>
      </c>
      <c r="Z77" s="1495">
        <f t="shared" si="24"/>
        <v>1070000</v>
      </c>
      <c r="AA77" s="1506">
        <f t="shared" si="25"/>
        <v>0</v>
      </c>
      <c r="AB77" s="1505">
        <v>7</v>
      </c>
      <c r="AC77" s="1504">
        <f t="shared" si="26"/>
        <v>0</v>
      </c>
      <c r="AD77" s="1503">
        <f t="shared" si="27"/>
        <v>0</v>
      </c>
      <c r="AE77" s="1503">
        <f t="shared" si="28"/>
        <v>0</v>
      </c>
      <c r="AF77" s="1502">
        <f t="shared" si="29"/>
        <v>1070000</v>
      </c>
    </row>
    <row r="78" spans="1:34" s="1474" customFormat="1" ht="23.25" customHeight="1">
      <c r="A78" s="1515">
        <f t="shared" si="30"/>
        <v>13</v>
      </c>
      <c r="B78" s="1513" t="s">
        <v>2075</v>
      </c>
      <c r="C78" s="1514" t="s">
        <v>1935</v>
      </c>
      <c r="D78" s="1514"/>
      <c r="E78" s="1513">
        <v>15000000</v>
      </c>
      <c r="F78" s="1512">
        <f t="shared" si="16"/>
        <v>2700000</v>
      </c>
      <c r="G78" s="2141">
        <v>40485</v>
      </c>
      <c r="H78" s="1511">
        <v>0.18</v>
      </c>
      <c r="I78" s="1508">
        <v>12</v>
      </c>
      <c r="J78" s="1508">
        <v>12</v>
      </c>
      <c r="K78" s="1508">
        <v>1250000</v>
      </c>
      <c r="L78" s="1508">
        <v>225000</v>
      </c>
      <c r="M78" s="1510">
        <f t="shared" si="17"/>
        <v>15000000</v>
      </c>
      <c r="N78" s="1510">
        <f t="shared" si="18"/>
        <v>2700000</v>
      </c>
      <c r="O78" s="1509">
        <v>15000000</v>
      </c>
      <c r="P78" s="1509">
        <v>2700000</v>
      </c>
      <c r="Q78" s="1509"/>
      <c r="R78" s="2650"/>
      <c r="S78" s="2650"/>
      <c r="T78" s="2840"/>
      <c r="U78" s="1495">
        <f t="shared" si="19"/>
        <v>15000000</v>
      </c>
      <c r="V78" s="1495">
        <f t="shared" si="20"/>
        <v>2700000</v>
      </c>
      <c r="W78" s="1495">
        <f t="shared" si="21"/>
        <v>0</v>
      </c>
      <c r="X78" s="1495">
        <f t="shared" si="22"/>
        <v>0</v>
      </c>
      <c r="Y78" s="1495">
        <f t="shared" si="23"/>
        <v>100</v>
      </c>
      <c r="Z78" s="1495">
        <f t="shared" si="24"/>
        <v>0</v>
      </c>
      <c r="AA78" s="1506">
        <f t="shared" si="25"/>
        <v>0</v>
      </c>
      <c r="AB78" s="1505"/>
      <c r="AC78" s="1504">
        <f t="shared" si="26"/>
        <v>0</v>
      </c>
      <c r="AD78" s="1503">
        <f t="shared" si="27"/>
        <v>0</v>
      </c>
      <c r="AE78" s="1503">
        <f t="shared" si="28"/>
        <v>0</v>
      </c>
      <c r="AF78" s="1502">
        <f t="shared" si="29"/>
        <v>0</v>
      </c>
    </row>
    <row r="79" spans="1:34" s="1474" customFormat="1" ht="23.25" customHeight="1">
      <c r="A79" s="1515">
        <f t="shared" si="30"/>
        <v>14</v>
      </c>
      <c r="B79" s="1513" t="s">
        <v>1912</v>
      </c>
      <c r="C79" s="1514" t="s">
        <v>1935</v>
      </c>
      <c r="D79" s="1514"/>
      <c r="E79" s="1513">
        <v>14000000</v>
      </c>
      <c r="F79" s="1512">
        <f t="shared" si="16"/>
        <v>2520000</v>
      </c>
      <c r="G79" s="2141">
        <v>40487</v>
      </c>
      <c r="H79" s="1511">
        <v>0.18</v>
      </c>
      <c r="I79" s="1508">
        <v>12</v>
      </c>
      <c r="J79" s="1508">
        <v>12</v>
      </c>
      <c r="K79" s="1508">
        <v>1166700</v>
      </c>
      <c r="L79" s="1508">
        <v>210000</v>
      </c>
      <c r="M79" s="1510">
        <f t="shared" si="17"/>
        <v>14000000</v>
      </c>
      <c r="N79" s="1510">
        <f t="shared" si="18"/>
        <v>2520000</v>
      </c>
      <c r="O79" s="1509">
        <v>14000000</v>
      </c>
      <c r="P79" s="1509">
        <v>2520000</v>
      </c>
      <c r="Q79" s="1509"/>
      <c r="R79" s="2650"/>
      <c r="S79" s="2650"/>
      <c r="T79" s="2840"/>
      <c r="U79" s="1495">
        <f t="shared" si="19"/>
        <v>14000000</v>
      </c>
      <c r="V79" s="1495">
        <f t="shared" si="20"/>
        <v>2520000</v>
      </c>
      <c r="W79" s="1495">
        <f t="shared" si="21"/>
        <v>0</v>
      </c>
      <c r="X79" s="1495">
        <f t="shared" si="22"/>
        <v>0</v>
      </c>
      <c r="Y79" s="1495">
        <f t="shared" si="23"/>
        <v>100</v>
      </c>
      <c r="Z79" s="1495">
        <f t="shared" si="24"/>
        <v>0</v>
      </c>
      <c r="AA79" s="1506">
        <f t="shared" si="25"/>
        <v>0</v>
      </c>
      <c r="AB79" s="1505"/>
      <c r="AC79" s="1504">
        <f t="shared" si="26"/>
        <v>0</v>
      </c>
      <c r="AD79" s="1503">
        <f t="shared" si="27"/>
        <v>0</v>
      </c>
      <c r="AE79" s="1503">
        <f t="shared" si="28"/>
        <v>0</v>
      </c>
      <c r="AF79" s="1502">
        <f t="shared" si="29"/>
        <v>0</v>
      </c>
    </row>
    <row r="80" spans="1:34" s="1474" customFormat="1" ht="23.25" customHeight="1">
      <c r="A80" s="2683">
        <f t="shared" si="30"/>
        <v>15</v>
      </c>
      <c r="B80" s="2684" t="s">
        <v>1957</v>
      </c>
      <c r="C80" s="2685" t="s">
        <v>1940</v>
      </c>
      <c r="D80" s="2685">
        <v>10</v>
      </c>
      <c r="E80" s="2684">
        <v>15000000</v>
      </c>
      <c r="F80" s="2684">
        <f t="shared" si="16"/>
        <v>2700000</v>
      </c>
      <c r="G80" s="2686">
        <v>40616</v>
      </c>
      <c r="H80" s="2687">
        <v>0.18</v>
      </c>
      <c r="I80" s="2688">
        <v>12</v>
      </c>
      <c r="J80" s="2688">
        <v>12</v>
      </c>
      <c r="K80" s="2688">
        <v>1250000</v>
      </c>
      <c r="L80" s="2688">
        <v>225000</v>
      </c>
      <c r="M80" s="2688">
        <f t="shared" si="17"/>
        <v>15000000</v>
      </c>
      <c r="N80" s="2688">
        <f t="shared" si="18"/>
        <v>2700000</v>
      </c>
      <c r="O80" s="2688">
        <v>11425000</v>
      </c>
      <c r="P80" s="2688">
        <v>2250000</v>
      </c>
      <c r="Q80" s="2688"/>
      <c r="R80" s="2650"/>
      <c r="S80" s="2650"/>
      <c r="T80" s="2840"/>
      <c r="U80" s="2689">
        <f t="shared" si="19"/>
        <v>11425000</v>
      </c>
      <c r="V80" s="2689">
        <f t="shared" si="20"/>
        <v>2250000</v>
      </c>
      <c r="W80" s="2689">
        <f t="shared" si="21"/>
        <v>0</v>
      </c>
      <c r="X80" s="2689">
        <f t="shared" si="22"/>
        <v>3575000</v>
      </c>
      <c r="Y80" s="1495">
        <f t="shared" si="23"/>
        <v>76.166666666666671</v>
      </c>
      <c r="Z80" s="1495">
        <f t="shared" si="24"/>
        <v>3575000</v>
      </c>
      <c r="AA80" s="1506">
        <f t="shared" si="25"/>
        <v>450000</v>
      </c>
      <c r="AB80" s="1505">
        <v>7</v>
      </c>
      <c r="AC80" s="1504">
        <f t="shared" si="26"/>
        <v>0</v>
      </c>
      <c r="AD80" s="1503">
        <f t="shared" si="27"/>
        <v>0</v>
      </c>
      <c r="AE80" s="1503">
        <f t="shared" si="28"/>
        <v>0</v>
      </c>
      <c r="AF80" s="1502">
        <f t="shared" si="29"/>
        <v>3575000</v>
      </c>
      <c r="AH80" s="1474" t="s">
        <v>2223</v>
      </c>
    </row>
    <row r="81" spans="1:34" s="1474" customFormat="1" ht="23.25" customHeight="1">
      <c r="A81" s="1515">
        <f t="shared" si="30"/>
        <v>16</v>
      </c>
      <c r="B81" s="1513" t="s">
        <v>1977</v>
      </c>
      <c r="C81" s="1514" t="s">
        <v>1940</v>
      </c>
      <c r="D81" s="1514"/>
      <c r="E81" s="1513">
        <v>13000000</v>
      </c>
      <c r="F81" s="1512">
        <f t="shared" si="16"/>
        <v>2340000</v>
      </c>
      <c r="G81" s="2141">
        <v>40619</v>
      </c>
      <c r="H81" s="1511">
        <v>0.18</v>
      </c>
      <c r="I81" s="1508">
        <v>12</v>
      </c>
      <c r="J81" s="1508">
        <v>12</v>
      </c>
      <c r="K81" s="1508">
        <v>1083300</v>
      </c>
      <c r="L81" s="1508">
        <v>195000</v>
      </c>
      <c r="M81" s="1510">
        <f t="shared" si="17"/>
        <v>13000000</v>
      </c>
      <c r="N81" s="1510">
        <f t="shared" si="18"/>
        <v>2340000</v>
      </c>
      <c r="O81" s="1509">
        <v>13000000</v>
      </c>
      <c r="P81" s="1509">
        <v>2340000</v>
      </c>
      <c r="Q81" s="1509"/>
      <c r="R81" s="2650"/>
      <c r="S81" s="2650"/>
      <c r="T81" s="2840"/>
      <c r="U81" s="1495">
        <f t="shared" si="19"/>
        <v>13000000</v>
      </c>
      <c r="V81" s="1495">
        <f t="shared" si="20"/>
        <v>2340000</v>
      </c>
      <c r="W81" s="1495">
        <f t="shared" si="21"/>
        <v>0</v>
      </c>
      <c r="X81" s="1495">
        <f t="shared" si="22"/>
        <v>0</v>
      </c>
      <c r="Y81" s="1495">
        <f t="shared" si="23"/>
        <v>100</v>
      </c>
      <c r="Z81" s="1495">
        <f t="shared" si="24"/>
        <v>0</v>
      </c>
      <c r="AA81" s="1506">
        <f t="shared" si="25"/>
        <v>0</v>
      </c>
      <c r="AB81" s="1505"/>
      <c r="AC81" s="1504">
        <f t="shared" si="26"/>
        <v>0</v>
      </c>
      <c r="AD81" s="1503">
        <f t="shared" si="27"/>
        <v>0</v>
      </c>
      <c r="AE81" s="1503">
        <f t="shared" si="28"/>
        <v>0</v>
      </c>
      <c r="AF81" s="1502">
        <f t="shared" si="29"/>
        <v>0</v>
      </c>
    </row>
    <row r="82" spans="1:34" s="1474" customFormat="1" ht="23.25" customHeight="1">
      <c r="A82" s="1515">
        <v>17</v>
      </c>
      <c r="B82" s="1513" t="s">
        <v>2085</v>
      </c>
      <c r="C82" s="1514" t="s">
        <v>1940</v>
      </c>
      <c r="D82" s="1514">
        <v>12</v>
      </c>
      <c r="E82" s="1513">
        <v>10000000</v>
      </c>
      <c r="F82" s="1512">
        <f t="shared" si="16"/>
        <v>1800000</v>
      </c>
      <c r="G82" s="2141">
        <v>40851</v>
      </c>
      <c r="H82" s="1511">
        <v>0.18</v>
      </c>
      <c r="I82" s="1508">
        <v>12</v>
      </c>
      <c r="J82" s="1508">
        <v>12</v>
      </c>
      <c r="K82" s="1508">
        <v>833300</v>
      </c>
      <c r="L82" s="1508">
        <v>150000</v>
      </c>
      <c r="M82" s="1510">
        <f t="shared" si="17"/>
        <v>10000000</v>
      </c>
      <c r="N82" s="1510">
        <f t="shared" si="18"/>
        <v>1800000</v>
      </c>
      <c r="O82" s="1509">
        <v>9166300</v>
      </c>
      <c r="P82" s="1509">
        <v>1650000</v>
      </c>
      <c r="Q82" s="1509"/>
      <c r="R82" s="2650"/>
      <c r="S82" s="2650"/>
      <c r="T82" s="2840"/>
      <c r="U82" s="1495">
        <f t="shared" si="19"/>
        <v>9166300</v>
      </c>
      <c r="V82" s="1495">
        <f t="shared" si="20"/>
        <v>1650000</v>
      </c>
      <c r="W82" s="1495">
        <f t="shared" si="21"/>
        <v>0</v>
      </c>
      <c r="X82" s="1495">
        <f t="shared" si="22"/>
        <v>833700</v>
      </c>
      <c r="Y82" s="1495">
        <f t="shared" si="23"/>
        <v>91.662999999999997</v>
      </c>
      <c r="Z82" s="1495">
        <f t="shared" si="24"/>
        <v>833700</v>
      </c>
      <c r="AA82" s="1506">
        <f t="shared" si="25"/>
        <v>150000</v>
      </c>
      <c r="AB82" s="1505">
        <v>7</v>
      </c>
      <c r="AC82" s="1504">
        <f t="shared" si="26"/>
        <v>0</v>
      </c>
      <c r="AD82" s="1503">
        <f t="shared" si="27"/>
        <v>0</v>
      </c>
      <c r="AE82" s="1503">
        <f t="shared" si="28"/>
        <v>0</v>
      </c>
      <c r="AF82" s="1502">
        <f t="shared" si="29"/>
        <v>833700</v>
      </c>
      <c r="AH82" s="2414" t="s">
        <v>262</v>
      </c>
    </row>
    <row r="83" spans="1:34" s="1474" customFormat="1" ht="23.25" customHeight="1">
      <c r="A83" s="1515">
        <f t="shared" si="30"/>
        <v>18</v>
      </c>
      <c r="B83" s="1513" t="s">
        <v>2086</v>
      </c>
      <c r="C83" s="1514" t="s">
        <v>1940</v>
      </c>
      <c r="D83" s="1514">
        <v>12</v>
      </c>
      <c r="E83" s="1513">
        <v>10000000</v>
      </c>
      <c r="F83" s="1512">
        <f t="shared" si="16"/>
        <v>1800000</v>
      </c>
      <c r="G83" s="2141">
        <v>40851</v>
      </c>
      <c r="H83" s="1511">
        <v>0.18</v>
      </c>
      <c r="I83" s="1508">
        <v>12</v>
      </c>
      <c r="J83" s="1508">
        <v>12</v>
      </c>
      <c r="K83" s="1508">
        <v>833300</v>
      </c>
      <c r="L83" s="1508">
        <v>150000</v>
      </c>
      <c r="M83" s="1510">
        <f t="shared" si="17"/>
        <v>10000000</v>
      </c>
      <c r="N83" s="1510">
        <f t="shared" si="18"/>
        <v>1800000</v>
      </c>
      <c r="O83" s="1509">
        <v>9716300</v>
      </c>
      <c r="P83" s="1509">
        <v>1800000</v>
      </c>
      <c r="Q83" s="1509"/>
      <c r="R83" s="2650"/>
      <c r="S83" s="2650"/>
      <c r="T83" s="1507"/>
      <c r="U83" s="1495">
        <f t="shared" si="19"/>
        <v>9716300</v>
      </c>
      <c r="V83" s="1495">
        <f t="shared" si="20"/>
        <v>1800000</v>
      </c>
      <c r="W83" s="1495">
        <f t="shared" si="21"/>
        <v>0</v>
      </c>
      <c r="X83" s="1495">
        <f t="shared" si="22"/>
        <v>283700</v>
      </c>
      <c r="Y83" s="1495">
        <f t="shared" si="23"/>
        <v>97.162999999999997</v>
      </c>
      <c r="Z83" s="1495">
        <f t="shared" si="24"/>
        <v>283700</v>
      </c>
      <c r="AA83" s="1506">
        <f t="shared" si="25"/>
        <v>0</v>
      </c>
      <c r="AB83" s="1505">
        <v>7</v>
      </c>
      <c r="AC83" s="1504">
        <f t="shared" si="26"/>
        <v>0</v>
      </c>
      <c r="AD83" s="1503">
        <f t="shared" si="27"/>
        <v>0</v>
      </c>
      <c r="AE83" s="1503">
        <f t="shared" si="28"/>
        <v>0</v>
      </c>
      <c r="AF83" s="1502">
        <f t="shared" si="29"/>
        <v>283700</v>
      </c>
    </row>
    <row r="84" spans="1:34" s="1474" customFormat="1" ht="23.25" customHeight="1">
      <c r="A84" s="1515">
        <v>19</v>
      </c>
      <c r="B84" s="1513" t="s">
        <v>2083</v>
      </c>
      <c r="C84" s="1514" t="s">
        <v>1985</v>
      </c>
      <c r="D84" s="1514"/>
      <c r="E84" s="1513">
        <v>15000000</v>
      </c>
      <c r="F84" s="1512">
        <f t="shared" si="16"/>
        <v>2700000</v>
      </c>
      <c r="G84" s="2141">
        <v>40718</v>
      </c>
      <c r="H84" s="1511">
        <v>0.18</v>
      </c>
      <c r="I84" s="1508">
        <v>12</v>
      </c>
      <c r="J84" s="2404">
        <v>12</v>
      </c>
      <c r="K84" s="1508">
        <v>1250000</v>
      </c>
      <c r="L84" s="1508">
        <f t="shared" ref="L84:L144" si="31">F84/I84</f>
        <v>225000</v>
      </c>
      <c r="M84" s="1510">
        <f t="shared" si="17"/>
        <v>15000000</v>
      </c>
      <c r="N84" s="1510">
        <f>IF(J84&lt;I84,J84*L84,IF(J84&gt;=I84,F84))-225000</f>
        <v>2475000</v>
      </c>
      <c r="O84" s="1509">
        <v>15000000</v>
      </c>
      <c r="P84" s="1509">
        <v>2475000</v>
      </c>
      <c r="Q84" s="1509"/>
      <c r="R84" s="2650"/>
      <c r="S84" s="2650"/>
      <c r="T84" s="1507"/>
      <c r="U84" s="1495">
        <f t="shared" si="19"/>
        <v>15000000</v>
      </c>
      <c r="V84" s="1495">
        <f t="shared" si="20"/>
        <v>2475000</v>
      </c>
      <c r="W84" s="1495">
        <f t="shared" si="21"/>
        <v>0</v>
      </c>
      <c r="X84" s="1495">
        <f t="shared" si="22"/>
        <v>0</v>
      </c>
      <c r="Y84" s="1495">
        <f t="shared" si="23"/>
        <v>100</v>
      </c>
      <c r="Z84" s="1495">
        <f t="shared" si="24"/>
        <v>0</v>
      </c>
      <c r="AA84" s="1506">
        <f t="shared" si="25"/>
        <v>0</v>
      </c>
      <c r="AB84" s="1505"/>
      <c r="AC84" s="1504">
        <f t="shared" si="26"/>
        <v>0</v>
      </c>
      <c r="AD84" s="1503">
        <f t="shared" si="27"/>
        <v>0</v>
      </c>
      <c r="AE84" s="1503">
        <f t="shared" si="28"/>
        <v>0</v>
      </c>
      <c r="AF84" s="1502">
        <f t="shared" si="29"/>
        <v>0</v>
      </c>
    </row>
    <row r="85" spans="1:34" s="1474" customFormat="1" ht="23.25" customHeight="1">
      <c r="A85" s="1515">
        <v>20</v>
      </c>
      <c r="B85" s="1513" t="s">
        <v>2072</v>
      </c>
      <c r="C85" s="1514" t="s">
        <v>1985</v>
      </c>
      <c r="D85" s="1514"/>
      <c r="E85" s="1513">
        <v>22500000</v>
      </c>
      <c r="F85" s="1512">
        <f t="shared" si="16"/>
        <v>4050000</v>
      </c>
      <c r="G85" s="2141">
        <v>40718</v>
      </c>
      <c r="H85" s="1511">
        <v>0.18</v>
      </c>
      <c r="I85" s="1508">
        <v>12</v>
      </c>
      <c r="J85" s="1508">
        <v>12</v>
      </c>
      <c r="K85" s="1508">
        <f>E85/I85</f>
        <v>1875000</v>
      </c>
      <c r="L85" s="1508">
        <f t="shared" si="31"/>
        <v>337500</v>
      </c>
      <c r="M85" s="1510">
        <f t="shared" si="17"/>
        <v>22500000</v>
      </c>
      <c r="N85" s="1510">
        <f t="shared" si="18"/>
        <v>4050000</v>
      </c>
      <c r="O85" s="1509">
        <v>22500000</v>
      </c>
      <c r="P85" s="1509">
        <v>4050000</v>
      </c>
      <c r="Q85" s="1509"/>
      <c r="R85" s="2650"/>
      <c r="S85" s="2650"/>
      <c r="T85" s="1507"/>
      <c r="U85" s="1495">
        <f t="shared" si="19"/>
        <v>22500000</v>
      </c>
      <c r="V85" s="1495">
        <f t="shared" si="20"/>
        <v>4050000</v>
      </c>
      <c r="W85" s="1495">
        <f t="shared" si="21"/>
        <v>0</v>
      </c>
      <c r="X85" s="1495">
        <f t="shared" si="22"/>
        <v>0</v>
      </c>
      <c r="Y85" s="1495">
        <f t="shared" si="23"/>
        <v>100</v>
      </c>
      <c r="Z85" s="1495">
        <f t="shared" si="24"/>
        <v>0</v>
      </c>
      <c r="AA85" s="1506">
        <f t="shared" si="25"/>
        <v>0</v>
      </c>
      <c r="AB85" s="1505"/>
      <c r="AC85" s="1504">
        <f t="shared" si="26"/>
        <v>0</v>
      </c>
      <c r="AD85" s="1503">
        <f t="shared" si="27"/>
        <v>0</v>
      </c>
      <c r="AE85" s="1503">
        <f t="shared" si="28"/>
        <v>0</v>
      </c>
      <c r="AF85" s="1502">
        <f t="shared" si="29"/>
        <v>0</v>
      </c>
    </row>
    <row r="86" spans="1:34" s="1474" customFormat="1" ht="23.25" customHeight="1">
      <c r="A86" s="1515">
        <v>21</v>
      </c>
      <c r="B86" s="1513" t="s">
        <v>2200</v>
      </c>
      <c r="C86" s="1514" t="s">
        <v>1985</v>
      </c>
      <c r="D86" s="1514"/>
      <c r="E86" s="1513">
        <v>18000000</v>
      </c>
      <c r="F86" s="1512">
        <f t="shared" si="16"/>
        <v>3240000</v>
      </c>
      <c r="G86" s="2141">
        <v>40730</v>
      </c>
      <c r="H86" s="1511">
        <v>0.18</v>
      </c>
      <c r="I86" s="1508">
        <v>12</v>
      </c>
      <c r="J86" s="1508">
        <v>12</v>
      </c>
      <c r="K86" s="1508">
        <f>E86/I86</f>
        <v>1500000</v>
      </c>
      <c r="L86" s="1508">
        <f t="shared" si="31"/>
        <v>270000</v>
      </c>
      <c r="M86" s="1510">
        <f t="shared" si="17"/>
        <v>18000000</v>
      </c>
      <c r="N86" s="1510">
        <f t="shared" si="18"/>
        <v>3240000</v>
      </c>
      <c r="O86" s="1509">
        <v>18000000</v>
      </c>
      <c r="P86" s="1509">
        <v>3240000</v>
      </c>
      <c r="Q86" s="1509"/>
      <c r="R86" s="2650"/>
      <c r="S86" s="2650"/>
      <c r="T86" s="1507"/>
      <c r="U86" s="1495">
        <f t="shared" si="19"/>
        <v>18000000</v>
      </c>
      <c r="V86" s="1495">
        <f t="shared" si="20"/>
        <v>3240000</v>
      </c>
      <c r="W86" s="1495">
        <f t="shared" si="21"/>
        <v>0</v>
      </c>
      <c r="X86" s="1495">
        <f t="shared" si="22"/>
        <v>0</v>
      </c>
      <c r="Y86" s="1495">
        <f t="shared" si="23"/>
        <v>100</v>
      </c>
      <c r="Z86" s="1495">
        <f t="shared" si="24"/>
        <v>0</v>
      </c>
      <c r="AA86" s="1506">
        <f t="shared" si="25"/>
        <v>0</v>
      </c>
      <c r="AB86" s="1505"/>
      <c r="AC86" s="1504">
        <f t="shared" si="26"/>
        <v>0</v>
      </c>
      <c r="AD86" s="1503">
        <f t="shared" si="27"/>
        <v>0</v>
      </c>
      <c r="AE86" s="1503">
        <f t="shared" si="28"/>
        <v>0</v>
      </c>
      <c r="AF86" s="1502">
        <f t="shared" si="29"/>
        <v>0</v>
      </c>
    </row>
    <row r="87" spans="1:34" s="1474" customFormat="1" ht="23.25" customHeight="1">
      <c r="A87" s="1515">
        <v>22</v>
      </c>
      <c r="B87" s="1513" t="s">
        <v>2201</v>
      </c>
      <c r="C87" s="1514" t="s">
        <v>1985</v>
      </c>
      <c r="D87" s="1514"/>
      <c r="E87" s="1513">
        <v>16500000</v>
      </c>
      <c r="F87" s="1512">
        <f t="shared" si="16"/>
        <v>2970000</v>
      </c>
      <c r="G87" s="2141">
        <v>40730</v>
      </c>
      <c r="H87" s="1511">
        <v>0.18</v>
      </c>
      <c r="I87" s="1508">
        <v>12</v>
      </c>
      <c r="J87" s="1508">
        <v>12</v>
      </c>
      <c r="K87" s="1508">
        <f>E87/I87</f>
        <v>1375000</v>
      </c>
      <c r="L87" s="1508">
        <f t="shared" si="31"/>
        <v>247500</v>
      </c>
      <c r="M87" s="1510">
        <f t="shared" si="17"/>
        <v>16500000</v>
      </c>
      <c r="N87" s="1510">
        <f t="shared" si="18"/>
        <v>2970000</v>
      </c>
      <c r="O87" s="1509">
        <v>16500000</v>
      </c>
      <c r="P87" s="1509">
        <v>2970000</v>
      </c>
      <c r="Q87" s="1509"/>
      <c r="R87" s="2650"/>
      <c r="S87" s="2650"/>
      <c r="T87" s="1507"/>
      <c r="U87" s="1495">
        <f t="shared" si="19"/>
        <v>16500000</v>
      </c>
      <c r="V87" s="1495">
        <f t="shared" si="20"/>
        <v>2970000</v>
      </c>
      <c r="W87" s="1495">
        <f t="shared" si="21"/>
        <v>0</v>
      </c>
      <c r="X87" s="1495">
        <f t="shared" si="22"/>
        <v>0</v>
      </c>
      <c r="Y87" s="1495">
        <f t="shared" si="23"/>
        <v>100</v>
      </c>
      <c r="Z87" s="1495">
        <f t="shared" si="24"/>
        <v>0</v>
      </c>
      <c r="AA87" s="1506">
        <f t="shared" si="25"/>
        <v>0</v>
      </c>
      <c r="AB87" s="1505"/>
      <c r="AC87" s="1504">
        <f t="shared" si="26"/>
        <v>0</v>
      </c>
      <c r="AD87" s="1503">
        <f t="shared" si="27"/>
        <v>0</v>
      </c>
      <c r="AE87" s="1503">
        <f t="shared" si="28"/>
        <v>0</v>
      </c>
      <c r="AF87" s="1502">
        <f t="shared" si="29"/>
        <v>0</v>
      </c>
    </row>
    <row r="88" spans="1:34" s="1474" customFormat="1" ht="23.25" customHeight="1">
      <c r="A88" s="1515">
        <v>23</v>
      </c>
      <c r="B88" s="1513" t="s">
        <v>2071</v>
      </c>
      <c r="C88" s="1514" t="s">
        <v>1985</v>
      </c>
      <c r="D88" s="1514"/>
      <c r="E88" s="1513">
        <v>20000000</v>
      </c>
      <c r="F88" s="1512">
        <f t="shared" si="16"/>
        <v>3600000</v>
      </c>
      <c r="G88" s="2141">
        <v>40730</v>
      </c>
      <c r="H88" s="1511">
        <v>0.18</v>
      </c>
      <c r="I88" s="1508">
        <v>12</v>
      </c>
      <c r="J88" s="1508">
        <v>12</v>
      </c>
      <c r="K88" s="1508">
        <v>1666700</v>
      </c>
      <c r="L88" s="1508">
        <f t="shared" si="31"/>
        <v>300000</v>
      </c>
      <c r="M88" s="1510">
        <f t="shared" si="17"/>
        <v>20000000</v>
      </c>
      <c r="N88" s="1510">
        <f t="shared" si="18"/>
        <v>3600000</v>
      </c>
      <c r="O88" s="1509">
        <v>20000000</v>
      </c>
      <c r="P88" s="1509">
        <v>3600000</v>
      </c>
      <c r="Q88" s="1509"/>
      <c r="R88" s="2650"/>
      <c r="S88" s="2650"/>
      <c r="T88" s="1507"/>
      <c r="U88" s="1495">
        <f t="shared" si="19"/>
        <v>20000000</v>
      </c>
      <c r="V88" s="1495">
        <f t="shared" si="20"/>
        <v>3600000</v>
      </c>
      <c r="W88" s="1495">
        <f t="shared" si="21"/>
        <v>0</v>
      </c>
      <c r="X88" s="1495">
        <f t="shared" si="22"/>
        <v>0</v>
      </c>
      <c r="Y88" s="1495">
        <f t="shared" si="23"/>
        <v>100</v>
      </c>
      <c r="Z88" s="1495">
        <f t="shared" si="24"/>
        <v>0</v>
      </c>
      <c r="AA88" s="1506">
        <f t="shared" si="25"/>
        <v>0</v>
      </c>
      <c r="AB88" s="1505"/>
      <c r="AC88" s="1504">
        <f t="shared" si="26"/>
        <v>0</v>
      </c>
      <c r="AD88" s="1503">
        <f t="shared" si="27"/>
        <v>0</v>
      </c>
      <c r="AE88" s="1503">
        <f t="shared" si="28"/>
        <v>0</v>
      </c>
      <c r="AF88" s="1502">
        <f t="shared" si="29"/>
        <v>0</v>
      </c>
    </row>
    <row r="89" spans="1:34" s="1474" customFormat="1" ht="23.25" customHeight="1">
      <c r="A89" s="1515">
        <v>24</v>
      </c>
      <c r="B89" s="1513" t="s">
        <v>2078</v>
      </c>
      <c r="C89" s="1514" t="s">
        <v>2195</v>
      </c>
      <c r="D89" s="1514"/>
      <c r="E89" s="1513">
        <v>10000000</v>
      </c>
      <c r="F89" s="1512">
        <f t="shared" si="16"/>
        <v>1800000</v>
      </c>
      <c r="G89" s="2141">
        <v>40900</v>
      </c>
      <c r="H89" s="1511">
        <v>0.18</v>
      </c>
      <c r="I89" s="1508">
        <v>12</v>
      </c>
      <c r="J89" s="1508">
        <v>12</v>
      </c>
      <c r="K89" s="1508">
        <v>833300</v>
      </c>
      <c r="L89" s="1508">
        <f t="shared" si="31"/>
        <v>150000</v>
      </c>
      <c r="M89" s="1510">
        <f t="shared" si="17"/>
        <v>10000000</v>
      </c>
      <c r="N89" s="1510">
        <f>IF(J89&lt;I89,J89*L89,IF(J89&gt;=I89,F89))-150000</f>
        <v>1650000</v>
      </c>
      <c r="O89" s="1509">
        <v>10000000</v>
      </c>
      <c r="P89" s="1509">
        <v>1650000</v>
      </c>
      <c r="Q89" s="1509"/>
      <c r="R89" s="2650"/>
      <c r="S89" s="2650"/>
      <c r="T89" s="1507"/>
      <c r="U89" s="1495">
        <f t="shared" si="19"/>
        <v>10000000</v>
      </c>
      <c r="V89" s="1495">
        <f t="shared" si="20"/>
        <v>1650000</v>
      </c>
      <c r="W89" s="1495">
        <f t="shared" si="21"/>
        <v>0</v>
      </c>
      <c r="X89" s="1495">
        <f t="shared" si="22"/>
        <v>0</v>
      </c>
      <c r="Y89" s="1495">
        <f t="shared" si="23"/>
        <v>100</v>
      </c>
      <c r="Z89" s="1495">
        <f t="shared" si="24"/>
        <v>0</v>
      </c>
      <c r="AA89" s="1506">
        <f t="shared" si="25"/>
        <v>0</v>
      </c>
      <c r="AB89" s="1505"/>
      <c r="AC89" s="1504">
        <f t="shared" si="26"/>
        <v>0</v>
      </c>
      <c r="AD89" s="1503">
        <f t="shared" si="27"/>
        <v>0</v>
      </c>
      <c r="AE89" s="1503">
        <f t="shared" si="28"/>
        <v>0</v>
      </c>
      <c r="AF89" s="1502">
        <f t="shared" si="29"/>
        <v>0</v>
      </c>
    </row>
    <row r="90" spans="1:34" s="1474" customFormat="1" ht="23.25" customHeight="1">
      <c r="A90" s="1515">
        <v>25</v>
      </c>
      <c r="B90" s="1513" t="s">
        <v>2081</v>
      </c>
      <c r="C90" s="1514" t="s">
        <v>2195</v>
      </c>
      <c r="D90" s="1514"/>
      <c r="E90" s="1513">
        <v>10000000</v>
      </c>
      <c r="F90" s="1512">
        <f t="shared" si="16"/>
        <v>1800000</v>
      </c>
      <c r="G90" s="2141">
        <v>40900</v>
      </c>
      <c r="H90" s="1511">
        <v>0.18</v>
      </c>
      <c r="I90" s="1508">
        <v>12</v>
      </c>
      <c r="J90" s="1508">
        <v>12</v>
      </c>
      <c r="K90" s="1508">
        <v>833300</v>
      </c>
      <c r="L90" s="1508">
        <f t="shared" si="31"/>
        <v>150000</v>
      </c>
      <c r="M90" s="1510">
        <f t="shared" si="17"/>
        <v>10000000</v>
      </c>
      <c r="N90" s="1510">
        <f t="shared" si="18"/>
        <v>1800000</v>
      </c>
      <c r="O90" s="1509">
        <v>10000000</v>
      </c>
      <c r="P90" s="1509">
        <v>1800000</v>
      </c>
      <c r="Q90" s="1509"/>
      <c r="R90" s="2650"/>
      <c r="S90" s="2650"/>
      <c r="T90" s="1507"/>
      <c r="U90" s="1495">
        <f t="shared" si="19"/>
        <v>10000000</v>
      </c>
      <c r="V90" s="1495">
        <f t="shared" si="20"/>
        <v>1800000</v>
      </c>
      <c r="W90" s="1495">
        <f t="shared" si="21"/>
        <v>0</v>
      </c>
      <c r="X90" s="1495">
        <f t="shared" si="22"/>
        <v>0</v>
      </c>
      <c r="Y90" s="1495">
        <f t="shared" si="23"/>
        <v>100</v>
      </c>
      <c r="Z90" s="1495">
        <f t="shared" si="24"/>
        <v>0</v>
      </c>
      <c r="AA90" s="1506">
        <f t="shared" si="25"/>
        <v>0</v>
      </c>
      <c r="AB90" s="1505"/>
      <c r="AC90" s="1504">
        <f t="shared" si="26"/>
        <v>0</v>
      </c>
      <c r="AD90" s="1503">
        <f t="shared" si="27"/>
        <v>0</v>
      </c>
      <c r="AE90" s="1503">
        <f t="shared" si="28"/>
        <v>0</v>
      </c>
      <c r="AF90" s="1502">
        <f t="shared" si="29"/>
        <v>0</v>
      </c>
    </row>
    <row r="91" spans="1:34" s="1474" customFormat="1" ht="23.25" customHeight="1">
      <c r="A91" s="1515">
        <v>26</v>
      </c>
      <c r="B91" s="1513" t="s">
        <v>2231</v>
      </c>
      <c r="C91" s="1514" t="s">
        <v>2195</v>
      </c>
      <c r="D91" s="1514"/>
      <c r="E91" s="1513">
        <v>20000000</v>
      </c>
      <c r="F91" s="1512">
        <f t="shared" si="16"/>
        <v>3600000</v>
      </c>
      <c r="G91" s="2141">
        <v>40900</v>
      </c>
      <c r="H91" s="1511">
        <v>0.18</v>
      </c>
      <c r="I91" s="1508">
        <v>12</v>
      </c>
      <c r="J91" s="1508">
        <v>12</v>
      </c>
      <c r="K91" s="1508">
        <v>1666700</v>
      </c>
      <c r="L91" s="1508">
        <f t="shared" si="31"/>
        <v>300000</v>
      </c>
      <c r="M91" s="1510">
        <f t="shared" si="17"/>
        <v>20000000</v>
      </c>
      <c r="N91" s="1510">
        <f>IF(J91&lt;I91,J91*L91,IF(J91&gt;=I91,F91))-300000</f>
        <v>3300000</v>
      </c>
      <c r="O91" s="1509">
        <v>20000000</v>
      </c>
      <c r="P91" s="1509">
        <v>3300000</v>
      </c>
      <c r="Q91" s="1509"/>
      <c r="R91" s="2650"/>
      <c r="S91" s="2650"/>
      <c r="T91" s="1507"/>
      <c r="U91" s="1495">
        <f t="shared" si="19"/>
        <v>20000000</v>
      </c>
      <c r="V91" s="1495">
        <f t="shared" si="20"/>
        <v>3300000</v>
      </c>
      <c r="W91" s="1495">
        <f t="shared" si="21"/>
        <v>0</v>
      </c>
      <c r="X91" s="1495">
        <f t="shared" si="22"/>
        <v>0</v>
      </c>
      <c r="Y91" s="1495">
        <f t="shared" si="23"/>
        <v>100</v>
      </c>
      <c r="Z91" s="1495">
        <f t="shared" si="24"/>
        <v>0</v>
      </c>
      <c r="AA91" s="1506">
        <f t="shared" si="25"/>
        <v>0</v>
      </c>
      <c r="AB91" s="1505"/>
      <c r="AC91" s="1504">
        <f t="shared" si="26"/>
        <v>0</v>
      </c>
      <c r="AD91" s="1503">
        <f t="shared" si="27"/>
        <v>0</v>
      </c>
      <c r="AE91" s="1503">
        <f t="shared" si="28"/>
        <v>0</v>
      </c>
      <c r="AF91" s="1502">
        <f t="shared" si="29"/>
        <v>0</v>
      </c>
    </row>
    <row r="92" spans="1:34" s="1474" customFormat="1" ht="23.25" customHeight="1">
      <c r="A92" s="1515">
        <v>27</v>
      </c>
      <c r="B92" s="1513" t="s">
        <v>2084</v>
      </c>
      <c r="C92" s="1514" t="s">
        <v>2195</v>
      </c>
      <c r="D92" s="1514"/>
      <c r="E92" s="1513">
        <v>16000000</v>
      </c>
      <c r="F92" s="1512">
        <f t="shared" si="16"/>
        <v>2880000</v>
      </c>
      <c r="G92" s="2141">
        <v>40900</v>
      </c>
      <c r="H92" s="1511">
        <v>0.18</v>
      </c>
      <c r="I92" s="1508">
        <v>12</v>
      </c>
      <c r="J92" s="1508">
        <v>12</v>
      </c>
      <c r="K92" s="1508">
        <v>1333300</v>
      </c>
      <c r="L92" s="1508">
        <f t="shared" si="31"/>
        <v>240000</v>
      </c>
      <c r="M92" s="1510">
        <f t="shared" si="17"/>
        <v>16000000</v>
      </c>
      <c r="N92" s="1510">
        <f>IF(J92&lt;I92,J92*L92,IF(J92&gt;=I92,F92))-240000</f>
        <v>2640000</v>
      </c>
      <c r="O92" s="1509">
        <v>16000000</v>
      </c>
      <c r="P92" s="1509">
        <v>2640000</v>
      </c>
      <c r="Q92" s="1509"/>
      <c r="R92" s="2650"/>
      <c r="S92" s="2650"/>
      <c r="T92" s="1507"/>
      <c r="U92" s="1495">
        <f t="shared" si="19"/>
        <v>16000000</v>
      </c>
      <c r="V92" s="1495">
        <f t="shared" si="20"/>
        <v>2640000</v>
      </c>
      <c r="W92" s="1495">
        <f t="shared" si="21"/>
        <v>0</v>
      </c>
      <c r="X92" s="1495">
        <f t="shared" si="22"/>
        <v>0</v>
      </c>
      <c r="Y92" s="1495">
        <f t="shared" si="23"/>
        <v>100</v>
      </c>
      <c r="Z92" s="1495">
        <f t="shared" si="24"/>
        <v>0</v>
      </c>
      <c r="AA92" s="1506">
        <f t="shared" si="25"/>
        <v>0</v>
      </c>
      <c r="AB92" s="1505"/>
      <c r="AC92" s="1504">
        <f t="shared" si="26"/>
        <v>0</v>
      </c>
      <c r="AD92" s="1503">
        <f t="shared" si="27"/>
        <v>0</v>
      </c>
      <c r="AE92" s="1503">
        <f t="shared" si="28"/>
        <v>0</v>
      </c>
      <c r="AF92" s="1502">
        <f t="shared" si="29"/>
        <v>0</v>
      </c>
    </row>
    <row r="93" spans="1:34" s="1474" customFormat="1" ht="23.25" customHeight="1">
      <c r="A93" s="1515">
        <v>28</v>
      </c>
      <c r="B93" s="1513" t="s">
        <v>2075</v>
      </c>
      <c r="C93" s="1514" t="s">
        <v>2195</v>
      </c>
      <c r="D93" s="1514"/>
      <c r="E93" s="1513">
        <v>17000000</v>
      </c>
      <c r="F93" s="1512">
        <f t="shared" si="16"/>
        <v>3060000</v>
      </c>
      <c r="G93" s="2141">
        <v>40900</v>
      </c>
      <c r="H93" s="1511">
        <v>0.18</v>
      </c>
      <c r="I93" s="1508">
        <v>12</v>
      </c>
      <c r="J93" s="1508">
        <v>12</v>
      </c>
      <c r="K93" s="1508">
        <v>1416700</v>
      </c>
      <c r="L93" s="1508">
        <f t="shared" si="31"/>
        <v>255000</v>
      </c>
      <c r="M93" s="1510">
        <f t="shared" si="17"/>
        <v>17000000</v>
      </c>
      <c r="N93" s="1510">
        <f t="shared" si="18"/>
        <v>3060000</v>
      </c>
      <c r="O93" s="1509">
        <v>17000000</v>
      </c>
      <c r="P93" s="1509">
        <v>3060000</v>
      </c>
      <c r="Q93" s="1509"/>
      <c r="R93" s="2650"/>
      <c r="S93" s="2650"/>
      <c r="T93" s="1507"/>
      <c r="U93" s="1495">
        <f t="shared" si="19"/>
        <v>17000000</v>
      </c>
      <c r="V93" s="1495">
        <f t="shared" si="20"/>
        <v>3060000</v>
      </c>
      <c r="W93" s="1495">
        <f t="shared" si="21"/>
        <v>0</v>
      </c>
      <c r="X93" s="1495">
        <f t="shared" si="22"/>
        <v>0</v>
      </c>
      <c r="Y93" s="1495">
        <f t="shared" si="23"/>
        <v>100</v>
      </c>
      <c r="Z93" s="1495">
        <f t="shared" si="24"/>
        <v>0</v>
      </c>
      <c r="AA93" s="1506">
        <f t="shared" si="25"/>
        <v>0</v>
      </c>
      <c r="AB93" s="1505"/>
      <c r="AC93" s="1504">
        <f t="shared" si="26"/>
        <v>0</v>
      </c>
      <c r="AD93" s="1503">
        <f t="shared" si="27"/>
        <v>0</v>
      </c>
      <c r="AE93" s="1503">
        <f t="shared" si="28"/>
        <v>0</v>
      </c>
      <c r="AF93" s="1502">
        <f t="shared" si="29"/>
        <v>0</v>
      </c>
    </row>
    <row r="94" spans="1:34" s="1474" customFormat="1" ht="23.25" customHeight="1">
      <c r="A94" s="1515">
        <v>29</v>
      </c>
      <c r="B94" s="1513" t="s">
        <v>1912</v>
      </c>
      <c r="C94" s="1514" t="s">
        <v>2195</v>
      </c>
      <c r="D94" s="1514"/>
      <c r="E94" s="1513">
        <v>14000000</v>
      </c>
      <c r="F94" s="1512">
        <f t="shared" si="16"/>
        <v>2520000</v>
      </c>
      <c r="G94" s="2141">
        <v>40900</v>
      </c>
      <c r="H94" s="1511">
        <v>0.18</v>
      </c>
      <c r="I94" s="1508">
        <v>12</v>
      </c>
      <c r="J94" s="1508">
        <v>12</v>
      </c>
      <c r="K94" s="1508">
        <v>1166700</v>
      </c>
      <c r="L94" s="1508">
        <f t="shared" si="31"/>
        <v>210000</v>
      </c>
      <c r="M94" s="1510">
        <f t="shared" si="17"/>
        <v>14000000</v>
      </c>
      <c r="N94" s="1510">
        <f>IF(J94&lt;I94,J94*L94,IF(J94&gt;=I94,F94))-210000</f>
        <v>2310000</v>
      </c>
      <c r="O94" s="1509">
        <v>14000000</v>
      </c>
      <c r="P94" s="1509">
        <v>2310000</v>
      </c>
      <c r="Q94" s="1509"/>
      <c r="R94" s="2650"/>
      <c r="S94" s="2650"/>
      <c r="T94" s="1507"/>
      <c r="U94" s="1495">
        <f t="shared" si="19"/>
        <v>14000000</v>
      </c>
      <c r="V94" s="1495">
        <f t="shared" si="20"/>
        <v>2310000</v>
      </c>
      <c r="W94" s="1495">
        <f t="shared" si="21"/>
        <v>0</v>
      </c>
      <c r="X94" s="1495">
        <f t="shared" si="22"/>
        <v>0</v>
      </c>
      <c r="Y94" s="1495">
        <f t="shared" si="23"/>
        <v>100</v>
      </c>
      <c r="Z94" s="1495">
        <f t="shared" si="24"/>
        <v>0</v>
      </c>
      <c r="AA94" s="1506">
        <f t="shared" si="25"/>
        <v>0</v>
      </c>
      <c r="AB94" s="1505"/>
      <c r="AC94" s="1504">
        <f t="shared" si="26"/>
        <v>0</v>
      </c>
      <c r="AD94" s="1503">
        <f t="shared" si="27"/>
        <v>0</v>
      </c>
      <c r="AE94" s="1503">
        <f t="shared" si="28"/>
        <v>0</v>
      </c>
      <c r="AF94" s="1502">
        <f t="shared" si="29"/>
        <v>0</v>
      </c>
    </row>
    <row r="95" spans="1:34" s="1474" customFormat="1" ht="23.25" customHeight="1">
      <c r="A95" s="1515">
        <v>30</v>
      </c>
      <c r="B95" s="1513" t="s">
        <v>2232</v>
      </c>
      <c r="C95" s="1514" t="s">
        <v>2195</v>
      </c>
      <c r="D95" s="1514">
        <v>12</v>
      </c>
      <c r="E95" s="1513">
        <v>12000000</v>
      </c>
      <c r="F95" s="1512">
        <f t="shared" si="16"/>
        <v>2160000</v>
      </c>
      <c r="G95" s="2141">
        <v>40900</v>
      </c>
      <c r="H95" s="1511">
        <v>0.18</v>
      </c>
      <c r="I95" s="1508">
        <v>12</v>
      </c>
      <c r="J95" s="1508">
        <v>12</v>
      </c>
      <c r="K95" s="1508">
        <v>1000000</v>
      </c>
      <c r="L95" s="1508">
        <f t="shared" si="31"/>
        <v>180000</v>
      </c>
      <c r="M95" s="1510">
        <f t="shared" si="17"/>
        <v>12000000</v>
      </c>
      <c r="N95" s="1510">
        <f t="shared" si="18"/>
        <v>2160000</v>
      </c>
      <c r="O95" s="1509">
        <v>8786400</v>
      </c>
      <c r="P95" s="1509">
        <v>1620000</v>
      </c>
      <c r="Q95" s="1509"/>
      <c r="R95" s="2688"/>
      <c r="S95" s="2688"/>
      <c r="T95" s="1507"/>
      <c r="U95" s="1495">
        <f t="shared" si="19"/>
        <v>8786400</v>
      </c>
      <c r="V95" s="1495">
        <f t="shared" si="20"/>
        <v>1620000</v>
      </c>
      <c r="W95" s="1495">
        <f t="shared" si="21"/>
        <v>0</v>
      </c>
      <c r="X95" s="1495">
        <f t="shared" si="22"/>
        <v>3213600</v>
      </c>
      <c r="Y95" s="1495">
        <f t="shared" si="23"/>
        <v>73.22</v>
      </c>
      <c r="Z95" s="1495">
        <f t="shared" si="24"/>
        <v>3213600</v>
      </c>
      <c r="AA95" s="1506">
        <f t="shared" si="25"/>
        <v>540000</v>
      </c>
      <c r="AB95" s="1505">
        <v>7</v>
      </c>
      <c r="AC95" s="1504">
        <f t="shared" si="26"/>
        <v>0</v>
      </c>
      <c r="AD95" s="1503">
        <f t="shared" si="27"/>
        <v>0</v>
      </c>
      <c r="AE95" s="1503">
        <f t="shared" si="28"/>
        <v>0</v>
      </c>
      <c r="AF95" s="1502">
        <f t="shared" si="29"/>
        <v>3213600</v>
      </c>
    </row>
    <row r="96" spans="1:34" s="1474" customFormat="1" ht="23.25" customHeight="1">
      <c r="A96" s="1515">
        <v>31</v>
      </c>
      <c r="B96" s="1513" t="s">
        <v>1977</v>
      </c>
      <c r="C96" s="1514" t="s">
        <v>2248</v>
      </c>
      <c r="D96" s="1514"/>
      <c r="E96" s="1513">
        <v>16000000</v>
      </c>
      <c r="F96" s="1512">
        <f t="shared" si="16"/>
        <v>2880000</v>
      </c>
      <c r="G96" s="2141">
        <v>41019</v>
      </c>
      <c r="H96" s="1511">
        <v>0.18</v>
      </c>
      <c r="I96" s="1508">
        <v>12</v>
      </c>
      <c r="J96" s="1508">
        <v>12</v>
      </c>
      <c r="K96" s="1508">
        <v>1333300</v>
      </c>
      <c r="L96" s="1508">
        <f t="shared" si="31"/>
        <v>240000</v>
      </c>
      <c r="M96" s="1510">
        <f t="shared" si="17"/>
        <v>16000000</v>
      </c>
      <c r="N96" s="1510">
        <f t="shared" si="18"/>
        <v>2880000</v>
      </c>
      <c r="O96" s="1509">
        <v>16000000</v>
      </c>
      <c r="P96" s="1509">
        <v>2880000</v>
      </c>
      <c r="Q96" s="1509"/>
      <c r="R96" s="2650"/>
      <c r="S96" s="2650"/>
      <c r="T96" s="1507"/>
      <c r="U96" s="1495">
        <f t="shared" si="19"/>
        <v>16000000</v>
      </c>
      <c r="V96" s="1495">
        <f t="shared" si="20"/>
        <v>2880000</v>
      </c>
      <c r="W96" s="1495">
        <f t="shared" si="21"/>
        <v>0</v>
      </c>
      <c r="X96" s="1495">
        <f t="shared" si="22"/>
        <v>0</v>
      </c>
      <c r="Y96" s="1495">
        <f t="shared" si="23"/>
        <v>100</v>
      </c>
      <c r="Z96" s="1495">
        <f t="shared" si="24"/>
        <v>0</v>
      </c>
      <c r="AA96" s="1506">
        <f t="shared" si="25"/>
        <v>0</v>
      </c>
      <c r="AB96" s="1505"/>
      <c r="AC96" s="1504">
        <f t="shared" si="26"/>
        <v>0</v>
      </c>
      <c r="AD96" s="1503">
        <f t="shared" si="27"/>
        <v>0</v>
      </c>
      <c r="AE96" s="1503">
        <f t="shared" si="28"/>
        <v>0</v>
      </c>
      <c r="AF96" s="1502">
        <f t="shared" si="29"/>
        <v>0</v>
      </c>
    </row>
    <row r="97" spans="1:32" s="1474" customFormat="1" ht="23.25" customHeight="1">
      <c r="A97" s="1515">
        <v>32</v>
      </c>
      <c r="B97" s="1513" t="s">
        <v>2200</v>
      </c>
      <c r="C97" s="1514" t="s">
        <v>2277</v>
      </c>
      <c r="D97" s="1514"/>
      <c r="E97" s="1513">
        <v>22000000</v>
      </c>
      <c r="F97" s="1512">
        <f t="shared" si="16"/>
        <v>3960000</v>
      </c>
      <c r="G97" s="2141">
        <v>41108</v>
      </c>
      <c r="H97" s="1511">
        <v>0.18</v>
      </c>
      <c r="I97" s="1508">
        <v>12</v>
      </c>
      <c r="J97" s="1508">
        <v>12</v>
      </c>
      <c r="K97" s="1508">
        <v>1833300</v>
      </c>
      <c r="L97" s="1508">
        <f t="shared" si="31"/>
        <v>330000</v>
      </c>
      <c r="M97" s="1510">
        <f t="shared" si="17"/>
        <v>22000000</v>
      </c>
      <c r="N97" s="1510">
        <f t="shared" si="18"/>
        <v>3960000</v>
      </c>
      <c r="O97" s="1509">
        <v>22000000</v>
      </c>
      <c r="P97" s="1509">
        <v>3960000</v>
      </c>
      <c r="Q97" s="1509"/>
      <c r="R97" s="2650"/>
      <c r="S97" s="2650"/>
      <c r="T97" s="1507"/>
      <c r="U97" s="1495">
        <f t="shared" ref="U97:W98" si="32">SUM(O97+R97)</f>
        <v>22000000</v>
      </c>
      <c r="V97" s="1495">
        <f t="shared" si="32"/>
        <v>3960000</v>
      </c>
      <c r="W97" s="1495">
        <f t="shared" si="32"/>
        <v>0</v>
      </c>
      <c r="X97" s="1495">
        <f>SUM(E97-U97)</f>
        <v>0</v>
      </c>
      <c r="Y97" s="1495">
        <f>SUM(U97/M97)*100</f>
        <v>100</v>
      </c>
      <c r="Z97" s="1495">
        <f>SUM(M97-U97)</f>
        <v>0</v>
      </c>
      <c r="AA97" s="1506">
        <f>SUM(N97-V97)</f>
        <v>0</v>
      </c>
      <c r="AB97" s="1505"/>
      <c r="AC97" s="1504">
        <f>IF(AND(AB97&gt;0,AB97&lt;=2),X97,0)</f>
        <v>0</v>
      </c>
      <c r="AD97" s="1503">
        <f>IF(AND(AB97&gt;=3,AB97&lt;=4),X97,0)</f>
        <v>0</v>
      </c>
      <c r="AE97" s="1503">
        <f>IF(AND(AB97&gt;=5,AB97&lt;=6),X97,0)</f>
        <v>0</v>
      </c>
      <c r="AF97" s="1502">
        <f>IF(AB97&gt;6,X97,0)</f>
        <v>0</v>
      </c>
    </row>
    <row r="98" spans="1:32" s="1474" customFormat="1" ht="23.25" customHeight="1">
      <c r="A98" s="1515">
        <v>33</v>
      </c>
      <c r="B98" s="1513" t="s">
        <v>2082</v>
      </c>
      <c r="C98" s="1514" t="s">
        <v>2277</v>
      </c>
      <c r="D98" s="1514"/>
      <c r="E98" s="1513">
        <v>18000000</v>
      </c>
      <c r="F98" s="1512">
        <f t="shared" si="16"/>
        <v>3240000</v>
      </c>
      <c r="G98" s="2141">
        <v>41108</v>
      </c>
      <c r="H98" s="1511">
        <v>0.18</v>
      </c>
      <c r="I98" s="1508">
        <v>12</v>
      </c>
      <c r="J98" s="1508">
        <v>12</v>
      </c>
      <c r="K98" s="1508">
        <f>E98/I98</f>
        <v>1500000</v>
      </c>
      <c r="L98" s="1508">
        <f t="shared" si="31"/>
        <v>270000</v>
      </c>
      <c r="M98" s="1510">
        <f t="shared" si="17"/>
        <v>18000000</v>
      </c>
      <c r="N98" s="1510">
        <f t="shared" si="18"/>
        <v>3240000</v>
      </c>
      <c r="O98" s="1509">
        <v>18000000</v>
      </c>
      <c r="P98" s="1509">
        <v>3240000</v>
      </c>
      <c r="Q98" s="1509"/>
      <c r="R98" s="2650"/>
      <c r="S98" s="2650"/>
      <c r="T98" s="1507"/>
      <c r="U98" s="1495">
        <f t="shared" si="32"/>
        <v>18000000</v>
      </c>
      <c r="V98" s="1495">
        <f t="shared" si="32"/>
        <v>3240000</v>
      </c>
      <c r="W98" s="1495">
        <f t="shared" si="32"/>
        <v>0</v>
      </c>
      <c r="X98" s="1495">
        <f>SUM(E98-U98)</f>
        <v>0</v>
      </c>
      <c r="Y98" s="1495">
        <f>SUM(U98/M98)*100</f>
        <v>100</v>
      </c>
      <c r="Z98" s="1495">
        <f>SUM(M98-U98)</f>
        <v>0</v>
      </c>
      <c r="AA98" s="1506">
        <f>SUM(N98-V98)</f>
        <v>0</v>
      </c>
      <c r="AB98" s="1505"/>
      <c r="AC98" s="1504">
        <f>IF(AND(AB98&gt;0,AB98&lt;=2),X98,0)</f>
        <v>0</v>
      </c>
      <c r="AD98" s="1503">
        <f>IF(AND(AB98&gt;=3,AB98&lt;=4),X98,0)</f>
        <v>0</v>
      </c>
      <c r="AE98" s="1503">
        <f>IF(AND(AB98&gt;=5,AB98&lt;=6),X98,0)</f>
        <v>0</v>
      </c>
      <c r="AF98" s="1502">
        <f>IF(AB98&gt;6,X98,0)</f>
        <v>0</v>
      </c>
    </row>
    <row r="99" spans="1:32" s="1474" customFormat="1" ht="23.25" customHeight="1">
      <c r="A99" s="1515">
        <v>34</v>
      </c>
      <c r="B99" s="1513" t="s">
        <v>2072</v>
      </c>
      <c r="C99" s="1514" t="s">
        <v>2277</v>
      </c>
      <c r="D99" s="1514"/>
      <c r="E99" s="1513">
        <v>20000000</v>
      </c>
      <c r="F99" s="1512">
        <f t="shared" si="16"/>
        <v>3600000</v>
      </c>
      <c r="G99" s="2141">
        <v>41108</v>
      </c>
      <c r="H99" s="1511">
        <v>0.18</v>
      </c>
      <c r="I99" s="1508">
        <v>12</v>
      </c>
      <c r="J99" s="1508">
        <v>12</v>
      </c>
      <c r="K99" s="1508">
        <v>1666700</v>
      </c>
      <c r="L99" s="1508">
        <f t="shared" si="31"/>
        <v>300000</v>
      </c>
      <c r="M99" s="1510">
        <f t="shared" si="17"/>
        <v>20000000</v>
      </c>
      <c r="N99" s="1510">
        <f t="shared" si="18"/>
        <v>3600000</v>
      </c>
      <c r="O99" s="1509">
        <v>20000000</v>
      </c>
      <c r="P99" s="1509">
        <v>3600000</v>
      </c>
      <c r="Q99" s="1509"/>
      <c r="R99" s="2650"/>
      <c r="S99" s="2650"/>
      <c r="T99" s="1507"/>
      <c r="U99" s="1495">
        <f t="shared" si="19"/>
        <v>20000000</v>
      </c>
      <c r="V99" s="1495">
        <f t="shared" si="20"/>
        <v>3600000</v>
      </c>
      <c r="W99" s="1495">
        <f t="shared" si="21"/>
        <v>0</v>
      </c>
      <c r="X99" s="1495">
        <f t="shared" si="22"/>
        <v>0</v>
      </c>
      <c r="Y99" s="1495">
        <f t="shared" si="23"/>
        <v>100</v>
      </c>
      <c r="Z99" s="1495">
        <f t="shared" si="24"/>
        <v>0</v>
      </c>
      <c r="AA99" s="1506">
        <f t="shared" si="25"/>
        <v>0</v>
      </c>
      <c r="AB99" s="1505"/>
      <c r="AC99" s="1504">
        <f t="shared" si="26"/>
        <v>0</v>
      </c>
      <c r="AD99" s="1503">
        <f t="shared" si="27"/>
        <v>0</v>
      </c>
      <c r="AE99" s="1503">
        <f t="shared" si="28"/>
        <v>0</v>
      </c>
      <c r="AF99" s="1502">
        <f t="shared" si="29"/>
        <v>0</v>
      </c>
    </row>
    <row r="100" spans="1:32" s="1474" customFormat="1" ht="23.25" customHeight="1">
      <c r="A100" s="1515">
        <v>35</v>
      </c>
      <c r="B100" s="1513" t="s">
        <v>2083</v>
      </c>
      <c r="C100" s="1514" t="s">
        <v>2277</v>
      </c>
      <c r="D100" s="1514"/>
      <c r="E100" s="1513">
        <v>22000000</v>
      </c>
      <c r="F100" s="1512">
        <f t="shared" si="16"/>
        <v>3960000</v>
      </c>
      <c r="G100" s="2141">
        <v>41108</v>
      </c>
      <c r="H100" s="1511">
        <v>0.18</v>
      </c>
      <c r="I100" s="1508">
        <v>12</v>
      </c>
      <c r="J100" s="1508">
        <v>12</v>
      </c>
      <c r="K100" s="1508">
        <v>1833300</v>
      </c>
      <c r="L100" s="1508">
        <f t="shared" si="31"/>
        <v>330000</v>
      </c>
      <c r="M100" s="1510">
        <f t="shared" si="17"/>
        <v>22000000</v>
      </c>
      <c r="N100" s="1510">
        <f t="shared" si="18"/>
        <v>3960000</v>
      </c>
      <c r="O100" s="1509">
        <v>22000000</v>
      </c>
      <c r="P100" s="1509">
        <v>3960000</v>
      </c>
      <c r="Q100" s="1509"/>
      <c r="R100" s="2650"/>
      <c r="S100" s="2650"/>
      <c r="T100" s="1507"/>
      <c r="U100" s="1495">
        <f t="shared" si="19"/>
        <v>22000000</v>
      </c>
      <c r="V100" s="1495">
        <f t="shared" si="20"/>
        <v>3960000</v>
      </c>
      <c r="W100" s="1495">
        <f t="shared" si="21"/>
        <v>0</v>
      </c>
      <c r="X100" s="1495">
        <f t="shared" si="22"/>
        <v>0</v>
      </c>
      <c r="Y100" s="1495">
        <f t="shared" si="23"/>
        <v>100</v>
      </c>
      <c r="Z100" s="1495">
        <f t="shared" si="24"/>
        <v>0</v>
      </c>
      <c r="AA100" s="1506">
        <f t="shared" si="25"/>
        <v>0</v>
      </c>
      <c r="AB100" s="1505"/>
      <c r="AC100" s="1504">
        <f t="shared" si="26"/>
        <v>0</v>
      </c>
      <c r="AD100" s="1503">
        <f t="shared" si="27"/>
        <v>0</v>
      </c>
      <c r="AE100" s="1503">
        <f t="shared" si="28"/>
        <v>0</v>
      </c>
      <c r="AF100" s="1502">
        <f t="shared" si="29"/>
        <v>0</v>
      </c>
    </row>
    <row r="101" spans="1:32" s="1474" customFormat="1" ht="23.25" customHeight="1">
      <c r="A101" s="1515">
        <v>36</v>
      </c>
      <c r="B101" s="1513" t="s">
        <v>1971</v>
      </c>
      <c r="C101" s="1514" t="s">
        <v>2340</v>
      </c>
      <c r="D101" s="1514"/>
      <c r="E101" s="1513">
        <v>10000000</v>
      </c>
      <c r="F101" s="1512">
        <f t="shared" si="16"/>
        <v>1800000</v>
      </c>
      <c r="G101" s="2141">
        <v>41247</v>
      </c>
      <c r="H101" s="1511">
        <v>0.18</v>
      </c>
      <c r="I101" s="1508">
        <v>12</v>
      </c>
      <c r="J101" s="1508">
        <v>12</v>
      </c>
      <c r="K101" s="1508">
        <v>833300</v>
      </c>
      <c r="L101" s="1508">
        <f t="shared" si="31"/>
        <v>150000</v>
      </c>
      <c r="M101" s="1510">
        <f t="shared" si="17"/>
        <v>10000000</v>
      </c>
      <c r="N101" s="1510">
        <f t="shared" si="18"/>
        <v>1800000</v>
      </c>
      <c r="O101" s="1509">
        <v>7412400</v>
      </c>
      <c r="P101" s="1509">
        <v>1350000</v>
      </c>
      <c r="Q101" s="1509"/>
      <c r="R101" s="2688"/>
      <c r="S101" s="2688"/>
      <c r="T101" s="1507"/>
      <c r="U101" s="1495">
        <f t="shared" si="19"/>
        <v>7412400</v>
      </c>
      <c r="V101" s="1495">
        <f t="shared" si="20"/>
        <v>1350000</v>
      </c>
      <c r="W101" s="1495">
        <f t="shared" si="21"/>
        <v>0</v>
      </c>
      <c r="X101" s="1495">
        <f t="shared" si="22"/>
        <v>2587600</v>
      </c>
      <c r="Y101" s="1495">
        <f t="shared" si="23"/>
        <v>74.123999999999995</v>
      </c>
      <c r="Z101" s="1495">
        <f t="shared" si="24"/>
        <v>2587600</v>
      </c>
      <c r="AA101" s="1506">
        <f t="shared" si="25"/>
        <v>450000</v>
      </c>
      <c r="AB101" s="1505">
        <v>2</v>
      </c>
      <c r="AC101" s="1504">
        <f t="shared" si="26"/>
        <v>2587600</v>
      </c>
      <c r="AD101" s="1503">
        <f t="shared" si="27"/>
        <v>0</v>
      </c>
      <c r="AE101" s="1503">
        <f t="shared" si="28"/>
        <v>0</v>
      </c>
      <c r="AF101" s="1502">
        <f t="shared" si="29"/>
        <v>0</v>
      </c>
    </row>
    <row r="102" spans="1:32" s="1474" customFormat="1" ht="23.25" customHeight="1">
      <c r="A102" s="1515">
        <v>37</v>
      </c>
      <c r="B102" s="1513" t="s">
        <v>2078</v>
      </c>
      <c r="C102" s="1514" t="s">
        <v>2340</v>
      </c>
      <c r="D102" s="1514">
        <v>12</v>
      </c>
      <c r="E102" s="1513">
        <v>12000000</v>
      </c>
      <c r="F102" s="1512">
        <f t="shared" si="16"/>
        <v>2160000</v>
      </c>
      <c r="G102" s="2141">
        <v>41247</v>
      </c>
      <c r="H102" s="1511">
        <v>0.18</v>
      </c>
      <c r="I102" s="1508">
        <v>12</v>
      </c>
      <c r="J102" s="1508">
        <v>12</v>
      </c>
      <c r="K102" s="1508">
        <f>E102/I102</f>
        <v>1000000</v>
      </c>
      <c r="L102" s="1508">
        <f t="shared" si="31"/>
        <v>180000</v>
      </c>
      <c r="M102" s="1510">
        <f t="shared" si="17"/>
        <v>12000000</v>
      </c>
      <c r="N102" s="2401">
        <f>IF(J102&lt;I102,J102*L102,IF(J102&gt;=I102,F102))-180000</f>
        <v>1980000</v>
      </c>
      <c r="O102" s="1509">
        <v>12000000</v>
      </c>
      <c r="P102" s="1509">
        <v>1980000</v>
      </c>
      <c r="Q102" s="1509"/>
      <c r="R102" s="2650"/>
      <c r="S102" s="2650"/>
      <c r="T102" s="1507"/>
      <c r="U102" s="1495">
        <f t="shared" si="19"/>
        <v>12000000</v>
      </c>
      <c r="V102" s="1495">
        <f t="shared" si="20"/>
        <v>1980000</v>
      </c>
      <c r="W102" s="1495">
        <f t="shared" si="21"/>
        <v>0</v>
      </c>
      <c r="X102" s="1495">
        <f t="shared" si="22"/>
        <v>0</v>
      </c>
      <c r="Y102" s="1495">
        <f t="shared" si="23"/>
        <v>100</v>
      </c>
      <c r="Z102" s="1495">
        <f t="shared" si="24"/>
        <v>0</v>
      </c>
      <c r="AA102" s="1506">
        <f t="shared" si="25"/>
        <v>0</v>
      </c>
      <c r="AB102" s="1505"/>
      <c r="AC102" s="1504">
        <f t="shared" si="26"/>
        <v>0</v>
      </c>
      <c r="AD102" s="1503">
        <f t="shared" si="27"/>
        <v>0</v>
      </c>
      <c r="AE102" s="1503">
        <f t="shared" si="28"/>
        <v>0</v>
      </c>
      <c r="AF102" s="1502">
        <f t="shared" si="29"/>
        <v>0</v>
      </c>
    </row>
    <row r="103" spans="1:32" s="1474" customFormat="1" ht="23.25" customHeight="1">
      <c r="A103" s="1515">
        <v>38</v>
      </c>
      <c r="B103" s="1513" t="s">
        <v>2076</v>
      </c>
      <c r="C103" s="1514" t="s">
        <v>2340</v>
      </c>
      <c r="D103" s="1514"/>
      <c r="E103" s="1513">
        <v>25000000</v>
      </c>
      <c r="F103" s="1512">
        <f t="shared" si="16"/>
        <v>4500000</v>
      </c>
      <c r="G103" s="2141">
        <v>41247</v>
      </c>
      <c r="H103" s="1511">
        <v>0.18</v>
      </c>
      <c r="I103" s="1508">
        <v>12</v>
      </c>
      <c r="J103" s="1508">
        <v>12</v>
      </c>
      <c r="K103" s="1508">
        <v>2083300</v>
      </c>
      <c r="L103" s="1508">
        <f t="shared" si="31"/>
        <v>375000</v>
      </c>
      <c r="M103" s="1510">
        <f t="shared" si="17"/>
        <v>25000000</v>
      </c>
      <c r="N103" s="2401">
        <f>IF(J103&lt;I103,J103*L103,IF(J103&gt;=I103,F103))-750000</f>
        <v>3750000</v>
      </c>
      <c r="O103" s="1509">
        <v>25000000</v>
      </c>
      <c r="P103" s="1509">
        <v>3750000</v>
      </c>
      <c r="Q103" s="1509"/>
      <c r="R103" s="2650"/>
      <c r="S103" s="2650"/>
      <c r="T103" s="1507"/>
      <c r="U103" s="1495">
        <f t="shared" si="19"/>
        <v>25000000</v>
      </c>
      <c r="V103" s="1495">
        <f t="shared" si="20"/>
        <v>3750000</v>
      </c>
      <c r="W103" s="1495">
        <f t="shared" si="21"/>
        <v>0</v>
      </c>
      <c r="X103" s="1495">
        <f t="shared" si="22"/>
        <v>0</v>
      </c>
      <c r="Y103" s="1495">
        <f t="shared" si="23"/>
        <v>100</v>
      </c>
      <c r="Z103" s="1495">
        <f t="shared" si="24"/>
        <v>0</v>
      </c>
      <c r="AA103" s="1506">
        <f t="shared" si="25"/>
        <v>0</v>
      </c>
      <c r="AB103" s="1505"/>
      <c r="AC103" s="1504">
        <f t="shared" si="26"/>
        <v>0</v>
      </c>
      <c r="AD103" s="1503">
        <f t="shared" si="27"/>
        <v>0</v>
      </c>
      <c r="AE103" s="1503">
        <f t="shared" si="28"/>
        <v>0</v>
      </c>
      <c r="AF103" s="1502">
        <f t="shared" si="29"/>
        <v>0</v>
      </c>
    </row>
    <row r="104" spans="1:32" s="1474" customFormat="1" ht="23.25" customHeight="1">
      <c r="A104" s="1515">
        <v>39</v>
      </c>
      <c r="B104" s="1513" t="s">
        <v>2084</v>
      </c>
      <c r="C104" s="1514" t="s">
        <v>2340</v>
      </c>
      <c r="D104" s="1514"/>
      <c r="E104" s="1513">
        <v>22000000</v>
      </c>
      <c r="F104" s="1512">
        <f t="shared" si="16"/>
        <v>3960000</v>
      </c>
      <c r="G104" s="2141">
        <v>41247</v>
      </c>
      <c r="H104" s="1511">
        <v>0.18</v>
      </c>
      <c r="I104" s="1508">
        <v>12</v>
      </c>
      <c r="J104" s="1508">
        <v>12</v>
      </c>
      <c r="K104" s="1508">
        <v>1833300</v>
      </c>
      <c r="L104" s="1508">
        <f t="shared" si="31"/>
        <v>330000</v>
      </c>
      <c r="M104" s="1510">
        <f t="shared" si="17"/>
        <v>22000000</v>
      </c>
      <c r="N104" s="2401">
        <f>IF(J104&lt;I104,J104*L104,IF(J104&gt;=I104,F104))-660000</f>
        <v>3300000</v>
      </c>
      <c r="O104" s="1509">
        <v>22000000</v>
      </c>
      <c r="P104" s="1509">
        <v>3300000</v>
      </c>
      <c r="Q104" s="1509"/>
      <c r="R104" s="2650"/>
      <c r="S104" s="2650"/>
      <c r="T104" s="1507"/>
      <c r="U104" s="1495">
        <f t="shared" si="19"/>
        <v>22000000</v>
      </c>
      <c r="V104" s="1495">
        <f t="shared" si="20"/>
        <v>3300000</v>
      </c>
      <c r="W104" s="1495">
        <f t="shared" si="21"/>
        <v>0</v>
      </c>
      <c r="X104" s="1495">
        <f t="shared" si="22"/>
        <v>0</v>
      </c>
      <c r="Y104" s="1495">
        <f t="shared" si="23"/>
        <v>100</v>
      </c>
      <c r="Z104" s="1495">
        <f t="shared" si="24"/>
        <v>0</v>
      </c>
      <c r="AA104" s="1506">
        <f t="shared" si="25"/>
        <v>0</v>
      </c>
      <c r="AB104" s="1505"/>
      <c r="AC104" s="1504">
        <f t="shared" si="26"/>
        <v>0</v>
      </c>
      <c r="AD104" s="1503">
        <f t="shared" si="27"/>
        <v>0</v>
      </c>
      <c r="AE104" s="1503">
        <f t="shared" si="28"/>
        <v>0</v>
      </c>
      <c r="AF104" s="1502">
        <f t="shared" si="29"/>
        <v>0</v>
      </c>
    </row>
    <row r="105" spans="1:32" s="1474" customFormat="1" ht="23.25" customHeight="1">
      <c r="A105" s="1515">
        <v>40</v>
      </c>
      <c r="B105" s="1513" t="s">
        <v>1912</v>
      </c>
      <c r="C105" s="1514" t="s">
        <v>2340</v>
      </c>
      <c r="D105" s="1514"/>
      <c r="E105" s="1513">
        <v>25000000</v>
      </c>
      <c r="F105" s="1512">
        <f t="shared" si="16"/>
        <v>4500000</v>
      </c>
      <c r="G105" s="2141">
        <v>41247</v>
      </c>
      <c r="H105" s="1511">
        <v>0.18</v>
      </c>
      <c r="I105" s="1508">
        <v>12</v>
      </c>
      <c r="J105" s="1508">
        <v>12</v>
      </c>
      <c r="K105" s="1508">
        <v>2083300</v>
      </c>
      <c r="L105" s="1508">
        <f t="shared" si="31"/>
        <v>375000</v>
      </c>
      <c r="M105" s="1510">
        <f t="shared" si="17"/>
        <v>25000000</v>
      </c>
      <c r="N105" s="2401">
        <f>IF(J105&lt;I105,J105*L105,IF(J105&gt;=I105,F105))-750000</f>
        <v>3750000</v>
      </c>
      <c r="O105" s="1509">
        <v>25000000</v>
      </c>
      <c r="P105" s="1509">
        <v>3750000</v>
      </c>
      <c r="Q105" s="1509"/>
      <c r="R105" s="2650"/>
      <c r="S105" s="2650"/>
      <c r="T105" s="1507"/>
      <c r="U105" s="1495">
        <f t="shared" si="19"/>
        <v>25000000</v>
      </c>
      <c r="V105" s="1495">
        <f t="shared" si="20"/>
        <v>3750000</v>
      </c>
      <c r="W105" s="1495">
        <f t="shared" si="21"/>
        <v>0</v>
      </c>
      <c r="X105" s="1495">
        <f t="shared" si="22"/>
        <v>0</v>
      </c>
      <c r="Y105" s="1495">
        <f t="shared" si="23"/>
        <v>100</v>
      </c>
      <c r="Z105" s="1495">
        <f t="shared" si="24"/>
        <v>0</v>
      </c>
      <c r="AA105" s="1506">
        <f t="shared" si="25"/>
        <v>0</v>
      </c>
      <c r="AB105" s="1505"/>
      <c r="AC105" s="1504">
        <f t="shared" si="26"/>
        <v>0</v>
      </c>
      <c r="AD105" s="1503">
        <f t="shared" si="27"/>
        <v>0</v>
      </c>
      <c r="AE105" s="1503">
        <f t="shared" si="28"/>
        <v>0</v>
      </c>
      <c r="AF105" s="1502">
        <f t="shared" si="29"/>
        <v>0</v>
      </c>
    </row>
    <row r="106" spans="1:32" s="1474" customFormat="1" ht="23.25" customHeight="1">
      <c r="A106" s="1515">
        <v>41</v>
      </c>
      <c r="B106" s="1513" t="s">
        <v>2075</v>
      </c>
      <c r="C106" s="1514" t="s">
        <v>2340</v>
      </c>
      <c r="D106" s="1514"/>
      <c r="E106" s="1513">
        <v>23000000</v>
      </c>
      <c r="F106" s="1512">
        <f t="shared" si="16"/>
        <v>4140000</v>
      </c>
      <c r="G106" s="2141">
        <v>41289</v>
      </c>
      <c r="H106" s="1511">
        <v>0.18</v>
      </c>
      <c r="I106" s="1508">
        <v>12</v>
      </c>
      <c r="J106" s="1508">
        <v>12</v>
      </c>
      <c r="K106" s="1508">
        <v>1916700</v>
      </c>
      <c r="L106" s="1508">
        <f t="shared" si="31"/>
        <v>345000</v>
      </c>
      <c r="M106" s="1510">
        <f t="shared" si="17"/>
        <v>23000000</v>
      </c>
      <c r="N106" s="1510">
        <f t="shared" si="18"/>
        <v>4140000</v>
      </c>
      <c r="O106" s="1509">
        <v>23000000</v>
      </c>
      <c r="P106" s="1509">
        <v>4140000</v>
      </c>
      <c r="Q106" s="1509"/>
      <c r="R106" s="2650"/>
      <c r="S106" s="2650"/>
      <c r="T106" s="1507"/>
      <c r="U106" s="1495">
        <f t="shared" si="19"/>
        <v>23000000</v>
      </c>
      <c r="V106" s="1495">
        <f t="shared" si="20"/>
        <v>4140000</v>
      </c>
      <c r="W106" s="1495">
        <f t="shared" si="21"/>
        <v>0</v>
      </c>
      <c r="X106" s="1495">
        <f t="shared" si="22"/>
        <v>0</v>
      </c>
      <c r="Y106" s="1495">
        <f t="shared" si="23"/>
        <v>100</v>
      </c>
      <c r="Z106" s="1495">
        <f t="shared" si="24"/>
        <v>0</v>
      </c>
      <c r="AA106" s="1506">
        <f t="shared" si="25"/>
        <v>0</v>
      </c>
      <c r="AB106" s="1505"/>
      <c r="AC106" s="1504">
        <f t="shared" si="26"/>
        <v>0</v>
      </c>
      <c r="AD106" s="1503">
        <f t="shared" si="27"/>
        <v>0</v>
      </c>
      <c r="AE106" s="1503">
        <f t="shared" si="28"/>
        <v>0</v>
      </c>
      <c r="AF106" s="1502">
        <f t="shared" si="29"/>
        <v>0</v>
      </c>
    </row>
    <row r="107" spans="1:32" s="1474" customFormat="1" ht="23.25" customHeight="1">
      <c r="A107" s="1515">
        <v>42</v>
      </c>
      <c r="B107" s="1513" t="s">
        <v>2393</v>
      </c>
      <c r="C107" s="1514" t="s">
        <v>2387</v>
      </c>
      <c r="D107" s="1514"/>
      <c r="E107" s="1513">
        <v>7000000</v>
      </c>
      <c r="F107" s="1512">
        <f t="shared" si="16"/>
        <v>1260000</v>
      </c>
      <c r="G107" s="2141">
        <v>41375</v>
      </c>
      <c r="H107" s="1511">
        <v>0.18</v>
      </c>
      <c r="I107" s="1508">
        <v>12</v>
      </c>
      <c r="J107" s="1508">
        <v>12</v>
      </c>
      <c r="K107" s="1508">
        <v>583300</v>
      </c>
      <c r="L107" s="1508">
        <f t="shared" si="31"/>
        <v>105000</v>
      </c>
      <c r="M107" s="1510">
        <f t="shared" si="17"/>
        <v>7000000</v>
      </c>
      <c r="N107" s="1510">
        <f>IF(J107&lt;I107,J107*L107,IF(J107&gt;=I107,F107))-105000</f>
        <v>1155000</v>
      </c>
      <c r="O107" s="1509">
        <v>7000000</v>
      </c>
      <c r="P107" s="1509">
        <v>1155000</v>
      </c>
      <c r="Q107" s="1509"/>
      <c r="R107" s="2650"/>
      <c r="S107" s="2650"/>
      <c r="T107" s="1507"/>
      <c r="U107" s="1495">
        <f t="shared" si="19"/>
        <v>7000000</v>
      </c>
      <c r="V107" s="1495">
        <f t="shared" si="20"/>
        <v>1155000</v>
      </c>
      <c r="W107" s="1495">
        <f t="shared" si="21"/>
        <v>0</v>
      </c>
      <c r="X107" s="1495">
        <f t="shared" si="22"/>
        <v>0</v>
      </c>
      <c r="Y107" s="1495">
        <f t="shared" si="23"/>
        <v>100</v>
      </c>
      <c r="Z107" s="1495">
        <f t="shared" si="24"/>
        <v>0</v>
      </c>
      <c r="AA107" s="1506">
        <f t="shared" si="25"/>
        <v>0</v>
      </c>
      <c r="AB107" s="1505"/>
      <c r="AC107" s="1504">
        <f t="shared" si="26"/>
        <v>0</v>
      </c>
      <c r="AD107" s="1503">
        <f t="shared" si="27"/>
        <v>0</v>
      </c>
      <c r="AE107" s="1503">
        <f t="shared" si="28"/>
        <v>0</v>
      </c>
      <c r="AF107" s="1502">
        <f t="shared" si="29"/>
        <v>0</v>
      </c>
    </row>
    <row r="108" spans="1:32" s="1474" customFormat="1" ht="23.25" customHeight="1">
      <c r="A108" s="1515">
        <v>43</v>
      </c>
      <c r="B108" s="1513" t="s">
        <v>2394</v>
      </c>
      <c r="C108" s="1514" t="s">
        <v>2387</v>
      </c>
      <c r="D108" s="1514"/>
      <c r="E108" s="1513">
        <v>7000000</v>
      </c>
      <c r="F108" s="1512">
        <f t="shared" si="16"/>
        <v>1260000</v>
      </c>
      <c r="G108" s="2141">
        <v>41375</v>
      </c>
      <c r="H108" s="1511">
        <v>0.18</v>
      </c>
      <c r="I108" s="1508">
        <v>12</v>
      </c>
      <c r="J108" s="1508">
        <v>12</v>
      </c>
      <c r="K108" s="1508">
        <v>583300</v>
      </c>
      <c r="L108" s="1508">
        <f t="shared" si="31"/>
        <v>105000</v>
      </c>
      <c r="M108" s="1510">
        <f t="shared" si="17"/>
        <v>7000000</v>
      </c>
      <c r="N108" s="1510">
        <f t="shared" si="18"/>
        <v>1260000</v>
      </c>
      <c r="O108" s="1509">
        <v>7000000</v>
      </c>
      <c r="P108" s="1509">
        <v>1260000</v>
      </c>
      <c r="Q108" s="1509"/>
      <c r="R108" s="2650"/>
      <c r="S108" s="2650"/>
      <c r="T108" s="1507"/>
      <c r="U108" s="1495">
        <f t="shared" si="19"/>
        <v>7000000</v>
      </c>
      <c r="V108" s="1495">
        <f t="shared" si="20"/>
        <v>1260000</v>
      </c>
      <c r="W108" s="1495">
        <f t="shared" si="21"/>
        <v>0</v>
      </c>
      <c r="X108" s="1495">
        <f t="shared" si="22"/>
        <v>0</v>
      </c>
      <c r="Y108" s="1495">
        <f t="shared" si="23"/>
        <v>100</v>
      </c>
      <c r="Z108" s="1495">
        <f t="shared" si="24"/>
        <v>0</v>
      </c>
      <c r="AA108" s="1506">
        <f t="shared" si="25"/>
        <v>0</v>
      </c>
      <c r="AB108" s="1505"/>
      <c r="AC108" s="1504">
        <f t="shared" si="26"/>
        <v>0</v>
      </c>
      <c r="AD108" s="1503">
        <f t="shared" si="27"/>
        <v>0</v>
      </c>
      <c r="AE108" s="1503">
        <f t="shared" si="28"/>
        <v>0</v>
      </c>
      <c r="AF108" s="1502">
        <f t="shared" si="29"/>
        <v>0</v>
      </c>
    </row>
    <row r="109" spans="1:32" s="1474" customFormat="1" ht="23.25" customHeight="1">
      <c r="A109" s="1515">
        <v>44</v>
      </c>
      <c r="B109" s="1513" t="s">
        <v>1977</v>
      </c>
      <c r="C109" s="1514" t="s">
        <v>2377</v>
      </c>
      <c r="D109" s="1514"/>
      <c r="E109" s="1513">
        <v>20000000</v>
      </c>
      <c r="F109" s="1512">
        <f t="shared" si="16"/>
        <v>3600000</v>
      </c>
      <c r="G109" s="2141">
        <v>41383</v>
      </c>
      <c r="H109" s="1511">
        <v>0.18</v>
      </c>
      <c r="I109" s="1508">
        <v>12</v>
      </c>
      <c r="J109" s="1508">
        <v>12</v>
      </c>
      <c r="K109" s="1508">
        <v>1666700</v>
      </c>
      <c r="L109" s="1508">
        <f t="shared" si="31"/>
        <v>300000</v>
      </c>
      <c r="M109" s="1510">
        <f t="shared" si="17"/>
        <v>20000000</v>
      </c>
      <c r="N109" s="1510">
        <f t="shared" si="18"/>
        <v>3600000</v>
      </c>
      <c r="O109" s="1509">
        <v>20000000</v>
      </c>
      <c r="P109" s="1509">
        <v>3600000</v>
      </c>
      <c r="Q109" s="1509"/>
      <c r="R109" s="2650"/>
      <c r="S109" s="2650"/>
      <c r="T109" s="1507"/>
      <c r="U109" s="1495">
        <f t="shared" si="19"/>
        <v>20000000</v>
      </c>
      <c r="V109" s="1495">
        <f t="shared" si="20"/>
        <v>3600000</v>
      </c>
      <c r="W109" s="1495">
        <f t="shared" si="21"/>
        <v>0</v>
      </c>
      <c r="X109" s="1495">
        <f t="shared" si="22"/>
        <v>0</v>
      </c>
      <c r="Y109" s="1495">
        <f t="shared" si="23"/>
        <v>100</v>
      </c>
      <c r="Z109" s="1495">
        <f t="shared" si="24"/>
        <v>0</v>
      </c>
      <c r="AA109" s="1506">
        <f t="shared" si="25"/>
        <v>0</v>
      </c>
      <c r="AB109" s="1505"/>
      <c r="AC109" s="1504">
        <f t="shared" si="26"/>
        <v>0</v>
      </c>
      <c r="AD109" s="1503">
        <f t="shared" si="27"/>
        <v>0</v>
      </c>
      <c r="AE109" s="1503">
        <f t="shared" si="28"/>
        <v>0</v>
      </c>
      <c r="AF109" s="1502">
        <f t="shared" si="29"/>
        <v>0</v>
      </c>
    </row>
    <row r="110" spans="1:32" s="1474" customFormat="1" ht="23.25" customHeight="1">
      <c r="A110" s="1515">
        <v>45</v>
      </c>
      <c r="B110" s="1513" t="s">
        <v>2417</v>
      </c>
      <c r="C110" s="1514" t="s">
        <v>2411</v>
      </c>
      <c r="D110" s="1514">
        <v>10</v>
      </c>
      <c r="E110" s="1513">
        <v>7500000</v>
      </c>
      <c r="F110" s="1512">
        <f t="shared" si="16"/>
        <v>1350000</v>
      </c>
      <c r="G110" s="2141">
        <v>41464</v>
      </c>
      <c r="H110" s="1511">
        <v>0.18</v>
      </c>
      <c r="I110" s="1508">
        <v>12</v>
      </c>
      <c r="J110" s="1508">
        <v>12</v>
      </c>
      <c r="K110" s="1508">
        <f>E110/I110</f>
        <v>625000</v>
      </c>
      <c r="L110" s="1508">
        <f t="shared" si="31"/>
        <v>112500</v>
      </c>
      <c r="M110" s="1510">
        <f t="shared" si="17"/>
        <v>7500000</v>
      </c>
      <c r="N110" s="1510">
        <f t="shared" si="18"/>
        <v>1350000</v>
      </c>
      <c r="O110" s="1509">
        <v>7500000</v>
      </c>
      <c r="P110" s="1509">
        <v>1350000</v>
      </c>
      <c r="Q110" s="1509"/>
      <c r="R110" s="2650"/>
      <c r="S110" s="2650"/>
      <c r="T110" s="1507"/>
      <c r="U110" s="1495">
        <f t="shared" si="19"/>
        <v>7500000</v>
      </c>
      <c r="V110" s="1495">
        <f t="shared" si="20"/>
        <v>1350000</v>
      </c>
      <c r="W110" s="1495">
        <f t="shared" si="21"/>
        <v>0</v>
      </c>
      <c r="X110" s="1495">
        <f t="shared" si="22"/>
        <v>0</v>
      </c>
      <c r="Y110" s="1495">
        <f t="shared" si="23"/>
        <v>100</v>
      </c>
      <c r="Z110" s="1495">
        <f t="shared" si="24"/>
        <v>0</v>
      </c>
      <c r="AA110" s="1506">
        <f t="shared" si="25"/>
        <v>0</v>
      </c>
      <c r="AB110" s="1505"/>
      <c r="AC110" s="1504">
        <f t="shared" si="26"/>
        <v>0</v>
      </c>
      <c r="AD110" s="1503">
        <f t="shared" si="27"/>
        <v>0</v>
      </c>
      <c r="AE110" s="1503">
        <f t="shared" si="28"/>
        <v>0</v>
      </c>
      <c r="AF110" s="1502">
        <f t="shared" si="29"/>
        <v>0</v>
      </c>
    </row>
    <row r="111" spans="1:32" s="1474" customFormat="1" ht="23.25" customHeight="1">
      <c r="A111" s="1515">
        <v>46</v>
      </c>
      <c r="B111" s="1513" t="s">
        <v>2083</v>
      </c>
      <c r="C111" s="1514" t="s">
        <v>2377</v>
      </c>
      <c r="D111" s="1514">
        <v>10</v>
      </c>
      <c r="E111" s="1513">
        <v>25000000</v>
      </c>
      <c r="F111" s="1512">
        <f t="shared" si="16"/>
        <v>4500000</v>
      </c>
      <c r="G111" s="2141">
        <v>41464</v>
      </c>
      <c r="H111" s="1511">
        <v>0.18</v>
      </c>
      <c r="I111" s="1508">
        <v>12</v>
      </c>
      <c r="J111" s="1508">
        <v>12</v>
      </c>
      <c r="K111" s="1508">
        <v>2083300</v>
      </c>
      <c r="L111" s="1508">
        <f t="shared" si="31"/>
        <v>375000</v>
      </c>
      <c r="M111" s="1510">
        <f t="shared" si="17"/>
        <v>25000000</v>
      </c>
      <c r="N111" s="1510">
        <f>IF(J111&lt;I111,J111*L111,IF(J111&gt;=I111,F111))-375000</f>
        <v>4125000</v>
      </c>
      <c r="O111" s="1509">
        <v>25000000</v>
      </c>
      <c r="P111" s="1509">
        <v>4125000</v>
      </c>
      <c r="Q111" s="1509"/>
      <c r="R111" s="2650"/>
      <c r="S111" s="2650"/>
      <c r="T111" s="1507"/>
      <c r="U111" s="1495">
        <f t="shared" si="19"/>
        <v>25000000</v>
      </c>
      <c r="V111" s="1495">
        <f t="shared" si="20"/>
        <v>4125000</v>
      </c>
      <c r="W111" s="1495">
        <f t="shared" si="21"/>
        <v>0</v>
      </c>
      <c r="X111" s="1495">
        <f t="shared" si="22"/>
        <v>0</v>
      </c>
      <c r="Y111" s="1495">
        <f t="shared" si="23"/>
        <v>100</v>
      </c>
      <c r="Z111" s="1495">
        <f t="shared" si="24"/>
        <v>0</v>
      </c>
      <c r="AA111" s="1506">
        <f t="shared" si="25"/>
        <v>0</v>
      </c>
      <c r="AB111" s="1505"/>
      <c r="AC111" s="1504">
        <f t="shared" si="26"/>
        <v>0</v>
      </c>
      <c r="AD111" s="1503">
        <f t="shared" si="27"/>
        <v>0</v>
      </c>
      <c r="AE111" s="1503">
        <f t="shared" si="28"/>
        <v>0</v>
      </c>
      <c r="AF111" s="1502">
        <f t="shared" si="29"/>
        <v>0</v>
      </c>
    </row>
    <row r="112" spans="1:32" s="1474" customFormat="1" ht="23.25" customHeight="1">
      <c r="A112" s="1515">
        <v>47</v>
      </c>
      <c r="B112" s="1513" t="s">
        <v>2072</v>
      </c>
      <c r="C112" s="1514" t="s">
        <v>2387</v>
      </c>
      <c r="D112" s="1514">
        <v>10</v>
      </c>
      <c r="E112" s="1513">
        <v>25000000</v>
      </c>
      <c r="F112" s="1512">
        <f t="shared" si="16"/>
        <v>4500000</v>
      </c>
      <c r="G112" s="2141">
        <v>41467</v>
      </c>
      <c r="H112" s="1511">
        <v>0.18</v>
      </c>
      <c r="I112" s="1508">
        <v>12</v>
      </c>
      <c r="J112" s="1508">
        <v>12</v>
      </c>
      <c r="K112" s="1508">
        <v>2083300</v>
      </c>
      <c r="L112" s="1508">
        <f t="shared" si="31"/>
        <v>375000</v>
      </c>
      <c r="M112" s="1510">
        <f t="shared" si="17"/>
        <v>25000000</v>
      </c>
      <c r="N112" s="1510">
        <f t="shared" si="18"/>
        <v>4500000</v>
      </c>
      <c r="O112" s="1509">
        <v>25000000</v>
      </c>
      <c r="P112" s="1509">
        <v>4500000</v>
      </c>
      <c r="Q112" s="1509"/>
      <c r="R112" s="2650"/>
      <c r="S112" s="2650"/>
      <c r="T112" s="1507"/>
      <c r="U112" s="1495">
        <f t="shared" si="19"/>
        <v>25000000</v>
      </c>
      <c r="V112" s="1495">
        <f t="shared" si="20"/>
        <v>4500000</v>
      </c>
      <c r="W112" s="1495">
        <f t="shared" si="21"/>
        <v>0</v>
      </c>
      <c r="X112" s="1495">
        <f t="shared" si="22"/>
        <v>0</v>
      </c>
      <c r="Y112" s="1495">
        <f t="shared" si="23"/>
        <v>100</v>
      </c>
      <c r="Z112" s="1495">
        <f t="shared" si="24"/>
        <v>0</v>
      </c>
      <c r="AA112" s="1506">
        <f t="shared" si="25"/>
        <v>0</v>
      </c>
      <c r="AB112" s="1505"/>
      <c r="AC112" s="1504">
        <f t="shared" si="26"/>
        <v>0</v>
      </c>
      <c r="AD112" s="1503">
        <f t="shared" si="27"/>
        <v>0</v>
      </c>
      <c r="AE112" s="1503">
        <f t="shared" si="28"/>
        <v>0</v>
      </c>
      <c r="AF112" s="1502">
        <f t="shared" si="29"/>
        <v>0</v>
      </c>
    </row>
    <row r="113" spans="1:32" s="1474" customFormat="1" ht="23.25" customHeight="1">
      <c r="A113" s="1515">
        <v>48</v>
      </c>
      <c r="B113" s="1513" t="s">
        <v>2200</v>
      </c>
      <c r="C113" s="1514" t="s">
        <v>2411</v>
      </c>
      <c r="D113" s="1514">
        <v>10</v>
      </c>
      <c r="E113" s="1513">
        <v>25000000</v>
      </c>
      <c r="F113" s="1512">
        <f t="shared" si="16"/>
        <v>4500000</v>
      </c>
      <c r="G113" s="2141">
        <v>41467</v>
      </c>
      <c r="H113" s="1511">
        <v>0.18</v>
      </c>
      <c r="I113" s="1508">
        <v>12</v>
      </c>
      <c r="J113" s="1508">
        <v>12</v>
      </c>
      <c r="K113" s="1508">
        <v>2083300</v>
      </c>
      <c r="L113" s="1508">
        <f t="shared" si="31"/>
        <v>375000</v>
      </c>
      <c r="M113" s="1510">
        <f t="shared" si="17"/>
        <v>25000000</v>
      </c>
      <c r="N113" s="1510">
        <f t="shared" si="18"/>
        <v>4500000</v>
      </c>
      <c r="O113" s="1509">
        <v>25000000</v>
      </c>
      <c r="P113" s="1509">
        <v>4500000</v>
      </c>
      <c r="Q113" s="1509"/>
      <c r="R113" s="2650"/>
      <c r="S113" s="2650"/>
      <c r="T113" s="1507"/>
      <c r="U113" s="1495">
        <f t="shared" si="19"/>
        <v>25000000</v>
      </c>
      <c r="V113" s="1495">
        <f t="shared" si="20"/>
        <v>4500000</v>
      </c>
      <c r="W113" s="1495">
        <f t="shared" si="21"/>
        <v>0</v>
      </c>
      <c r="X113" s="1495">
        <f t="shared" si="22"/>
        <v>0</v>
      </c>
      <c r="Y113" s="1495">
        <f t="shared" si="23"/>
        <v>100</v>
      </c>
      <c r="Z113" s="1495">
        <f t="shared" si="24"/>
        <v>0</v>
      </c>
      <c r="AA113" s="1506">
        <f t="shared" si="25"/>
        <v>0</v>
      </c>
      <c r="AB113" s="1505"/>
      <c r="AC113" s="1504">
        <f t="shared" si="26"/>
        <v>0</v>
      </c>
      <c r="AD113" s="1503">
        <f t="shared" si="27"/>
        <v>0</v>
      </c>
      <c r="AE113" s="1503">
        <f t="shared" si="28"/>
        <v>0</v>
      </c>
      <c r="AF113" s="1502">
        <f t="shared" si="29"/>
        <v>0</v>
      </c>
    </row>
    <row r="114" spans="1:32" s="1474" customFormat="1" ht="23.25" customHeight="1">
      <c r="A114" s="1515">
        <v>49</v>
      </c>
      <c r="B114" s="1513" t="s">
        <v>2082</v>
      </c>
      <c r="C114" s="1514" t="s">
        <v>2411</v>
      </c>
      <c r="D114" s="1514">
        <v>10</v>
      </c>
      <c r="E114" s="1513">
        <v>22000000</v>
      </c>
      <c r="F114" s="1512">
        <f t="shared" si="16"/>
        <v>3960000</v>
      </c>
      <c r="G114" s="2141">
        <v>41467</v>
      </c>
      <c r="H114" s="1511">
        <v>0.18</v>
      </c>
      <c r="I114" s="1508">
        <v>12</v>
      </c>
      <c r="J114" s="1508">
        <v>12</v>
      </c>
      <c r="K114" s="1508">
        <v>1833300</v>
      </c>
      <c r="L114" s="1508">
        <f t="shared" si="31"/>
        <v>330000</v>
      </c>
      <c r="M114" s="1510">
        <f t="shared" si="17"/>
        <v>22000000</v>
      </c>
      <c r="N114" s="1510">
        <f t="shared" si="18"/>
        <v>3960000</v>
      </c>
      <c r="O114" s="1509">
        <v>22000000</v>
      </c>
      <c r="P114" s="1509">
        <v>3960000</v>
      </c>
      <c r="Q114" s="1509"/>
      <c r="R114" s="2650"/>
      <c r="S114" s="2650"/>
      <c r="T114" s="1507"/>
      <c r="U114" s="1495">
        <f t="shared" si="19"/>
        <v>22000000</v>
      </c>
      <c r="V114" s="1495">
        <f t="shared" si="20"/>
        <v>3960000</v>
      </c>
      <c r="W114" s="1495">
        <f t="shared" si="21"/>
        <v>0</v>
      </c>
      <c r="X114" s="1495">
        <f t="shared" si="22"/>
        <v>0</v>
      </c>
      <c r="Y114" s="1495">
        <f t="shared" si="23"/>
        <v>100</v>
      </c>
      <c r="Z114" s="1495">
        <f t="shared" si="24"/>
        <v>0</v>
      </c>
      <c r="AA114" s="1506">
        <f t="shared" si="25"/>
        <v>0</v>
      </c>
      <c r="AB114" s="1505"/>
      <c r="AC114" s="1504">
        <f t="shared" si="26"/>
        <v>0</v>
      </c>
      <c r="AD114" s="1503">
        <f t="shared" si="27"/>
        <v>0</v>
      </c>
      <c r="AE114" s="1503">
        <f t="shared" si="28"/>
        <v>0</v>
      </c>
      <c r="AF114" s="1502">
        <f t="shared" si="29"/>
        <v>0</v>
      </c>
    </row>
    <row r="115" spans="1:32" s="1474" customFormat="1" ht="23.25" customHeight="1">
      <c r="A115" s="1515">
        <v>50</v>
      </c>
      <c r="B115" s="1513" t="s">
        <v>2436</v>
      </c>
      <c r="C115" s="1514" t="s">
        <v>2437</v>
      </c>
      <c r="D115" s="1514">
        <v>10</v>
      </c>
      <c r="E115" s="1513">
        <v>12000000</v>
      </c>
      <c r="F115" s="1512">
        <f t="shared" si="16"/>
        <v>2160000</v>
      </c>
      <c r="G115" s="2141">
        <v>41487</v>
      </c>
      <c r="H115" s="1511">
        <v>0.18</v>
      </c>
      <c r="I115" s="1508">
        <v>12</v>
      </c>
      <c r="J115" s="1508">
        <v>12</v>
      </c>
      <c r="K115" s="1508">
        <f t="shared" ref="K115:K126" si="33">E115/I115</f>
        <v>1000000</v>
      </c>
      <c r="L115" s="1508">
        <f t="shared" si="31"/>
        <v>180000</v>
      </c>
      <c r="M115" s="1510">
        <f t="shared" si="17"/>
        <v>12000000</v>
      </c>
      <c r="N115" s="1510">
        <f t="shared" si="18"/>
        <v>2160000</v>
      </c>
      <c r="O115" s="1509">
        <v>7600000</v>
      </c>
      <c r="P115" s="1509">
        <v>1440000</v>
      </c>
      <c r="Q115" s="1509"/>
      <c r="R115" s="2650"/>
      <c r="S115" s="2650"/>
      <c r="T115" s="1507"/>
      <c r="U115" s="1495">
        <f t="shared" si="19"/>
        <v>7600000</v>
      </c>
      <c r="V115" s="1495">
        <f t="shared" si="20"/>
        <v>1440000</v>
      </c>
      <c r="W115" s="1495">
        <f t="shared" si="21"/>
        <v>0</v>
      </c>
      <c r="X115" s="1495">
        <f t="shared" si="22"/>
        <v>4400000</v>
      </c>
      <c r="Y115" s="1495">
        <f t="shared" si="23"/>
        <v>63.333333333333329</v>
      </c>
      <c r="Z115" s="1495">
        <f t="shared" si="24"/>
        <v>4400000</v>
      </c>
      <c r="AA115" s="1506">
        <f t="shared" si="25"/>
        <v>720000</v>
      </c>
      <c r="AB115" s="1505">
        <v>1</v>
      </c>
      <c r="AC115" s="1504">
        <f t="shared" si="26"/>
        <v>4400000</v>
      </c>
      <c r="AD115" s="1503">
        <f t="shared" si="27"/>
        <v>0</v>
      </c>
      <c r="AE115" s="1503">
        <f t="shared" si="28"/>
        <v>0</v>
      </c>
      <c r="AF115" s="1502">
        <f t="shared" si="29"/>
        <v>0</v>
      </c>
    </row>
    <row r="116" spans="1:32" s="1474" customFormat="1" ht="23.25" customHeight="1">
      <c r="A116" s="1515">
        <v>51</v>
      </c>
      <c r="B116" s="1513" t="s">
        <v>2464</v>
      </c>
      <c r="C116" s="1514" t="s">
        <v>2377</v>
      </c>
      <c r="D116" s="1514">
        <v>10</v>
      </c>
      <c r="E116" s="1513">
        <v>12000000</v>
      </c>
      <c r="F116" s="1512">
        <f t="shared" si="16"/>
        <v>2160000</v>
      </c>
      <c r="G116" s="2141">
        <v>41555</v>
      </c>
      <c r="H116" s="1511">
        <v>0.18</v>
      </c>
      <c r="I116" s="1508">
        <v>12</v>
      </c>
      <c r="J116" s="1508">
        <v>12</v>
      </c>
      <c r="K116" s="1508">
        <f t="shared" si="33"/>
        <v>1000000</v>
      </c>
      <c r="L116" s="1508">
        <f t="shared" si="31"/>
        <v>180000</v>
      </c>
      <c r="M116" s="1510">
        <f t="shared" si="17"/>
        <v>12000000</v>
      </c>
      <c r="N116" s="2401">
        <f>IF(J116&lt;I116,J116*L116,IF(J116&gt;=I116,F116))-180000</f>
        <v>1980000</v>
      </c>
      <c r="O116" s="1509">
        <v>12000000</v>
      </c>
      <c r="P116" s="1509">
        <v>1980000</v>
      </c>
      <c r="Q116" s="1509"/>
      <c r="R116" s="2650"/>
      <c r="S116" s="2650"/>
      <c r="T116" s="1507"/>
      <c r="U116" s="1495">
        <f t="shared" si="19"/>
        <v>12000000</v>
      </c>
      <c r="V116" s="1495">
        <f t="shared" si="20"/>
        <v>1980000</v>
      </c>
      <c r="W116" s="1495">
        <f t="shared" si="21"/>
        <v>0</v>
      </c>
      <c r="X116" s="1495">
        <f t="shared" si="22"/>
        <v>0</v>
      </c>
      <c r="Y116" s="1495">
        <f t="shared" si="23"/>
        <v>100</v>
      </c>
      <c r="Z116" s="1495">
        <f t="shared" si="24"/>
        <v>0</v>
      </c>
      <c r="AA116" s="1506">
        <f t="shared" si="25"/>
        <v>0</v>
      </c>
      <c r="AB116" s="1505"/>
      <c r="AC116" s="1504">
        <f t="shared" si="26"/>
        <v>0</v>
      </c>
      <c r="AD116" s="1503">
        <f t="shared" si="27"/>
        <v>0</v>
      </c>
      <c r="AE116" s="1503">
        <f t="shared" si="28"/>
        <v>0</v>
      </c>
      <c r="AF116" s="1502">
        <f t="shared" si="29"/>
        <v>0</v>
      </c>
    </row>
    <row r="117" spans="1:32" s="1474" customFormat="1" ht="23.25" customHeight="1">
      <c r="A117" s="1515">
        <v>52</v>
      </c>
      <c r="B117" s="1513" t="s">
        <v>1912</v>
      </c>
      <c r="C117" s="1514" t="s">
        <v>2465</v>
      </c>
      <c r="D117" s="1514">
        <v>10</v>
      </c>
      <c r="E117" s="1513">
        <v>35000000</v>
      </c>
      <c r="F117" s="1512">
        <f t="shared" si="16"/>
        <v>6300000</v>
      </c>
      <c r="G117" s="2141">
        <v>41564</v>
      </c>
      <c r="H117" s="1511">
        <v>0.18</v>
      </c>
      <c r="I117" s="1508">
        <v>12</v>
      </c>
      <c r="J117" s="1508">
        <v>12</v>
      </c>
      <c r="K117" s="1508">
        <v>2916700</v>
      </c>
      <c r="L117" s="1508">
        <f t="shared" si="31"/>
        <v>525000</v>
      </c>
      <c r="M117" s="1510">
        <f t="shared" si="17"/>
        <v>35000000</v>
      </c>
      <c r="N117" s="2401">
        <f>IF(J117&lt;I117,J117*L117,IF(J117&gt;=I117,F117))-525000</f>
        <v>5775000</v>
      </c>
      <c r="O117" s="1509">
        <v>35000000</v>
      </c>
      <c r="P117" s="1509">
        <v>5775000</v>
      </c>
      <c r="Q117" s="1509"/>
      <c r="R117" s="2650"/>
      <c r="S117" s="2650"/>
      <c r="T117" s="1507"/>
      <c r="U117" s="1495">
        <f t="shared" si="19"/>
        <v>35000000</v>
      </c>
      <c r="V117" s="1495">
        <f t="shared" si="20"/>
        <v>5775000</v>
      </c>
      <c r="W117" s="1495">
        <f t="shared" si="21"/>
        <v>0</v>
      </c>
      <c r="X117" s="1495">
        <f t="shared" si="22"/>
        <v>0</v>
      </c>
      <c r="Y117" s="1495">
        <f t="shared" si="23"/>
        <v>100</v>
      </c>
      <c r="Z117" s="1495">
        <f t="shared" si="24"/>
        <v>0</v>
      </c>
      <c r="AA117" s="1506">
        <f t="shared" si="25"/>
        <v>0</v>
      </c>
      <c r="AB117" s="1505"/>
      <c r="AC117" s="1504">
        <f t="shared" si="26"/>
        <v>0</v>
      </c>
      <c r="AD117" s="1503">
        <f t="shared" si="27"/>
        <v>0</v>
      </c>
      <c r="AE117" s="1503">
        <f t="shared" si="28"/>
        <v>0</v>
      </c>
      <c r="AF117" s="1502">
        <f t="shared" si="29"/>
        <v>0</v>
      </c>
    </row>
    <row r="118" spans="1:32" s="1474" customFormat="1" ht="23.25" customHeight="1">
      <c r="A118" s="1515">
        <v>53</v>
      </c>
      <c r="B118" s="1513" t="s">
        <v>2231</v>
      </c>
      <c r="C118" s="1514" t="s">
        <v>2465</v>
      </c>
      <c r="D118" s="1514">
        <v>10</v>
      </c>
      <c r="E118" s="1513">
        <v>28000000</v>
      </c>
      <c r="F118" s="1512">
        <f t="shared" si="16"/>
        <v>5040000</v>
      </c>
      <c r="G118" s="2141">
        <v>41564</v>
      </c>
      <c r="H118" s="1511">
        <v>0.18</v>
      </c>
      <c r="I118" s="1508">
        <v>12</v>
      </c>
      <c r="J118" s="1508">
        <v>12</v>
      </c>
      <c r="K118" s="1508">
        <v>2333300</v>
      </c>
      <c r="L118" s="1508">
        <f t="shared" si="31"/>
        <v>420000</v>
      </c>
      <c r="M118" s="1510">
        <f t="shared" si="17"/>
        <v>28000000</v>
      </c>
      <c r="N118" s="2401">
        <f>IF(J118&lt;I118,J118*L118,IF(J118&gt;=I118,F118))-420000</f>
        <v>4620000</v>
      </c>
      <c r="O118" s="1509">
        <v>28000000</v>
      </c>
      <c r="P118" s="1509">
        <v>4620000</v>
      </c>
      <c r="Q118" s="1509"/>
      <c r="R118" s="2650"/>
      <c r="S118" s="2650"/>
      <c r="T118" s="1507"/>
      <c r="U118" s="1495">
        <f t="shared" si="19"/>
        <v>28000000</v>
      </c>
      <c r="V118" s="1495">
        <f t="shared" si="20"/>
        <v>4620000</v>
      </c>
      <c r="W118" s="1495">
        <f t="shared" si="21"/>
        <v>0</v>
      </c>
      <c r="X118" s="1495">
        <f t="shared" si="22"/>
        <v>0</v>
      </c>
      <c r="Y118" s="1495">
        <f t="shared" si="23"/>
        <v>100</v>
      </c>
      <c r="Z118" s="1495">
        <f t="shared" si="24"/>
        <v>0</v>
      </c>
      <c r="AA118" s="1506">
        <f t="shared" si="25"/>
        <v>0</v>
      </c>
      <c r="AB118" s="1505"/>
      <c r="AC118" s="1504">
        <f t="shared" si="26"/>
        <v>0</v>
      </c>
      <c r="AD118" s="1503">
        <f t="shared" si="27"/>
        <v>0</v>
      </c>
      <c r="AE118" s="1503">
        <f t="shared" si="28"/>
        <v>0</v>
      </c>
      <c r="AF118" s="1502">
        <f t="shared" si="29"/>
        <v>0</v>
      </c>
    </row>
    <row r="119" spans="1:32" s="1474" customFormat="1" ht="23.25" customHeight="1">
      <c r="A119" s="1515">
        <v>54</v>
      </c>
      <c r="B119" s="1513" t="s">
        <v>2084</v>
      </c>
      <c r="C119" s="1514" t="s">
        <v>2465</v>
      </c>
      <c r="D119" s="1514">
        <v>10</v>
      </c>
      <c r="E119" s="1513">
        <v>30000000</v>
      </c>
      <c r="F119" s="1512">
        <f t="shared" si="16"/>
        <v>5400000</v>
      </c>
      <c r="G119" s="2141">
        <v>41568</v>
      </c>
      <c r="H119" s="1511">
        <v>0.18</v>
      </c>
      <c r="I119" s="1508">
        <v>12</v>
      </c>
      <c r="J119" s="1508">
        <v>12</v>
      </c>
      <c r="K119" s="1508">
        <f t="shared" si="33"/>
        <v>2500000</v>
      </c>
      <c r="L119" s="1508">
        <f t="shared" si="31"/>
        <v>450000</v>
      </c>
      <c r="M119" s="1510">
        <f t="shared" si="17"/>
        <v>30000000</v>
      </c>
      <c r="N119" s="2401">
        <f>IF(J119&lt;I119,J119*L119,IF(J119&gt;=I119,F119))-450000-450000</f>
        <v>4500000</v>
      </c>
      <c r="O119" s="1509">
        <v>30000000</v>
      </c>
      <c r="P119" s="1509">
        <v>4500000</v>
      </c>
      <c r="Q119" s="1509"/>
      <c r="R119" s="2650"/>
      <c r="S119" s="2650"/>
      <c r="T119" s="1507"/>
      <c r="U119" s="1495">
        <f t="shared" si="19"/>
        <v>30000000</v>
      </c>
      <c r="V119" s="1495">
        <f t="shared" si="20"/>
        <v>4500000</v>
      </c>
      <c r="W119" s="1495">
        <f t="shared" si="21"/>
        <v>0</v>
      </c>
      <c r="X119" s="1495">
        <f t="shared" si="22"/>
        <v>0</v>
      </c>
      <c r="Y119" s="1495">
        <f t="shared" si="23"/>
        <v>100</v>
      </c>
      <c r="Z119" s="1495">
        <f t="shared" si="24"/>
        <v>0</v>
      </c>
      <c r="AA119" s="1506">
        <f t="shared" si="25"/>
        <v>0</v>
      </c>
      <c r="AB119" s="1505"/>
      <c r="AC119" s="1504">
        <f t="shared" si="26"/>
        <v>0</v>
      </c>
      <c r="AD119" s="1503">
        <f t="shared" si="27"/>
        <v>0</v>
      </c>
      <c r="AE119" s="1503">
        <f t="shared" si="28"/>
        <v>0</v>
      </c>
      <c r="AF119" s="1502">
        <f t="shared" si="29"/>
        <v>0</v>
      </c>
    </row>
    <row r="120" spans="1:32" s="1474" customFormat="1" ht="23.25" customHeight="1">
      <c r="A120" s="1515">
        <v>55</v>
      </c>
      <c r="B120" s="1513" t="s">
        <v>2078</v>
      </c>
      <c r="C120" s="1514" t="s">
        <v>2465</v>
      </c>
      <c r="D120" s="1514">
        <v>10</v>
      </c>
      <c r="E120" s="1513">
        <v>18000000</v>
      </c>
      <c r="F120" s="1512">
        <f t="shared" si="16"/>
        <v>3240000</v>
      </c>
      <c r="G120" s="2141">
        <v>41589</v>
      </c>
      <c r="H120" s="1511">
        <v>0.18</v>
      </c>
      <c r="I120" s="1508">
        <v>12</v>
      </c>
      <c r="J120" s="1508">
        <v>12</v>
      </c>
      <c r="K120" s="1508">
        <f t="shared" si="33"/>
        <v>1500000</v>
      </c>
      <c r="L120" s="1508">
        <f t="shared" si="31"/>
        <v>270000</v>
      </c>
      <c r="M120" s="1510">
        <f t="shared" si="17"/>
        <v>18000000</v>
      </c>
      <c r="N120" s="2401">
        <f>IF(J120&lt;I120,J120*L120,IF(J120&gt;=I120,F120))-270000</f>
        <v>2970000</v>
      </c>
      <c r="O120" s="1509">
        <v>18000000</v>
      </c>
      <c r="P120" s="1509">
        <v>2970000</v>
      </c>
      <c r="Q120" s="1509"/>
      <c r="R120" s="2650"/>
      <c r="S120" s="2650"/>
      <c r="T120" s="1507"/>
      <c r="U120" s="1495">
        <f t="shared" si="19"/>
        <v>18000000</v>
      </c>
      <c r="V120" s="1495">
        <f t="shared" si="20"/>
        <v>2970000</v>
      </c>
      <c r="W120" s="1495">
        <f t="shared" si="21"/>
        <v>0</v>
      </c>
      <c r="X120" s="1495">
        <f t="shared" si="22"/>
        <v>0</v>
      </c>
      <c r="Y120" s="1495">
        <f t="shared" si="23"/>
        <v>100</v>
      </c>
      <c r="Z120" s="1495">
        <f t="shared" si="24"/>
        <v>0</v>
      </c>
      <c r="AA120" s="1506">
        <f t="shared" si="25"/>
        <v>0</v>
      </c>
      <c r="AB120" s="1505"/>
      <c r="AC120" s="1504">
        <f t="shared" si="26"/>
        <v>0</v>
      </c>
      <c r="AD120" s="1503">
        <f t="shared" si="27"/>
        <v>0</v>
      </c>
      <c r="AE120" s="1503">
        <f t="shared" si="28"/>
        <v>0</v>
      </c>
      <c r="AF120" s="1502">
        <f t="shared" si="29"/>
        <v>0</v>
      </c>
    </row>
    <row r="121" spans="1:32" s="1474" customFormat="1" ht="23.25" customHeight="1">
      <c r="A121" s="1515">
        <v>56</v>
      </c>
      <c r="B121" s="1513" t="s">
        <v>2499</v>
      </c>
      <c r="C121" s="1514" t="s">
        <v>2496</v>
      </c>
      <c r="D121" s="1514">
        <v>10</v>
      </c>
      <c r="E121" s="1513">
        <v>8000000</v>
      </c>
      <c r="F121" s="1512">
        <f t="shared" si="16"/>
        <v>1440000</v>
      </c>
      <c r="G121" s="2141">
        <v>41652</v>
      </c>
      <c r="H121" s="1511">
        <v>0.18</v>
      </c>
      <c r="I121" s="1508">
        <v>12</v>
      </c>
      <c r="J121" s="1508">
        <v>12</v>
      </c>
      <c r="K121" s="1508">
        <v>666700</v>
      </c>
      <c r="L121" s="1508">
        <f t="shared" si="31"/>
        <v>120000</v>
      </c>
      <c r="M121" s="1510">
        <f t="shared" si="17"/>
        <v>8000000</v>
      </c>
      <c r="N121" s="2401">
        <f>IF(J121&lt;I121,J121*L121,IF(J121&gt;=I121,F121))-120000</f>
        <v>1320000</v>
      </c>
      <c r="O121" s="1509">
        <v>8000000</v>
      </c>
      <c r="P121" s="1509">
        <v>1320000</v>
      </c>
      <c r="Q121" s="1509"/>
      <c r="R121" s="2650"/>
      <c r="S121" s="2650"/>
      <c r="T121" s="1507"/>
      <c r="U121" s="1495">
        <f t="shared" si="19"/>
        <v>8000000</v>
      </c>
      <c r="V121" s="1495">
        <f t="shared" si="20"/>
        <v>1320000</v>
      </c>
      <c r="W121" s="1495">
        <f t="shared" si="21"/>
        <v>0</v>
      </c>
      <c r="X121" s="1495">
        <f t="shared" si="22"/>
        <v>0</v>
      </c>
      <c r="Y121" s="1495">
        <f t="shared" si="23"/>
        <v>100</v>
      </c>
      <c r="Z121" s="1495">
        <f t="shared" si="24"/>
        <v>0</v>
      </c>
      <c r="AA121" s="1506">
        <f t="shared" si="25"/>
        <v>0</v>
      </c>
      <c r="AB121" s="1505"/>
      <c r="AC121" s="1504">
        <f t="shared" si="26"/>
        <v>0</v>
      </c>
      <c r="AD121" s="1503">
        <f t="shared" si="27"/>
        <v>0</v>
      </c>
      <c r="AE121" s="1503">
        <f t="shared" si="28"/>
        <v>0</v>
      </c>
      <c r="AF121" s="1502">
        <f t="shared" si="29"/>
        <v>0</v>
      </c>
    </row>
    <row r="122" spans="1:32" s="1474" customFormat="1" ht="23.25" customHeight="1">
      <c r="A122" s="1515">
        <v>57</v>
      </c>
      <c r="B122" s="1513" t="s">
        <v>2500</v>
      </c>
      <c r="C122" s="1514" t="s">
        <v>2496</v>
      </c>
      <c r="D122" s="1514">
        <v>10</v>
      </c>
      <c r="E122" s="1513">
        <v>8000000</v>
      </c>
      <c r="F122" s="1512">
        <f t="shared" si="16"/>
        <v>1440000</v>
      </c>
      <c r="G122" s="2141">
        <v>41652</v>
      </c>
      <c r="H122" s="1511">
        <v>0.18</v>
      </c>
      <c r="I122" s="1508">
        <v>12</v>
      </c>
      <c r="J122" s="1508">
        <v>12</v>
      </c>
      <c r="K122" s="1508">
        <v>666700</v>
      </c>
      <c r="L122" s="1508">
        <f t="shared" si="31"/>
        <v>120000</v>
      </c>
      <c r="M122" s="1510">
        <f t="shared" si="17"/>
        <v>8000000</v>
      </c>
      <c r="N122" s="2401">
        <f>IF(J122&lt;I122,J122*L122,IF(J122&gt;=I122,F122))-120000</f>
        <v>1320000</v>
      </c>
      <c r="O122" s="1509">
        <v>8000000</v>
      </c>
      <c r="P122" s="1509">
        <v>1320000</v>
      </c>
      <c r="Q122" s="1509"/>
      <c r="R122" s="2650"/>
      <c r="S122" s="2650"/>
      <c r="T122" s="1507"/>
      <c r="U122" s="1495">
        <f t="shared" si="19"/>
        <v>8000000</v>
      </c>
      <c r="V122" s="1495">
        <f t="shared" si="20"/>
        <v>1320000</v>
      </c>
      <c r="W122" s="1495">
        <f t="shared" si="21"/>
        <v>0</v>
      </c>
      <c r="X122" s="1495">
        <f t="shared" si="22"/>
        <v>0</v>
      </c>
      <c r="Y122" s="1495">
        <f t="shared" si="23"/>
        <v>100</v>
      </c>
      <c r="Z122" s="1495">
        <f t="shared" si="24"/>
        <v>0</v>
      </c>
      <c r="AA122" s="1506">
        <f t="shared" si="25"/>
        <v>0</v>
      </c>
      <c r="AB122" s="1505"/>
      <c r="AC122" s="1504">
        <f t="shared" si="26"/>
        <v>0</v>
      </c>
      <c r="AD122" s="1503">
        <f t="shared" si="27"/>
        <v>0</v>
      </c>
      <c r="AE122" s="1503">
        <f t="shared" si="28"/>
        <v>0</v>
      </c>
      <c r="AF122" s="1502">
        <f t="shared" si="29"/>
        <v>0</v>
      </c>
    </row>
    <row r="123" spans="1:32" s="1474" customFormat="1" ht="23.25" customHeight="1">
      <c r="A123" s="1515">
        <v>58</v>
      </c>
      <c r="B123" s="1513" t="s">
        <v>2075</v>
      </c>
      <c r="C123" s="1514" t="s">
        <v>2465</v>
      </c>
      <c r="D123" s="1514">
        <v>10</v>
      </c>
      <c r="E123" s="1513">
        <v>36000000</v>
      </c>
      <c r="F123" s="1512">
        <f t="shared" si="16"/>
        <v>6480000</v>
      </c>
      <c r="G123" s="2141">
        <v>41659</v>
      </c>
      <c r="H123" s="1511">
        <v>0.18</v>
      </c>
      <c r="I123" s="1508">
        <v>12</v>
      </c>
      <c r="J123" s="1508">
        <v>12</v>
      </c>
      <c r="K123" s="1508">
        <f t="shared" si="33"/>
        <v>3000000</v>
      </c>
      <c r="L123" s="1508">
        <f t="shared" si="31"/>
        <v>540000</v>
      </c>
      <c r="M123" s="1510">
        <f t="shared" si="17"/>
        <v>36000000</v>
      </c>
      <c r="N123" s="1510">
        <f t="shared" si="18"/>
        <v>6480000</v>
      </c>
      <c r="O123" s="1509">
        <v>36000000</v>
      </c>
      <c r="P123" s="1509">
        <v>6480000</v>
      </c>
      <c r="Q123" s="1509"/>
      <c r="R123" s="2650"/>
      <c r="S123" s="2650"/>
      <c r="T123" s="1507"/>
      <c r="U123" s="1495">
        <f t="shared" si="19"/>
        <v>36000000</v>
      </c>
      <c r="V123" s="1495">
        <f t="shared" si="20"/>
        <v>6480000</v>
      </c>
      <c r="W123" s="1495">
        <f t="shared" si="21"/>
        <v>0</v>
      </c>
      <c r="X123" s="1495">
        <f t="shared" si="22"/>
        <v>0</v>
      </c>
      <c r="Y123" s="1495">
        <f t="shared" si="23"/>
        <v>100</v>
      </c>
      <c r="Z123" s="1495">
        <f t="shared" si="24"/>
        <v>0</v>
      </c>
      <c r="AA123" s="1506">
        <f t="shared" si="25"/>
        <v>0</v>
      </c>
      <c r="AB123" s="1505"/>
      <c r="AC123" s="1504">
        <f t="shared" si="26"/>
        <v>0</v>
      </c>
      <c r="AD123" s="1503">
        <f t="shared" si="27"/>
        <v>0</v>
      </c>
      <c r="AE123" s="1503">
        <f t="shared" si="28"/>
        <v>0</v>
      </c>
      <c r="AF123" s="1502">
        <f t="shared" si="29"/>
        <v>0</v>
      </c>
    </row>
    <row r="124" spans="1:32" s="1474" customFormat="1" ht="23.25" customHeight="1">
      <c r="A124" s="1515">
        <v>59</v>
      </c>
      <c r="B124" s="1513" t="s">
        <v>2393</v>
      </c>
      <c r="C124" s="1514" t="s">
        <v>2537</v>
      </c>
      <c r="D124" s="1514">
        <v>10</v>
      </c>
      <c r="E124" s="1513">
        <v>10500000</v>
      </c>
      <c r="F124" s="1512">
        <f t="shared" si="16"/>
        <v>1890000</v>
      </c>
      <c r="G124" s="2141">
        <v>41730</v>
      </c>
      <c r="H124" s="1511">
        <v>0.18</v>
      </c>
      <c r="I124" s="1508">
        <v>12</v>
      </c>
      <c r="J124" s="1508">
        <v>12</v>
      </c>
      <c r="K124" s="1508">
        <f t="shared" si="33"/>
        <v>875000</v>
      </c>
      <c r="L124" s="1508">
        <f t="shared" si="31"/>
        <v>157500</v>
      </c>
      <c r="M124" s="1510">
        <f t="shared" si="17"/>
        <v>10500000</v>
      </c>
      <c r="N124" s="1510">
        <f t="shared" si="18"/>
        <v>1890000</v>
      </c>
      <c r="O124" s="1509">
        <v>10500000</v>
      </c>
      <c r="P124" s="1509">
        <v>1890000</v>
      </c>
      <c r="Q124" s="1509"/>
      <c r="R124" s="2650"/>
      <c r="S124" s="2650"/>
      <c r="T124" s="1507"/>
      <c r="U124" s="1495">
        <f t="shared" si="19"/>
        <v>10500000</v>
      </c>
      <c r="V124" s="1495">
        <f t="shared" si="20"/>
        <v>1890000</v>
      </c>
      <c r="W124" s="1495">
        <f t="shared" si="21"/>
        <v>0</v>
      </c>
      <c r="X124" s="1495">
        <f t="shared" si="22"/>
        <v>0</v>
      </c>
      <c r="Y124" s="1495">
        <f t="shared" si="23"/>
        <v>100</v>
      </c>
      <c r="Z124" s="1495">
        <f t="shared" si="24"/>
        <v>0</v>
      </c>
      <c r="AA124" s="1506">
        <f t="shared" si="25"/>
        <v>0</v>
      </c>
      <c r="AB124" s="1505"/>
      <c r="AC124" s="1504">
        <f t="shared" si="26"/>
        <v>0</v>
      </c>
      <c r="AD124" s="1503">
        <f t="shared" si="27"/>
        <v>0</v>
      </c>
      <c r="AE124" s="1503">
        <f t="shared" si="28"/>
        <v>0</v>
      </c>
      <c r="AF124" s="1502">
        <f t="shared" si="29"/>
        <v>0</v>
      </c>
    </row>
    <row r="125" spans="1:32" s="1474" customFormat="1" ht="23.25" customHeight="1">
      <c r="A125" s="1515">
        <v>60</v>
      </c>
      <c r="B125" s="1513" t="s">
        <v>2544</v>
      </c>
      <c r="C125" s="1514" t="s">
        <v>2537</v>
      </c>
      <c r="D125" s="1514">
        <v>12</v>
      </c>
      <c r="E125" s="1513">
        <v>26000000</v>
      </c>
      <c r="F125" s="1512">
        <f t="shared" si="16"/>
        <v>4680000</v>
      </c>
      <c r="G125" s="2141">
        <v>41744</v>
      </c>
      <c r="H125" s="1511">
        <v>0.18</v>
      </c>
      <c r="I125" s="1508">
        <v>12</v>
      </c>
      <c r="J125" s="1508">
        <v>12</v>
      </c>
      <c r="K125" s="1508">
        <v>2166700</v>
      </c>
      <c r="L125" s="1508">
        <f t="shared" si="31"/>
        <v>390000</v>
      </c>
      <c r="M125" s="1510">
        <f t="shared" si="17"/>
        <v>26000000</v>
      </c>
      <c r="N125" s="1510">
        <f t="shared" si="18"/>
        <v>4680000</v>
      </c>
      <c r="O125" s="1509">
        <v>26000000</v>
      </c>
      <c r="P125" s="1509">
        <v>4680000</v>
      </c>
      <c r="Q125" s="1509"/>
      <c r="R125" s="2650"/>
      <c r="S125" s="2650"/>
      <c r="T125" s="1507"/>
      <c r="U125" s="1495">
        <f t="shared" si="19"/>
        <v>26000000</v>
      </c>
      <c r="V125" s="1495">
        <f t="shared" si="20"/>
        <v>4680000</v>
      </c>
      <c r="W125" s="1495">
        <f t="shared" si="21"/>
        <v>0</v>
      </c>
      <c r="X125" s="1495">
        <f t="shared" si="22"/>
        <v>0</v>
      </c>
      <c r="Y125" s="1495">
        <f t="shared" si="23"/>
        <v>100</v>
      </c>
      <c r="Z125" s="1495">
        <f t="shared" si="24"/>
        <v>0</v>
      </c>
      <c r="AA125" s="1506">
        <f t="shared" si="25"/>
        <v>0</v>
      </c>
      <c r="AB125" s="1505"/>
      <c r="AC125" s="1504">
        <f t="shared" si="26"/>
        <v>0</v>
      </c>
      <c r="AD125" s="1503">
        <f t="shared" si="27"/>
        <v>0</v>
      </c>
      <c r="AE125" s="1503">
        <f t="shared" si="28"/>
        <v>0</v>
      </c>
      <c r="AF125" s="1502">
        <f t="shared" si="29"/>
        <v>0</v>
      </c>
    </row>
    <row r="126" spans="1:32" s="1474" customFormat="1" ht="23.25" customHeight="1">
      <c r="A126" s="1515">
        <v>61</v>
      </c>
      <c r="B126" s="1513" t="s">
        <v>2394</v>
      </c>
      <c r="C126" s="1514" t="s">
        <v>2537</v>
      </c>
      <c r="D126" s="1514">
        <v>12</v>
      </c>
      <c r="E126" s="1513">
        <v>15000000</v>
      </c>
      <c r="F126" s="1512">
        <f t="shared" si="16"/>
        <v>2700000</v>
      </c>
      <c r="G126" s="2141">
        <v>41744</v>
      </c>
      <c r="H126" s="1511">
        <v>0.18</v>
      </c>
      <c r="I126" s="1508">
        <v>12</v>
      </c>
      <c r="J126" s="1508">
        <v>12</v>
      </c>
      <c r="K126" s="1508">
        <f t="shared" si="33"/>
        <v>1250000</v>
      </c>
      <c r="L126" s="1508">
        <f t="shared" si="31"/>
        <v>225000</v>
      </c>
      <c r="M126" s="1510">
        <f t="shared" si="17"/>
        <v>15000000</v>
      </c>
      <c r="N126" s="1510">
        <f t="shared" si="18"/>
        <v>2700000</v>
      </c>
      <c r="O126" s="1509">
        <v>15000000</v>
      </c>
      <c r="P126" s="1509">
        <v>2700000</v>
      </c>
      <c r="Q126" s="1509"/>
      <c r="R126" s="2650"/>
      <c r="S126" s="2650"/>
      <c r="T126" s="1507"/>
      <c r="U126" s="1495">
        <f t="shared" si="19"/>
        <v>15000000</v>
      </c>
      <c r="V126" s="1495">
        <f t="shared" si="20"/>
        <v>2700000</v>
      </c>
      <c r="W126" s="1495">
        <f t="shared" si="21"/>
        <v>0</v>
      </c>
      <c r="X126" s="1495">
        <f t="shared" si="22"/>
        <v>0</v>
      </c>
      <c r="Y126" s="1495">
        <f t="shared" si="23"/>
        <v>100</v>
      </c>
      <c r="Z126" s="1495">
        <f t="shared" si="24"/>
        <v>0</v>
      </c>
      <c r="AA126" s="1506">
        <f t="shared" si="25"/>
        <v>0</v>
      </c>
      <c r="AB126" s="1505"/>
      <c r="AC126" s="1504">
        <f t="shared" si="26"/>
        <v>0</v>
      </c>
      <c r="AD126" s="1503">
        <f t="shared" si="27"/>
        <v>0</v>
      </c>
      <c r="AE126" s="1503">
        <f t="shared" si="28"/>
        <v>0</v>
      </c>
      <c r="AF126" s="1502">
        <f t="shared" si="29"/>
        <v>0</v>
      </c>
    </row>
    <row r="127" spans="1:32" s="1474" customFormat="1" ht="23.25" customHeight="1">
      <c r="A127" s="1515">
        <v>62</v>
      </c>
      <c r="B127" s="1513" t="s">
        <v>2083</v>
      </c>
      <c r="C127" s="1514" t="s">
        <v>2563</v>
      </c>
      <c r="D127" s="1514">
        <v>10</v>
      </c>
      <c r="E127" s="1513">
        <v>35000000</v>
      </c>
      <c r="F127" s="1512">
        <f t="shared" si="16"/>
        <v>6300000</v>
      </c>
      <c r="G127" s="2141">
        <v>41835</v>
      </c>
      <c r="H127" s="1511">
        <v>0.18</v>
      </c>
      <c r="I127" s="1508">
        <v>12</v>
      </c>
      <c r="J127" s="1508">
        <v>12</v>
      </c>
      <c r="K127" s="1508">
        <v>2916700</v>
      </c>
      <c r="L127" s="1508">
        <f t="shared" si="31"/>
        <v>525000</v>
      </c>
      <c r="M127" s="1510">
        <f t="shared" si="17"/>
        <v>35000000</v>
      </c>
      <c r="N127" s="1510">
        <f>IF(J127&lt;I127,J127*L127,IF(J127&gt;=I127,F127))-1*L127</f>
        <v>5775000</v>
      </c>
      <c r="O127" s="1509">
        <v>35000000</v>
      </c>
      <c r="P127" s="1509">
        <v>5775000</v>
      </c>
      <c r="Q127" s="1509"/>
      <c r="R127" s="1509"/>
      <c r="S127" s="1509"/>
      <c r="T127" s="1507"/>
      <c r="U127" s="1495">
        <f t="shared" si="19"/>
        <v>35000000</v>
      </c>
      <c r="V127" s="1495">
        <f t="shared" si="20"/>
        <v>5775000</v>
      </c>
      <c r="W127" s="1495">
        <f t="shared" si="21"/>
        <v>0</v>
      </c>
      <c r="X127" s="1495">
        <f t="shared" si="22"/>
        <v>0</v>
      </c>
      <c r="Y127" s="1495">
        <f t="shared" si="23"/>
        <v>100</v>
      </c>
      <c r="Z127" s="1495">
        <f t="shared" si="24"/>
        <v>0</v>
      </c>
      <c r="AA127" s="1506">
        <f t="shared" si="25"/>
        <v>0</v>
      </c>
      <c r="AB127" s="1505"/>
      <c r="AC127" s="1504">
        <f t="shared" si="26"/>
        <v>0</v>
      </c>
      <c r="AD127" s="1503">
        <f t="shared" si="27"/>
        <v>0</v>
      </c>
      <c r="AE127" s="1503">
        <f t="shared" si="28"/>
        <v>0</v>
      </c>
      <c r="AF127" s="1502">
        <f t="shared" si="29"/>
        <v>0</v>
      </c>
    </row>
    <row r="128" spans="1:32" s="1474" customFormat="1" ht="23.25" customHeight="1">
      <c r="A128" s="1515">
        <v>63</v>
      </c>
      <c r="B128" s="1513" t="s">
        <v>2565</v>
      </c>
      <c r="C128" s="1514" t="s">
        <v>2563</v>
      </c>
      <c r="D128" s="1514">
        <v>10</v>
      </c>
      <c r="E128" s="1513">
        <v>35000000</v>
      </c>
      <c r="F128" s="1512">
        <f t="shared" si="16"/>
        <v>6300000</v>
      </c>
      <c r="G128" s="2141">
        <v>41835</v>
      </c>
      <c r="H128" s="1511">
        <v>0.18</v>
      </c>
      <c r="I128" s="1508">
        <v>12</v>
      </c>
      <c r="J128" s="1508">
        <v>12</v>
      </c>
      <c r="K128" s="1508">
        <v>2916700</v>
      </c>
      <c r="L128" s="1508">
        <f t="shared" si="31"/>
        <v>525000</v>
      </c>
      <c r="M128" s="1510">
        <f t="shared" si="17"/>
        <v>35000000</v>
      </c>
      <c r="N128" s="1510">
        <f t="shared" ref="N128" si="34">IF(J128&lt;I128,J128*L128,IF(J128&gt;=I128,F128))-1*L128</f>
        <v>5775000</v>
      </c>
      <c r="O128" s="1509">
        <v>35000000</v>
      </c>
      <c r="P128" s="1509">
        <v>5775000</v>
      </c>
      <c r="Q128" s="1509"/>
      <c r="R128" s="1509"/>
      <c r="S128" s="1509"/>
      <c r="T128" s="1507"/>
      <c r="U128" s="1495">
        <f t="shared" si="19"/>
        <v>35000000</v>
      </c>
      <c r="V128" s="1495">
        <f t="shared" si="20"/>
        <v>5775000</v>
      </c>
      <c r="W128" s="1495">
        <f t="shared" si="21"/>
        <v>0</v>
      </c>
      <c r="X128" s="1495">
        <f t="shared" si="22"/>
        <v>0</v>
      </c>
      <c r="Y128" s="1495">
        <f t="shared" si="23"/>
        <v>100</v>
      </c>
      <c r="Z128" s="1495">
        <f t="shared" si="24"/>
        <v>0</v>
      </c>
      <c r="AA128" s="1506">
        <f t="shared" si="25"/>
        <v>0</v>
      </c>
      <c r="AB128" s="1505"/>
      <c r="AC128" s="1504">
        <f t="shared" si="26"/>
        <v>0</v>
      </c>
      <c r="AD128" s="1503">
        <f t="shared" si="27"/>
        <v>0</v>
      </c>
      <c r="AE128" s="1503">
        <f t="shared" si="28"/>
        <v>0</v>
      </c>
      <c r="AF128" s="1502">
        <f t="shared" si="29"/>
        <v>0</v>
      </c>
    </row>
    <row r="129" spans="1:32" s="3182" customFormat="1" ht="23.25" customHeight="1">
      <c r="A129" s="1515">
        <v>64</v>
      </c>
      <c r="B129" s="1513" t="s">
        <v>2570</v>
      </c>
      <c r="C129" s="1514" t="s">
        <v>2563</v>
      </c>
      <c r="D129" s="1514">
        <v>10</v>
      </c>
      <c r="E129" s="1513">
        <v>32000000</v>
      </c>
      <c r="F129" s="1513">
        <f t="shared" si="16"/>
        <v>5760000</v>
      </c>
      <c r="G129" s="3184">
        <v>41827</v>
      </c>
      <c r="H129" s="3185">
        <v>0.18</v>
      </c>
      <c r="I129" s="1509">
        <v>12</v>
      </c>
      <c r="J129" s="1509">
        <v>12</v>
      </c>
      <c r="K129" s="1509">
        <v>2666700</v>
      </c>
      <c r="L129" s="1509">
        <f t="shared" si="31"/>
        <v>480000</v>
      </c>
      <c r="M129" s="1509">
        <f t="shared" si="17"/>
        <v>32000000</v>
      </c>
      <c r="N129" s="1509">
        <f t="shared" si="18"/>
        <v>5760000</v>
      </c>
      <c r="O129" s="1509">
        <v>17268000</v>
      </c>
      <c r="P129" s="1509">
        <v>3360000</v>
      </c>
      <c r="Q129" s="1509"/>
      <c r="R129" s="1509"/>
      <c r="S129" s="1509"/>
      <c r="T129" s="1513"/>
      <c r="U129" s="2176">
        <f t="shared" si="19"/>
        <v>17268000</v>
      </c>
      <c r="V129" s="2176">
        <f t="shared" si="20"/>
        <v>3360000</v>
      </c>
      <c r="W129" s="2176">
        <f t="shared" si="21"/>
        <v>0</v>
      </c>
      <c r="X129" s="2176">
        <f t="shared" si="22"/>
        <v>14732000</v>
      </c>
      <c r="Y129" s="2176">
        <f t="shared" si="23"/>
        <v>53.962500000000006</v>
      </c>
      <c r="Z129" s="2176">
        <f t="shared" si="24"/>
        <v>14732000</v>
      </c>
      <c r="AA129" s="3178">
        <f t="shared" si="25"/>
        <v>2400000</v>
      </c>
      <c r="AB129" s="1505"/>
      <c r="AC129" s="3179">
        <f t="shared" si="26"/>
        <v>0</v>
      </c>
      <c r="AD129" s="3180">
        <f t="shared" si="27"/>
        <v>0</v>
      </c>
      <c r="AE129" s="3180">
        <f t="shared" si="28"/>
        <v>0</v>
      </c>
      <c r="AF129" s="3181">
        <f t="shared" si="29"/>
        <v>0</v>
      </c>
    </row>
    <row r="130" spans="1:32" s="1474" customFormat="1" ht="23.25" customHeight="1">
      <c r="A130" s="1515">
        <v>65</v>
      </c>
      <c r="B130" s="1513" t="s">
        <v>2082</v>
      </c>
      <c r="C130" s="1514" t="s">
        <v>2563</v>
      </c>
      <c r="D130" s="1514">
        <v>10</v>
      </c>
      <c r="E130" s="1513">
        <v>28000000</v>
      </c>
      <c r="F130" s="1512">
        <f t="shared" si="16"/>
        <v>5040000</v>
      </c>
      <c r="G130" s="2141">
        <v>41827</v>
      </c>
      <c r="H130" s="1511">
        <v>0.18</v>
      </c>
      <c r="I130" s="1508">
        <v>12</v>
      </c>
      <c r="J130" s="1508">
        <v>12</v>
      </c>
      <c r="K130" s="1508">
        <v>2333300</v>
      </c>
      <c r="L130" s="1508">
        <f t="shared" si="31"/>
        <v>420000</v>
      </c>
      <c r="M130" s="1510">
        <f t="shared" si="17"/>
        <v>28000000</v>
      </c>
      <c r="N130" s="1510">
        <f t="shared" si="18"/>
        <v>5040000</v>
      </c>
      <c r="O130" s="1509">
        <v>28000000</v>
      </c>
      <c r="P130" s="1509">
        <v>5040000</v>
      </c>
      <c r="Q130" s="1509"/>
      <c r="R130" s="1509"/>
      <c r="S130" s="1509"/>
      <c r="T130" s="1507"/>
      <c r="U130" s="1495">
        <f t="shared" si="19"/>
        <v>28000000</v>
      </c>
      <c r="V130" s="1495">
        <f t="shared" si="20"/>
        <v>5040000</v>
      </c>
      <c r="W130" s="1495">
        <f t="shared" si="21"/>
        <v>0</v>
      </c>
      <c r="X130" s="1495">
        <f t="shared" si="22"/>
        <v>0</v>
      </c>
      <c r="Y130" s="1495">
        <f t="shared" si="23"/>
        <v>100</v>
      </c>
      <c r="Z130" s="1495">
        <f t="shared" si="24"/>
        <v>0</v>
      </c>
      <c r="AA130" s="1506">
        <f t="shared" si="25"/>
        <v>0</v>
      </c>
      <c r="AB130" s="1505"/>
      <c r="AC130" s="1504">
        <f t="shared" si="26"/>
        <v>0</v>
      </c>
      <c r="AD130" s="1503">
        <f t="shared" si="27"/>
        <v>0</v>
      </c>
      <c r="AE130" s="1503">
        <f t="shared" si="28"/>
        <v>0</v>
      </c>
      <c r="AF130" s="1502">
        <f t="shared" si="29"/>
        <v>0</v>
      </c>
    </row>
    <row r="131" spans="1:32" s="1474" customFormat="1" ht="23.25" customHeight="1">
      <c r="A131" s="1515">
        <v>66</v>
      </c>
      <c r="B131" s="1513" t="s">
        <v>2022</v>
      </c>
      <c r="C131" s="1514" t="s">
        <v>2563</v>
      </c>
      <c r="D131" s="1514">
        <v>10</v>
      </c>
      <c r="E131" s="1513">
        <v>8000000</v>
      </c>
      <c r="F131" s="1512">
        <f t="shared" si="16"/>
        <v>1440000</v>
      </c>
      <c r="G131" s="2141">
        <v>41865</v>
      </c>
      <c r="H131" s="1511">
        <v>0.18</v>
      </c>
      <c r="I131" s="1508">
        <v>12</v>
      </c>
      <c r="J131" s="1508">
        <v>12</v>
      </c>
      <c r="K131" s="1508">
        <v>666700</v>
      </c>
      <c r="L131" s="1508">
        <f t="shared" si="31"/>
        <v>120000</v>
      </c>
      <c r="M131" s="1510">
        <f t="shared" si="17"/>
        <v>8000000</v>
      </c>
      <c r="N131" s="1510">
        <f t="shared" si="18"/>
        <v>1440000</v>
      </c>
      <c r="O131" s="1509">
        <v>8000000</v>
      </c>
      <c r="P131" s="1509">
        <v>1440000</v>
      </c>
      <c r="Q131" s="1509"/>
      <c r="R131" s="1509"/>
      <c r="S131" s="1509"/>
      <c r="T131" s="1507"/>
      <c r="U131" s="1495">
        <f t="shared" si="19"/>
        <v>8000000</v>
      </c>
      <c r="V131" s="1495">
        <f t="shared" si="20"/>
        <v>1440000</v>
      </c>
      <c r="W131" s="1495">
        <f t="shared" si="21"/>
        <v>0</v>
      </c>
      <c r="X131" s="1495">
        <f t="shared" si="22"/>
        <v>0</v>
      </c>
      <c r="Y131" s="1495">
        <f t="shared" si="23"/>
        <v>100</v>
      </c>
      <c r="Z131" s="1495">
        <f t="shared" si="24"/>
        <v>0</v>
      </c>
      <c r="AA131" s="1506">
        <f t="shared" si="25"/>
        <v>0</v>
      </c>
      <c r="AB131" s="1505"/>
      <c r="AC131" s="1504">
        <f t="shared" si="26"/>
        <v>0</v>
      </c>
      <c r="AD131" s="1503">
        <f t="shared" si="27"/>
        <v>0</v>
      </c>
      <c r="AE131" s="1503">
        <f t="shared" si="28"/>
        <v>0</v>
      </c>
      <c r="AF131" s="1502">
        <f t="shared" si="29"/>
        <v>0</v>
      </c>
    </row>
    <row r="132" spans="1:32" s="1474" customFormat="1" ht="23.25" customHeight="1">
      <c r="A132" s="1515">
        <v>67</v>
      </c>
      <c r="B132" s="1513" t="s">
        <v>2464</v>
      </c>
      <c r="C132" s="1514" t="s">
        <v>2563</v>
      </c>
      <c r="D132" s="1514">
        <v>10</v>
      </c>
      <c r="E132" s="1513">
        <v>20000000</v>
      </c>
      <c r="F132" s="1512">
        <f t="shared" si="16"/>
        <v>3600000</v>
      </c>
      <c r="G132" s="2141">
        <v>41891</v>
      </c>
      <c r="H132" s="1511">
        <v>0.18</v>
      </c>
      <c r="I132" s="1508">
        <v>12</v>
      </c>
      <c r="J132" s="1508">
        <v>12</v>
      </c>
      <c r="K132" s="1508">
        <v>1666700</v>
      </c>
      <c r="L132" s="1508">
        <f t="shared" si="31"/>
        <v>300000</v>
      </c>
      <c r="M132" s="1510">
        <f t="shared" si="17"/>
        <v>20000000</v>
      </c>
      <c r="N132" s="1510">
        <f t="shared" si="18"/>
        <v>3600000</v>
      </c>
      <c r="O132" s="1509">
        <v>20000000</v>
      </c>
      <c r="P132" s="1509">
        <v>3600000</v>
      </c>
      <c r="Q132" s="1509"/>
      <c r="R132" s="1509"/>
      <c r="S132" s="1509"/>
      <c r="T132" s="1507"/>
      <c r="U132" s="1495">
        <f t="shared" si="19"/>
        <v>20000000</v>
      </c>
      <c r="V132" s="1495">
        <f t="shared" si="20"/>
        <v>3600000</v>
      </c>
      <c r="W132" s="1495">
        <f t="shared" si="21"/>
        <v>0</v>
      </c>
      <c r="X132" s="1495">
        <f t="shared" si="22"/>
        <v>0</v>
      </c>
      <c r="Y132" s="1495">
        <f t="shared" si="23"/>
        <v>100</v>
      </c>
      <c r="Z132" s="1495">
        <f t="shared" si="24"/>
        <v>0</v>
      </c>
      <c r="AA132" s="1506">
        <f t="shared" si="25"/>
        <v>0</v>
      </c>
      <c r="AB132" s="1505"/>
      <c r="AC132" s="1504">
        <f t="shared" si="26"/>
        <v>0</v>
      </c>
      <c r="AD132" s="1503">
        <f t="shared" si="27"/>
        <v>0</v>
      </c>
      <c r="AE132" s="1503">
        <f t="shared" si="28"/>
        <v>0</v>
      </c>
      <c r="AF132" s="1502">
        <f t="shared" si="29"/>
        <v>0</v>
      </c>
    </row>
    <row r="133" spans="1:32" s="1474" customFormat="1" ht="23.25" customHeight="1">
      <c r="A133" s="1515">
        <v>68</v>
      </c>
      <c r="B133" s="1513" t="s">
        <v>2084</v>
      </c>
      <c r="C133" s="1514" t="s">
        <v>2563</v>
      </c>
      <c r="D133" s="1514">
        <v>12</v>
      </c>
      <c r="E133" s="1513">
        <v>40000000</v>
      </c>
      <c r="F133" s="1512">
        <f t="shared" si="16"/>
        <v>7200000</v>
      </c>
      <c r="G133" s="2141">
        <v>41901</v>
      </c>
      <c r="H133" s="1511">
        <v>0.18</v>
      </c>
      <c r="I133" s="1508">
        <v>12</v>
      </c>
      <c r="J133" s="1508">
        <v>12</v>
      </c>
      <c r="K133" s="1508">
        <v>3333300</v>
      </c>
      <c r="L133" s="1508">
        <f t="shared" si="31"/>
        <v>600000</v>
      </c>
      <c r="M133" s="1510">
        <f t="shared" si="17"/>
        <v>40000000</v>
      </c>
      <c r="N133" s="1510">
        <f t="shared" si="18"/>
        <v>7200000</v>
      </c>
      <c r="O133" s="1509">
        <v>40000000</v>
      </c>
      <c r="P133" s="1509">
        <v>7200000</v>
      </c>
      <c r="Q133" s="1509"/>
      <c r="R133" s="1509"/>
      <c r="S133" s="1509"/>
      <c r="T133" s="1507"/>
      <c r="U133" s="1495">
        <f t="shared" si="19"/>
        <v>40000000</v>
      </c>
      <c r="V133" s="1495">
        <f t="shared" si="20"/>
        <v>7200000</v>
      </c>
      <c r="W133" s="1495">
        <f t="shared" si="21"/>
        <v>0</v>
      </c>
      <c r="X133" s="1495">
        <f t="shared" si="22"/>
        <v>0</v>
      </c>
      <c r="Y133" s="1495">
        <f t="shared" si="23"/>
        <v>100</v>
      </c>
      <c r="Z133" s="1495">
        <f t="shared" si="24"/>
        <v>0</v>
      </c>
      <c r="AA133" s="1506">
        <f t="shared" si="25"/>
        <v>0</v>
      </c>
      <c r="AB133" s="1505"/>
      <c r="AC133" s="1504">
        <f t="shared" si="26"/>
        <v>0</v>
      </c>
      <c r="AD133" s="1503">
        <f t="shared" si="27"/>
        <v>0</v>
      </c>
      <c r="AE133" s="1503">
        <f t="shared" si="28"/>
        <v>0</v>
      </c>
      <c r="AF133" s="1502">
        <f t="shared" si="29"/>
        <v>0</v>
      </c>
    </row>
    <row r="134" spans="1:32" s="1474" customFormat="1" ht="23.25" customHeight="1">
      <c r="A134" s="1515">
        <v>69</v>
      </c>
      <c r="B134" s="1513" t="s">
        <v>2231</v>
      </c>
      <c r="C134" s="1514" t="s">
        <v>2563</v>
      </c>
      <c r="D134" s="1514">
        <v>12</v>
      </c>
      <c r="E134" s="1513">
        <v>34000000</v>
      </c>
      <c r="F134" s="1512">
        <f t="shared" si="16"/>
        <v>6120000</v>
      </c>
      <c r="G134" s="2141">
        <v>41901</v>
      </c>
      <c r="H134" s="1511">
        <v>0.18</v>
      </c>
      <c r="I134" s="1508">
        <v>12</v>
      </c>
      <c r="J134" s="1508">
        <v>12</v>
      </c>
      <c r="K134" s="1508">
        <v>2833300</v>
      </c>
      <c r="L134" s="1508">
        <f t="shared" si="31"/>
        <v>510000</v>
      </c>
      <c r="M134" s="1510">
        <f t="shared" si="17"/>
        <v>34000000</v>
      </c>
      <c r="N134" s="1510">
        <f>IF(J134&lt;I134,J134*L134,IF(J134&gt;=I134,F134))-1*L134</f>
        <v>5610000</v>
      </c>
      <c r="O134" s="1509">
        <v>34000000</v>
      </c>
      <c r="P134" s="1509">
        <v>5610000</v>
      </c>
      <c r="Q134" s="1509"/>
      <c r="R134" s="1509"/>
      <c r="S134" s="1509"/>
      <c r="T134" s="1507"/>
      <c r="U134" s="1495">
        <f t="shared" si="19"/>
        <v>34000000</v>
      </c>
      <c r="V134" s="1495">
        <f t="shared" si="20"/>
        <v>5610000</v>
      </c>
      <c r="W134" s="1495">
        <f t="shared" si="21"/>
        <v>0</v>
      </c>
      <c r="X134" s="1495">
        <f t="shared" si="22"/>
        <v>0</v>
      </c>
      <c r="Y134" s="1495">
        <f t="shared" si="23"/>
        <v>100</v>
      </c>
      <c r="Z134" s="1495">
        <f t="shared" si="24"/>
        <v>0</v>
      </c>
      <c r="AA134" s="1506">
        <f t="shared" si="25"/>
        <v>0</v>
      </c>
      <c r="AB134" s="1505"/>
      <c r="AC134" s="1504">
        <f t="shared" si="26"/>
        <v>0</v>
      </c>
      <c r="AD134" s="1503">
        <f t="shared" si="27"/>
        <v>0</v>
      </c>
      <c r="AE134" s="1503">
        <f t="shared" si="28"/>
        <v>0</v>
      </c>
      <c r="AF134" s="1502">
        <f t="shared" si="29"/>
        <v>0</v>
      </c>
    </row>
    <row r="135" spans="1:32" s="1474" customFormat="1" ht="23.25" customHeight="1">
      <c r="A135" s="1515">
        <v>70</v>
      </c>
      <c r="B135" s="1513" t="s">
        <v>1912</v>
      </c>
      <c r="C135" s="1514" t="s">
        <v>2563</v>
      </c>
      <c r="D135" s="1514">
        <v>12</v>
      </c>
      <c r="E135" s="1513">
        <v>46000000</v>
      </c>
      <c r="F135" s="1512">
        <f t="shared" si="16"/>
        <v>8280000</v>
      </c>
      <c r="G135" s="2141">
        <v>41901</v>
      </c>
      <c r="H135" s="1511">
        <v>0.18</v>
      </c>
      <c r="I135" s="1508">
        <v>12</v>
      </c>
      <c r="J135" s="1508">
        <v>12</v>
      </c>
      <c r="K135" s="1508">
        <v>3833300</v>
      </c>
      <c r="L135" s="1508">
        <f t="shared" si="31"/>
        <v>690000</v>
      </c>
      <c r="M135" s="1510">
        <f t="shared" si="17"/>
        <v>46000000</v>
      </c>
      <c r="N135" s="1510">
        <f t="shared" ref="N135" si="35">IF(J135&lt;I135,J135*L135,IF(J135&gt;=I135,F135))-1*L135</f>
        <v>7590000</v>
      </c>
      <c r="O135" s="1509">
        <v>46000000</v>
      </c>
      <c r="P135" s="1509">
        <v>7590000</v>
      </c>
      <c r="Q135" s="1509"/>
      <c r="R135" s="1509"/>
      <c r="S135" s="1509"/>
      <c r="T135" s="1507"/>
      <c r="U135" s="1495">
        <f t="shared" si="19"/>
        <v>46000000</v>
      </c>
      <c r="V135" s="1495">
        <f t="shared" si="20"/>
        <v>7590000</v>
      </c>
      <c r="W135" s="1495">
        <f t="shared" si="21"/>
        <v>0</v>
      </c>
      <c r="X135" s="1495">
        <f t="shared" si="22"/>
        <v>0</v>
      </c>
      <c r="Y135" s="1495">
        <f t="shared" si="23"/>
        <v>100</v>
      </c>
      <c r="Z135" s="1495">
        <f t="shared" si="24"/>
        <v>0</v>
      </c>
      <c r="AA135" s="1506">
        <f t="shared" si="25"/>
        <v>0</v>
      </c>
      <c r="AB135" s="1505"/>
      <c r="AC135" s="1504">
        <f t="shared" si="26"/>
        <v>0</v>
      </c>
      <c r="AD135" s="1503">
        <f t="shared" si="27"/>
        <v>0</v>
      </c>
      <c r="AE135" s="1503">
        <f t="shared" si="28"/>
        <v>0</v>
      </c>
      <c r="AF135" s="1502">
        <f t="shared" si="29"/>
        <v>0</v>
      </c>
    </row>
    <row r="136" spans="1:32" s="1474" customFormat="1" ht="23.25" customHeight="1">
      <c r="A136" s="1515">
        <v>71</v>
      </c>
      <c r="B136" s="1513" t="s">
        <v>2078</v>
      </c>
      <c r="C136" s="1514" t="s">
        <v>2582</v>
      </c>
      <c r="D136" s="1514">
        <v>12</v>
      </c>
      <c r="E136" s="1513">
        <v>28000000</v>
      </c>
      <c r="F136" s="1512">
        <f t="shared" si="16"/>
        <v>5040000</v>
      </c>
      <c r="G136" s="3175" t="s">
        <v>2693</v>
      </c>
      <c r="H136" s="1511">
        <v>0.18</v>
      </c>
      <c r="I136" s="1508">
        <v>12</v>
      </c>
      <c r="J136" s="1508">
        <v>12</v>
      </c>
      <c r="K136" s="1508">
        <v>2333300</v>
      </c>
      <c r="L136" s="1508">
        <f t="shared" si="31"/>
        <v>420000</v>
      </c>
      <c r="M136" s="1510">
        <f t="shared" si="17"/>
        <v>28000000</v>
      </c>
      <c r="N136" s="1510">
        <f t="shared" si="18"/>
        <v>5040000</v>
      </c>
      <c r="O136" s="1509">
        <v>28000000</v>
      </c>
      <c r="P136" s="1509">
        <v>5040000</v>
      </c>
      <c r="Q136" s="1509"/>
      <c r="R136" s="1509"/>
      <c r="S136" s="1509"/>
      <c r="T136" s="1507"/>
      <c r="U136" s="1495">
        <f t="shared" si="19"/>
        <v>28000000</v>
      </c>
      <c r="V136" s="1495">
        <f t="shared" si="20"/>
        <v>5040000</v>
      </c>
      <c r="W136" s="1495">
        <f t="shared" si="21"/>
        <v>0</v>
      </c>
      <c r="X136" s="1495">
        <f t="shared" si="22"/>
        <v>0</v>
      </c>
      <c r="Y136" s="1495">
        <f t="shared" si="23"/>
        <v>100</v>
      </c>
      <c r="Z136" s="1495">
        <f t="shared" si="24"/>
        <v>0</v>
      </c>
      <c r="AA136" s="1506">
        <f t="shared" si="25"/>
        <v>0</v>
      </c>
      <c r="AB136" s="1505"/>
      <c r="AC136" s="1504">
        <f t="shared" si="26"/>
        <v>0</v>
      </c>
      <c r="AD136" s="1503">
        <f t="shared" si="27"/>
        <v>0</v>
      </c>
      <c r="AE136" s="1503">
        <f t="shared" si="28"/>
        <v>0</v>
      </c>
      <c r="AF136" s="1502">
        <f t="shared" si="29"/>
        <v>0</v>
      </c>
    </row>
    <row r="137" spans="1:32" s="1474" customFormat="1" ht="23.25" customHeight="1">
      <c r="A137" s="1515">
        <v>72</v>
      </c>
      <c r="B137" s="1513" t="s">
        <v>2617</v>
      </c>
      <c r="C137" s="1514" t="s">
        <v>2615</v>
      </c>
      <c r="D137" s="1514">
        <v>10</v>
      </c>
      <c r="E137" s="1513">
        <v>12000000</v>
      </c>
      <c r="F137" s="1512">
        <f t="shared" si="16"/>
        <v>2160000</v>
      </c>
      <c r="G137" s="2141">
        <v>41991</v>
      </c>
      <c r="H137" s="1511">
        <v>0.18</v>
      </c>
      <c r="I137" s="1508">
        <v>12</v>
      </c>
      <c r="J137" s="1508">
        <v>12</v>
      </c>
      <c r="K137" s="1508">
        <f>E137/I137</f>
        <v>1000000</v>
      </c>
      <c r="L137" s="1508">
        <f t="shared" si="31"/>
        <v>180000</v>
      </c>
      <c r="M137" s="1510">
        <f t="shared" si="17"/>
        <v>12000000</v>
      </c>
      <c r="N137" s="1510">
        <f>IF(J137&lt;I137,J137*L137,IF(J137&gt;=I137,F137))-1*L137</f>
        <v>1980000</v>
      </c>
      <c r="O137" s="1509">
        <v>12000000</v>
      </c>
      <c r="P137" s="1509">
        <v>1980000</v>
      </c>
      <c r="Q137" s="1509"/>
      <c r="R137" s="1509"/>
      <c r="S137" s="1509"/>
      <c r="T137" s="1507"/>
      <c r="U137" s="1495">
        <f t="shared" si="19"/>
        <v>12000000</v>
      </c>
      <c r="V137" s="1495">
        <f t="shared" si="20"/>
        <v>1980000</v>
      </c>
      <c r="W137" s="1495">
        <f t="shared" si="21"/>
        <v>0</v>
      </c>
      <c r="X137" s="1495">
        <f t="shared" si="22"/>
        <v>0</v>
      </c>
      <c r="Y137" s="1495">
        <f t="shared" si="23"/>
        <v>100</v>
      </c>
      <c r="Z137" s="1495">
        <f t="shared" si="24"/>
        <v>0</v>
      </c>
      <c r="AA137" s="1506">
        <f t="shared" si="25"/>
        <v>0</v>
      </c>
      <c r="AB137" s="1505"/>
      <c r="AC137" s="1504">
        <f t="shared" si="26"/>
        <v>0</v>
      </c>
      <c r="AD137" s="1503">
        <f t="shared" si="27"/>
        <v>0</v>
      </c>
      <c r="AE137" s="1503">
        <f t="shared" si="28"/>
        <v>0</v>
      </c>
      <c r="AF137" s="1502">
        <f t="shared" si="29"/>
        <v>0</v>
      </c>
    </row>
    <row r="138" spans="1:32" s="1474" customFormat="1" ht="23.25" customHeight="1">
      <c r="A138" s="1515">
        <v>73</v>
      </c>
      <c r="B138" s="1513" t="s">
        <v>2499</v>
      </c>
      <c r="C138" s="1514" t="s">
        <v>2615</v>
      </c>
      <c r="D138" s="1514">
        <v>10</v>
      </c>
      <c r="E138" s="1513">
        <v>12000000</v>
      </c>
      <c r="F138" s="1512">
        <f t="shared" si="16"/>
        <v>2160000</v>
      </c>
      <c r="G138" s="2141">
        <v>41991</v>
      </c>
      <c r="H138" s="1511">
        <v>0.18</v>
      </c>
      <c r="I138" s="1508">
        <v>12</v>
      </c>
      <c r="J138" s="1508">
        <v>12</v>
      </c>
      <c r="K138" s="1508">
        <f>E138/I138</f>
        <v>1000000</v>
      </c>
      <c r="L138" s="1508">
        <f t="shared" si="31"/>
        <v>180000</v>
      </c>
      <c r="M138" s="1510">
        <f t="shared" si="17"/>
        <v>12000000</v>
      </c>
      <c r="N138" s="1510">
        <f t="shared" si="18"/>
        <v>2160000</v>
      </c>
      <c r="O138" s="1509">
        <v>12000000</v>
      </c>
      <c r="P138" s="1509">
        <v>2160000</v>
      </c>
      <c r="Q138" s="1509"/>
      <c r="R138" s="2837"/>
      <c r="S138" s="2837"/>
      <c r="T138" s="1507"/>
      <c r="U138" s="1495">
        <f t="shared" si="19"/>
        <v>12000000</v>
      </c>
      <c r="V138" s="1495">
        <f t="shared" si="20"/>
        <v>2160000</v>
      </c>
      <c r="W138" s="1495">
        <f t="shared" si="21"/>
        <v>0</v>
      </c>
      <c r="X138" s="1495">
        <f t="shared" si="22"/>
        <v>0</v>
      </c>
      <c r="Y138" s="1495">
        <f t="shared" si="23"/>
        <v>100</v>
      </c>
      <c r="Z138" s="1495">
        <f t="shared" si="24"/>
        <v>0</v>
      </c>
      <c r="AA138" s="1506">
        <f t="shared" si="25"/>
        <v>0</v>
      </c>
      <c r="AB138" s="1505"/>
      <c r="AC138" s="1504">
        <f t="shared" si="26"/>
        <v>0</v>
      </c>
      <c r="AD138" s="1503">
        <f t="shared" si="27"/>
        <v>0</v>
      </c>
      <c r="AE138" s="1503">
        <f t="shared" si="28"/>
        <v>0</v>
      </c>
      <c r="AF138" s="1502">
        <f t="shared" si="29"/>
        <v>0</v>
      </c>
    </row>
    <row r="139" spans="1:32" s="1474" customFormat="1" ht="23.25" customHeight="1">
      <c r="A139" s="1515">
        <v>74</v>
      </c>
      <c r="B139" s="1513" t="s">
        <v>2075</v>
      </c>
      <c r="C139" s="1514" t="s">
        <v>2615</v>
      </c>
      <c r="D139" s="1514">
        <v>12</v>
      </c>
      <c r="E139" s="1513">
        <v>50000000</v>
      </c>
      <c r="F139" s="1512">
        <f t="shared" si="16"/>
        <v>9000000</v>
      </c>
      <c r="G139" s="2141">
        <v>42045</v>
      </c>
      <c r="H139" s="1511">
        <v>0.18</v>
      </c>
      <c r="I139" s="1508">
        <v>12</v>
      </c>
      <c r="J139" s="1508">
        <v>12</v>
      </c>
      <c r="K139" s="1508">
        <v>4166700</v>
      </c>
      <c r="L139" s="1508">
        <f t="shared" si="31"/>
        <v>750000</v>
      </c>
      <c r="M139" s="1510">
        <f t="shared" si="17"/>
        <v>50000000</v>
      </c>
      <c r="N139" s="1510">
        <f>IF(J139&lt;I139,J139*L139,IF(J139&gt;=I139,F139))-1*L139</f>
        <v>8250000</v>
      </c>
      <c r="O139" s="1509">
        <v>50000000</v>
      </c>
      <c r="P139" s="1509">
        <v>8250000</v>
      </c>
      <c r="Q139" s="1509"/>
      <c r="R139" s="2837"/>
      <c r="S139" s="2837"/>
      <c r="T139" s="1507"/>
      <c r="U139" s="1495">
        <f t="shared" si="19"/>
        <v>50000000</v>
      </c>
      <c r="V139" s="1495">
        <f t="shared" si="20"/>
        <v>8250000</v>
      </c>
      <c r="W139" s="1495">
        <f t="shared" si="21"/>
        <v>0</v>
      </c>
      <c r="X139" s="1495">
        <f t="shared" si="22"/>
        <v>0</v>
      </c>
      <c r="Y139" s="1495">
        <f t="shared" si="23"/>
        <v>100</v>
      </c>
      <c r="Z139" s="1495">
        <f t="shared" si="24"/>
        <v>0</v>
      </c>
      <c r="AA139" s="1506">
        <f t="shared" si="25"/>
        <v>0</v>
      </c>
      <c r="AB139" s="1505"/>
      <c r="AC139" s="1504">
        <f t="shared" si="26"/>
        <v>0</v>
      </c>
      <c r="AD139" s="1503">
        <f t="shared" si="27"/>
        <v>0</v>
      </c>
      <c r="AE139" s="1503">
        <f t="shared" si="28"/>
        <v>0</v>
      </c>
      <c r="AF139" s="1502">
        <f t="shared" si="29"/>
        <v>0</v>
      </c>
    </row>
    <row r="140" spans="1:32" s="1474" customFormat="1" ht="23.25" customHeight="1">
      <c r="A140" s="1515">
        <v>75</v>
      </c>
      <c r="B140" s="1513" t="s">
        <v>2393</v>
      </c>
      <c r="C140" s="1514" t="s">
        <v>2615</v>
      </c>
      <c r="D140" s="1514">
        <v>10</v>
      </c>
      <c r="E140" s="1513">
        <v>14000000</v>
      </c>
      <c r="F140" s="1512">
        <f t="shared" si="16"/>
        <v>2520000</v>
      </c>
      <c r="G140" s="2141">
        <v>42110</v>
      </c>
      <c r="H140" s="1511">
        <v>0.18</v>
      </c>
      <c r="I140" s="1508">
        <v>12</v>
      </c>
      <c r="J140" s="1508">
        <v>10</v>
      </c>
      <c r="K140" s="1508">
        <v>1166700</v>
      </c>
      <c r="L140" s="1508">
        <f t="shared" si="31"/>
        <v>210000</v>
      </c>
      <c r="M140" s="1510">
        <f t="shared" si="17"/>
        <v>11667000</v>
      </c>
      <c r="N140" s="1510">
        <f t="shared" si="18"/>
        <v>2100000</v>
      </c>
      <c r="O140" s="1509">
        <v>10500300</v>
      </c>
      <c r="P140" s="1509">
        <v>1890000</v>
      </c>
      <c r="Q140" s="1509"/>
      <c r="R140" s="2837">
        <v>1166700</v>
      </c>
      <c r="S140" s="2837">
        <v>210000</v>
      </c>
      <c r="T140" s="1507"/>
      <c r="U140" s="1495">
        <f t="shared" si="19"/>
        <v>11667000</v>
      </c>
      <c r="V140" s="1495">
        <f t="shared" si="20"/>
        <v>2100000</v>
      </c>
      <c r="W140" s="1495">
        <f t="shared" si="21"/>
        <v>0</v>
      </c>
      <c r="X140" s="1495">
        <f t="shared" si="22"/>
        <v>2333000</v>
      </c>
      <c r="Y140" s="1495">
        <f t="shared" si="23"/>
        <v>100</v>
      </c>
      <c r="Z140" s="1495">
        <f t="shared" si="24"/>
        <v>0</v>
      </c>
      <c r="AA140" s="1506">
        <f t="shared" si="25"/>
        <v>0</v>
      </c>
      <c r="AB140" s="1505"/>
      <c r="AC140" s="1504">
        <f t="shared" si="26"/>
        <v>0</v>
      </c>
      <c r="AD140" s="1503">
        <f t="shared" si="27"/>
        <v>0</v>
      </c>
      <c r="AE140" s="1503">
        <f t="shared" si="28"/>
        <v>0</v>
      </c>
      <c r="AF140" s="1502">
        <f t="shared" si="29"/>
        <v>0</v>
      </c>
    </row>
    <row r="141" spans="1:32" s="1474" customFormat="1" ht="23.25" customHeight="1">
      <c r="A141" s="1515">
        <v>76</v>
      </c>
      <c r="B141" s="1513" t="s">
        <v>2394</v>
      </c>
      <c r="C141" s="1514" t="s">
        <v>2615</v>
      </c>
      <c r="D141" s="1514">
        <v>10</v>
      </c>
      <c r="E141" s="1513">
        <v>18000000</v>
      </c>
      <c r="F141" s="1512">
        <f t="shared" si="16"/>
        <v>3240000</v>
      </c>
      <c r="G141" s="2141">
        <v>42110</v>
      </c>
      <c r="H141" s="1511">
        <v>0.18</v>
      </c>
      <c r="I141" s="1508">
        <v>12</v>
      </c>
      <c r="J141" s="1508">
        <v>10</v>
      </c>
      <c r="K141" s="1508">
        <f t="shared" ref="K141" si="36">E141/I141</f>
        <v>1500000</v>
      </c>
      <c r="L141" s="1508">
        <f t="shared" si="31"/>
        <v>270000</v>
      </c>
      <c r="M141" s="1510">
        <f t="shared" si="17"/>
        <v>15000000</v>
      </c>
      <c r="N141" s="1510">
        <f t="shared" si="18"/>
        <v>2700000</v>
      </c>
      <c r="O141" s="1509">
        <v>13500000</v>
      </c>
      <c r="P141" s="1509">
        <v>2430000</v>
      </c>
      <c r="Q141" s="1509"/>
      <c r="R141" s="2837">
        <v>1500000</v>
      </c>
      <c r="S141" s="2837">
        <v>270000</v>
      </c>
      <c r="T141" s="1507"/>
      <c r="U141" s="1495">
        <f t="shared" si="19"/>
        <v>15000000</v>
      </c>
      <c r="V141" s="1495">
        <f t="shared" si="20"/>
        <v>2700000</v>
      </c>
      <c r="W141" s="1495">
        <f t="shared" si="21"/>
        <v>0</v>
      </c>
      <c r="X141" s="1495">
        <f t="shared" si="22"/>
        <v>3000000</v>
      </c>
      <c r="Y141" s="1495">
        <f t="shared" si="23"/>
        <v>100</v>
      </c>
      <c r="Z141" s="1495">
        <f t="shared" si="24"/>
        <v>0</v>
      </c>
      <c r="AA141" s="1506">
        <f t="shared" si="25"/>
        <v>0</v>
      </c>
      <c r="AB141" s="1505"/>
      <c r="AC141" s="1504">
        <f t="shared" si="26"/>
        <v>0</v>
      </c>
      <c r="AD141" s="1503">
        <f t="shared" si="27"/>
        <v>0</v>
      </c>
      <c r="AE141" s="1503">
        <f t="shared" si="28"/>
        <v>0</v>
      </c>
      <c r="AF141" s="1502">
        <f t="shared" si="29"/>
        <v>0</v>
      </c>
    </row>
    <row r="142" spans="1:32" s="1474" customFormat="1" ht="23.25" customHeight="1">
      <c r="A142" s="1515">
        <v>77</v>
      </c>
      <c r="B142" s="1513" t="s">
        <v>2544</v>
      </c>
      <c r="C142" s="1514" t="s">
        <v>2615</v>
      </c>
      <c r="D142" s="1514">
        <v>12</v>
      </c>
      <c r="E142" s="1513">
        <v>31000000</v>
      </c>
      <c r="F142" s="1512">
        <f t="shared" si="16"/>
        <v>5580000</v>
      </c>
      <c r="G142" s="2141">
        <v>42110</v>
      </c>
      <c r="H142" s="1511">
        <v>0.18</v>
      </c>
      <c r="I142" s="1508">
        <v>12</v>
      </c>
      <c r="J142" s="1508">
        <v>12</v>
      </c>
      <c r="K142" s="1508">
        <v>2583300</v>
      </c>
      <c r="L142" s="1508">
        <f t="shared" si="31"/>
        <v>465000</v>
      </c>
      <c r="M142" s="1510">
        <f t="shared" si="17"/>
        <v>31000000</v>
      </c>
      <c r="N142" s="1510">
        <f>IF(J142&lt;I142,J142*L142,IF(J142&gt;=I142,F142))*1-L142-L142</f>
        <v>4650000</v>
      </c>
      <c r="O142" s="1509">
        <v>23249700</v>
      </c>
      <c r="P142" s="1509">
        <v>4185000</v>
      </c>
      <c r="Q142" s="1509"/>
      <c r="R142" s="2837">
        <v>7750300</v>
      </c>
      <c r="S142" s="2837">
        <v>465000</v>
      </c>
      <c r="T142" s="1507"/>
      <c r="U142" s="1495">
        <f t="shared" si="19"/>
        <v>31000000</v>
      </c>
      <c r="V142" s="1495">
        <f t="shared" si="20"/>
        <v>4650000</v>
      </c>
      <c r="W142" s="1495">
        <f t="shared" si="21"/>
        <v>0</v>
      </c>
      <c r="X142" s="1495">
        <f t="shared" si="22"/>
        <v>0</v>
      </c>
      <c r="Y142" s="1495">
        <f t="shared" si="23"/>
        <v>100</v>
      </c>
      <c r="Z142" s="1495">
        <f t="shared" si="24"/>
        <v>0</v>
      </c>
      <c r="AA142" s="1506">
        <f t="shared" si="25"/>
        <v>0</v>
      </c>
      <c r="AB142" s="1505"/>
      <c r="AC142" s="1504">
        <f t="shared" si="26"/>
        <v>0</v>
      </c>
      <c r="AD142" s="1503">
        <f t="shared" si="27"/>
        <v>0</v>
      </c>
      <c r="AE142" s="1503">
        <f t="shared" si="28"/>
        <v>0</v>
      </c>
      <c r="AF142" s="1502">
        <f t="shared" si="29"/>
        <v>0</v>
      </c>
    </row>
    <row r="143" spans="1:32" s="1474" customFormat="1" ht="23.25" customHeight="1">
      <c r="A143" s="1515">
        <v>78</v>
      </c>
      <c r="B143" s="1513" t="s">
        <v>2565</v>
      </c>
      <c r="C143" s="1514" t="s">
        <v>2658</v>
      </c>
      <c r="D143" s="1514">
        <v>15</v>
      </c>
      <c r="E143" s="1513">
        <v>42500000</v>
      </c>
      <c r="F143" s="1512">
        <f t="shared" si="16"/>
        <v>7650000</v>
      </c>
      <c r="G143" s="2141">
        <v>42223</v>
      </c>
      <c r="H143" s="1511">
        <v>0.18</v>
      </c>
      <c r="I143" s="1508">
        <v>12</v>
      </c>
      <c r="J143" s="1508">
        <v>7</v>
      </c>
      <c r="K143" s="1508">
        <f>ROUND(E143/I143,-2)</f>
        <v>3541700</v>
      </c>
      <c r="L143" s="1508">
        <f t="shared" si="31"/>
        <v>637500</v>
      </c>
      <c r="M143" s="1510">
        <f t="shared" si="17"/>
        <v>24791900</v>
      </c>
      <c r="N143" s="1510">
        <f t="shared" si="18"/>
        <v>4462500</v>
      </c>
      <c r="O143" s="1509">
        <v>21250200</v>
      </c>
      <c r="P143" s="1509">
        <v>3825000</v>
      </c>
      <c r="Q143" s="1509"/>
      <c r="R143" s="2837">
        <v>3541700</v>
      </c>
      <c r="S143" s="2837">
        <v>637500</v>
      </c>
      <c r="T143" s="1507"/>
      <c r="U143" s="1495">
        <f t="shared" si="19"/>
        <v>24791900</v>
      </c>
      <c r="V143" s="1495">
        <f t="shared" si="20"/>
        <v>4462500</v>
      </c>
      <c r="W143" s="1495">
        <f t="shared" si="21"/>
        <v>0</v>
      </c>
      <c r="X143" s="1495">
        <f t="shared" si="22"/>
        <v>17708100</v>
      </c>
      <c r="Y143" s="1495">
        <f t="shared" si="23"/>
        <v>100</v>
      </c>
      <c r="Z143" s="1495">
        <f t="shared" si="24"/>
        <v>0</v>
      </c>
      <c r="AA143" s="1506">
        <f t="shared" si="25"/>
        <v>0</v>
      </c>
      <c r="AB143" s="1505"/>
      <c r="AC143" s="1504">
        <f t="shared" si="26"/>
        <v>0</v>
      </c>
      <c r="AD143" s="1503">
        <f t="shared" si="27"/>
        <v>0</v>
      </c>
      <c r="AE143" s="1503">
        <f t="shared" si="28"/>
        <v>0</v>
      </c>
      <c r="AF143" s="1502">
        <f t="shared" si="29"/>
        <v>0</v>
      </c>
    </row>
    <row r="144" spans="1:32" s="1474" customFormat="1" ht="23.25" customHeight="1">
      <c r="A144" s="1515">
        <v>79</v>
      </c>
      <c r="B144" s="1513" t="s">
        <v>2083</v>
      </c>
      <c r="C144" s="1514" t="s">
        <v>2658</v>
      </c>
      <c r="D144" s="1514">
        <v>17</v>
      </c>
      <c r="E144" s="1513">
        <v>42000000</v>
      </c>
      <c r="F144" s="1512">
        <f t="shared" si="16"/>
        <v>7560000</v>
      </c>
      <c r="G144" s="2141">
        <v>42223</v>
      </c>
      <c r="H144" s="1511">
        <v>0.18</v>
      </c>
      <c r="I144" s="1508">
        <v>12</v>
      </c>
      <c r="J144" s="1508">
        <v>7</v>
      </c>
      <c r="K144" s="1508">
        <f t="shared" ref="K144:K147" si="37">ROUND(E144/I144,-2)</f>
        <v>3500000</v>
      </c>
      <c r="L144" s="1508">
        <f t="shared" si="31"/>
        <v>630000</v>
      </c>
      <c r="M144" s="1510">
        <f t="shared" si="17"/>
        <v>24500000</v>
      </c>
      <c r="N144" s="1510">
        <f t="shared" si="18"/>
        <v>4410000</v>
      </c>
      <c r="O144" s="1509">
        <v>21000000</v>
      </c>
      <c r="P144" s="1509">
        <v>3780000</v>
      </c>
      <c r="Q144" s="1509"/>
      <c r="R144" s="2837">
        <v>3500000</v>
      </c>
      <c r="S144" s="2837">
        <v>630000</v>
      </c>
      <c r="T144" s="1507"/>
      <c r="U144" s="1495">
        <f t="shared" si="19"/>
        <v>24500000</v>
      </c>
      <c r="V144" s="1495">
        <f t="shared" si="20"/>
        <v>4410000</v>
      </c>
      <c r="W144" s="1495">
        <f t="shared" si="21"/>
        <v>0</v>
      </c>
      <c r="X144" s="1495">
        <f t="shared" si="22"/>
        <v>17500000</v>
      </c>
      <c r="Y144" s="1495">
        <f t="shared" si="23"/>
        <v>100</v>
      </c>
      <c r="Z144" s="1495">
        <f t="shared" si="24"/>
        <v>0</v>
      </c>
      <c r="AA144" s="1506">
        <f t="shared" si="25"/>
        <v>0</v>
      </c>
      <c r="AB144" s="1505"/>
      <c r="AC144" s="1504">
        <f t="shared" si="26"/>
        <v>0</v>
      </c>
      <c r="AD144" s="1503">
        <f t="shared" si="27"/>
        <v>0</v>
      </c>
      <c r="AE144" s="1503">
        <f t="shared" si="28"/>
        <v>0</v>
      </c>
      <c r="AF144" s="1502">
        <f t="shared" si="29"/>
        <v>0</v>
      </c>
    </row>
    <row r="145" spans="1:32" s="1474" customFormat="1" ht="23.25" customHeight="1">
      <c r="A145" s="1515">
        <v>80</v>
      </c>
      <c r="B145" s="1513" t="s">
        <v>2694</v>
      </c>
      <c r="C145" s="1514" t="s">
        <v>2670</v>
      </c>
      <c r="D145" s="1514">
        <v>15</v>
      </c>
      <c r="E145" s="1513">
        <v>35000000</v>
      </c>
      <c r="F145" s="1512">
        <f t="shared" si="16"/>
        <v>6300000</v>
      </c>
      <c r="G145" s="2141">
        <v>42220</v>
      </c>
      <c r="H145" s="1511">
        <v>0.18</v>
      </c>
      <c r="I145" s="1508">
        <v>12</v>
      </c>
      <c r="J145" s="1508">
        <v>6</v>
      </c>
      <c r="K145" s="1508">
        <f t="shared" si="37"/>
        <v>2916700</v>
      </c>
      <c r="L145" s="1508">
        <f t="shared" ref="L145:L147" si="38">F145/I145</f>
        <v>525000</v>
      </c>
      <c r="M145" s="1510">
        <f t="shared" si="17"/>
        <v>17500200</v>
      </c>
      <c r="N145" s="1510">
        <f t="shared" si="18"/>
        <v>3150000</v>
      </c>
      <c r="O145" s="1509">
        <v>14583500</v>
      </c>
      <c r="P145" s="1509">
        <v>2625000</v>
      </c>
      <c r="Q145" s="1509"/>
      <c r="R145" s="2837">
        <v>2916700</v>
      </c>
      <c r="S145" s="2837">
        <v>525000</v>
      </c>
      <c r="T145" s="1507"/>
      <c r="U145" s="1495">
        <f t="shared" si="19"/>
        <v>17500200</v>
      </c>
      <c r="V145" s="1495">
        <f t="shared" si="20"/>
        <v>3150000</v>
      </c>
      <c r="W145" s="1495">
        <f t="shared" si="21"/>
        <v>0</v>
      </c>
      <c r="X145" s="1495">
        <f t="shared" si="22"/>
        <v>17499800</v>
      </c>
      <c r="Y145" s="1495">
        <f t="shared" si="23"/>
        <v>100</v>
      </c>
      <c r="Z145" s="1495">
        <f t="shared" si="24"/>
        <v>0</v>
      </c>
      <c r="AA145" s="1506">
        <f t="shared" si="25"/>
        <v>0</v>
      </c>
      <c r="AB145" s="1505"/>
      <c r="AC145" s="1504">
        <f t="shared" si="26"/>
        <v>0</v>
      </c>
      <c r="AD145" s="1503">
        <f t="shared" si="27"/>
        <v>0</v>
      </c>
      <c r="AE145" s="1503">
        <f t="shared" si="28"/>
        <v>0</v>
      </c>
      <c r="AF145" s="1502">
        <f t="shared" si="29"/>
        <v>0</v>
      </c>
    </row>
    <row r="146" spans="1:32" s="1474" customFormat="1" ht="23.25" customHeight="1">
      <c r="A146" s="1515">
        <v>81</v>
      </c>
      <c r="B146" s="1513" t="s">
        <v>2076</v>
      </c>
      <c r="C146" s="1514" t="s">
        <v>2689</v>
      </c>
      <c r="D146" s="1514">
        <v>10</v>
      </c>
      <c r="E146" s="1513">
        <v>30000000</v>
      </c>
      <c r="F146" s="1512">
        <f t="shared" si="16"/>
        <v>5400000</v>
      </c>
      <c r="G146" s="2141">
        <v>42229</v>
      </c>
      <c r="H146" s="1511">
        <v>0.18</v>
      </c>
      <c r="I146" s="1508">
        <v>12</v>
      </c>
      <c r="J146" s="1508">
        <v>6</v>
      </c>
      <c r="K146" s="1508">
        <f t="shared" si="37"/>
        <v>2500000</v>
      </c>
      <c r="L146" s="1508">
        <f t="shared" si="38"/>
        <v>450000</v>
      </c>
      <c r="M146" s="1510">
        <f t="shared" si="17"/>
        <v>15000000</v>
      </c>
      <c r="N146" s="1510">
        <f t="shared" si="18"/>
        <v>2700000</v>
      </c>
      <c r="O146" s="1509">
        <v>12500000</v>
      </c>
      <c r="P146" s="1509">
        <v>2250000</v>
      </c>
      <c r="Q146" s="1509"/>
      <c r="R146" s="2837">
        <v>2500000</v>
      </c>
      <c r="S146" s="2837">
        <v>450000</v>
      </c>
      <c r="T146" s="1507"/>
      <c r="U146" s="1495">
        <f t="shared" si="19"/>
        <v>15000000</v>
      </c>
      <c r="V146" s="1495">
        <f t="shared" si="20"/>
        <v>2700000</v>
      </c>
      <c r="W146" s="1495">
        <f t="shared" si="21"/>
        <v>0</v>
      </c>
      <c r="X146" s="1495">
        <f t="shared" si="22"/>
        <v>15000000</v>
      </c>
      <c r="Y146" s="1495">
        <f t="shared" si="23"/>
        <v>100</v>
      </c>
      <c r="Z146" s="1495">
        <f t="shared" si="24"/>
        <v>0</v>
      </c>
      <c r="AA146" s="1506">
        <f t="shared" si="25"/>
        <v>0</v>
      </c>
      <c r="AB146" s="1505"/>
      <c r="AC146" s="1504">
        <f t="shared" si="26"/>
        <v>0</v>
      </c>
      <c r="AD146" s="1503">
        <f t="shared" si="27"/>
        <v>0</v>
      </c>
      <c r="AE146" s="1503">
        <f t="shared" si="28"/>
        <v>0</v>
      </c>
      <c r="AF146" s="1502">
        <f t="shared" si="29"/>
        <v>0</v>
      </c>
    </row>
    <row r="147" spans="1:32" s="1474" customFormat="1" ht="23.25" customHeight="1">
      <c r="A147" s="1515">
        <v>82</v>
      </c>
      <c r="B147" s="1513" t="s">
        <v>2695</v>
      </c>
      <c r="C147" s="1514" t="s">
        <v>2670</v>
      </c>
      <c r="D147" s="1514">
        <v>10</v>
      </c>
      <c r="E147" s="1513">
        <v>13000000</v>
      </c>
      <c r="F147" s="1512">
        <f t="shared" si="16"/>
        <v>2340000</v>
      </c>
      <c r="G147" s="2141">
        <v>42236</v>
      </c>
      <c r="H147" s="1511">
        <v>0.18</v>
      </c>
      <c r="I147" s="1508">
        <v>12</v>
      </c>
      <c r="J147" s="1508">
        <v>6</v>
      </c>
      <c r="K147" s="1508">
        <f t="shared" si="37"/>
        <v>1083300</v>
      </c>
      <c r="L147" s="1508">
        <f t="shared" si="38"/>
        <v>195000</v>
      </c>
      <c r="M147" s="1510">
        <f t="shared" si="17"/>
        <v>6499800</v>
      </c>
      <c r="N147" s="1510">
        <f t="shared" si="18"/>
        <v>1170000</v>
      </c>
      <c r="O147" s="1509">
        <v>5416500</v>
      </c>
      <c r="P147" s="1509">
        <v>975000</v>
      </c>
      <c r="Q147" s="1509"/>
      <c r="R147" s="2837">
        <v>1083300</v>
      </c>
      <c r="S147" s="2837">
        <v>195000</v>
      </c>
      <c r="T147" s="1507"/>
      <c r="U147" s="1495">
        <f t="shared" si="19"/>
        <v>6499800</v>
      </c>
      <c r="V147" s="1495">
        <f t="shared" si="20"/>
        <v>1170000</v>
      </c>
      <c r="W147" s="1495">
        <f t="shared" si="21"/>
        <v>0</v>
      </c>
      <c r="X147" s="1495">
        <f t="shared" si="22"/>
        <v>6500200</v>
      </c>
      <c r="Y147" s="1495">
        <f t="shared" si="23"/>
        <v>100</v>
      </c>
      <c r="Z147" s="1495">
        <f t="shared" si="24"/>
        <v>0</v>
      </c>
      <c r="AA147" s="1506">
        <f t="shared" si="25"/>
        <v>0</v>
      </c>
      <c r="AB147" s="1505"/>
      <c r="AC147" s="1504">
        <f t="shared" si="26"/>
        <v>0</v>
      </c>
      <c r="AD147" s="1503">
        <f t="shared" si="27"/>
        <v>0</v>
      </c>
      <c r="AE147" s="1503">
        <f t="shared" si="28"/>
        <v>0</v>
      </c>
      <c r="AF147" s="1502">
        <f t="shared" si="29"/>
        <v>0</v>
      </c>
    </row>
    <row r="148" spans="1:32" s="1474" customFormat="1" ht="23.25" customHeight="1">
      <c r="A148" s="1515">
        <v>83</v>
      </c>
      <c r="B148" s="1513" t="s">
        <v>1912</v>
      </c>
      <c r="C148" s="1514" t="s">
        <v>2670</v>
      </c>
      <c r="D148" s="1514">
        <v>16</v>
      </c>
      <c r="E148" s="1513">
        <v>50000000</v>
      </c>
      <c r="F148" s="1512">
        <f t="shared" si="16"/>
        <v>9000000</v>
      </c>
      <c r="G148" s="2141">
        <v>42261</v>
      </c>
      <c r="H148" s="1511">
        <v>0.18</v>
      </c>
      <c r="I148" s="1508">
        <v>12</v>
      </c>
      <c r="J148" s="1508">
        <v>5</v>
      </c>
      <c r="K148" s="1508">
        <f t="shared" ref="K148:K151" si="39">ROUND(E148/I148,-2)</f>
        <v>4166700</v>
      </c>
      <c r="L148" s="1508">
        <f t="shared" ref="L148:L159" si="40">F148/I148</f>
        <v>750000</v>
      </c>
      <c r="M148" s="1510">
        <f t="shared" si="17"/>
        <v>20833500</v>
      </c>
      <c r="N148" s="1510">
        <f t="shared" si="18"/>
        <v>3750000</v>
      </c>
      <c r="O148" s="1509">
        <v>16666800</v>
      </c>
      <c r="P148" s="1509">
        <v>3000000</v>
      </c>
      <c r="Q148" s="1509"/>
      <c r="R148" s="2837">
        <v>4166700</v>
      </c>
      <c r="S148" s="2837">
        <v>750000</v>
      </c>
      <c r="T148" s="1507"/>
      <c r="U148" s="1495">
        <f t="shared" si="19"/>
        <v>20833500</v>
      </c>
      <c r="V148" s="1495">
        <f t="shared" si="20"/>
        <v>3750000</v>
      </c>
      <c r="W148" s="1495">
        <f t="shared" si="21"/>
        <v>0</v>
      </c>
      <c r="X148" s="1495">
        <f t="shared" si="22"/>
        <v>29166500</v>
      </c>
      <c r="Y148" s="1495">
        <f t="shared" si="23"/>
        <v>100</v>
      </c>
      <c r="Z148" s="1495">
        <f t="shared" si="24"/>
        <v>0</v>
      </c>
      <c r="AA148" s="1506">
        <f t="shared" si="25"/>
        <v>0</v>
      </c>
      <c r="AB148" s="1505"/>
      <c r="AC148" s="1504">
        <f t="shared" si="26"/>
        <v>0</v>
      </c>
      <c r="AD148" s="1503">
        <f t="shared" si="27"/>
        <v>0</v>
      </c>
      <c r="AE148" s="1503">
        <f t="shared" si="28"/>
        <v>0</v>
      </c>
      <c r="AF148" s="1502">
        <f t="shared" si="29"/>
        <v>0</v>
      </c>
    </row>
    <row r="149" spans="1:32" s="1474" customFormat="1" ht="23.25" customHeight="1">
      <c r="A149" s="1515">
        <v>84</v>
      </c>
      <c r="B149" s="1513" t="s">
        <v>2464</v>
      </c>
      <c r="C149" s="1514" t="s">
        <v>2670</v>
      </c>
      <c r="D149" s="1514">
        <v>10</v>
      </c>
      <c r="E149" s="1513">
        <v>25000000</v>
      </c>
      <c r="F149" s="1512">
        <f t="shared" si="16"/>
        <v>4500000</v>
      </c>
      <c r="G149" s="2141">
        <v>42263</v>
      </c>
      <c r="H149" s="1511">
        <v>0.18</v>
      </c>
      <c r="I149" s="1508">
        <v>12</v>
      </c>
      <c r="J149" s="1508">
        <v>5</v>
      </c>
      <c r="K149" s="1508">
        <f t="shared" si="39"/>
        <v>2083300</v>
      </c>
      <c r="L149" s="1508">
        <f t="shared" si="40"/>
        <v>375000</v>
      </c>
      <c r="M149" s="1510">
        <f t="shared" si="17"/>
        <v>10416500</v>
      </c>
      <c r="N149" s="1510">
        <f t="shared" si="18"/>
        <v>1875000</v>
      </c>
      <c r="O149" s="1509">
        <v>8333200</v>
      </c>
      <c r="P149" s="1509">
        <v>1500000</v>
      </c>
      <c r="Q149" s="1509"/>
      <c r="R149" s="2837">
        <v>2083300</v>
      </c>
      <c r="S149" s="2837">
        <v>375000</v>
      </c>
      <c r="T149" s="1507"/>
      <c r="U149" s="1495">
        <f t="shared" si="19"/>
        <v>10416500</v>
      </c>
      <c r="V149" s="1495">
        <f t="shared" si="20"/>
        <v>1875000</v>
      </c>
      <c r="W149" s="1495">
        <f t="shared" si="21"/>
        <v>0</v>
      </c>
      <c r="X149" s="1495">
        <f t="shared" si="22"/>
        <v>14583500</v>
      </c>
      <c r="Y149" s="1495">
        <f t="shared" si="23"/>
        <v>100</v>
      </c>
      <c r="Z149" s="1495">
        <f t="shared" si="24"/>
        <v>0</v>
      </c>
      <c r="AA149" s="1506">
        <f t="shared" si="25"/>
        <v>0</v>
      </c>
      <c r="AB149" s="1505"/>
      <c r="AC149" s="1504">
        <f t="shared" si="26"/>
        <v>0</v>
      </c>
      <c r="AD149" s="1503">
        <f t="shared" si="27"/>
        <v>0</v>
      </c>
      <c r="AE149" s="1503">
        <f t="shared" si="28"/>
        <v>0</v>
      </c>
      <c r="AF149" s="1502">
        <f t="shared" si="29"/>
        <v>0</v>
      </c>
    </row>
    <row r="150" spans="1:32" s="1474" customFormat="1" ht="23.25" customHeight="1">
      <c r="A150" s="1515">
        <v>85</v>
      </c>
      <c r="B150" s="1513" t="s">
        <v>2084</v>
      </c>
      <c r="C150" s="1514" t="s">
        <v>2670</v>
      </c>
      <c r="D150" s="1514">
        <v>15</v>
      </c>
      <c r="E150" s="1513">
        <v>50000000</v>
      </c>
      <c r="F150" s="1512">
        <v>9000000</v>
      </c>
      <c r="G150" s="2141">
        <v>42290</v>
      </c>
      <c r="H150" s="1511">
        <v>0.18</v>
      </c>
      <c r="I150" s="1508">
        <v>12</v>
      </c>
      <c r="J150" s="1508">
        <v>4</v>
      </c>
      <c r="K150" s="1508">
        <f t="shared" si="39"/>
        <v>4166700</v>
      </c>
      <c r="L150" s="1508">
        <f t="shared" si="40"/>
        <v>750000</v>
      </c>
      <c r="M150" s="1510">
        <f t="shared" si="17"/>
        <v>16666800</v>
      </c>
      <c r="N150" s="1510">
        <f t="shared" si="18"/>
        <v>3000000</v>
      </c>
      <c r="O150" s="1509">
        <v>12500100</v>
      </c>
      <c r="P150" s="1509">
        <v>2250000</v>
      </c>
      <c r="Q150" s="1509"/>
      <c r="R150" s="2837">
        <v>4166700</v>
      </c>
      <c r="S150" s="2837">
        <v>750000</v>
      </c>
      <c r="T150" s="1507"/>
      <c r="U150" s="1495">
        <f t="shared" si="19"/>
        <v>16666800</v>
      </c>
      <c r="V150" s="1495">
        <f t="shared" si="20"/>
        <v>3000000</v>
      </c>
      <c r="W150" s="1495">
        <f t="shared" si="21"/>
        <v>0</v>
      </c>
      <c r="X150" s="1495">
        <f t="shared" si="22"/>
        <v>33333200</v>
      </c>
      <c r="Y150" s="1495">
        <f t="shared" si="23"/>
        <v>100</v>
      </c>
      <c r="Z150" s="1495">
        <f t="shared" si="24"/>
        <v>0</v>
      </c>
      <c r="AA150" s="1506">
        <f t="shared" si="25"/>
        <v>0</v>
      </c>
      <c r="AB150" s="1505"/>
      <c r="AC150" s="1504">
        <f t="shared" si="26"/>
        <v>0</v>
      </c>
      <c r="AD150" s="1503">
        <f t="shared" si="27"/>
        <v>0</v>
      </c>
      <c r="AE150" s="1503">
        <f t="shared" si="28"/>
        <v>0</v>
      </c>
      <c r="AF150" s="1502">
        <f t="shared" si="29"/>
        <v>0</v>
      </c>
    </row>
    <row r="151" spans="1:32" s="1474" customFormat="1" ht="23.25" customHeight="1">
      <c r="A151" s="1515">
        <v>86</v>
      </c>
      <c r="B151" s="1513" t="s">
        <v>2078</v>
      </c>
      <c r="C151" s="1514" t="s">
        <v>2714</v>
      </c>
      <c r="D151" s="1514">
        <v>18</v>
      </c>
      <c r="E151" s="1513">
        <v>33000000</v>
      </c>
      <c r="F151" s="1512">
        <f t="shared" si="16"/>
        <v>5940000</v>
      </c>
      <c r="G151" s="2141">
        <v>42313</v>
      </c>
      <c r="H151" s="1511">
        <v>0.18</v>
      </c>
      <c r="I151" s="1508">
        <v>12</v>
      </c>
      <c r="J151" s="1508">
        <v>3</v>
      </c>
      <c r="K151" s="1508">
        <f t="shared" si="39"/>
        <v>2750000</v>
      </c>
      <c r="L151" s="1508">
        <f t="shared" si="40"/>
        <v>495000</v>
      </c>
      <c r="M151" s="1510">
        <f t="shared" si="17"/>
        <v>8250000</v>
      </c>
      <c r="N151" s="1510">
        <f t="shared" si="18"/>
        <v>1485000</v>
      </c>
      <c r="O151" s="1509">
        <v>5500000</v>
      </c>
      <c r="P151" s="1509">
        <v>990000</v>
      </c>
      <c r="Q151" s="1509"/>
      <c r="R151" s="2837">
        <v>2750000</v>
      </c>
      <c r="S151" s="2837">
        <v>495000</v>
      </c>
      <c r="T151" s="1507"/>
      <c r="U151" s="1495">
        <f t="shared" si="19"/>
        <v>8250000</v>
      </c>
      <c r="V151" s="1495">
        <f t="shared" si="20"/>
        <v>1485000</v>
      </c>
      <c r="W151" s="1495">
        <f t="shared" si="21"/>
        <v>0</v>
      </c>
      <c r="X151" s="1495">
        <f t="shared" si="22"/>
        <v>24750000</v>
      </c>
      <c r="Y151" s="1495">
        <f t="shared" si="23"/>
        <v>100</v>
      </c>
      <c r="Z151" s="1495">
        <f t="shared" si="24"/>
        <v>0</v>
      </c>
      <c r="AA151" s="1506">
        <f t="shared" si="25"/>
        <v>0</v>
      </c>
      <c r="AB151" s="1505"/>
      <c r="AC151" s="1504">
        <f t="shared" si="26"/>
        <v>0</v>
      </c>
      <c r="AD151" s="1503">
        <f t="shared" si="27"/>
        <v>0</v>
      </c>
      <c r="AE151" s="1503">
        <f t="shared" si="28"/>
        <v>0</v>
      </c>
      <c r="AF151" s="1502">
        <f t="shared" si="29"/>
        <v>0</v>
      </c>
    </row>
    <row r="152" spans="1:32" s="1474" customFormat="1" ht="23.25" customHeight="1">
      <c r="A152" s="1515">
        <v>87</v>
      </c>
      <c r="B152" s="1513" t="s">
        <v>2617</v>
      </c>
      <c r="C152" s="1514" t="s">
        <v>2714</v>
      </c>
      <c r="D152" s="1514">
        <v>10</v>
      </c>
      <c r="E152" s="1513">
        <v>17500000</v>
      </c>
      <c r="F152" s="1512">
        <f t="shared" si="16"/>
        <v>3150000</v>
      </c>
      <c r="G152" s="2141">
        <v>42341</v>
      </c>
      <c r="H152" s="1511">
        <v>0.18</v>
      </c>
      <c r="I152" s="1508">
        <v>12</v>
      </c>
      <c r="J152" s="1508">
        <v>2</v>
      </c>
      <c r="K152" s="1508">
        <f t="shared" ref="K152:K155" si="41">ROUND(E152/I152,-2)</f>
        <v>1458300</v>
      </c>
      <c r="L152" s="1508">
        <f t="shared" ref="L152:L153" si="42">F152/I152</f>
        <v>262500</v>
      </c>
      <c r="M152" s="1510">
        <f t="shared" si="17"/>
        <v>2916600</v>
      </c>
      <c r="N152" s="1510">
        <f t="shared" si="18"/>
        <v>525000</v>
      </c>
      <c r="O152" s="1509">
        <v>1458300</v>
      </c>
      <c r="P152" s="1509">
        <v>262500</v>
      </c>
      <c r="Q152" s="1509"/>
      <c r="R152" s="2837">
        <v>1458300</v>
      </c>
      <c r="S152" s="2837">
        <v>262500</v>
      </c>
      <c r="T152" s="1507"/>
      <c r="U152" s="1495">
        <f t="shared" si="19"/>
        <v>2916600</v>
      </c>
      <c r="V152" s="1495">
        <f t="shared" si="20"/>
        <v>525000</v>
      </c>
      <c r="W152" s="1495">
        <f t="shared" si="21"/>
        <v>0</v>
      </c>
      <c r="X152" s="1495">
        <f t="shared" si="22"/>
        <v>14583400</v>
      </c>
      <c r="Y152" s="1495">
        <f t="shared" si="23"/>
        <v>100</v>
      </c>
      <c r="Z152" s="1495">
        <f t="shared" si="24"/>
        <v>0</v>
      </c>
      <c r="AA152" s="1506">
        <f t="shared" si="25"/>
        <v>0</v>
      </c>
      <c r="AB152" s="1505"/>
      <c r="AC152" s="1504">
        <f t="shared" si="26"/>
        <v>0</v>
      </c>
      <c r="AD152" s="1503">
        <f t="shared" si="27"/>
        <v>0</v>
      </c>
      <c r="AE152" s="1503">
        <f t="shared" si="28"/>
        <v>0</v>
      </c>
      <c r="AF152" s="1502">
        <f t="shared" si="29"/>
        <v>0</v>
      </c>
    </row>
    <row r="153" spans="1:32" s="1474" customFormat="1" ht="23.25" customHeight="1">
      <c r="A153" s="1515">
        <v>88</v>
      </c>
      <c r="B153" s="1513" t="s">
        <v>2499</v>
      </c>
      <c r="C153" s="1514" t="s">
        <v>2714</v>
      </c>
      <c r="D153" s="1514">
        <v>12</v>
      </c>
      <c r="E153" s="1513">
        <v>15000000</v>
      </c>
      <c r="F153" s="1512">
        <f t="shared" si="16"/>
        <v>2700000</v>
      </c>
      <c r="G153" s="2141">
        <v>42341</v>
      </c>
      <c r="H153" s="1511">
        <v>0.18</v>
      </c>
      <c r="I153" s="1508">
        <v>12</v>
      </c>
      <c r="J153" s="1508">
        <v>2</v>
      </c>
      <c r="K153" s="1508">
        <f t="shared" si="41"/>
        <v>1250000</v>
      </c>
      <c r="L153" s="1508">
        <f t="shared" si="42"/>
        <v>225000</v>
      </c>
      <c r="M153" s="1510">
        <f t="shared" si="17"/>
        <v>2500000</v>
      </c>
      <c r="N153" s="1510">
        <f t="shared" si="18"/>
        <v>450000</v>
      </c>
      <c r="O153" s="1509">
        <v>1250000</v>
      </c>
      <c r="P153" s="1509">
        <v>225000</v>
      </c>
      <c r="Q153" s="1509"/>
      <c r="R153" s="2837">
        <v>1250000</v>
      </c>
      <c r="S153" s="2837">
        <v>225000</v>
      </c>
      <c r="T153" s="1507"/>
      <c r="U153" s="1495">
        <f t="shared" si="19"/>
        <v>2500000</v>
      </c>
      <c r="V153" s="1495">
        <f t="shared" si="20"/>
        <v>450000</v>
      </c>
      <c r="W153" s="1495">
        <f t="shared" si="21"/>
        <v>0</v>
      </c>
      <c r="X153" s="1495">
        <f t="shared" si="22"/>
        <v>12500000</v>
      </c>
      <c r="Y153" s="1495">
        <f t="shared" si="23"/>
        <v>100</v>
      </c>
      <c r="Z153" s="1495">
        <f t="shared" si="24"/>
        <v>0</v>
      </c>
      <c r="AA153" s="1506">
        <f t="shared" si="25"/>
        <v>0</v>
      </c>
      <c r="AB153" s="1505"/>
      <c r="AC153" s="1504">
        <f t="shared" si="26"/>
        <v>0</v>
      </c>
      <c r="AD153" s="1503">
        <f t="shared" si="27"/>
        <v>0</v>
      </c>
      <c r="AE153" s="1503">
        <f t="shared" si="28"/>
        <v>0</v>
      </c>
      <c r="AF153" s="1502">
        <f t="shared" si="29"/>
        <v>0</v>
      </c>
    </row>
    <row r="154" spans="1:32" s="1474" customFormat="1" ht="23.25" customHeight="1">
      <c r="A154" s="1515">
        <v>89</v>
      </c>
      <c r="B154" s="1513" t="s">
        <v>2075</v>
      </c>
      <c r="C154" s="1514" t="s">
        <v>2714</v>
      </c>
      <c r="D154" s="1514">
        <v>9</v>
      </c>
      <c r="E154" s="1513">
        <v>30000000</v>
      </c>
      <c r="F154" s="1512">
        <f t="shared" si="16"/>
        <v>5400000</v>
      </c>
      <c r="G154" s="2141">
        <v>42383</v>
      </c>
      <c r="H154" s="1511">
        <v>0.18</v>
      </c>
      <c r="I154" s="1508">
        <v>12</v>
      </c>
      <c r="J154" s="1508">
        <v>1</v>
      </c>
      <c r="K154" s="1508">
        <f t="shared" si="41"/>
        <v>2500000</v>
      </c>
      <c r="L154" s="1508">
        <f t="shared" si="40"/>
        <v>450000</v>
      </c>
      <c r="M154" s="1510">
        <f t="shared" si="17"/>
        <v>2500000</v>
      </c>
      <c r="N154" s="1510">
        <f t="shared" si="18"/>
        <v>450000</v>
      </c>
      <c r="O154" s="1509"/>
      <c r="P154" s="1509"/>
      <c r="Q154" s="1509"/>
      <c r="R154" s="2837">
        <v>2500000</v>
      </c>
      <c r="S154" s="2837">
        <v>450000</v>
      </c>
      <c r="T154" s="1507"/>
      <c r="U154" s="1495">
        <f t="shared" si="19"/>
        <v>2500000</v>
      </c>
      <c r="V154" s="1495">
        <f t="shared" si="20"/>
        <v>450000</v>
      </c>
      <c r="W154" s="1495">
        <f t="shared" si="21"/>
        <v>0</v>
      </c>
      <c r="X154" s="1495">
        <f t="shared" si="22"/>
        <v>27500000</v>
      </c>
      <c r="Y154" s="1495">
        <f t="shared" si="23"/>
        <v>100</v>
      </c>
      <c r="Z154" s="1495">
        <f t="shared" si="24"/>
        <v>0</v>
      </c>
      <c r="AA154" s="1506">
        <f t="shared" si="25"/>
        <v>0</v>
      </c>
      <c r="AB154" s="1505"/>
      <c r="AC154" s="1504">
        <f t="shared" si="26"/>
        <v>0</v>
      </c>
      <c r="AD154" s="1503">
        <f t="shared" si="27"/>
        <v>0</v>
      </c>
      <c r="AE154" s="1503">
        <f t="shared" si="28"/>
        <v>0</v>
      </c>
      <c r="AF154" s="1502">
        <f t="shared" si="29"/>
        <v>0</v>
      </c>
    </row>
    <row r="155" spans="1:32" s="1474" customFormat="1" ht="23.25" customHeight="1">
      <c r="A155" s="1515">
        <v>90</v>
      </c>
      <c r="B155" s="1513" t="s">
        <v>2726</v>
      </c>
      <c r="C155" s="1514" t="s">
        <v>2714</v>
      </c>
      <c r="D155" s="1514">
        <v>9</v>
      </c>
      <c r="E155" s="1513">
        <v>30000000</v>
      </c>
      <c r="F155" s="1512">
        <f t="shared" si="16"/>
        <v>5400000</v>
      </c>
      <c r="G155" s="2141">
        <v>42383</v>
      </c>
      <c r="H155" s="1511">
        <v>0.18</v>
      </c>
      <c r="I155" s="1508">
        <v>12</v>
      </c>
      <c r="J155" s="1508">
        <v>1</v>
      </c>
      <c r="K155" s="1508">
        <f t="shared" si="41"/>
        <v>2500000</v>
      </c>
      <c r="L155" s="1508">
        <f t="shared" si="40"/>
        <v>450000</v>
      </c>
      <c r="M155" s="1510">
        <f t="shared" si="17"/>
        <v>2500000</v>
      </c>
      <c r="N155" s="1510">
        <f t="shared" si="18"/>
        <v>450000</v>
      </c>
      <c r="O155" s="1509"/>
      <c r="P155" s="1509"/>
      <c r="Q155" s="1509"/>
      <c r="R155" s="2837">
        <v>2500000</v>
      </c>
      <c r="S155" s="2837">
        <v>450000</v>
      </c>
      <c r="T155" s="1507"/>
      <c r="U155" s="1495">
        <f t="shared" si="19"/>
        <v>2500000</v>
      </c>
      <c r="V155" s="1495">
        <f t="shared" si="20"/>
        <v>450000</v>
      </c>
      <c r="W155" s="1495">
        <f t="shared" si="21"/>
        <v>0</v>
      </c>
      <c r="X155" s="1495">
        <f t="shared" si="22"/>
        <v>27500000</v>
      </c>
      <c r="Y155" s="1495">
        <f t="shared" si="23"/>
        <v>100</v>
      </c>
      <c r="Z155" s="1495">
        <f t="shared" si="24"/>
        <v>0</v>
      </c>
      <c r="AA155" s="1506">
        <f t="shared" si="25"/>
        <v>0</v>
      </c>
      <c r="AB155" s="1505"/>
      <c r="AC155" s="1504">
        <f t="shared" si="26"/>
        <v>0</v>
      </c>
      <c r="AD155" s="1503">
        <f t="shared" si="27"/>
        <v>0</v>
      </c>
      <c r="AE155" s="1503">
        <f t="shared" si="28"/>
        <v>0</v>
      </c>
      <c r="AF155" s="1502">
        <f t="shared" si="29"/>
        <v>0</v>
      </c>
    </row>
    <row r="156" spans="1:32" s="1474" customFormat="1" ht="23.25" customHeight="1">
      <c r="A156" s="1515"/>
      <c r="B156" s="1513"/>
      <c r="C156" s="1514"/>
      <c r="D156" s="1514"/>
      <c r="E156" s="1513"/>
      <c r="F156" s="1512">
        <f t="shared" si="16"/>
        <v>0</v>
      </c>
      <c r="G156" s="2141"/>
      <c r="H156" s="1511"/>
      <c r="I156" s="1508"/>
      <c r="J156" s="1508"/>
      <c r="K156" s="1508"/>
      <c r="L156" s="1508" t="e">
        <f t="shared" si="40"/>
        <v>#DIV/0!</v>
      </c>
      <c r="M156" s="1510">
        <f t="shared" si="17"/>
        <v>0</v>
      </c>
      <c r="N156" s="1510">
        <f t="shared" si="18"/>
        <v>0</v>
      </c>
      <c r="O156" s="1509"/>
      <c r="P156" s="1509"/>
      <c r="Q156" s="1509"/>
      <c r="R156" s="2650"/>
      <c r="S156" s="2650"/>
      <c r="T156" s="1507"/>
      <c r="U156" s="1495">
        <f t="shared" si="19"/>
        <v>0</v>
      </c>
      <c r="V156" s="1495">
        <f t="shared" si="20"/>
        <v>0</v>
      </c>
      <c r="W156" s="1495">
        <f t="shared" si="21"/>
        <v>0</v>
      </c>
      <c r="X156" s="1495">
        <f t="shared" si="22"/>
        <v>0</v>
      </c>
      <c r="Y156" s="1495" t="e">
        <f t="shared" si="23"/>
        <v>#DIV/0!</v>
      </c>
      <c r="Z156" s="1495">
        <f t="shared" si="24"/>
        <v>0</v>
      </c>
      <c r="AA156" s="1506">
        <f t="shared" si="25"/>
        <v>0</v>
      </c>
      <c r="AB156" s="1505"/>
      <c r="AC156" s="1504">
        <f t="shared" si="26"/>
        <v>0</v>
      </c>
      <c r="AD156" s="1503">
        <f t="shared" si="27"/>
        <v>0</v>
      </c>
      <c r="AE156" s="1503">
        <f t="shared" si="28"/>
        <v>0</v>
      </c>
      <c r="AF156" s="1502">
        <f t="shared" si="29"/>
        <v>0</v>
      </c>
    </row>
    <row r="157" spans="1:32" s="1474" customFormat="1" ht="23.25" customHeight="1">
      <c r="A157" s="1515"/>
      <c r="B157" s="1513"/>
      <c r="C157" s="1514"/>
      <c r="D157" s="1514"/>
      <c r="E157" s="1513"/>
      <c r="F157" s="1512">
        <f t="shared" si="16"/>
        <v>0</v>
      </c>
      <c r="G157" s="2141"/>
      <c r="H157" s="1511"/>
      <c r="I157" s="1508"/>
      <c r="J157" s="1508"/>
      <c r="K157" s="1508"/>
      <c r="L157" s="1508" t="e">
        <f t="shared" si="40"/>
        <v>#DIV/0!</v>
      </c>
      <c r="M157" s="1510">
        <f t="shared" si="17"/>
        <v>0</v>
      </c>
      <c r="N157" s="1510">
        <f t="shared" si="18"/>
        <v>0</v>
      </c>
      <c r="O157" s="1509"/>
      <c r="P157" s="1509"/>
      <c r="Q157" s="1509"/>
      <c r="R157" s="2650"/>
      <c r="S157" s="2650"/>
      <c r="T157" s="1507"/>
      <c r="U157" s="1495">
        <f t="shared" si="19"/>
        <v>0</v>
      </c>
      <c r="V157" s="1495">
        <f t="shared" si="20"/>
        <v>0</v>
      </c>
      <c r="W157" s="1495">
        <f t="shared" si="21"/>
        <v>0</v>
      </c>
      <c r="X157" s="1495">
        <f t="shared" si="22"/>
        <v>0</v>
      </c>
      <c r="Y157" s="1495" t="e">
        <f t="shared" si="23"/>
        <v>#DIV/0!</v>
      </c>
      <c r="Z157" s="1495">
        <f t="shared" si="24"/>
        <v>0</v>
      </c>
      <c r="AA157" s="1506">
        <f t="shared" si="25"/>
        <v>0</v>
      </c>
      <c r="AB157" s="1505"/>
      <c r="AC157" s="1504">
        <f t="shared" si="26"/>
        <v>0</v>
      </c>
      <c r="AD157" s="1503">
        <f t="shared" si="27"/>
        <v>0</v>
      </c>
      <c r="AE157" s="1503">
        <f t="shared" si="28"/>
        <v>0</v>
      </c>
      <c r="AF157" s="1502">
        <f t="shared" si="29"/>
        <v>0</v>
      </c>
    </row>
    <row r="158" spans="1:32" s="1474" customFormat="1" ht="23.25" customHeight="1">
      <c r="A158" s="1515"/>
      <c r="B158" s="1513"/>
      <c r="C158" s="1514"/>
      <c r="D158" s="1514"/>
      <c r="E158" s="1513"/>
      <c r="F158" s="1512">
        <f t="shared" si="16"/>
        <v>0</v>
      </c>
      <c r="G158" s="1508"/>
      <c r="H158" s="1511"/>
      <c r="I158" s="1508"/>
      <c r="J158" s="1508"/>
      <c r="K158" s="1508"/>
      <c r="L158" s="1508" t="e">
        <f t="shared" si="40"/>
        <v>#DIV/0!</v>
      </c>
      <c r="M158" s="1510">
        <f t="shared" si="17"/>
        <v>0</v>
      </c>
      <c r="N158" s="1510">
        <f t="shared" si="18"/>
        <v>0</v>
      </c>
      <c r="O158" s="1509"/>
      <c r="P158" s="1509"/>
      <c r="Q158" s="1509"/>
      <c r="R158" s="1508"/>
      <c r="S158" s="1508"/>
      <c r="T158" s="1507"/>
      <c r="U158" s="1495">
        <f t="shared" si="19"/>
        <v>0</v>
      </c>
      <c r="V158" s="1495">
        <f t="shared" si="20"/>
        <v>0</v>
      </c>
      <c r="W158" s="1495">
        <f t="shared" si="21"/>
        <v>0</v>
      </c>
      <c r="X158" s="1495">
        <f t="shared" si="22"/>
        <v>0</v>
      </c>
      <c r="Y158" s="1495" t="e">
        <f t="shared" si="23"/>
        <v>#DIV/0!</v>
      </c>
      <c r="Z158" s="1495">
        <f t="shared" si="24"/>
        <v>0</v>
      </c>
      <c r="AA158" s="1506">
        <f t="shared" si="25"/>
        <v>0</v>
      </c>
      <c r="AB158" s="1505"/>
      <c r="AC158" s="1504">
        <f t="shared" si="26"/>
        <v>0</v>
      </c>
      <c r="AD158" s="1503">
        <f t="shared" si="27"/>
        <v>0</v>
      </c>
      <c r="AE158" s="1503">
        <f t="shared" si="28"/>
        <v>0</v>
      </c>
      <c r="AF158" s="1502">
        <f t="shared" si="29"/>
        <v>0</v>
      </c>
    </row>
    <row r="159" spans="1:32" s="1474" customFormat="1" ht="23.25" customHeight="1" thickBot="1">
      <c r="A159" s="1501"/>
      <c r="B159" s="1496"/>
      <c r="C159" s="1499"/>
      <c r="D159" s="1499"/>
      <c r="E159" s="1496"/>
      <c r="F159" s="1512">
        <f t="shared" si="16"/>
        <v>0</v>
      </c>
      <c r="G159" s="1499"/>
      <c r="H159" s="1500"/>
      <c r="I159" s="1499"/>
      <c r="J159" s="1499"/>
      <c r="K159" s="1499"/>
      <c r="L159" s="1508" t="e">
        <f t="shared" si="40"/>
        <v>#DIV/0!</v>
      </c>
      <c r="M159" s="1510">
        <f t="shared" si="17"/>
        <v>0</v>
      </c>
      <c r="N159" s="1510">
        <f t="shared" si="18"/>
        <v>0</v>
      </c>
      <c r="O159" s="1497"/>
      <c r="P159" s="1497"/>
      <c r="Q159" s="1497"/>
      <c r="R159" s="1496"/>
      <c r="S159" s="1496"/>
      <c r="T159" s="1496"/>
      <c r="U159" s="1495">
        <f t="shared" si="19"/>
        <v>0</v>
      </c>
      <c r="V159" s="1495">
        <f t="shared" si="20"/>
        <v>0</v>
      </c>
      <c r="W159" s="1495">
        <f t="shared" si="21"/>
        <v>0</v>
      </c>
      <c r="X159" s="1495">
        <f t="shared" si="22"/>
        <v>0</v>
      </c>
      <c r="Y159" s="1495" t="e">
        <f t="shared" si="23"/>
        <v>#DIV/0!</v>
      </c>
      <c r="Z159" s="1495">
        <f t="shared" si="24"/>
        <v>0</v>
      </c>
      <c r="AA159" s="1506">
        <f t="shared" si="25"/>
        <v>0</v>
      </c>
      <c r="AB159" s="1492"/>
      <c r="AC159" s="1504">
        <f t="shared" si="26"/>
        <v>0</v>
      </c>
      <c r="AD159" s="1503">
        <f t="shared" si="27"/>
        <v>0</v>
      </c>
      <c r="AE159" s="1503">
        <f t="shared" si="28"/>
        <v>0</v>
      </c>
      <c r="AF159" s="1502">
        <f t="shared" si="29"/>
        <v>0</v>
      </c>
    </row>
    <row r="160" spans="1:32" s="1474" customFormat="1" ht="11.25" customHeight="1" thickTop="1" thickBot="1">
      <c r="A160" s="1488"/>
      <c r="B160" s="1486"/>
      <c r="C160" s="1487"/>
      <c r="D160" s="1487"/>
      <c r="E160" s="1486"/>
      <c r="F160" s="1486"/>
      <c r="G160" s="1486"/>
      <c r="H160" s="1486"/>
      <c r="I160" s="1486"/>
      <c r="J160" s="1486"/>
      <c r="K160" s="1486"/>
      <c r="L160" s="1486"/>
      <c r="M160" s="1486"/>
      <c r="N160" s="1486"/>
      <c r="O160" s="1486"/>
      <c r="P160" s="1486"/>
      <c r="Q160" s="1486"/>
      <c r="R160" s="1486"/>
      <c r="S160" s="1486"/>
      <c r="T160" s="1486"/>
      <c r="U160" s="1486"/>
      <c r="V160" s="1486"/>
      <c r="W160" s="1486"/>
      <c r="X160" s="1486"/>
      <c r="Y160" s="1486"/>
      <c r="Z160" s="1486"/>
      <c r="AA160" s="1485"/>
      <c r="AB160" s="1484"/>
      <c r="AC160" s="1504">
        <f t="shared" ref="AC160" si="43">IF(AND(AB160&gt;0,AB160&lt;=2),X160,0)</f>
        <v>0</v>
      </c>
      <c r="AD160" s="1483"/>
      <c r="AE160" s="1483"/>
      <c r="AF160" s="1482"/>
    </row>
    <row r="161" spans="1:32" s="1474" customFormat="1" ht="33" customHeight="1" thickTop="1" thickBot="1">
      <c r="A161" s="3410" t="s">
        <v>934</v>
      </c>
      <c r="B161" s="3410"/>
      <c r="C161" s="3410"/>
      <c r="D161" s="1480">
        <f>SUM(D66:D159)</f>
        <v>580</v>
      </c>
      <c r="E161" s="1480">
        <f>SUM(E66:E159)</f>
        <v>1871600000</v>
      </c>
      <c r="F161" s="1480">
        <f>SUM(F66:F159)</f>
        <v>336888000</v>
      </c>
      <c r="G161" s="1481"/>
      <c r="H161" s="1481"/>
      <c r="I161" s="1481"/>
      <c r="J161" s="1481"/>
      <c r="K161" s="1481"/>
      <c r="L161" s="1481"/>
      <c r="M161" s="1480">
        <f t="shared" ref="M161:X161" si="44">SUM(M66:M159)</f>
        <v>1608142300</v>
      </c>
      <c r="N161" s="1480">
        <f t="shared" si="44"/>
        <v>278875500</v>
      </c>
      <c r="O161" s="1480">
        <f t="shared" si="44"/>
        <v>1532613000</v>
      </c>
      <c r="P161" s="1480">
        <f t="shared" si="44"/>
        <v>267025500</v>
      </c>
      <c r="Q161" s="1480">
        <f t="shared" si="44"/>
        <v>0</v>
      </c>
      <c r="R161" s="1480">
        <f t="shared" si="44"/>
        <v>44833700</v>
      </c>
      <c r="S161" s="1480">
        <f t="shared" si="44"/>
        <v>7140000</v>
      </c>
      <c r="T161" s="1480">
        <f t="shared" si="44"/>
        <v>0</v>
      </c>
      <c r="U161" s="1480">
        <f t="shared" si="44"/>
        <v>1577446700</v>
      </c>
      <c r="V161" s="1480">
        <f t="shared" si="44"/>
        <v>274165500</v>
      </c>
      <c r="W161" s="1480">
        <f t="shared" si="44"/>
        <v>0</v>
      </c>
      <c r="X161" s="1480">
        <f t="shared" si="44"/>
        <v>294153300</v>
      </c>
      <c r="Y161" s="1480">
        <f>SUM(U161/M161)*100</f>
        <v>98.091238567631734</v>
      </c>
      <c r="Z161" s="1480">
        <f>SUM(Z66:Z159)</f>
        <v>30695600</v>
      </c>
      <c r="AA161" s="1479">
        <f>SUM(AA66:AA159)</f>
        <v>4710000</v>
      </c>
      <c r="AB161" s="1478"/>
      <c r="AC161" s="1477">
        <f>SUM(AC66:AC159)</f>
        <v>6987600</v>
      </c>
      <c r="AD161" s="1476">
        <f>SUM(AD66:AD159)</f>
        <v>0</v>
      </c>
      <c r="AE161" s="1476">
        <f>SUM(AE66:AE159)</f>
        <v>0</v>
      </c>
      <c r="AF161" s="1475">
        <f>SUM(AF66:AF159)</f>
        <v>8976000</v>
      </c>
    </row>
    <row r="162" spans="1:32" s="1461" customFormat="1" ht="17.25" thickTop="1" thickBot="1">
      <c r="A162" s="3410" t="s">
        <v>1464</v>
      </c>
      <c r="B162" s="3410"/>
      <c r="C162" s="3410"/>
      <c r="D162" s="1473">
        <f>COUNT(D66:D159)</f>
        <v>52</v>
      </c>
      <c r="G162" s="1462"/>
      <c r="H162" s="1462"/>
      <c r="I162" s="1462"/>
      <c r="J162" s="1462"/>
      <c r="K162" s="1472"/>
      <c r="L162" s="1472"/>
      <c r="AB162" s="1462"/>
    </row>
    <row r="163" spans="1:32" s="1461" customFormat="1" ht="18.75" thickTop="1">
      <c r="A163" s="1465"/>
      <c r="B163" s="1465"/>
      <c r="C163" s="1466"/>
      <c r="D163" s="1466"/>
      <c r="E163" s="3410" t="s">
        <v>1463</v>
      </c>
      <c r="F163" s="3410"/>
      <c r="G163" s="3410"/>
      <c r="H163" s="3410"/>
      <c r="I163" s="3410"/>
      <c r="J163" s="3410"/>
      <c r="K163" s="3410"/>
      <c r="L163" s="3410"/>
      <c r="M163" s="3410"/>
      <c r="N163" s="3410"/>
      <c r="O163" s="1467"/>
      <c r="P163" s="1467"/>
      <c r="Q163" s="1467"/>
      <c r="R163" s="1467"/>
      <c r="S163" s="1467"/>
      <c r="T163" s="1467"/>
      <c r="U163" s="1471"/>
      <c r="V163" s="3410" t="s">
        <v>1462</v>
      </c>
      <c r="W163" s="3410"/>
      <c r="X163" s="3410"/>
      <c r="Y163" s="3410"/>
      <c r="Z163" s="1465"/>
      <c r="AA163" s="1465"/>
      <c r="AB163" s="1462"/>
    </row>
    <row r="164" spans="1:32" s="1461" customFormat="1" ht="57" customHeight="1">
      <c r="A164" s="1468"/>
      <c r="B164" s="1468"/>
      <c r="C164" s="1470"/>
      <c r="D164" s="1470"/>
      <c r="E164" s="1468"/>
      <c r="F164" s="1468"/>
      <c r="G164" s="1470"/>
      <c r="H164" s="1470"/>
      <c r="I164" s="1470"/>
      <c r="J164" s="1470"/>
      <c r="K164" s="1469"/>
      <c r="L164" s="1469"/>
      <c r="M164" s="1468"/>
      <c r="N164" s="1468"/>
      <c r="O164" s="1468"/>
      <c r="P164" s="1468"/>
      <c r="Q164" s="1468"/>
      <c r="R164" s="1468"/>
      <c r="S164" s="1468"/>
      <c r="T164" s="1468"/>
      <c r="U164" s="1468"/>
      <c r="V164" s="1468"/>
      <c r="W164" s="1468"/>
      <c r="X164" s="1468"/>
      <c r="Y164" s="1468"/>
      <c r="Z164" s="1468"/>
      <c r="AA164" s="1468"/>
      <c r="AB164" s="1462"/>
    </row>
    <row r="165" spans="1:32" s="1461" customFormat="1" ht="18">
      <c r="A165" s="1465"/>
      <c r="B165" s="1465"/>
      <c r="C165" s="1466"/>
      <c r="D165" s="1466"/>
      <c r="E165" s="3410" t="str">
        <f>E52</f>
        <v>Endang Taryana</v>
      </c>
      <c r="F165" s="3410"/>
      <c r="G165" s="3410"/>
      <c r="H165" s="3410"/>
      <c r="I165" s="3410"/>
      <c r="J165" s="3410"/>
      <c r="K165" s="3410"/>
      <c r="L165" s="3410"/>
      <c r="M165" s="3410"/>
      <c r="N165" s="3410"/>
      <c r="O165" s="1467" t="s">
        <v>1461</v>
      </c>
      <c r="P165" s="3410"/>
      <c r="Q165" s="3410"/>
      <c r="R165" s="3410"/>
      <c r="S165" s="1465"/>
      <c r="T165" s="1465"/>
      <c r="U165" s="1465"/>
      <c r="V165" s="3410" t="str">
        <f>V52</f>
        <v>Arin Yustini, SE</v>
      </c>
      <c r="W165" s="3410"/>
      <c r="X165" s="3410"/>
      <c r="Y165" s="3410"/>
      <c r="Z165" s="1465"/>
      <c r="AA165" s="1465"/>
      <c r="AB165" s="1462"/>
    </row>
    <row r="166" spans="1:32" ht="18">
      <c r="A166" s="1465"/>
      <c r="B166" s="1465"/>
      <c r="C166" s="1466"/>
      <c r="D166" s="1466"/>
      <c r="E166" s="3410" t="s">
        <v>23</v>
      </c>
      <c r="F166" s="3410"/>
      <c r="G166" s="3410"/>
      <c r="H166" s="3410"/>
      <c r="I166" s="3410"/>
      <c r="J166" s="3410"/>
      <c r="K166" s="3410"/>
      <c r="L166" s="3410"/>
      <c r="M166" s="3410"/>
      <c r="N166" s="3410"/>
      <c r="O166" s="1465"/>
      <c r="P166" s="3410"/>
      <c r="Q166" s="3410"/>
      <c r="R166" s="3410"/>
      <c r="S166" s="1465"/>
      <c r="T166" s="1465"/>
      <c r="U166" s="1465"/>
      <c r="V166" s="3410" t="s">
        <v>24</v>
      </c>
      <c r="W166" s="3410"/>
      <c r="X166" s="3410"/>
      <c r="Y166" s="3410"/>
      <c r="Z166" s="1465"/>
      <c r="AA166" s="1465"/>
      <c r="AE166" s="1461"/>
      <c r="AF166" s="1461"/>
    </row>
  </sheetData>
  <protectedRanges>
    <protectedRange sqref="W13:W46 W66:W159" name="Range1_1"/>
  </protectedRanges>
  <mergeCells count="72">
    <mergeCell ref="A48:C48"/>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B10:C10"/>
    <mergeCell ref="D10:D12"/>
    <mergeCell ref="E10:F10"/>
    <mergeCell ref="G10:G11"/>
    <mergeCell ref="Y10:Y11"/>
    <mergeCell ref="X10:X11"/>
    <mergeCell ref="A8:C8"/>
    <mergeCell ref="K11:K12"/>
    <mergeCell ref="L11:L12"/>
    <mergeCell ref="E50:N50"/>
    <mergeCell ref="K63:L63"/>
    <mergeCell ref="E63:F63"/>
    <mergeCell ref="G63:G64"/>
    <mergeCell ref="E52:N52"/>
    <mergeCell ref="A55:AA55"/>
    <mergeCell ref="E53:N53"/>
    <mergeCell ref="P53:R53"/>
    <mergeCell ref="R63:T63"/>
    <mergeCell ref="V50:Y50"/>
    <mergeCell ref="K10:L10"/>
    <mergeCell ref="H10:H12"/>
    <mergeCell ref="A49:C49"/>
    <mergeCell ref="A162:C162"/>
    <mergeCell ref="A59:C59"/>
    <mergeCell ref="A60:C60"/>
    <mergeCell ref="A61:C61"/>
    <mergeCell ref="H63:H65"/>
    <mergeCell ref="Z63:AA63"/>
    <mergeCell ref="P52:R52"/>
    <mergeCell ref="V52:Y52"/>
    <mergeCell ref="V165:Y165"/>
    <mergeCell ref="P165:R165"/>
    <mergeCell ref="V53:Y53"/>
    <mergeCell ref="A54:AA54"/>
    <mergeCell ref="A161:C161"/>
    <mergeCell ref="A56:AA56"/>
    <mergeCell ref="A58:C58"/>
    <mergeCell ref="A57:AA57"/>
    <mergeCell ref="A63:A64"/>
    <mergeCell ref="B63:C63"/>
    <mergeCell ref="D63:D65"/>
    <mergeCell ref="V163:Y163"/>
    <mergeCell ref="U63:W63"/>
    <mergeCell ref="X63:X64"/>
    <mergeCell ref="M63:N63"/>
    <mergeCell ref="Y63:Y64"/>
    <mergeCell ref="O63:Q63"/>
    <mergeCell ref="V166:Y166"/>
    <mergeCell ref="P166:R166"/>
    <mergeCell ref="E166:N166"/>
    <mergeCell ref="E165:N165"/>
    <mergeCell ref="E163:N163"/>
    <mergeCell ref="K64:K65"/>
    <mergeCell ref="L64:L65"/>
    <mergeCell ref="I63:I65"/>
    <mergeCell ref="J63:J65"/>
  </mergeCells>
  <pageMargins left="0.33" right="0.15748031496062992" top="0.70866141732283472" bottom="0.9055118110236221" header="0.51181102362204722" footer="0.55118110236220474"/>
  <pageSetup paperSize="5" scale="39" orientation="landscape" horizontalDpi="4294967293" verticalDpi="4294967293" r:id="rId1"/>
  <headerFooter alignWithMargins="0"/>
  <drawing r:id="rId2"/>
  <legacyDrawing r:id="rId3"/>
</worksheet>
</file>

<file path=xl/worksheets/sheet10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172"/>
  <sheetViews>
    <sheetView topLeftCell="A136" zoomScale="61" zoomScaleNormal="61" workbookViewId="0">
      <selection activeCell="S153" sqref="S153"/>
    </sheetView>
  </sheetViews>
  <sheetFormatPr defaultColWidth="9.140625" defaultRowHeight="15.75"/>
  <cols>
    <col min="1" max="1" width="7.140625" style="1460" customWidth="1"/>
    <col min="2" max="2" width="20.85546875" style="1460" customWidth="1"/>
    <col min="3" max="3" width="12.5703125" style="1464" bestFit="1" customWidth="1"/>
    <col min="4" max="4" width="6.7109375" style="1464" customWidth="1"/>
    <col min="5" max="5" width="19.7109375" style="1461" customWidth="1"/>
    <col min="6" max="6" width="17.85546875" style="1461" customWidth="1"/>
    <col min="7" max="7" width="18.85546875" style="1464" customWidth="1"/>
    <col min="8" max="9" width="7.140625" style="1464" customWidth="1"/>
    <col min="10" max="10" width="6.42578125" style="1464" bestFit="1" customWidth="1"/>
    <col min="11" max="12" width="14.7109375" style="1463" bestFit="1" customWidth="1"/>
    <col min="13" max="16" width="19.7109375" style="1461" customWidth="1"/>
    <col min="17" max="17" width="9.42578125" style="1461" customWidth="1"/>
    <col min="18" max="18" width="15.7109375" style="1461" customWidth="1"/>
    <col min="19" max="19" width="14.42578125" style="1461" customWidth="1"/>
    <col min="20" max="20" width="9.42578125" style="1461" customWidth="1"/>
    <col min="21" max="22" width="19.710937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525" t="s">
        <v>0</v>
      </c>
      <c r="B1" s="3525"/>
      <c r="C1" s="3525"/>
      <c r="D1" s="3525"/>
      <c r="E1" s="3525"/>
      <c r="F1" s="3525"/>
      <c r="G1" s="3525"/>
      <c r="H1" s="3525"/>
      <c r="I1" s="3525"/>
      <c r="J1" s="3525"/>
      <c r="K1" s="3525"/>
      <c r="L1" s="3525"/>
      <c r="M1" s="3525"/>
      <c r="N1" s="3525"/>
      <c r="O1" s="3525"/>
      <c r="P1" s="3525"/>
      <c r="Q1" s="3525"/>
      <c r="R1" s="3525"/>
      <c r="S1" s="3525"/>
      <c r="T1" s="3525"/>
      <c r="U1" s="3525"/>
      <c r="V1" s="3525"/>
      <c r="W1" s="3525"/>
      <c r="X1" s="3525"/>
      <c r="Y1" s="3525"/>
      <c r="Z1" s="3525"/>
      <c r="AA1" s="3525"/>
      <c r="AB1" s="1562"/>
      <c r="AC1" s="1560"/>
      <c r="AD1" s="1560"/>
      <c r="AE1" s="1560"/>
      <c r="AF1" s="1560"/>
    </row>
    <row r="2" spans="1:32" s="1559" customFormat="1" ht="24.75" customHeight="1">
      <c r="A2" s="3525" t="str">
        <f>'LPP-SPP'!A2:W2</f>
        <v>LAPORAN PERKEMBANGAN PINJAMAN  SPP</v>
      </c>
      <c r="B2" s="3525"/>
      <c r="C2" s="3525"/>
      <c r="D2" s="3525"/>
      <c r="E2" s="3525"/>
      <c r="F2" s="3525"/>
      <c r="G2" s="3525"/>
      <c r="H2" s="3525"/>
      <c r="I2" s="3525"/>
      <c r="J2" s="3525"/>
      <c r="K2" s="3525"/>
      <c r="L2" s="3525"/>
      <c r="M2" s="3525"/>
      <c r="N2" s="3525"/>
      <c r="O2" s="3525"/>
      <c r="P2" s="3525"/>
      <c r="Q2" s="3525"/>
      <c r="R2" s="3525"/>
      <c r="S2" s="3525"/>
      <c r="T2" s="3525"/>
      <c r="U2" s="3525"/>
      <c r="V2" s="3525"/>
      <c r="W2" s="3525"/>
      <c r="X2" s="3525"/>
      <c r="Y2" s="3525"/>
      <c r="Z2" s="3525"/>
      <c r="AA2" s="3525"/>
      <c r="AB2" s="1562"/>
      <c r="AC2" s="1560"/>
      <c r="AD2" s="1560"/>
      <c r="AE2" s="1560"/>
      <c r="AF2" s="1560"/>
    </row>
    <row r="3" spans="1:32" s="1559" customFormat="1" ht="34.5">
      <c r="A3" s="3525" t="s">
        <v>1506</v>
      </c>
      <c r="B3" s="3525"/>
      <c r="C3" s="3525"/>
      <c r="D3" s="3525"/>
      <c r="E3" s="3525"/>
      <c r="F3" s="3525"/>
      <c r="G3" s="3525"/>
      <c r="H3" s="3525"/>
      <c r="I3" s="3525"/>
      <c r="J3" s="3525"/>
      <c r="K3" s="3525"/>
      <c r="L3" s="3525"/>
      <c r="M3" s="3525"/>
      <c r="N3" s="3525"/>
      <c r="O3" s="3525"/>
      <c r="P3" s="3525"/>
      <c r="Q3" s="3525"/>
      <c r="R3" s="3525"/>
      <c r="S3" s="3525"/>
      <c r="T3" s="3525"/>
      <c r="U3" s="3525"/>
      <c r="V3" s="3525"/>
      <c r="W3" s="3525"/>
      <c r="X3" s="3525"/>
      <c r="Y3" s="3525"/>
      <c r="Z3" s="3525"/>
      <c r="AA3" s="3525"/>
      <c r="AB3" s="1561"/>
      <c r="AC3" s="1560"/>
      <c r="AD3" s="1560"/>
      <c r="AE3" s="1560"/>
      <c r="AF3" s="1560"/>
    </row>
    <row r="4" spans="1:32" s="1542" customFormat="1" ht="24.75" customHeight="1">
      <c r="A4" s="3525" t="str">
        <f>'LPP-SPP'!A4</f>
        <v>Per - Februari 2016 2016</v>
      </c>
      <c r="B4" s="3525"/>
      <c r="C4" s="3525"/>
      <c r="D4" s="3525"/>
      <c r="E4" s="3525"/>
      <c r="F4" s="3525"/>
      <c r="G4" s="3525"/>
      <c r="H4" s="3525"/>
      <c r="I4" s="3525"/>
      <c r="J4" s="3525"/>
      <c r="K4" s="3525"/>
      <c r="L4" s="3525"/>
      <c r="M4" s="3525"/>
      <c r="N4" s="3525"/>
      <c r="O4" s="3525"/>
      <c r="P4" s="3525"/>
      <c r="Q4" s="3525"/>
      <c r="R4" s="3525"/>
      <c r="S4" s="3525"/>
      <c r="T4" s="3525"/>
      <c r="U4" s="3525"/>
      <c r="V4" s="3525"/>
      <c r="W4" s="3525"/>
      <c r="X4" s="3525"/>
      <c r="Y4" s="3525"/>
      <c r="Z4" s="3525"/>
      <c r="AA4" s="3525"/>
      <c r="AB4" s="1556"/>
      <c r="AC4" s="1555"/>
      <c r="AD4" s="1555"/>
      <c r="AE4" s="1555"/>
      <c r="AF4" s="1555"/>
    </row>
    <row r="5" spans="1:32" s="1542" customFormat="1" ht="24.75" customHeight="1">
      <c r="A5" s="3410" t="s">
        <v>1503</v>
      </c>
      <c r="B5" s="3410"/>
      <c r="C5" s="3410"/>
      <c r="D5" s="1553"/>
      <c r="E5" s="1558" t="str">
        <f>":  "&amp;DT!I10</f>
        <v>:  PAWENANG</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3" t="s">
        <v>36</v>
      </c>
      <c r="B10" s="3413" t="s">
        <v>1499</v>
      </c>
      <c r="C10" s="3413"/>
      <c r="D10" s="3413" t="s">
        <v>1498</v>
      </c>
      <c r="E10" s="3413" t="s">
        <v>1497</v>
      </c>
      <c r="F10" s="3413"/>
      <c r="G10" s="3413" t="s">
        <v>1496</v>
      </c>
      <c r="H10" s="3413" t="s">
        <v>1495</v>
      </c>
      <c r="I10" s="3413" t="s">
        <v>1494</v>
      </c>
      <c r="J10" s="3413" t="s">
        <v>1493</v>
      </c>
      <c r="K10" s="3413" t="s">
        <v>1492</v>
      </c>
      <c r="L10" s="3413"/>
      <c r="M10" s="3413" t="s">
        <v>1491</v>
      </c>
      <c r="N10" s="3413"/>
      <c r="O10" s="3413" t="s">
        <v>1490</v>
      </c>
      <c r="P10" s="3413"/>
      <c r="Q10" s="3413"/>
      <c r="R10" s="3413" t="s">
        <v>1489</v>
      </c>
      <c r="S10" s="3413"/>
      <c r="T10" s="3413"/>
      <c r="U10" s="3413" t="s">
        <v>1488</v>
      </c>
      <c r="V10" s="3413"/>
      <c r="W10" s="3413"/>
      <c r="X10" s="3413" t="s">
        <v>1487</v>
      </c>
      <c r="Y10" s="3413" t="s">
        <v>1486</v>
      </c>
      <c r="Z10" s="3413" t="s">
        <v>1485</v>
      </c>
      <c r="AA10" s="3413"/>
      <c r="AB10" s="3410" t="s">
        <v>1484</v>
      </c>
      <c r="AC10" s="1541" t="s">
        <v>1483</v>
      </c>
      <c r="AD10" s="1540" t="s">
        <v>1482</v>
      </c>
      <c r="AE10" s="1540" t="s">
        <v>1481</v>
      </c>
      <c r="AF10" s="1539" t="s">
        <v>1480</v>
      </c>
    </row>
    <row r="11" spans="1:32" ht="31.5" customHeight="1">
      <c r="A11" s="3413"/>
      <c r="B11" s="1536" t="s">
        <v>1479</v>
      </c>
      <c r="C11" s="1536" t="s">
        <v>1478</v>
      </c>
      <c r="D11" s="3413"/>
      <c r="E11" s="1537" t="s">
        <v>16</v>
      </c>
      <c r="F11" s="1537" t="s">
        <v>1476</v>
      </c>
      <c r="G11" s="3413"/>
      <c r="H11" s="3413"/>
      <c r="I11" s="3413"/>
      <c r="J11" s="3413"/>
      <c r="K11" s="3413" t="s">
        <v>16</v>
      </c>
      <c r="L11" s="3413" t="s">
        <v>1476</v>
      </c>
      <c r="M11" s="1537" t="s">
        <v>16</v>
      </c>
      <c r="N11" s="1537" t="s">
        <v>1476</v>
      </c>
      <c r="O11" s="1537" t="s">
        <v>16</v>
      </c>
      <c r="P11" s="1537" t="s">
        <v>1476</v>
      </c>
      <c r="Q11" s="1537" t="s">
        <v>1477</v>
      </c>
      <c r="R11" s="1537" t="s">
        <v>16</v>
      </c>
      <c r="S11" s="1537" t="s">
        <v>1476</v>
      </c>
      <c r="T11" s="1537" t="s">
        <v>1477</v>
      </c>
      <c r="U11" s="1537" t="s">
        <v>16</v>
      </c>
      <c r="V11" s="1537" t="s">
        <v>1476</v>
      </c>
      <c r="W11" s="1537" t="s">
        <v>1477</v>
      </c>
      <c r="X11" s="3413"/>
      <c r="Y11" s="3413"/>
      <c r="Z11" s="1537" t="s">
        <v>16</v>
      </c>
      <c r="AA11" s="2168" t="s">
        <v>1476</v>
      </c>
      <c r="AB11" s="3410"/>
      <c r="AC11" s="1531" t="s">
        <v>1475</v>
      </c>
      <c r="AD11" s="1530" t="s">
        <v>1474</v>
      </c>
      <c r="AE11" s="1530" t="s">
        <v>1473</v>
      </c>
      <c r="AF11" s="1529" t="s">
        <v>1472</v>
      </c>
    </row>
    <row r="12" spans="1:32" s="1528" customFormat="1" ht="14.25" customHeight="1" thickBot="1">
      <c r="A12" s="2168">
        <v>1</v>
      </c>
      <c r="B12" s="2168">
        <v>2</v>
      </c>
      <c r="C12" s="2168">
        <v>3</v>
      </c>
      <c r="D12" s="3413"/>
      <c r="E12" s="2168">
        <v>4</v>
      </c>
      <c r="F12" s="2168">
        <v>5</v>
      </c>
      <c r="G12" s="2168">
        <v>6</v>
      </c>
      <c r="H12" s="3413"/>
      <c r="I12" s="3413"/>
      <c r="J12" s="3413"/>
      <c r="K12" s="3413"/>
      <c r="L12" s="3413"/>
      <c r="M12" s="2168">
        <v>7</v>
      </c>
      <c r="N12" s="2168">
        <v>8</v>
      </c>
      <c r="O12" s="2168">
        <v>9</v>
      </c>
      <c r="P12" s="2168">
        <v>10</v>
      </c>
      <c r="Q12" s="2168">
        <v>11</v>
      </c>
      <c r="R12" s="2168">
        <v>12</v>
      </c>
      <c r="S12" s="2168">
        <v>13</v>
      </c>
      <c r="T12" s="2168">
        <v>14</v>
      </c>
      <c r="U12" s="2168" t="s">
        <v>1471</v>
      </c>
      <c r="V12" s="2168" t="s">
        <v>1470</v>
      </c>
      <c r="W12" s="2168" t="s">
        <v>1469</v>
      </c>
      <c r="X12" s="2168" t="s">
        <v>1468</v>
      </c>
      <c r="Y12" s="2168" t="s">
        <v>1467</v>
      </c>
      <c r="Z12" s="2168" t="s">
        <v>1466</v>
      </c>
      <c r="AA12" s="2168" t="s">
        <v>1465</v>
      </c>
      <c r="AB12">
        <v>22</v>
      </c>
      <c r="AC12" s="1518">
        <v>23</v>
      </c>
      <c r="AD12" s="1517">
        <v>24</v>
      </c>
      <c r="AE12" s="1517">
        <v>25</v>
      </c>
      <c r="AF12" s="1516">
        <v>26</v>
      </c>
    </row>
    <row r="13" spans="1:32" s="1474" customFormat="1" ht="23.25" customHeight="1" thickTop="1">
      <c r="A13" s="1515">
        <v>1</v>
      </c>
      <c r="B13" s="1513" t="s">
        <v>2087</v>
      </c>
      <c r="C13" s="1514" t="s">
        <v>1916</v>
      </c>
      <c r="D13" s="1514"/>
      <c r="E13" s="1513">
        <v>6500000</v>
      </c>
      <c r="F13" s="1512">
        <f t="shared" ref="F13:F46" si="0">E13*H13</f>
        <v>1170000</v>
      </c>
      <c r="G13" s="2141">
        <v>39776</v>
      </c>
      <c r="H13" s="1511">
        <v>0.18</v>
      </c>
      <c r="I13" s="1508">
        <v>12</v>
      </c>
      <c r="J13" s="1569">
        <v>12</v>
      </c>
      <c r="K13" s="1508">
        <v>541700</v>
      </c>
      <c r="L13" s="1508">
        <v>97500</v>
      </c>
      <c r="M13" s="1567">
        <f t="shared" ref="M13:M46" si="1">IF(J13&lt;I13,J13*K13,IF(J13&gt;=I13,E13))</f>
        <v>6500000</v>
      </c>
      <c r="N13" s="1510">
        <f t="shared" ref="N13:N46" si="2">IF(J13&lt;I13,J13*L13,IF(J13&gt;=I13,F13))</f>
        <v>1170000</v>
      </c>
      <c r="O13" s="1509">
        <v>6500000</v>
      </c>
      <c r="P13" s="1509">
        <v>1170000</v>
      </c>
      <c r="Q13" s="1509"/>
      <c r="R13" s="1508">
        <v>0</v>
      </c>
      <c r="S13" s="1508">
        <v>0</v>
      </c>
      <c r="T13" s="1507"/>
      <c r="U13" s="1495">
        <f t="shared" ref="U13:U46" si="3">SUM(O13+R13)</f>
        <v>6500000</v>
      </c>
      <c r="V13" s="1495">
        <f t="shared" ref="V13:V46" si="4">SUM(P13+S13)</f>
        <v>1170000</v>
      </c>
      <c r="W13" s="1495">
        <f t="shared" ref="W13:W46" si="5">SUM(Q13+T13)</f>
        <v>0</v>
      </c>
      <c r="X13" s="1495">
        <f t="shared" ref="X13:X46" si="6">SUM(E13-U13)</f>
        <v>0</v>
      </c>
      <c r="Y13" s="1495">
        <f t="shared" ref="Y13:Y46" si="7">SUM(U13/M13)*100</f>
        <v>100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f>A13+1</f>
        <v>2</v>
      </c>
      <c r="B14" s="1513" t="s">
        <v>1898</v>
      </c>
      <c r="C14" s="1514" t="s">
        <v>1916</v>
      </c>
      <c r="D14" s="1514"/>
      <c r="E14" s="1513">
        <v>6500000</v>
      </c>
      <c r="F14" s="1512">
        <f t="shared" si="0"/>
        <v>1170000</v>
      </c>
      <c r="G14" s="2141">
        <v>39776</v>
      </c>
      <c r="H14" s="1511">
        <v>0.18</v>
      </c>
      <c r="I14" s="1508">
        <v>12</v>
      </c>
      <c r="J14" s="1508">
        <v>12</v>
      </c>
      <c r="K14" s="1508">
        <v>541700</v>
      </c>
      <c r="L14" s="1508">
        <v>97500</v>
      </c>
      <c r="M14" s="1510">
        <f t="shared" si="1"/>
        <v>6500000</v>
      </c>
      <c r="N14" s="1510">
        <f t="shared" si="2"/>
        <v>1170000</v>
      </c>
      <c r="O14" s="1509">
        <v>6500000</v>
      </c>
      <c r="P14" s="1509">
        <v>1170000</v>
      </c>
      <c r="Q14" s="1509"/>
      <c r="R14" s="1508">
        <v>0</v>
      </c>
      <c r="S14" s="1508">
        <v>0</v>
      </c>
      <c r="T14" s="1507"/>
      <c r="U14" s="1495">
        <f t="shared" si="3"/>
        <v>6500000</v>
      </c>
      <c r="V14" s="1495">
        <f t="shared" si="4"/>
        <v>1170000</v>
      </c>
      <c r="W14" s="1495">
        <f t="shared" si="5"/>
        <v>0</v>
      </c>
      <c r="X14" s="1495">
        <f t="shared" si="6"/>
        <v>0</v>
      </c>
      <c r="Y14" s="1495">
        <f t="shared" si="7"/>
        <v>100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f t="shared" ref="A15:A27" si="14">A14+1</f>
        <v>3</v>
      </c>
      <c r="B15" s="1513" t="s">
        <v>1941</v>
      </c>
      <c r="C15" s="1514" t="s">
        <v>1916</v>
      </c>
      <c r="D15" s="1514"/>
      <c r="E15" s="1513">
        <v>6500000</v>
      </c>
      <c r="F15" s="1512">
        <f t="shared" si="0"/>
        <v>1170000</v>
      </c>
      <c r="G15" s="2141">
        <v>39776</v>
      </c>
      <c r="H15" s="1511">
        <v>0.18</v>
      </c>
      <c r="I15" s="1508">
        <v>12</v>
      </c>
      <c r="J15" s="1508">
        <v>12</v>
      </c>
      <c r="K15" s="1508">
        <v>541700</v>
      </c>
      <c r="L15" s="1508">
        <v>97500</v>
      </c>
      <c r="M15" s="1510">
        <f t="shared" si="1"/>
        <v>6500000</v>
      </c>
      <c r="N15" s="1510">
        <f t="shared" si="2"/>
        <v>1170000</v>
      </c>
      <c r="O15" s="1509">
        <v>6500000</v>
      </c>
      <c r="P15" s="1509">
        <v>1170000</v>
      </c>
      <c r="Q15" s="1509"/>
      <c r="R15" s="1508">
        <v>0</v>
      </c>
      <c r="S15" s="1508">
        <v>0</v>
      </c>
      <c r="T15" s="1507"/>
      <c r="U15" s="1495">
        <f t="shared" si="3"/>
        <v>6500000</v>
      </c>
      <c r="V15" s="1495">
        <f t="shared" si="4"/>
        <v>1170000</v>
      </c>
      <c r="W15" s="1495">
        <f t="shared" si="5"/>
        <v>0</v>
      </c>
      <c r="X15" s="1495">
        <f t="shared" si="6"/>
        <v>0</v>
      </c>
      <c r="Y15" s="1495">
        <f t="shared" si="7"/>
        <v>100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f t="shared" si="14"/>
        <v>4</v>
      </c>
      <c r="B16" s="1513" t="s">
        <v>2088</v>
      </c>
      <c r="C16" s="1514" t="s">
        <v>1916</v>
      </c>
      <c r="D16" s="1514"/>
      <c r="E16" s="1513">
        <v>6500000</v>
      </c>
      <c r="F16" s="1512">
        <f t="shared" si="0"/>
        <v>1170000</v>
      </c>
      <c r="G16" s="2141">
        <v>39776</v>
      </c>
      <c r="H16" s="1511">
        <v>0.18</v>
      </c>
      <c r="I16" s="1508">
        <v>12</v>
      </c>
      <c r="J16" s="1508">
        <v>12</v>
      </c>
      <c r="K16" s="1508">
        <v>541700</v>
      </c>
      <c r="L16" s="1508">
        <v>97500</v>
      </c>
      <c r="M16" s="1510">
        <f t="shared" si="1"/>
        <v>6500000</v>
      </c>
      <c r="N16" s="1510">
        <f t="shared" si="2"/>
        <v>1170000</v>
      </c>
      <c r="O16" s="1509">
        <v>6500000</v>
      </c>
      <c r="P16" s="1509">
        <v>1170000</v>
      </c>
      <c r="Q16" s="1509"/>
      <c r="R16" s="1508">
        <v>0</v>
      </c>
      <c r="S16" s="1508">
        <v>0</v>
      </c>
      <c r="T16" s="1507"/>
      <c r="U16" s="1495">
        <f t="shared" si="3"/>
        <v>6500000</v>
      </c>
      <c r="V16" s="1495">
        <f t="shared" si="4"/>
        <v>1170000</v>
      </c>
      <c r="W16" s="1495">
        <f t="shared" si="5"/>
        <v>0</v>
      </c>
      <c r="X16" s="1495">
        <f t="shared" si="6"/>
        <v>0</v>
      </c>
      <c r="Y16" s="1495">
        <f t="shared" si="7"/>
        <v>100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f t="shared" si="14"/>
        <v>5</v>
      </c>
      <c r="B17" s="1513" t="s">
        <v>1952</v>
      </c>
      <c r="C17" s="1514" t="s">
        <v>1919</v>
      </c>
      <c r="D17" s="1514"/>
      <c r="E17" s="1513">
        <v>10000000</v>
      </c>
      <c r="F17" s="1512">
        <f t="shared" si="0"/>
        <v>1800000</v>
      </c>
      <c r="G17" s="2141">
        <v>40068</v>
      </c>
      <c r="H17" s="1511">
        <v>0.18</v>
      </c>
      <c r="I17" s="1508">
        <v>12</v>
      </c>
      <c r="J17" s="1508">
        <v>12</v>
      </c>
      <c r="K17" s="1508">
        <v>833300</v>
      </c>
      <c r="L17" s="1508">
        <v>150000</v>
      </c>
      <c r="M17" s="1510">
        <f t="shared" si="1"/>
        <v>10000000</v>
      </c>
      <c r="N17" s="1510">
        <f t="shared" si="2"/>
        <v>1800000</v>
      </c>
      <c r="O17" s="1509">
        <v>10000000</v>
      </c>
      <c r="P17" s="1509">
        <v>1800000</v>
      </c>
      <c r="Q17" s="1509"/>
      <c r="R17" s="1508"/>
      <c r="S17" s="1508"/>
      <c r="T17" s="1507"/>
      <c r="U17" s="1495">
        <f t="shared" si="3"/>
        <v>10000000</v>
      </c>
      <c r="V17" s="1495">
        <f t="shared" si="4"/>
        <v>1800000</v>
      </c>
      <c r="W17" s="1495">
        <f t="shared" si="5"/>
        <v>0</v>
      </c>
      <c r="X17" s="1495">
        <f t="shared" si="6"/>
        <v>0</v>
      </c>
      <c r="Y17" s="1495">
        <f t="shared" si="7"/>
        <v>100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f t="shared" si="14"/>
        <v>6</v>
      </c>
      <c r="B18" s="1513" t="s">
        <v>2089</v>
      </c>
      <c r="C18" s="1514" t="s">
        <v>1996</v>
      </c>
      <c r="D18" s="1514"/>
      <c r="E18" s="1513">
        <v>7500000</v>
      </c>
      <c r="F18" s="1512">
        <f t="shared" si="0"/>
        <v>1350000</v>
      </c>
      <c r="G18" s="2141">
        <v>40485</v>
      </c>
      <c r="H18" s="1511">
        <v>0.18</v>
      </c>
      <c r="I18" s="1508">
        <v>12</v>
      </c>
      <c r="J18" s="1508">
        <v>12</v>
      </c>
      <c r="K18" s="1508">
        <v>625000</v>
      </c>
      <c r="L18" s="1508">
        <v>112500</v>
      </c>
      <c r="M18" s="1510">
        <f t="shared" si="1"/>
        <v>7500000</v>
      </c>
      <c r="N18" s="1510">
        <f t="shared" si="2"/>
        <v>1350000</v>
      </c>
      <c r="O18" s="1509">
        <v>7500000</v>
      </c>
      <c r="P18" s="1509">
        <v>1350000</v>
      </c>
      <c r="Q18" s="1509"/>
      <c r="R18" s="1508"/>
      <c r="S18" s="1508"/>
      <c r="T18" s="1507"/>
      <c r="U18" s="1495">
        <f t="shared" si="3"/>
        <v>7500000</v>
      </c>
      <c r="V18" s="1495">
        <f t="shared" si="4"/>
        <v>1350000</v>
      </c>
      <c r="W18" s="1495">
        <f t="shared" si="5"/>
        <v>0</v>
      </c>
      <c r="X18" s="1495">
        <f t="shared" si="6"/>
        <v>0</v>
      </c>
      <c r="Y18" s="1495">
        <f t="shared" si="7"/>
        <v>100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f t="shared" si="14"/>
        <v>7</v>
      </c>
      <c r="B19" s="1513" t="s">
        <v>2090</v>
      </c>
      <c r="C19" s="1514" t="s">
        <v>1996</v>
      </c>
      <c r="D19" s="1514"/>
      <c r="E19" s="1513">
        <v>7500000</v>
      </c>
      <c r="F19" s="1512">
        <f t="shared" si="0"/>
        <v>1350000</v>
      </c>
      <c r="G19" s="2141">
        <v>40485</v>
      </c>
      <c r="H19" s="1511">
        <v>0.18</v>
      </c>
      <c r="I19" s="1508">
        <v>12</v>
      </c>
      <c r="J19" s="1508">
        <v>12</v>
      </c>
      <c r="K19" s="1508">
        <v>625000</v>
      </c>
      <c r="L19" s="1508">
        <v>112500</v>
      </c>
      <c r="M19" s="1510">
        <f t="shared" si="1"/>
        <v>7500000</v>
      </c>
      <c r="N19" s="1510">
        <f t="shared" si="2"/>
        <v>1350000</v>
      </c>
      <c r="O19" s="1509">
        <v>7500000</v>
      </c>
      <c r="P19" s="1509">
        <v>1350000</v>
      </c>
      <c r="Q19" s="1509"/>
      <c r="R19" s="1508"/>
      <c r="S19" s="1508"/>
      <c r="T19" s="1507"/>
      <c r="U19" s="1495">
        <f t="shared" si="3"/>
        <v>7500000</v>
      </c>
      <c r="V19" s="1495">
        <f t="shared" si="4"/>
        <v>1350000</v>
      </c>
      <c r="W19" s="1495">
        <f t="shared" si="5"/>
        <v>0</v>
      </c>
      <c r="X19" s="1495">
        <f t="shared" si="6"/>
        <v>0</v>
      </c>
      <c r="Y19" s="1495">
        <f t="shared" si="7"/>
        <v>100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f t="shared" si="14"/>
        <v>8</v>
      </c>
      <c r="B20" s="1513" t="s">
        <v>2091</v>
      </c>
      <c r="C20" s="1514" t="s">
        <v>1996</v>
      </c>
      <c r="D20" s="1514"/>
      <c r="E20" s="1513">
        <v>7500000</v>
      </c>
      <c r="F20" s="1512">
        <f t="shared" si="0"/>
        <v>1350000</v>
      </c>
      <c r="G20" s="2141">
        <v>40485</v>
      </c>
      <c r="H20" s="1511">
        <v>0.18</v>
      </c>
      <c r="I20" s="1508">
        <v>12</v>
      </c>
      <c r="J20" s="1508">
        <v>12</v>
      </c>
      <c r="K20" s="1508">
        <v>625000</v>
      </c>
      <c r="L20" s="1508">
        <v>112500</v>
      </c>
      <c r="M20" s="1510">
        <f t="shared" si="1"/>
        <v>7500000</v>
      </c>
      <c r="N20" s="1510">
        <f t="shared" si="2"/>
        <v>1350000</v>
      </c>
      <c r="O20" s="1509">
        <v>7500000</v>
      </c>
      <c r="P20" s="1509">
        <v>1350000</v>
      </c>
      <c r="Q20" s="1509"/>
      <c r="R20" s="1508"/>
      <c r="S20" s="1508"/>
      <c r="T20" s="1507"/>
      <c r="U20" s="1495">
        <f t="shared" si="3"/>
        <v>7500000</v>
      </c>
      <c r="V20" s="1495">
        <f t="shared" si="4"/>
        <v>1350000</v>
      </c>
      <c r="W20" s="1495">
        <f t="shared" si="5"/>
        <v>0</v>
      </c>
      <c r="X20" s="1495">
        <f t="shared" si="6"/>
        <v>0</v>
      </c>
      <c r="Y20" s="1495">
        <f t="shared" si="7"/>
        <v>100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f t="shared" si="14"/>
        <v>9</v>
      </c>
      <c r="B21" s="1513" t="s">
        <v>2092</v>
      </c>
      <c r="C21" s="1514" t="s">
        <v>1996</v>
      </c>
      <c r="D21" s="1514"/>
      <c r="E21" s="1513">
        <v>8000000</v>
      </c>
      <c r="F21" s="1512">
        <f t="shared" si="0"/>
        <v>1440000</v>
      </c>
      <c r="G21" s="2141">
        <v>40485</v>
      </c>
      <c r="H21" s="1511">
        <v>0.18</v>
      </c>
      <c r="I21" s="1508">
        <v>12</v>
      </c>
      <c r="J21" s="1508">
        <v>12</v>
      </c>
      <c r="K21" s="1508">
        <v>666700</v>
      </c>
      <c r="L21" s="1508">
        <v>120000</v>
      </c>
      <c r="M21" s="1510">
        <f t="shared" si="1"/>
        <v>8000000</v>
      </c>
      <c r="N21" s="1510">
        <f t="shared" si="2"/>
        <v>1440000</v>
      </c>
      <c r="O21" s="1509">
        <v>8000000</v>
      </c>
      <c r="P21" s="1509">
        <v>1440000</v>
      </c>
      <c r="Q21" s="1509"/>
      <c r="R21" s="1508"/>
      <c r="S21" s="1508"/>
      <c r="T21" s="1507"/>
      <c r="U21" s="1495">
        <f t="shared" si="3"/>
        <v>8000000</v>
      </c>
      <c r="V21" s="1495">
        <f t="shared" si="4"/>
        <v>1440000</v>
      </c>
      <c r="W21" s="1495">
        <f t="shared" si="5"/>
        <v>0</v>
      </c>
      <c r="X21" s="1495">
        <f t="shared" si="6"/>
        <v>0</v>
      </c>
      <c r="Y21" s="1495">
        <f t="shared" si="7"/>
        <v>100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f t="shared" si="14"/>
        <v>10</v>
      </c>
      <c r="B22" s="1513" t="s">
        <v>2226</v>
      </c>
      <c r="C22" s="1514" t="s">
        <v>2227</v>
      </c>
      <c r="D22" s="1514"/>
      <c r="E22" s="1513">
        <v>7000000</v>
      </c>
      <c r="F22" s="1512">
        <f t="shared" si="0"/>
        <v>1260000</v>
      </c>
      <c r="G22" s="2141">
        <v>40863</v>
      </c>
      <c r="H22" s="1511">
        <v>0.18</v>
      </c>
      <c r="I22" s="1508">
        <v>12</v>
      </c>
      <c r="J22" s="1508">
        <v>12</v>
      </c>
      <c r="K22" s="1508">
        <v>583300</v>
      </c>
      <c r="L22" s="1508">
        <v>105000</v>
      </c>
      <c r="M22" s="1510">
        <f t="shared" si="1"/>
        <v>7000000</v>
      </c>
      <c r="N22" s="1510">
        <f>IF(J22&lt;I22,J22*L22,IF(J22&gt;=I22,F22))-105000</f>
        <v>1155000</v>
      </c>
      <c r="O22" s="1509">
        <v>7000000</v>
      </c>
      <c r="P22" s="1509">
        <v>1155000</v>
      </c>
      <c r="Q22" s="1509"/>
      <c r="R22" s="2650"/>
      <c r="S22" s="2650"/>
      <c r="T22" s="1507"/>
      <c r="U22" s="1495">
        <f t="shared" si="3"/>
        <v>7000000</v>
      </c>
      <c r="V22" s="1495">
        <f t="shared" si="4"/>
        <v>1155000</v>
      </c>
      <c r="W22" s="1495">
        <f t="shared" si="5"/>
        <v>0</v>
      </c>
      <c r="X22" s="1495">
        <f t="shared" si="6"/>
        <v>0</v>
      </c>
      <c r="Y22" s="1495">
        <f t="shared" si="7"/>
        <v>100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f t="shared" si="14"/>
        <v>11</v>
      </c>
      <c r="B23" s="1513" t="s">
        <v>2326</v>
      </c>
      <c r="C23" s="1514" t="s">
        <v>2325</v>
      </c>
      <c r="D23" s="1514">
        <v>8</v>
      </c>
      <c r="E23" s="1513">
        <v>8000000</v>
      </c>
      <c r="F23" s="1512">
        <f t="shared" si="0"/>
        <v>1440000</v>
      </c>
      <c r="G23" s="2141">
        <v>41169</v>
      </c>
      <c r="H23" s="1511">
        <v>0.18</v>
      </c>
      <c r="I23" s="1508">
        <v>12</v>
      </c>
      <c r="J23" s="1508">
        <v>12</v>
      </c>
      <c r="K23" s="1508">
        <v>666700</v>
      </c>
      <c r="L23" s="1508">
        <v>120000</v>
      </c>
      <c r="M23" s="1510">
        <f t="shared" si="1"/>
        <v>8000000</v>
      </c>
      <c r="N23" s="1510">
        <f>IF(J23&lt;I23,J23*L23,IF(J23&gt;=I23,F23))-240000</f>
        <v>1200000</v>
      </c>
      <c r="O23" s="1509">
        <v>8000000</v>
      </c>
      <c r="P23" s="1509">
        <v>1200000</v>
      </c>
      <c r="Q23" s="1509"/>
      <c r="R23" s="1508"/>
      <c r="S23" s="1508"/>
      <c r="T23" s="1507"/>
      <c r="U23" s="1495">
        <f t="shared" si="3"/>
        <v>8000000</v>
      </c>
      <c r="V23" s="1495">
        <f t="shared" si="4"/>
        <v>1200000</v>
      </c>
      <c r="W23" s="1495">
        <f t="shared" si="5"/>
        <v>0</v>
      </c>
      <c r="X23" s="1495">
        <f t="shared" si="6"/>
        <v>0</v>
      </c>
      <c r="Y23" s="1495">
        <f t="shared" si="7"/>
        <v>100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f t="shared" si="14"/>
        <v>12</v>
      </c>
      <c r="B24" s="1513" t="s">
        <v>2327</v>
      </c>
      <c r="C24" s="1514" t="s">
        <v>2325</v>
      </c>
      <c r="D24" s="1514">
        <v>7</v>
      </c>
      <c r="E24" s="1513">
        <v>7000000</v>
      </c>
      <c r="F24" s="1512">
        <f t="shared" si="0"/>
        <v>1260000</v>
      </c>
      <c r="G24" s="2141">
        <v>41169</v>
      </c>
      <c r="H24" s="1511">
        <v>0.18</v>
      </c>
      <c r="I24" s="1508">
        <v>12</v>
      </c>
      <c r="J24" s="1508">
        <v>12</v>
      </c>
      <c r="K24" s="1508">
        <v>583300</v>
      </c>
      <c r="L24" s="1508">
        <v>105000</v>
      </c>
      <c r="M24" s="1510">
        <f t="shared" si="1"/>
        <v>7000000</v>
      </c>
      <c r="N24" s="1510">
        <f>IF(J24&lt;I24,J24*L24,IF(J24&gt;=I24,F24))-210000</f>
        <v>1050000</v>
      </c>
      <c r="O24" s="1509">
        <v>7000000</v>
      </c>
      <c r="P24" s="1509">
        <v>1050000</v>
      </c>
      <c r="Q24" s="1509"/>
      <c r="R24" s="1509"/>
      <c r="S24" s="1509"/>
      <c r="T24" s="1507"/>
      <c r="U24" s="1495">
        <f t="shared" si="3"/>
        <v>7000000</v>
      </c>
      <c r="V24" s="1495">
        <f t="shared" si="4"/>
        <v>1050000</v>
      </c>
      <c r="W24" s="1495">
        <f t="shared" si="5"/>
        <v>0</v>
      </c>
      <c r="X24" s="1495">
        <f t="shared" si="6"/>
        <v>0</v>
      </c>
      <c r="Y24" s="1495">
        <f t="shared" si="7"/>
        <v>100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f t="shared" si="14"/>
        <v>13</v>
      </c>
      <c r="B25" s="1513" t="s">
        <v>2591</v>
      </c>
      <c r="C25" s="1514" t="s">
        <v>2590</v>
      </c>
      <c r="D25" s="1514">
        <v>7</v>
      </c>
      <c r="E25" s="1513">
        <v>7100000</v>
      </c>
      <c r="F25" s="1512">
        <f t="shared" si="0"/>
        <v>1278000</v>
      </c>
      <c r="G25" s="2141">
        <v>41928</v>
      </c>
      <c r="H25" s="1511">
        <v>0.18</v>
      </c>
      <c r="I25" s="1508">
        <v>12</v>
      </c>
      <c r="J25" s="1508">
        <v>12</v>
      </c>
      <c r="K25" s="1508">
        <v>591700</v>
      </c>
      <c r="L25" s="1508">
        <f>F25/I25</f>
        <v>106500</v>
      </c>
      <c r="M25" s="1510">
        <f t="shared" si="1"/>
        <v>7100000</v>
      </c>
      <c r="N25" s="1510">
        <f>IF(J25&lt;I25,J25*L25,IF(J25&gt;=I25,F25))-1*L25</f>
        <v>1171500</v>
      </c>
      <c r="O25" s="1509">
        <v>7100000</v>
      </c>
      <c r="P25" s="1509">
        <v>1171500</v>
      </c>
      <c r="Q25" s="1509"/>
      <c r="R25" s="1509"/>
      <c r="S25" s="1509"/>
      <c r="T25" s="1507"/>
      <c r="U25" s="1495">
        <f t="shared" si="3"/>
        <v>7100000</v>
      </c>
      <c r="V25" s="1495">
        <f t="shared" si="4"/>
        <v>1171500</v>
      </c>
      <c r="W25" s="1495">
        <f t="shared" si="5"/>
        <v>0</v>
      </c>
      <c r="X25" s="1495">
        <f t="shared" si="6"/>
        <v>0</v>
      </c>
      <c r="Y25" s="1495">
        <f t="shared" si="7"/>
        <v>100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f t="shared" si="14"/>
        <v>14</v>
      </c>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f t="shared" si="14"/>
        <v>15</v>
      </c>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22</v>
      </c>
      <c r="E48" s="1480">
        <f>SUM(E13:E46)</f>
        <v>95600000</v>
      </c>
      <c r="F48" s="1480">
        <f>SUM(F13:F46)</f>
        <v>17208000</v>
      </c>
      <c r="G48" s="1481"/>
      <c r="H48" s="1481"/>
      <c r="I48" s="1481"/>
      <c r="J48" s="1481"/>
      <c r="K48" s="1481"/>
      <c r="L48" s="1481"/>
      <c r="M48" s="1480">
        <f t="shared" ref="M48:X48" si="15">SUM(M13:M46)</f>
        <v>95600000</v>
      </c>
      <c r="N48" s="1480">
        <f t="shared" si="15"/>
        <v>16546500</v>
      </c>
      <c r="O48" s="1480">
        <f t="shared" si="15"/>
        <v>95600000</v>
      </c>
      <c r="P48" s="1480">
        <f t="shared" si="15"/>
        <v>16546500</v>
      </c>
      <c r="Q48" s="1480">
        <f t="shared" si="15"/>
        <v>0</v>
      </c>
      <c r="R48" s="1480">
        <f t="shared" si="15"/>
        <v>0</v>
      </c>
      <c r="S48" s="1480">
        <f t="shared" si="15"/>
        <v>0</v>
      </c>
      <c r="T48" s="1480">
        <f t="shared" si="15"/>
        <v>0</v>
      </c>
      <c r="U48" s="1480">
        <f t="shared" si="15"/>
        <v>95600000</v>
      </c>
      <c r="V48" s="1480">
        <f t="shared" si="15"/>
        <v>16546500</v>
      </c>
      <c r="W48" s="1480">
        <f t="shared" si="15"/>
        <v>0</v>
      </c>
      <c r="X48" s="1480">
        <f t="shared" si="15"/>
        <v>0</v>
      </c>
      <c r="Y48" s="1480">
        <f>SUM(U48/M48)*100</f>
        <v>100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3</v>
      </c>
      <c r="E49" s="1473">
        <f>COUNT(E13:E46)</f>
        <v>13</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525" t="s">
        <v>0</v>
      </c>
      <c r="B54" s="3525"/>
      <c r="C54" s="3525"/>
      <c r="D54" s="3525"/>
      <c r="E54" s="3525"/>
      <c r="F54" s="3525"/>
      <c r="G54" s="3525"/>
      <c r="H54" s="3525"/>
      <c r="I54" s="3525"/>
      <c r="J54" s="3525"/>
      <c r="K54" s="3525"/>
      <c r="L54" s="3525"/>
      <c r="M54" s="3525"/>
      <c r="N54" s="3525"/>
      <c r="O54" s="3525"/>
      <c r="P54" s="3525"/>
      <c r="Q54" s="3525"/>
      <c r="R54" s="3525"/>
      <c r="S54" s="3525"/>
      <c r="T54" s="3525"/>
      <c r="U54" s="3525"/>
      <c r="V54" s="3525"/>
      <c r="W54" s="3525"/>
      <c r="X54" s="3525"/>
      <c r="Y54" s="3525"/>
      <c r="Z54" s="3525"/>
      <c r="AA54" s="3525"/>
      <c r="AB54" s="1562"/>
      <c r="AC54" s="1560"/>
      <c r="AD54" s="1560"/>
      <c r="AE54" s="1560"/>
      <c r="AF54" s="1560"/>
    </row>
    <row r="55" spans="1:32" s="1559" customFormat="1" ht="24.75" customHeight="1">
      <c r="A55" s="3525" t="str">
        <f>A2</f>
        <v>LAPORAN PERKEMBANGAN PINJAMAN  SPP</v>
      </c>
      <c r="B55" s="3525"/>
      <c r="C55" s="3525"/>
      <c r="D55" s="3525"/>
      <c r="E55" s="3525"/>
      <c r="F55" s="3525"/>
      <c r="G55" s="3525"/>
      <c r="H55" s="3525"/>
      <c r="I55" s="3525"/>
      <c r="J55" s="3525"/>
      <c r="K55" s="3525"/>
      <c r="L55" s="3525"/>
      <c r="M55" s="3525"/>
      <c r="N55" s="3525"/>
      <c r="O55" s="3525"/>
      <c r="P55" s="3525"/>
      <c r="Q55" s="3525"/>
      <c r="R55" s="3525"/>
      <c r="S55" s="3525"/>
      <c r="T55" s="3525"/>
      <c r="U55" s="3525"/>
      <c r="V55" s="3525"/>
      <c r="W55" s="3525"/>
      <c r="X55" s="3525"/>
      <c r="Y55" s="3525"/>
      <c r="Z55" s="3525"/>
      <c r="AA55" s="3525"/>
      <c r="AB55" s="1562"/>
      <c r="AC55" s="1560"/>
      <c r="AD55" s="1560"/>
      <c r="AE55" s="1560"/>
      <c r="AF55" s="1560"/>
    </row>
    <row r="56" spans="1:32" s="1559" customFormat="1" ht="34.5">
      <c r="A56" s="3525" t="s">
        <v>1504</v>
      </c>
      <c r="B56" s="3525"/>
      <c r="C56" s="3525"/>
      <c r="D56" s="3525"/>
      <c r="E56" s="3525"/>
      <c r="F56" s="3525"/>
      <c r="G56" s="3525"/>
      <c r="H56" s="3525"/>
      <c r="I56" s="3525"/>
      <c r="J56" s="3525"/>
      <c r="K56" s="3525"/>
      <c r="L56" s="3525"/>
      <c r="M56" s="3525"/>
      <c r="N56" s="3525"/>
      <c r="O56" s="3525"/>
      <c r="P56" s="3525"/>
      <c r="Q56" s="3525"/>
      <c r="R56" s="3525"/>
      <c r="S56" s="3525"/>
      <c r="T56" s="3525"/>
      <c r="U56" s="3525"/>
      <c r="V56" s="3525"/>
      <c r="W56" s="3525"/>
      <c r="X56" s="3525"/>
      <c r="Y56" s="3525"/>
      <c r="Z56" s="3525"/>
      <c r="AA56" s="3525"/>
      <c r="AB56" s="1561"/>
      <c r="AC56" s="1560"/>
      <c r="AD56" s="1560"/>
      <c r="AE56" s="1560"/>
      <c r="AF56" s="1560"/>
    </row>
    <row r="57" spans="1:32" s="1547" customFormat="1" ht="18.75" customHeight="1">
      <c r="A57" s="3525" t="str">
        <f>A4</f>
        <v>Per - Februari 2016 2016</v>
      </c>
      <c r="B57" s="3525"/>
      <c r="C57" s="3525"/>
      <c r="D57" s="3525"/>
      <c r="E57" s="3525"/>
      <c r="F57" s="3525"/>
      <c r="G57" s="3525"/>
      <c r="H57" s="3525"/>
      <c r="I57" s="3525"/>
      <c r="J57" s="3525"/>
      <c r="K57" s="3525"/>
      <c r="L57" s="3525"/>
      <c r="M57" s="3525"/>
      <c r="N57" s="3525"/>
      <c r="O57" s="3525"/>
      <c r="P57" s="3525"/>
      <c r="Q57" s="3525"/>
      <c r="R57" s="3525"/>
      <c r="S57" s="3525"/>
      <c r="T57" s="3525"/>
      <c r="U57" s="3525"/>
      <c r="V57" s="3525"/>
      <c r="W57" s="3525"/>
      <c r="X57" s="3525"/>
      <c r="Y57" s="3525"/>
      <c r="Z57" s="3525"/>
      <c r="AA57" s="3525"/>
      <c r="AB57" s="1556"/>
      <c r="AC57" s="1548"/>
      <c r="AD57" s="1548"/>
    </row>
    <row r="58" spans="1:32" s="1542" customFormat="1" ht="24.75" customHeight="1">
      <c r="A58" s="3410" t="s">
        <v>1503</v>
      </c>
      <c r="B58" s="3410"/>
      <c r="C58" s="3410"/>
      <c r="D58" s="1553"/>
      <c r="E58" s="1558" t="str">
        <f>E5</f>
        <v>:  PAWENANG</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3" t="s">
        <v>36</v>
      </c>
      <c r="B63" s="3413" t="s">
        <v>1499</v>
      </c>
      <c r="C63" s="3413"/>
      <c r="D63" s="3413" t="s">
        <v>1498</v>
      </c>
      <c r="E63" s="3413" t="s">
        <v>1497</v>
      </c>
      <c r="F63" s="3413"/>
      <c r="G63" s="3413" t="s">
        <v>1496</v>
      </c>
      <c r="H63" s="3413" t="s">
        <v>1495</v>
      </c>
      <c r="I63" s="3413" t="s">
        <v>1494</v>
      </c>
      <c r="J63" s="3413" t="s">
        <v>1493</v>
      </c>
      <c r="K63" s="3413" t="s">
        <v>1492</v>
      </c>
      <c r="L63" s="3413"/>
      <c r="M63" s="3413" t="s">
        <v>1491</v>
      </c>
      <c r="N63" s="3413"/>
      <c r="O63" s="3413" t="s">
        <v>1490</v>
      </c>
      <c r="P63" s="3413"/>
      <c r="Q63" s="3413"/>
      <c r="R63" s="3413" t="s">
        <v>1489</v>
      </c>
      <c r="S63" s="3413"/>
      <c r="T63" s="3413"/>
      <c r="U63" s="3413" t="s">
        <v>1488</v>
      </c>
      <c r="V63" s="3413"/>
      <c r="W63" s="3413"/>
      <c r="X63" s="3413" t="s">
        <v>1487</v>
      </c>
      <c r="Y63" s="3413" t="s">
        <v>1486</v>
      </c>
      <c r="Z63" s="3413" t="s">
        <v>1485</v>
      </c>
      <c r="AA63" s="3413"/>
      <c r="AB63" s="3410" t="s">
        <v>1484</v>
      </c>
      <c r="AC63" s="1541" t="s">
        <v>1483</v>
      </c>
      <c r="AD63" s="1540" t="s">
        <v>1482</v>
      </c>
      <c r="AE63" s="1540" t="s">
        <v>1481</v>
      </c>
      <c r="AF63" s="1539" t="s">
        <v>1480</v>
      </c>
    </row>
    <row r="64" spans="1:32" s="1528" customFormat="1" ht="22.5" customHeight="1">
      <c r="A64" s="3413"/>
      <c r="B64" s="1536" t="s">
        <v>1479</v>
      </c>
      <c r="C64" s="1536" t="s">
        <v>1478</v>
      </c>
      <c r="D64" s="3413"/>
      <c r="E64" s="1537" t="s">
        <v>16</v>
      </c>
      <c r="F64" s="1537" t="s">
        <v>1476</v>
      </c>
      <c r="G64" s="3413"/>
      <c r="H64" s="3413"/>
      <c r="I64" s="3413"/>
      <c r="J64" s="3413"/>
      <c r="K64" s="3413" t="s">
        <v>16</v>
      </c>
      <c r="L64" s="3413" t="s">
        <v>1476</v>
      </c>
      <c r="M64" s="1537" t="s">
        <v>16</v>
      </c>
      <c r="N64" s="1537" t="s">
        <v>1476</v>
      </c>
      <c r="O64" s="1537" t="s">
        <v>16</v>
      </c>
      <c r="P64" s="1537" t="s">
        <v>1476</v>
      </c>
      <c r="Q64" s="1537" t="s">
        <v>1477</v>
      </c>
      <c r="R64" s="1537" t="s">
        <v>16</v>
      </c>
      <c r="S64" s="1537" t="s">
        <v>1476</v>
      </c>
      <c r="T64" s="1537" t="s">
        <v>1477</v>
      </c>
      <c r="U64" s="1537" t="s">
        <v>16</v>
      </c>
      <c r="V64" s="1537" t="s">
        <v>1476</v>
      </c>
      <c r="W64" s="1537" t="s">
        <v>1477</v>
      </c>
      <c r="X64" s="3413"/>
      <c r="Y64" s="3413"/>
      <c r="Z64" s="1537" t="s">
        <v>16</v>
      </c>
      <c r="AA64" s="1537" t="s">
        <v>1476</v>
      </c>
      <c r="AB64" s="3410"/>
      <c r="AC64" s="1531" t="s">
        <v>1475</v>
      </c>
      <c r="AD64" s="1530" t="s">
        <v>1474</v>
      </c>
      <c r="AE64" s="1530" t="s">
        <v>1473</v>
      </c>
      <c r="AF64" s="1529" t="s">
        <v>1472</v>
      </c>
    </row>
    <row r="65" spans="1:32" s="1461" customFormat="1" ht="13.5" customHeight="1" thickBot="1">
      <c r="A65" s="2168">
        <v>1</v>
      </c>
      <c r="B65" s="2168">
        <v>2</v>
      </c>
      <c r="C65" s="2168">
        <v>3</v>
      </c>
      <c r="D65" s="3413"/>
      <c r="E65" s="2168">
        <v>4</v>
      </c>
      <c r="F65" s="2168">
        <v>5</v>
      </c>
      <c r="G65" s="2168">
        <v>6</v>
      </c>
      <c r="H65" s="3413"/>
      <c r="I65" s="3413"/>
      <c r="J65" s="3413"/>
      <c r="K65" s="3413"/>
      <c r="L65" s="3413"/>
      <c r="M65" s="2168">
        <v>7</v>
      </c>
      <c r="N65" s="2168">
        <v>8</v>
      </c>
      <c r="O65" s="2168">
        <v>9</v>
      </c>
      <c r="P65" s="2168">
        <v>10</v>
      </c>
      <c r="Q65" s="2168">
        <v>11</v>
      </c>
      <c r="R65" s="2168">
        <v>12</v>
      </c>
      <c r="S65" s="2168">
        <v>13</v>
      </c>
      <c r="T65" s="2168">
        <v>14</v>
      </c>
      <c r="U65" s="2168" t="s">
        <v>1471</v>
      </c>
      <c r="V65" s="2168" t="s">
        <v>1470</v>
      </c>
      <c r="W65" s="2168" t="s">
        <v>1469</v>
      </c>
      <c r="X65" s="2168" t="s">
        <v>1468</v>
      </c>
      <c r="Y65" s="2168" t="s">
        <v>1467</v>
      </c>
      <c r="Z65" s="2168" t="s">
        <v>1466</v>
      </c>
      <c r="AA65" s="2168" t="s">
        <v>1465</v>
      </c>
      <c r="AB65">
        <v>22</v>
      </c>
      <c r="AC65" s="1518">
        <v>23</v>
      </c>
      <c r="AD65" s="1517">
        <v>24</v>
      </c>
      <c r="AE65" s="1517">
        <v>25</v>
      </c>
      <c r="AF65" s="1516">
        <v>26</v>
      </c>
    </row>
    <row r="66" spans="1:32" s="1474" customFormat="1" ht="23.25" customHeight="1" thickTop="1">
      <c r="A66" s="1515">
        <v>1</v>
      </c>
      <c r="B66" s="1513" t="s">
        <v>1941</v>
      </c>
      <c r="C66" s="1514" t="s">
        <v>1928</v>
      </c>
      <c r="D66" s="1514"/>
      <c r="E66" s="1513">
        <v>11600000</v>
      </c>
      <c r="F66" s="1512">
        <f t="shared" ref="F66:F165" si="16">E66*H66</f>
        <v>2088000</v>
      </c>
      <c r="G66" s="2141">
        <v>40299</v>
      </c>
      <c r="H66" s="1511">
        <v>0.18</v>
      </c>
      <c r="I66" s="1508">
        <v>12</v>
      </c>
      <c r="J66" s="1508">
        <v>12</v>
      </c>
      <c r="K66" s="1508">
        <v>966700</v>
      </c>
      <c r="L66" s="1508">
        <v>174000</v>
      </c>
      <c r="M66" s="1510">
        <f t="shared" ref="M66:M165" si="17">IF(J66&lt;I66,J66*K66,IF(J66&gt;=I66,E66))</f>
        <v>11600000</v>
      </c>
      <c r="N66" s="1510">
        <f t="shared" ref="N66:N165" si="18">IF(J66&lt;I66,J66*L66,IF(J66&gt;=I66,F66))</f>
        <v>2088000</v>
      </c>
      <c r="O66" s="1509">
        <v>11600000</v>
      </c>
      <c r="P66" s="1509">
        <v>2088000</v>
      </c>
      <c r="Q66" s="1509"/>
      <c r="R66" s="2651"/>
      <c r="S66" s="2651"/>
      <c r="T66" s="1507"/>
      <c r="U66" s="1495">
        <f t="shared" ref="U66:U165" si="19">SUM(O66+R66)</f>
        <v>11600000</v>
      </c>
      <c r="V66" s="1495">
        <f t="shared" ref="V66:V165" si="20">SUM(P66+S66)</f>
        <v>2088000</v>
      </c>
      <c r="W66" s="1495">
        <f t="shared" ref="W66:W98" si="21">SUM(Q66+T66)</f>
        <v>0</v>
      </c>
      <c r="X66" s="1495">
        <f t="shared" ref="X66:X165" si="22">SUM(E66-U66)</f>
        <v>0</v>
      </c>
      <c r="Y66" s="1495">
        <f t="shared" ref="Y66:Y165" si="23">SUM(U66/M66)*100</f>
        <v>100</v>
      </c>
      <c r="Z66" s="1495">
        <f t="shared" ref="Z66:Z165" si="24">SUM(M66-U66)</f>
        <v>0</v>
      </c>
      <c r="AA66" s="1506">
        <f t="shared" ref="AA66:AA165" si="25">SUM(N66-V66)</f>
        <v>0</v>
      </c>
      <c r="AB66" s="1505"/>
      <c r="AC66" s="1504">
        <f t="shared" ref="AC66:AC165" si="26">IF(AND(AB66&gt;0,AB66&lt;=2),X66,0)</f>
        <v>0</v>
      </c>
      <c r="AD66" s="1503">
        <f t="shared" ref="AD66:AD165" si="27">IF(AND(AB66&gt;=3,AB66&lt;=4),X66,0)</f>
        <v>0</v>
      </c>
      <c r="AE66" s="1503">
        <f t="shared" ref="AE66:AE165" si="28">IF(AND(AB66&gt;=5,AB66&lt;=6),X66,0)</f>
        <v>0</v>
      </c>
      <c r="AF66" s="1502">
        <f t="shared" ref="AF66:AF165" si="29">IF(AB66&gt;6,X66,0)</f>
        <v>0</v>
      </c>
    </row>
    <row r="67" spans="1:32" s="1474" customFormat="1" ht="23.25" customHeight="1">
      <c r="A67" s="1515">
        <f>A66+1</f>
        <v>2</v>
      </c>
      <c r="B67" s="1513" t="s">
        <v>2087</v>
      </c>
      <c r="C67" s="1514" t="s">
        <v>1928</v>
      </c>
      <c r="D67" s="1514"/>
      <c r="E67" s="1513">
        <v>11600000</v>
      </c>
      <c r="F67" s="1512">
        <f t="shared" si="16"/>
        <v>2088000</v>
      </c>
      <c r="G67" s="2141">
        <v>40299</v>
      </c>
      <c r="H67" s="1511">
        <v>0.18</v>
      </c>
      <c r="I67" s="1508">
        <v>12</v>
      </c>
      <c r="J67" s="1508">
        <v>12</v>
      </c>
      <c r="K67" s="1508">
        <v>966700</v>
      </c>
      <c r="L67" s="1508">
        <v>174000</v>
      </c>
      <c r="M67" s="1510">
        <f t="shared" si="17"/>
        <v>11600000</v>
      </c>
      <c r="N67" s="1510">
        <f t="shared" si="18"/>
        <v>2088000</v>
      </c>
      <c r="O67" s="1509">
        <v>11600000</v>
      </c>
      <c r="P67" s="1509">
        <v>2088000</v>
      </c>
      <c r="Q67" s="1509"/>
      <c r="R67" s="2651"/>
      <c r="S67" s="2651"/>
      <c r="T67" s="1507"/>
      <c r="U67" s="1495">
        <f t="shared" si="19"/>
        <v>11600000</v>
      </c>
      <c r="V67" s="1495">
        <f t="shared" si="20"/>
        <v>2088000</v>
      </c>
      <c r="W67" s="1495">
        <f t="shared" si="21"/>
        <v>0</v>
      </c>
      <c r="X67" s="1495">
        <f t="shared" si="22"/>
        <v>0</v>
      </c>
      <c r="Y67" s="1495">
        <f t="shared" si="23"/>
        <v>100</v>
      </c>
      <c r="Z67" s="1495">
        <f t="shared" si="24"/>
        <v>0</v>
      </c>
      <c r="AA67" s="1506">
        <f t="shared" si="25"/>
        <v>0</v>
      </c>
      <c r="AB67" s="1505"/>
      <c r="AC67" s="1504">
        <f t="shared" si="26"/>
        <v>0</v>
      </c>
      <c r="AD67" s="1503">
        <f t="shared" si="27"/>
        <v>0</v>
      </c>
      <c r="AE67" s="1503">
        <f t="shared" si="28"/>
        <v>0</v>
      </c>
      <c r="AF67" s="1502">
        <f t="shared" si="29"/>
        <v>0</v>
      </c>
    </row>
    <row r="68" spans="1:32" s="1474" customFormat="1" ht="23.25" customHeight="1">
      <c r="A68" s="1515">
        <f t="shared" ref="A68:A76" si="30">A67+1</f>
        <v>3</v>
      </c>
      <c r="B68" s="1513" t="s">
        <v>1991</v>
      </c>
      <c r="C68" s="1514" t="s">
        <v>1931</v>
      </c>
      <c r="D68" s="1514"/>
      <c r="E68" s="1513">
        <v>7000000</v>
      </c>
      <c r="F68" s="1512">
        <f t="shared" si="16"/>
        <v>1260000</v>
      </c>
      <c r="G68" s="2141">
        <v>40245</v>
      </c>
      <c r="H68" s="1511">
        <v>0.18</v>
      </c>
      <c r="I68" s="1508">
        <v>12</v>
      </c>
      <c r="J68" s="1508">
        <v>12</v>
      </c>
      <c r="K68" s="1508">
        <v>583300</v>
      </c>
      <c r="L68" s="1508">
        <v>105000</v>
      </c>
      <c r="M68" s="1510">
        <f t="shared" si="17"/>
        <v>7000000</v>
      </c>
      <c r="N68" s="1510">
        <f t="shared" si="18"/>
        <v>1260000</v>
      </c>
      <c r="O68" s="1509">
        <v>7000000</v>
      </c>
      <c r="P68" s="1509">
        <v>1260000</v>
      </c>
      <c r="Q68" s="1509"/>
      <c r="R68" s="2651"/>
      <c r="S68" s="2651"/>
      <c r="T68" s="1507"/>
      <c r="U68" s="1495">
        <f t="shared" si="19"/>
        <v>7000000</v>
      </c>
      <c r="V68" s="1495">
        <f t="shared" si="20"/>
        <v>1260000</v>
      </c>
      <c r="W68" s="1495">
        <f t="shared" si="21"/>
        <v>0</v>
      </c>
      <c r="X68" s="1495">
        <f t="shared" si="22"/>
        <v>0</v>
      </c>
      <c r="Y68" s="1495">
        <f t="shared" si="23"/>
        <v>100</v>
      </c>
      <c r="Z68" s="1495">
        <f t="shared" si="24"/>
        <v>0</v>
      </c>
      <c r="AA68" s="1506">
        <f t="shared" si="25"/>
        <v>0</v>
      </c>
      <c r="AB68" s="1505"/>
      <c r="AC68" s="1504">
        <f t="shared" si="26"/>
        <v>0</v>
      </c>
      <c r="AD68" s="1503">
        <f t="shared" si="27"/>
        <v>0</v>
      </c>
      <c r="AE68" s="1503">
        <f t="shared" si="28"/>
        <v>0</v>
      </c>
      <c r="AF68" s="1502">
        <f t="shared" si="29"/>
        <v>0</v>
      </c>
    </row>
    <row r="69" spans="1:32" s="1474" customFormat="1" ht="23.25" customHeight="1">
      <c r="A69" s="1515">
        <f t="shared" si="30"/>
        <v>4</v>
      </c>
      <c r="B69" s="1513" t="s">
        <v>1952</v>
      </c>
      <c r="C69" s="1514" t="s">
        <v>1935</v>
      </c>
      <c r="D69" s="1514"/>
      <c r="E69" s="1513">
        <v>18000000</v>
      </c>
      <c r="F69" s="1512">
        <f t="shared" si="16"/>
        <v>3240000</v>
      </c>
      <c r="G69" s="2141">
        <v>40497</v>
      </c>
      <c r="H69" s="1511">
        <v>0.18</v>
      </c>
      <c r="I69" s="1508">
        <v>12</v>
      </c>
      <c r="J69" s="1508">
        <v>12</v>
      </c>
      <c r="K69" s="1508">
        <v>1500000</v>
      </c>
      <c r="L69" s="1508">
        <v>270000</v>
      </c>
      <c r="M69" s="1510">
        <f t="shared" si="17"/>
        <v>18000000</v>
      </c>
      <c r="N69" s="1510">
        <f t="shared" si="18"/>
        <v>3240000</v>
      </c>
      <c r="O69" s="1509">
        <v>18000000</v>
      </c>
      <c r="P69" s="1509">
        <v>3240000</v>
      </c>
      <c r="Q69" s="1509"/>
      <c r="R69" s="2651"/>
      <c r="S69" s="2651"/>
      <c r="T69" s="1507"/>
      <c r="U69" s="1495">
        <f t="shared" si="19"/>
        <v>18000000</v>
      </c>
      <c r="V69" s="1495">
        <f t="shared" si="20"/>
        <v>3240000</v>
      </c>
      <c r="W69" s="1495">
        <f t="shared" si="21"/>
        <v>0</v>
      </c>
      <c r="X69" s="1495">
        <f t="shared" si="22"/>
        <v>0</v>
      </c>
      <c r="Y69" s="1495">
        <f t="shared" si="23"/>
        <v>100</v>
      </c>
      <c r="Z69" s="1495">
        <f t="shared" si="24"/>
        <v>0</v>
      </c>
      <c r="AA69" s="1506">
        <f t="shared" si="25"/>
        <v>0</v>
      </c>
      <c r="AB69" s="1505"/>
      <c r="AC69" s="1504">
        <f t="shared" si="26"/>
        <v>0</v>
      </c>
      <c r="AD69" s="1503">
        <f t="shared" si="27"/>
        <v>0</v>
      </c>
      <c r="AE69" s="1503">
        <f t="shared" si="28"/>
        <v>0</v>
      </c>
      <c r="AF69" s="1502">
        <f t="shared" si="29"/>
        <v>0</v>
      </c>
    </row>
    <row r="70" spans="1:32" s="1474" customFormat="1" ht="23.25" customHeight="1">
      <c r="A70" s="1515">
        <f t="shared" si="30"/>
        <v>5</v>
      </c>
      <c r="B70" s="1513" t="s">
        <v>2087</v>
      </c>
      <c r="C70" s="1514" t="s">
        <v>1935</v>
      </c>
      <c r="D70" s="1514"/>
      <c r="E70" s="1513">
        <v>24000000</v>
      </c>
      <c r="F70" s="1512">
        <f t="shared" si="16"/>
        <v>4320000</v>
      </c>
      <c r="G70" s="2141">
        <v>40520</v>
      </c>
      <c r="H70" s="1511">
        <v>0.18</v>
      </c>
      <c r="I70" s="1508">
        <v>12</v>
      </c>
      <c r="J70" s="2404">
        <v>12</v>
      </c>
      <c r="K70" s="1508">
        <v>2000000</v>
      </c>
      <c r="L70" s="1508">
        <v>360000</v>
      </c>
      <c r="M70" s="1510">
        <f t="shared" si="17"/>
        <v>24000000</v>
      </c>
      <c r="N70" s="2401">
        <f>IF(J70&lt;I70,J70*L70,IF(J70&gt;=I70,F70))-360000</f>
        <v>3960000</v>
      </c>
      <c r="O70" s="1509">
        <v>24000000</v>
      </c>
      <c r="P70" s="1509">
        <v>3960000</v>
      </c>
      <c r="Q70" s="1509"/>
      <c r="R70" s="2651"/>
      <c r="S70" s="2651"/>
      <c r="T70" s="1507"/>
      <c r="U70" s="1495">
        <f t="shared" si="19"/>
        <v>24000000</v>
      </c>
      <c r="V70" s="1495">
        <f t="shared" si="20"/>
        <v>3960000</v>
      </c>
      <c r="W70" s="1495">
        <f t="shared" si="21"/>
        <v>0</v>
      </c>
      <c r="X70" s="1495">
        <f t="shared" si="22"/>
        <v>0</v>
      </c>
      <c r="Y70" s="1495">
        <f t="shared" si="23"/>
        <v>100</v>
      </c>
      <c r="Z70" s="1495">
        <f t="shared" si="24"/>
        <v>0</v>
      </c>
      <c r="AA70" s="1506">
        <f t="shared" si="25"/>
        <v>0</v>
      </c>
      <c r="AB70" s="1505"/>
      <c r="AC70" s="1504">
        <f t="shared" si="26"/>
        <v>0</v>
      </c>
      <c r="AD70" s="1503">
        <f t="shared" si="27"/>
        <v>0</v>
      </c>
      <c r="AE70" s="1503">
        <f t="shared" si="28"/>
        <v>0</v>
      </c>
      <c r="AF70" s="1502">
        <f t="shared" si="29"/>
        <v>0</v>
      </c>
    </row>
    <row r="71" spans="1:32" s="1474" customFormat="1" ht="23.25" customHeight="1">
      <c r="A71" s="1515">
        <f t="shared" si="30"/>
        <v>6</v>
      </c>
      <c r="B71" s="1513" t="s">
        <v>1941</v>
      </c>
      <c r="C71" s="1514" t="s">
        <v>1935</v>
      </c>
      <c r="D71" s="1514"/>
      <c r="E71" s="1513">
        <v>15000000</v>
      </c>
      <c r="F71" s="1512">
        <f t="shared" si="16"/>
        <v>2700000</v>
      </c>
      <c r="G71" s="2141">
        <v>40521</v>
      </c>
      <c r="H71" s="1511">
        <v>0.18</v>
      </c>
      <c r="I71" s="1508">
        <v>12</v>
      </c>
      <c r="J71" s="2404">
        <v>12</v>
      </c>
      <c r="K71" s="1508">
        <v>1250000</v>
      </c>
      <c r="L71" s="1508">
        <v>225000</v>
      </c>
      <c r="M71" s="1510">
        <f t="shared" si="17"/>
        <v>15000000</v>
      </c>
      <c r="N71" s="2401">
        <f>IF(J71&lt;I71,J71*L71,IF(J71&gt;=I71,F71))-225000</f>
        <v>2475000</v>
      </c>
      <c r="O71" s="1509">
        <v>15000000</v>
      </c>
      <c r="P71" s="1509">
        <v>2475000</v>
      </c>
      <c r="Q71" s="1509"/>
      <c r="R71" s="2651"/>
      <c r="S71" s="2651"/>
      <c r="T71" s="1507"/>
      <c r="U71" s="1495">
        <f t="shared" si="19"/>
        <v>15000000</v>
      </c>
      <c r="V71" s="1495">
        <f t="shared" si="20"/>
        <v>2475000</v>
      </c>
      <c r="W71" s="1495">
        <f t="shared" si="21"/>
        <v>0</v>
      </c>
      <c r="X71" s="1495">
        <f t="shared" si="22"/>
        <v>0</v>
      </c>
      <c r="Y71" s="1495">
        <f t="shared" si="23"/>
        <v>100</v>
      </c>
      <c r="Z71" s="1495">
        <f t="shared" si="24"/>
        <v>0</v>
      </c>
      <c r="AA71" s="1506">
        <f t="shared" si="25"/>
        <v>0</v>
      </c>
      <c r="AB71" s="1505"/>
      <c r="AC71" s="1504">
        <f t="shared" si="26"/>
        <v>0</v>
      </c>
      <c r="AD71" s="1503">
        <f t="shared" si="27"/>
        <v>0</v>
      </c>
      <c r="AE71" s="1503">
        <f t="shared" si="28"/>
        <v>0</v>
      </c>
      <c r="AF71" s="1502">
        <f t="shared" si="29"/>
        <v>0</v>
      </c>
    </row>
    <row r="72" spans="1:32" s="1474" customFormat="1" ht="23.25" customHeight="1">
      <c r="A72" s="1515">
        <f t="shared" si="30"/>
        <v>7</v>
      </c>
      <c r="B72" s="1513" t="s">
        <v>2088</v>
      </c>
      <c r="C72" s="1514" t="s">
        <v>1932</v>
      </c>
      <c r="D72" s="1514"/>
      <c r="E72" s="1513">
        <v>9000000</v>
      </c>
      <c r="F72" s="1512">
        <f t="shared" si="16"/>
        <v>1620000</v>
      </c>
      <c r="G72" s="2141">
        <v>40340</v>
      </c>
      <c r="H72" s="1511">
        <v>0.18</v>
      </c>
      <c r="I72" s="1508">
        <v>12</v>
      </c>
      <c r="J72" s="1508">
        <v>12</v>
      </c>
      <c r="K72" s="1508">
        <v>750000</v>
      </c>
      <c r="L72" s="1508">
        <v>135000</v>
      </c>
      <c r="M72" s="1510">
        <f t="shared" si="17"/>
        <v>9000000</v>
      </c>
      <c r="N72" s="1510">
        <f t="shared" si="18"/>
        <v>1620000</v>
      </c>
      <c r="O72" s="1509">
        <v>9000000</v>
      </c>
      <c r="P72" s="1509">
        <v>1620000</v>
      </c>
      <c r="Q72" s="1509"/>
      <c r="R72" s="2651"/>
      <c r="S72" s="2651"/>
      <c r="T72" s="1507"/>
      <c r="U72" s="1495">
        <f t="shared" si="19"/>
        <v>9000000</v>
      </c>
      <c r="V72" s="1495">
        <f t="shared" si="20"/>
        <v>1620000</v>
      </c>
      <c r="W72" s="1495">
        <f t="shared" si="21"/>
        <v>0</v>
      </c>
      <c r="X72" s="1495">
        <f t="shared" si="22"/>
        <v>0</v>
      </c>
      <c r="Y72" s="1495">
        <f t="shared" si="23"/>
        <v>100</v>
      </c>
      <c r="Z72" s="1495">
        <f t="shared" si="24"/>
        <v>0</v>
      </c>
      <c r="AA72" s="1506">
        <f t="shared" si="25"/>
        <v>0</v>
      </c>
      <c r="AB72" s="1505"/>
      <c r="AC72" s="1504">
        <f t="shared" si="26"/>
        <v>0</v>
      </c>
      <c r="AD72" s="1503">
        <f t="shared" si="27"/>
        <v>0</v>
      </c>
      <c r="AE72" s="1503">
        <f t="shared" si="28"/>
        <v>0</v>
      </c>
      <c r="AF72" s="1502">
        <f t="shared" si="29"/>
        <v>0</v>
      </c>
    </row>
    <row r="73" spans="1:32" s="1474" customFormat="1" ht="23.25" customHeight="1">
      <c r="A73" s="1515">
        <f t="shared" si="30"/>
        <v>8</v>
      </c>
      <c r="B73" s="1513" t="s">
        <v>2093</v>
      </c>
      <c r="C73" s="1514" t="s">
        <v>1932</v>
      </c>
      <c r="D73" s="1514"/>
      <c r="E73" s="1513">
        <v>12000000</v>
      </c>
      <c r="F73" s="1512">
        <f t="shared" si="16"/>
        <v>2160000</v>
      </c>
      <c r="G73" s="2141">
        <v>40340</v>
      </c>
      <c r="H73" s="1511">
        <v>0.18</v>
      </c>
      <c r="I73" s="1508">
        <v>12</v>
      </c>
      <c r="J73" s="1508">
        <v>12</v>
      </c>
      <c r="K73" s="1508">
        <v>1000000</v>
      </c>
      <c r="L73" s="1508">
        <v>180000</v>
      </c>
      <c r="M73" s="1510">
        <f t="shared" si="17"/>
        <v>12000000</v>
      </c>
      <c r="N73" s="1510">
        <f t="shared" si="18"/>
        <v>2160000</v>
      </c>
      <c r="O73" s="1509">
        <v>12000000</v>
      </c>
      <c r="P73" s="1509">
        <v>2160000</v>
      </c>
      <c r="Q73" s="1509"/>
      <c r="R73" s="2651"/>
      <c r="S73" s="2651"/>
      <c r="T73" s="1507"/>
      <c r="U73" s="1495">
        <f t="shared" si="19"/>
        <v>12000000</v>
      </c>
      <c r="V73" s="1495">
        <f t="shared" si="20"/>
        <v>2160000</v>
      </c>
      <c r="W73" s="1495">
        <f t="shared" si="21"/>
        <v>0</v>
      </c>
      <c r="X73" s="1495">
        <f t="shared" si="22"/>
        <v>0</v>
      </c>
      <c r="Y73" s="1495">
        <f t="shared" si="23"/>
        <v>100</v>
      </c>
      <c r="Z73" s="1495">
        <f t="shared" si="24"/>
        <v>0</v>
      </c>
      <c r="AA73" s="1506">
        <f t="shared" si="25"/>
        <v>0</v>
      </c>
      <c r="AB73" s="1505"/>
      <c r="AC73" s="1504">
        <f t="shared" si="26"/>
        <v>0</v>
      </c>
      <c r="AD73" s="1503">
        <f t="shared" si="27"/>
        <v>0</v>
      </c>
      <c r="AE73" s="1503">
        <f t="shared" si="28"/>
        <v>0</v>
      </c>
      <c r="AF73" s="1502">
        <f t="shared" si="29"/>
        <v>0</v>
      </c>
    </row>
    <row r="74" spans="1:32" s="1474" customFormat="1" ht="23.25" customHeight="1">
      <c r="A74" s="1515">
        <f t="shared" si="30"/>
        <v>9</v>
      </c>
      <c r="B74" s="1513" t="s">
        <v>2094</v>
      </c>
      <c r="C74" s="1514" t="s">
        <v>1940</v>
      </c>
      <c r="D74" s="1514"/>
      <c r="E74" s="1513">
        <v>6400000</v>
      </c>
      <c r="F74" s="1512">
        <f t="shared" si="16"/>
        <v>1152000</v>
      </c>
      <c r="G74" s="2141">
        <v>40636</v>
      </c>
      <c r="H74" s="1511">
        <v>0.18</v>
      </c>
      <c r="I74" s="1508">
        <v>12</v>
      </c>
      <c r="J74" s="2404">
        <v>12</v>
      </c>
      <c r="K74" s="1508">
        <v>533300</v>
      </c>
      <c r="L74" s="1508">
        <v>96000</v>
      </c>
      <c r="M74" s="1510">
        <f t="shared" si="17"/>
        <v>6400000</v>
      </c>
      <c r="N74" s="2401">
        <f>IF(J74&lt;I74,J74*L74,IF(J74&gt;=I74,F74))-96000</f>
        <v>1056000</v>
      </c>
      <c r="O74" s="1509">
        <v>6400000</v>
      </c>
      <c r="P74" s="1509">
        <v>1056000</v>
      </c>
      <c r="Q74" s="1509"/>
      <c r="R74" s="2651"/>
      <c r="S74" s="2651"/>
      <c r="T74" s="1507"/>
      <c r="U74" s="1495">
        <f t="shared" si="19"/>
        <v>6400000</v>
      </c>
      <c r="V74" s="1495">
        <f t="shared" si="20"/>
        <v>1056000</v>
      </c>
      <c r="W74" s="1495">
        <f t="shared" si="21"/>
        <v>0</v>
      </c>
      <c r="X74" s="1495">
        <f t="shared" si="22"/>
        <v>0</v>
      </c>
      <c r="Y74" s="1495">
        <f t="shared" si="23"/>
        <v>100</v>
      </c>
      <c r="Z74" s="1495">
        <f t="shared" si="24"/>
        <v>0</v>
      </c>
      <c r="AA74" s="1506">
        <f t="shared" si="25"/>
        <v>0</v>
      </c>
      <c r="AB74" s="1505"/>
      <c r="AC74" s="1504">
        <f t="shared" si="26"/>
        <v>0</v>
      </c>
      <c r="AD74" s="1503">
        <f t="shared" si="27"/>
        <v>0</v>
      </c>
      <c r="AE74" s="1503">
        <f t="shared" si="28"/>
        <v>0</v>
      </c>
      <c r="AF74" s="1502">
        <f t="shared" si="29"/>
        <v>0</v>
      </c>
    </row>
    <row r="75" spans="1:32" s="1474" customFormat="1" ht="23.25" customHeight="1">
      <c r="A75" s="1515">
        <f t="shared" si="30"/>
        <v>10</v>
      </c>
      <c r="B75" s="1513" t="s">
        <v>2095</v>
      </c>
      <c r="C75" s="1514" t="s">
        <v>1940</v>
      </c>
      <c r="D75" s="1514">
        <v>12</v>
      </c>
      <c r="E75" s="1513">
        <v>9600000</v>
      </c>
      <c r="F75" s="1512">
        <f t="shared" si="16"/>
        <v>1728000</v>
      </c>
      <c r="G75" s="2141">
        <v>40636</v>
      </c>
      <c r="H75" s="1511">
        <v>0.18</v>
      </c>
      <c r="I75" s="1508">
        <v>12</v>
      </c>
      <c r="J75" s="2404">
        <v>12</v>
      </c>
      <c r="K75" s="1508">
        <v>800000</v>
      </c>
      <c r="L75" s="1508">
        <v>144000</v>
      </c>
      <c r="M75" s="1510">
        <f t="shared" si="17"/>
        <v>9600000</v>
      </c>
      <c r="N75" s="2401">
        <f>IF(J75&lt;I75,J75*L75,IF(J75&gt;=I75,F75))-144000</f>
        <v>1584000</v>
      </c>
      <c r="O75" s="1509">
        <v>9600000</v>
      </c>
      <c r="P75" s="1509">
        <v>1584000</v>
      </c>
      <c r="Q75" s="1509"/>
      <c r="R75" s="2651"/>
      <c r="S75" s="2651"/>
      <c r="T75" s="1507"/>
      <c r="U75" s="1495">
        <f t="shared" si="19"/>
        <v>9600000</v>
      </c>
      <c r="V75" s="1495">
        <f t="shared" si="20"/>
        <v>1584000</v>
      </c>
      <c r="W75" s="1495">
        <f t="shared" si="21"/>
        <v>0</v>
      </c>
      <c r="X75" s="1495">
        <f t="shared" si="22"/>
        <v>0</v>
      </c>
      <c r="Y75" s="1495">
        <f t="shared" si="23"/>
        <v>100</v>
      </c>
      <c r="Z75" s="1495">
        <f t="shared" si="24"/>
        <v>0</v>
      </c>
      <c r="AA75" s="1506">
        <f t="shared" si="25"/>
        <v>0</v>
      </c>
      <c r="AB75" s="1505"/>
      <c r="AC75" s="1504">
        <f t="shared" si="26"/>
        <v>0</v>
      </c>
      <c r="AD75" s="1503">
        <f t="shared" si="27"/>
        <v>0</v>
      </c>
      <c r="AE75" s="1503">
        <f t="shared" si="28"/>
        <v>0</v>
      </c>
      <c r="AF75" s="1502">
        <f t="shared" si="29"/>
        <v>0</v>
      </c>
    </row>
    <row r="76" spans="1:32" s="1474" customFormat="1" ht="23.25" customHeight="1">
      <c r="A76" s="1515">
        <f t="shared" si="30"/>
        <v>11</v>
      </c>
      <c r="B76" s="1513" t="s">
        <v>1991</v>
      </c>
      <c r="C76" s="1514" t="s">
        <v>1940</v>
      </c>
      <c r="D76" s="1514"/>
      <c r="E76" s="1513">
        <v>13000000</v>
      </c>
      <c r="F76" s="1512">
        <f t="shared" si="16"/>
        <v>2340000</v>
      </c>
      <c r="G76" s="2141">
        <v>40639</v>
      </c>
      <c r="H76" s="1511">
        <v>0.18</v>
      </c>
      <c r="I76" s="1508">
        <v>12</v>
      </c>
      <c r="J76" s="2404">
        <v>12</v>
      </c>
      <c r="K76" s="1508">
        <v>1083300</v>
      </c>
      <c r="L76" s="1508">
        <v>195000</v>
      </c>
      <c r="M76" s="1510">
        <f t="shared" si="17"/>
        <v>13000000</v>
      </c>
      <c r="N76" s="2401">
        <f>IF(J76&lt;I76,J76*L76,IF(J76&gt;=I76,F76))-195000</f>
        <v>2145000</v>
      </c>
      <c r="O76" s="1509">
        <v>13000000</v>
      </c>
      <c r="P76" s="1509">
        <v>2145000</v>
      </c>
      <c r="Q76" s="1509"/>
      <c r="R76" s="2651"/>
      <c r="S76" s="2651"/>
      <c r="T76" s="1507"/>
      <c r="U76" s="1495">
        <f t="shared" si="19"/>
        <v>13000000</v>
      </c>
      <c r="V76" s="1495">
        <f t="shared" si="20"/>
        <v>2145000</v>
      </c>
      <c r="W76" s="1495">
        <f t="shared" si="21"/>
        <v>0</v>
      </c>
      <c r="X76" s="1495">
        <f t="shared" si="22"/>
        <v>0</v>
      </c>
      <c r="Y76" s="1495">
        <f t="shared" si="23"/>
        <v>100</v>
      </c>
      <c r="Z76" s="1495">
        <f t="shared" si="24"/>
        <v>0</v>
      </c>
      <c r="AA76" s="1506">
        <f t="shared" si="25"/>
        <v>0</v>
      </c>
      <c r="AB76" s="1505"/>
      <c r="AC76" s="1504">
        <f t="shared" si="26"/>
        <v>0</v>
      </c>
      <c r="AD76" s="1503">
        <f t="shared" si="27"/>
        <v>0</v>
      </c>
      <c r="AE76" s="1503">
        <f t="shared" si="28"/>
        <v>0</v>
      </c>
      <c r="AF76" s="1502">
        <f t="shared" si="29"/>
        <v>0</v>
      </c>
    </row>
    <row r="77" spans="1:32" s="1474" customFormat="1" ht="23.25" customHeight="1">
      <c r="A77" s="1515">
        <v>12</v>
      </c>
      <c r="B77" s="1513" t="s">
        <v>2093</v>
      </c>
      <c r="C77" s="1514" t="s">
        <v>1985</v>
      </c>
      <c r="D77" s="1514"/>
      <c r="E77" s="1513">
        <v>25000000</v>
      </c>
      <c r="F77" s="1512">
        <f t="shared" si="16"/>
        <v>4500000</v>
      </c>
      <c r="G77" s="2141">
        <v>40679</v>
      </c>
      <c r="H77" s="1511">
        <v>0.18</v>
      </c>
      <c r="I77" s="1508">
        <v>12</v>
      </c>
      <c r="J77" s="1508">
        <v>12</v>
      </c>
      <c r="K77" s="1508">
        <v>2083300</v>
      </c>
      <c r="L77" s="1508">
        <f>F77/12</f>
        <v>375000</v>
      </c>
      <c r="M77" s="1510">
        <f t="shared" si="17"/>
        <v>25000000</v>
      </c>
      <c r="N77" s="1510">
        <f t="shared" si="18"/>
        <v>4500000</v>
      </c>
      <c r="O77" s="1509">
        <v>25000000</v>
      </c>
      <c r="P77" s="1509">
        <v>4500000</v>
      </c>
      <c r="Q77" s="1509"/>
      <c r="R77" s="2651"/>
      <c r="S77" s="2651"/>
      <c r="T77" s="1507"/>
      <c r="U77" s="1495">
        <f t="shared" si="19"/>
        <v>25000000</v>
      </c>
      <c r="V77" s="1495">
        <f t="shared" si="20"/>
        <v>4500000</v>
      </c>
      <c r="W77" s="1495">
        <f t="shared" si="21"/>
        <v>0</v>
      </c>
      <c r="X77" s="1495">
        <f t="shared" si="22"/>
        <v>0</v>
      </c>
      <c r="Y77" s="1495">
        <f t="shared" si="23"/>
        <v>100</v>
      </c>
      <c r="Z77" s="1495">
        <f t="shared" si="24"/>
        <v>0</v>
      </c>
      <c r="AA77" s="1506">
        <f t="shared" si="25"/>
        <v>0</v>
      </c>
      <c r="AB77" s="1505"/>
      <c r="AC77" s="1504">
        <f t="shared" si="26"/>
        <v>0</v>
      </c>
      <c r="AD77" s="1503">
        <f t="shared" si="27"/>
        <v>0</v>
      </c>
      <c r="AE77" s="1503">
        <f t="shared" si="28"/>
        <v>0</v>
      </c>
      <c r="AF77" s="1502">
        <f t="shared" si="29"/>
        <v>0</v>
      </c>
    </row>
    <row r="78" spans="1:32" s="1474" customFormat="1" ht="23.25" customHeight="1">
      <c r="A78" s="1515">
        <v>13</v>
      </c>
      <c r="B78" s="1513" t="s">
        <v>2202</v>
      </c>
      <c r="C78" s="1514" t="s">
        <v>1985</v>
      </c>
      <c r="D78" s="1514"/>
      <c r="E78" s="1513">
        <v>18000000</v>
      </c>
      <c r="F78" s="1512">
        <f t="shared" si="16"/>
        <v>3240000</v>
      </c>
      <c r="G78" s="2141">
        <v>40735</v>
      </c>
      <c r="H78" s="1511">
        <v>0.18</v>
      </c>
      <c r="I78" s="1508">
        <v>12</v>
      </c>
      <c r="J78" s="1508">
        <v>12</v>
      </c>
      <c r="K78" s="1508">
        <f>E78/I78</f>
        <v>1500000</v>
      </c>
      <c r="L78" s="1508">
        <f>F78/I78</f>
        <v>270000</v>
      </c>
      <c r="M78" s="1510">
        <f t="shared" si="17"/>
        <v>18000000</v>
      </c>
      <c r="N78" s="1510">
        <f t="shared" si="18"/>
        <v>3240000</v>
      </c>
      <c r="O78" s="1509">
        <v>18000000</v>
      </c>
      <c r="P78" s="1509">
        <v>3240000</v>
      </c>
      <c r="Q78" s="1509"/>
      <c r="R78" s="2651"/>
      <c r="S78" s="2651"/>
      <c r="T78" s="1507"/>
      <c r="U78" s="1495">
        <f t="shared" si="19"/>
        <v>18000000</v>
      </c>
      <c r="V78" s="1495">
        <f t="shared" si="20"/>
        <v>3240000</v>
      </c>
      <c r="W78" s="1495">
        <f t="shared" si="21"/>
        <v>0</v>
      </c>
      <c r="X78" s="1495">
        <f t="shared" si="22"/>
        <v>0</v>
      </c>
      <c r="Y78" s="1495">
        <f t="shared" si="23"/>
        <v>100</v>
      </c>
      <c r="Z78" s="1495">
        <f t="shared" si="24"/>
        <v>0</v>
      </c>
      <c r="AA78" s="1506">
        <f t="shared" si="25"/>
        <v>0</v>
      </c>
      <c r="AB78" s="1505"/>
      <c r="AC78" s="1504">
        <f t="shared" si="26"/>
        <v>0</v>
      </c>
      <c r="AD78" s="1503">
        <f t="shared" si="27"/>
        <v>0</v>
      </c>
      <c r="AE78" s="1503">
        <f t="shared" si="28"/>
        <v>0</v>
      </c>
      <c r="AF78" s="1502">
        <f t="shared" si="29"/>
        <v>0</v>
      </c>
    </row>
    <row r="79" spans="1:32" s="1474" customFormat="1" ht="23.25" customHeight="1">
      <c r="A79" s="1515">
        <v>14</v>
      </c>
      <c r="B79" s="1513" t="s">
        <v>2089</v>
      </c>
      <c r="C79" s="1514" t="s">
        <v>2222</v>
      </c>
      <c r="D79" s="1514"/>
      <c r="E79" s="1513">
        <v>10000000</v>
      </c>
      <c r="F79" s="1512">
        <f t="shared" si="16"/>
        <v>1800000</v>
      </c>
      <c r="G79" s="2141">
        <v>40851</v>
      </c>
      <c r="H79" s="1511">
        <v>0.18</v>
      </c>
      <c r="I79" s="1508">
        <v>12</v>
      </c>
      <c r="J79" s="1508">
        <v>12</v>
      </c>
      <c r="K79" s="1508">
        <v>833300</v>
      </c>
      <c r="L79" s="1508">
        <f t="shared" ref="L79:L143" si="31">F79/I79</f>
        <v>150000</v>
      </c>
      <c r="M79" s="1510">
        <f t="shared" si="17"/>
        <v>10000000</v>
      </c>
      <c r="N79" s="1510">
        <f>IF(J79&lt;I79,J79*L79,IF(J79&gt;=I79,F79))-300000</f>
        <v>1500000</v>
      </c>
      <c r="O79" s="1509">
        <v>10000000</v>
      </c>
      <c r="P79" s="1509">
        <v>1500000</v>
      </c>
      <c r="Q79" s="1509"/>
      <c r="R79" s="2651"/>
      <c r="S79" s="2651"/>
      <c r="T79" s="1507"/>
      <c r="U79" s="1495">
        <f t="shared" si="19"/>
        <v>10000000</v>
      </c>
      <c r="V79" s="1495">
        <f t="shared" si="20"/>
        <v>1500000</v>
      </c>
      <c r="W79" s="1495">
        <f t="shared" si="21"/>
        <v>0</v>
      </c>
      <c r="X79" s="1495">
        <f t="shared" si="22"/>
        <v>0</v>
      </c>
      <c r="Y79" s="1495">
        <f t="shared" si="23"/>
        <v>100</v>
      </c>
      <c r="Z79" s="1495">
        <f t="shared" si="24"/>
        <v>0</v>
      </c>
      <c r="AA79" s="1506">
        <f t="shared" si="25"/>
        <v>0</v>
      </c>
      <c r="AB79" s="1505"/>
      <c r="AC79" s="1504">
        <f t="shared" si="26"/>
        <v>0</v>
      </c>
      <c r="AD79" s="1503">
        <f t="shared" si="27"/>
        <v>0</v>
      </c>
      <c r="AE79" s="1503">
        <f t="shared" si="28"/>
        <v>0</v>
      </c>
      <c r="AF79" s="1502">
        <f t="shared" si="29"/>
        <v>0</v>
      </c>
    </row>
    <row r="80" spans="1:32" s="1474" customFormat="1" ht="23.25" customHeight="1">
      <c r="A80" s="1515">
        <v>15</v>
      </c>
      <c r="B80" s="1513" t="s">
        <v>2090</v>
      </c>
      <c r="C80" s="1514" t="s">
        <v>2222</v>
      </c>
      <c r="D80" s="1514"/>
      <c r="E80" s="1513">
        <v>10000000</v>
      </c>
      <c r="F80" s="1512">
        <f t="shared" si="16"/>
        <v>1800000</v>
      </c>
      <c r="G80" s="2141">
        <v>40851</v>
      </c>
      <c r="H80" s="1511">
        <v>0.18</v>
      </c>
      <c r="I80" s="1508">
        <v>12</v>
      </c>
      <c r="J80" s="1508">
        <v>12</v>
      </c>
      <c r="K80" s="1508">
        <v>833300</v>
      </c>
      <c r="L80" s="1508">
        <f t="shared" si="31"/>
        <v>150000</v>
      </c>
      <c r="M80" s="1510">
        <f t="shared" si="17"/>
        <v>10000000</v>
      </c>
      <c r="N80" s="1510">
        <f>IF(J80&lt;I80,J80*L80,IF(J80&gt;=I80,F80))-300000</f>
        <v>1500000</v>
      </c>
      <c r="O80" s="1509">
        <v>10000000</v>
      </c>
      <c r="P80" s="1509">
        <v>1500000</v>
      </c>
      <c r="Q80" s="1509"/>
      <c r="R80" s="2650"/>
      <c r="S80" s="2650"/>
      <c r="T80" s="1507"/>
      <c r="U80" s="1495">
        <f t="shared" si="19"/>
        <v>10000000</v>
      </c>
      <c r="V80" s="1495">
        <f t="shared" si="20"/>
        <v>1500000</v>
      </c>
      <c r="W80" s="1495">
        <f t="shared" si="21"/>
        <v>0</v>
      </c>
      <c r="X80" s="1495">
        <f t="shared" si="22"/>
        <v>0</v>
      </c>
      <c r="Y80" s="1495">
        <f t="shared" si="23"/>
        <v>100</v>
      </c>
      <c r="Z80" s="1495">
        <f t="shared" si="24"/>
        <v>0</v>
      </c>
      <c r="AA80" s="1506">
        <f t="shared" si="25"/>
        <v>0</v>
      </c>
      <c r="AB80" s="1505"/>
      <c r="AC80" s="1504">
        <f t="shared" si="26"/>
        <v>0</v>
      </c>
      <c r="AD80" s="1503">
        <f t="shared" si="27"/>
        <v>0</v>
      </c>
      <c r="AE80" s="1503">
        <f t="shared" si="28"/>
        <v>0</v>
      </c>
      <c r="AF80" s="1502">
        <f t="shared" si="29"/>
        <v>0</v>
      </c>
    </row>
    <row r="81" spans="1:32" s="1474" customFormat="1" ht="23.25" customHeight="1">
      <c r="A81" s="1515">
        <v>16</v>
      </c>
      <c r="B81" s="1513" t="s">
        <v>2091</v>
      </c>
      <c r="C81" s="1514" t="s">
        <v>2222</v>
      </c>
      <c r="D81" s="1514"/>
      <c r="E81" s="1513">
        <v>10000000</v>
      </c>
      <c r="F81" s="1512">
        <f t="shared" si="16"/>
        <v>1800000</v>
      </c>
      <c r="G81" s="2141">
        <v>40851</v>
      </c>
      <c r="H81" s="1511">
        <v>0.18</v>
      </c>
      <c r="I81" s="1508">
        <v>12</v>
      </c>
      <c r="J81" s="1508">
        <v>12</v>
      </c>
      <c r="K81" s="1508">
        <v>833300</v>
      </c>
      <c r="L81" s="1508">
        <f t="shared" si="31"/>
        <v>150000</v>
      </c>
      <c r="M81" s="1510">
        <f t="shared" si="17"/>
        <v>10000000</v>
      </c>
      <c r="N81" s="1510">
        <f>IF(J81&lt;I81,J81*L81,IF(J81&gt;=I81,F81))-300000</f>
        <v>1500000</v>
      </c>
      <c r="O81" s="1509">
        <v>10000000</v>
      </c>
      <c r="P81" s="1509">
        <v>1500000</v>
      </c>
      <c r="Q81" s="1509"/>
      <c r="R81" s="2650"/>
      <c r="S81" s="2650"/>
      <c r="T81" s="1507"/>
      <c r="U81" s="1495">
        <f t="shared" si="19"/>
        <v>10000000</v>
      </c>
      <c r="V81" s="1495">
        <f t="shared" si="20"/>
        <v>1500000</v>
      </c>
      <c r="W81" s="1495">
        <f t="shared" si="21"/>
        <v>0</v>
      </c>
      <c r="X81" s="1495">
        <f t="shared" si="22"/>
        <v>0</v>
      </c>
      <c r="Y81" s="1495">
        <f t="shared" si="23"/>
        <v>100</v>
      </c>
      <c r="Z81" s="1495">
        <f t="shared" si="24"/>
        <v>0</v>
      </c>
      <c r="AA81" s="1506">
        <f t="shared" si="25"/>
        <v>0</v>
      </c>
      <c r="AB81" s="1505"/>
      <c r="AC81" s="1504">
        <f t="shared" si="26"/>
        <v>0</v>
      </c>
      <c r="AD81" s="1503">
        <f t="shared" si="27"/>
        <v>0</v>
      </c>
      <c r="AE81" s="1503">
        <f t="shared" si="28"/>
        <v>0</v>
      </c>
      <c r="AF81" s="1502">
        <f t="shared" si="29"/>
        <v>0</v>
      </c>
    </row>
    <row r="82" spans="1:32" s="1474" customFormat="1" ht="23.25" customHeight="1">
      <c r="A82" s="1515">
        <v>17</v>
      </c>
      <c r="B82" s="1513" t="s">
        <v>2092</v>
      </c>
      <c r="C82" s="1514" t="s">
        <v>2222</v>
      </c>
      <c r="D82" s="1514"/>
      <c r="E82" s="1513">
        <v>11000000</v>
      </c>
      <c r="F82" s="1512">
        <f t="shared" si="16"/>
        <v>1980000</v>
      </c>
      <c r="G82" s="2141">
        <v>40851</v>
      </c>
      <c r="H82" s="1511">
        <v>0.18</v>
      </c>
      <c r="I82" s="1508">
        <v>12</v>
      </c>
      <c r="J82" s="1508">
        <v>12</v>
      </c>
      <c r="K82" s="1508">
        <v>916700</v>
      </c>
      <c r="L82" s="1508">
        <f t="shared" si="31"/>
        <v>165000</v>
      </c>
      <c r="M82" s="1510">
        <f t="shared" si="17"/>
        <v>11000000</v>
      </c>
      <c r="N82" s="1510">
        <f>IF(J82&lt;I82,J82*L82,IF(J82&gt;=I82,F82))-330000</f>
        <v>1650000</v>
      </c>
      <c r="O82" s="1509">
        <v>11000000</v>
      </c>
      <c r="P82" s="1509">
        <v>1650000</v>
      </c>
      <c r="Q82" s="1509"/>
      <c r="R82" s="2650"/>
      <c r="S82" s="2650"/>
      <c r="T82" s="1507"/>
      <c r="U82" s="1495">
        <f t="shared" si="19"/>
        <v>11000000</v>
      </c>
      <c r="V82" s="1495">
        <f t="shared" si="20"/>
        <v>1650000</v>
      </c>
      <c r="W82" s="1495">
        <f t="shared" si="21"/>
        <v>0</v>
      </c>
      <c r="X82" s="1495">
        <f t="shared" si="22"/>
        <v>0</v>
      </c>
      <c r="Y82" s="1495">
        <f t="shared" si="23"/>
        <v>100</v>
      </c>
      <c r="Z82" s="1495">
        <f t="shared" si="24"/>
        <v>0</v>
      </c>
      <c r="AA82" s="1506">
        <f t="shared" si="25"/>
        <v>0</v>
      </c>
      <c r="AB82" s="1505"/>
      <c r="AC82" s="1504">
        <f t="shared" si="26"/>
        <v>0</v>
      </c>
      <c r="AD82" s="1503">
        <f t="shared" si="27"/>
        <v>0</v>
      </c>
      <c r="AE82" s="1503">
        <f t="shared" si="28"/>
        <v>0</v>
      </c>
      <c r="AF82" s="1502">
        <f t="shared" si="29"/>
        <v>0</v>
      </c>
    </row>
    <row r="83" spans="1:32" s="1474" customFormat="1" ht="23.25" customHeight="1">
      <c r="A83" s="1515">
        <v>18</v>
      </c>
      <c r="B83" s="1513" t="s">
        <v>1952</v>
      </c>
      <c r="C83" s="1514" t="s">
        <v>2222</v>
      </c>
      <c r="D83" s="1514"/>
      <c r="E83" s="1513">
        <v>24000000</v>
      </c>
      <c r="F83" s="1512">
        <f t="shared" si="16"/>
        <v>4320000</v>
      </c>
      <c r="G83" s="2141">
        <v>40864</v>
      </c>
      <c r="H83" s="1511">
        <v>0.18</v>
      </c>
      <c r="I83" s="1508">
        <v>12</v>
      </c>
      <c r="J83" s="1508">
        <v>12</v>
      </c>
      <c r="K83" s="1508">
        <f>E83/I83</f>
        <v>2000000</v>
      </c>
      <c r="L83" s="1508">
        <f t="shared" si="31"/>
        <v>360000</v>
      </c>
      <c r="M83" s="1510">
        <f t="shared" si="17"/>
        <v>24000000</v>
      </c>
      <c r="N83" s="1510">
        <f t="shared" si="18"/>
        <v>4320000</v>
      </c>
      <c r="O83" s="1509">
        <v>24000000</v>
      </c>
      <c r="P83" s="1509">
        <v>4320000</v>
      </c>
      <c r="Q83" s="1509"/>
      <c r="R83" s="2650"/>
      <c r="S83" s="2650"/>
      <c r="T83" s="1507"/>
      <c r="U83" s="1495">
        <f t="shared" si="19"/>
        <v>24000000</v>
      </c>
      <c r="V83" s="1495">
        <f t="shared" si="20"/>
        <v>4320000</v>
      </c>
      <c r="W83" s="1495">
        <f t="shared" si="21"/>
        <v>0</v>
      </c>
      <c r="X83" s="1495">
        <f t="shared" si="22"/>
        <v>0</v>
      </c>
      <c r="Y83" s="1495">
        <f t="shared" si="23"/>
        <v>100</v>
      </c>
      <c r="Z83" s="1495">
        <f t="shared" si="24"/>
        <v>0</v>
      </c>
      <c r="AA83" s="1506">
        <f t="shared" si="25"/>
        <v>0</v>
      </c>
      <c r="AB83" s="1505"/>
      <c r="AC83" s="1504">
        <f t="shared" si="26"/>
        <v>0</v>
      </c>
      <c r="AD83" s="1503">
        <f t="shared" si="27"/>
        <v>0</v>
      </c>
      <c r="AE83" s="1503">
        <f t="shared" si="28"/>
        <v>0</v>
      </c>
      <c r="AF83" s="1502">
        <f t="shared" si="29"/>
        <v>0</v>
      </c>
    </row>
    <row r="84" spans="1:32" s="2849" customFormat="1" ht="23.25" customHeight="1">
      <c r="A84" s="2683">
        <v>19</v>
      </c>
      <c r="B84" s="2684" t="s">
        <v>2087</v>
      </c>
      <c r="C84" s="2685" t="s">
        <v>2195</v>
      </c>
      <c r="D84" s="2685"/>
      <c r="E84" s="2684">
        <v>24000000</v>
      </c>
      <c r="F84" s="2684">
        <f t="shared" si="16"/>
        <v>4320000</v>
      </c>
      <c r="G84" s="2686">
        <v>40890</v>
      </c>
      <c r="H84" s="2687">
        <v>0.18</v>
      </c>
      <c r="I84" s="2688">
        <v>12</v>
      </c>
      <c r="J84" s="2688">
        <v>12</v>
      </c>
      <c r="K84" s="2688">
        <f>E84/I84</f>
        <v>2000000</v>
      </c>
      <c r="L84" s="2688">
        <f t="shared" si="31"/>
        <v>360000</v>
      </c>
      <c r="M84" s="2688">
        <f t="shared" si="17"/>
        <v>24000000</v>
      </c>
      <c r="N84" s="2688">
        <f>IF(J84&lt;I84,J84*L84,IF(J84&gt;=I84,F84))-720000</f>
        <v>3600000</v>
      </c>
      <c r="O84" s="2688">
        <v>24000000</v>
      </c>
      <c r="P84" s="2688">
        <v>3600000</v>
      </c>
      <c r="Q84" s="2688"/>
      <c r="R84" s="2688"/>
      <c r="S84" s="2688"/>
      <c r="T84" s="2684"/>
      <c r="U84" s="2689">
        <f t="shared" si="19"/>
        <v>24000000</v>
      </c>
      <c r="V84" s="2689">
        <f t="shared" si="20"/>
        <v>3600000</v>
      </c>
      <c r="W84" s="2689">
        <f t="shared" si="21"/>
        <v>0</v>
      </c>
      <c r="X84" s="2689">
        <f t="shared" si="22"/>
        <v>0</v>
      </c>
      <c r="Y84" s="2689">
        <f t="shared" si="23"/>
        <v>100</v>
      </c>
      <c r="Z84" s="2689">
        <f t="shared" si="24"/>
        <v>0</v>
      </c>
      <c r="AA84" s="2828">
        <f t="shared" si="25"/>
        <v>0</v>
      </c>
      <c r="AB84" s="2845"/>
      <c r="AC84" s="2846">
        <f t="shared" si="26"/>
        <v>0</v>
      </c>
      <c r="AD84" s="2847">
        <f t="shared" si="27"/>
        <v>0</v>
      </c>
      <c r="AE84" s="2847">
        <f t="shared" si="28"/>
        <v>0</v>
      </c>
      <c r="AF84" s="2848">
        <f t="shared" si="29"/>
        <v>0</v>
      </c>
    </row>
    <row r="85" spans="1:32" s="1474" customFormat="1" ht="23.25" customHeight="1">
      <c r="A85" s="1515">
        <v>20</v>
      </c>
      <c r="B85" s="1513" t="s">
        <v>2230</v>
      </c>
      <c r="C85" s="1514" t="s">
        <v>2195</v>
      </c>
      <c r="D85" s="1514"/>
      <c r="E85" s="1513">
        <v>24000000</v>
      </c>
      <c r="F85" s="1512">
        <f t="shared" si="16"/>
        <v>4320000</v>
      </c>
      <c r="G85" s="2141">
        <v>40891</v>
      </c>
      <c r="H85" s="1511">
        <v>0.18</v>
      </c>
      <c r="I85" s="1508">
        <v>12</v>
      </c>
      <c r="J85" s="1508">
        <v>12</v>
      </c>
      <c r="K85" s="1508">
        <f>E85/I85</f>
        <v>2000000</v>
      </c>
      <c r="L85" s="1508">
        <f t="shared" si="31"/>
        <v>360000</v>
      </c>
      <c r="M85" s="1510">
        <f t="shared" si="17"/>
        <v>24000000</v>
      </c>
      <c r="N85" s="1510">
        <f>IF(J85&lt;I85,J85*L85,IF(J85&gt;=I85,F85))-360000</f>
        <v>3960000</v>
      </c>
      <c r="O85" s="1509">
        <v>24000000</v>
      </c>
      <c r="P85" s="1509">
        <v>3960000</v>
      </c>
      <c r="Q85" s="1509"/>
      <c r="R85" s="2650"/>
      <c r="S85" s="2650"/>
      <c r="T85" s="1507"/>
      <c r="U85" s="1495">
        <f t="shared" si="19"/>
        <v>24000000</v>
      </c>
      <c r="V85" s="1495">
        <f t="shared" si="20"/>
        <v>3960000</v>
      </c>
      <c r="W85" s="1495">
        <f t="shared" si="21"/>
        <v>0</v>
      </c>
      <c r="X85" s="1495">
        <f t="shared" si="22"/>
        <v>0</v>
      </c>
      <c r="Y85" s="1495">
        <f t="shared" si="23"/>
        <v>100</v>
      </c>
      <c r="Z85" s="1495">
        <f t="shared" si="24"/>
        <v>0</v>
      </c>
      <c r="AA85" s="1506">
        <f t="shared" si="25"/>
        <v>0</v>
      </c>
      <c r="AB85" s="1505"/>
      <c r="AC85" s="1504">
        <f t="shared" si="26"/>
        <v>0</v>
      </c>
      <c r="AD85" s="1503">
        <f t="shared" si="27"/>
        <v>0</v>
      </c>
      <c r="AE85" s="1503">
        <f t="shared" si="28"/>
        <v>0</v>
      </c>
      <c r="AF85" s="1502">
        <f t="shared" si="29"/>
        <v>0</v>
      </c>
    </row>
    <row r="86" spans="1:32" s="2849" customFormat="1" ht="23.25" customHeight="1">
      <c r="A86" s="2683">
        <v>21</v>
      </c>
      <c r="B86" s="2684" t="s">
        <v>2094</v>
      </c>
      <c r="C86" s="2685" t="s">
        <v>2248</v>
      </c>
      <c r="D86" s="2685"/>
      <c r="E86" s="2684">
        <v>12000000</v>
      </c>
      <c r="F86" s="2684">
        <f t="shared" si="16"/>
        <v>2160000</v>
      </c>
      <c r="G86" s="2686">
        <v>40946</v>
      </c>
      <c r="H86" s="2687">
        <v>0.18</v>
      </c>
      <c r="I86" s="2688">
        <v>12</v>
      </c>
      <c r="J86" s="2688">
        <v>12</v>
      </c>
      <c r="K86" s="2688">
        <v>1000000</v>
      </c>
      <c r="L86" s="2688">
        <f t="shared" si="31"/>
        <v>180000</v>
      </c>
      <c r="M86" s="2688">
        <f t="shared" si="17"/>
        <v>12000000</v>
      </c>
      <c r="N86" s="2980">
        <f>IF(J86&lt;I86,J86*L86,IF(J86&gt;=I86,F86))-360000</f>
        <v>1800000</v>
      </c>
      <c r="O86" s="2688">
        <v>12000000</v>
      </c>
      <c r="P86" s="2688">
        <v>1800000</v>
      </c>
      <c r="Q86" s="2688"/>
      <c r="R86" s="2688"/>
      <c r="S86" s="2688"/>
      <c r="T86" s="2684"/>
      <c r="U86" s="2689">
        <f t="shared" si="19"/>
        <v>12000000</v>
      </c>
      <c r="V86" s="2689">
        <f t="shared" si="20"/>
        <v>1800000</v>
      </c>
      <c r="W86" s="2689">
        <f t="shared" si="21"/>
        <v>0</v>
      </c>
      <c r="X86" s="2689">
        <f t="shared" si="22"/>
        <v>0</v>
      </c>
      <c r="Y86" s="2689">
        <f t="shared" si="23"/>
        <v>100</v>
      </c>
      <c r="Z86" s="2689">
        <f t="shared" si="24"/>
        <v>0</v>
      </c>
      <c r="AA86" s="2828">
        <f t="shared" si="25"/>
        <v>0</v>
      </c>
      <c r="AB86" s="2845"/>
      <c r="AC86" s="2846">
        <f t="shared" si="26"/>
        <v>0</v>
      </c>
      <c r="AD86" s="2847">
        <f t="shared" si="27"/>
        <v>0</v>
      </c>
      <c r="AE86" s="2847">
        <f t="shared" si="28"/>
        <v>0</v>
      </c>
      <c r="AF86" s="2848">
        <f t="shared" si="29"/>
        <v>0</v>
      </c>
    </row>
    <row r="87" spans="1:32" s="1474" customFormat="1" ht="23.25" customHeight="1">
      <c r="A87" s="1515">
        <v>22</v>
      </c>
      <c r="B87" s="1513" t="s">
        <v>2095</v>
      </c>
      <c r="C87" s="1514" t="s">
        <v>2248</v>
      </c>
      <c r="D87" s="1514"/>
      <c r="E87" s="1513">
        <v>15000000</v>
      </c>
      <c r="F87" s="1512">
        <f t="shared" si="16"/>
        <v>2700000</v>
      </c>
      <c r="G87" s="2141">
        <v>40949</v>
      </c>
      <c r="H87" s="1511">
        <v>0.18</v>
      </c>
      <c r="I87" s="1508">
        <v>12</v>
      </c>
      <c r="J87" s="1508">
        <v>12</v>
      </c>
      <c r="K87" s="1508">
        <v>1250000</v>
      </c>
      <c r="L87" s="1508">
        <f t="shared" si="31"/>
        <v>225000</v>
      </c>
      <c r="M87" s="1510">
        <f t="shared" si="17"/>
        <v>15000000</v>
      </c>
      <c r="N87" s="2401">
        <f>IF(J87&lt;I87,J87*L87,IF(J87&gt;=I87,F87))-450000</f>
        <v>2250000</v>
      </c>
      <c r="O87" s="1509">
        <v>15000000</v>
      </c>
      <c r="P87" s="1509">
        <v>2250000</v>
      </c>
      <c r="Q87" s="1509"/>
      <c r="R87" s="2650"/>
      <c r="S87" s="2650"/>
      <c r="T87" s="1507"/>
      <c r="U87" s="1495">
        <f t="shared" si="19"/>
        <v>15000000</v>
      </c>
      <c r="V87" s="1495">
        <f t="shared" si="20"/>
        <v>2250000</v>
      </c>
      <c r="W87" s="1495">
        <f t="shared" si="21"/>
        <v>0</v>
      </c>
      <c r="X87" s="1495">
        <f t="shared" si="22"/>
        <v>0</v>
      </c>
      <c r="Y87" s="1495">
        <f t="shared" si="23"/>
        <v>100</v>
      </c>
      <c r="Z87" s="1495">
        <f t="shared" si="24"/>
        <v>0</v>
      </c>
      <c r="AA87" s="1506">
        <f t="shared" si="25"/>
        <v>0</v>
      </c>
      <c r="AB87" s="1505"/>
      <c r="AC87" s="1504">
        <f t="shared" si="26"/>
        <v>0</v>
      </c>
      <c r="AD87" s="1503">
        <f t="shared" si="27"/>
        <v>0</v>
      </c>
      <c r="AE87" s="1503">
        <f t="shared" si="28"/>
        <v>0</v>
      </c>
      <c r="AF87" s="1502">
        <f t="shared" si="29"/>
        <v>0</v>
      </c>
    </row>
    <row r="88" spans="1:32" s="1474" customFormat="1" ht="23.25" customHeight="1">
      <c r="A88" s="1515">
        <v>23</v>
      </c>
      <c r="B88" s="1513" t="s">
        <v>1991</v>
      </c>
      <c r="C88" s="1514" t="s">
        <v>2248</v>
      </c>
      <c r="D88" s="1514"/>
      <c r="E88" s="1513">
        <v>18000000</v>
      </c>
      <c r="F88" s="1512">
        <f t="shared" si="16"/>
        <v>3240000</v>
      </c>
      <c r="G88" s="2141">
        <v>40982</v>
      </c>
      <c r="H88" s="1511">
        <v>0.18</v>
      </c>
      <c r="I88" s="1508">
        <v>12</v>
      </c>
      <c r="J88" s="1508">
        <v>12</v>
      </c>
      <c r="K88" s="1508">
        <f>E88/I88</f>
        <v>1500000</v>
      </c>
      <c r="L88" s="1508">
        <f t="shared" si="31"/>
        <v>270000</v>
      </c>
      <c r="M88" s="1510">
        <f t="shared" si="17"/>
        <v>18000000</v>
      </c>
      <c r="N88" s="1510">
        <f t="shared" si="18"/>
        <v>3240000</v>
      </c>
      <c r="O88" s="1509">
        <v>18000000</v>
      </c>
      <c r="P88" s="1509">
        <v>3240000</v>
      </c>
      <c r="Q88" s="1509"/>
      <c r="R88" s="2650"/>
      <c r="S88" s="2650"/>
      <c r="T88" s="1507"/>
      <c r="U88" s="1495">
        <f t="shared" si="19"/>
        <v>18000000</v>
      </c>
      <c r="V88" s="1495">
        <f t="shared" si="20"/>
        <v>3240000</v>
      </c>
      <c r="W88" s="1495">
        <f t="shared" si="21"/>
        <v>0</v>
      </c>
      <c r="X88" s="1495">
        <f t="shared" si="22"/>
        <v>0</v>
      </c>
      <c r="Y88" s="1495">
        <f t="shared" si="23"/>
        <v>100</v>
      </c>
      <c r="Z88" s="1495">
        <f t="shared" si="24"/>
        <v>0</v>
      </c>
      <c r="AA88" s="1506">
        <f t="shared" si="25"/>
        <v>0</v>
      </c>
      <c r="AB88" s="1505"/>
      <c r="AC88" s="1504">
        <f t="shared" si="26"/>
        <v>0</v>
      </c>
      <c r="AD88" s="1503">
        <f t="shared" si="27"/>
        <v>0</v>
      </c>
      <c r="AE88" s="1503">
        <f t="shared" si="28"/>
        <v>0</v>
      </c>
      <c r="AF88" s="1502">
        <f t="shared" si="29"/>
        <v>0</v>
      </c>
    </row>
    <row r="89" spans="1:32" s="1474" customFormat="1" ht="23.25" customHeight="1">
      <c r="A89" s="1515">
        <v>24</v>
      </c>
      <c r="B89" s="1513" t="s">
        <v>2093</v>
      </c>
      <c r="C89" s="1514" t="s">
        <v>2248</v>
      </c>
      <c r="D89" s="1514"/>
      <c r="E89" s="1513">
        <v>25000000</v>
      </c>
      <c r="F89" s="1512">
        <f t="shared" si="16"/>
        <v>4500000</v>
      </c>
      <c r="G89" s="2141">
        <v>41053</v>
      </c>
      <c r="H89" s="1511">
        <v>0.18</v>
      </c>
      <c r="I89" s="1508">
        <v>12</v>
      </c>
      <c r="J89" s="1508">
        <v>12</v>
      </c>
      <c r="K89" s="1508">
        <v>2083300</v>
      </c>
      <c r="L89" s="1508">
        <f t="shared" si="31"/>
        <v>375000</v>
      </c>
      <c r="M89" s="1510">
        <f t="shared" si="17"/>
        <v>25000000</v>
      </c>
      <c r="N89" s="1510">
        <f t="shared" si="18"/>
        <v>4500000</v>
      </c>
      <c r="O89" s="1509">
        <v>25000000</v>
      </c>
      <c r="P89" s="1509">
        <v>4500000</v>
      </c>
      <c r="Q89" s="1509"/>
      <c r="R89" s="2650"/>
      <c r="S89" s="2650"/>
      <c r="T89" s="1507"/>
      <c r="U89" s="1495">
        <f t="shared" si="19"/>
        <v>25000000</v>
      </c>
      <c r="V89" s="1495">
        <f t="shared" si="20"/>
        <v>4500000</v>
      </c>
      <c r="W89" s="1495">
        <f t="shared" si="21"/>
        <v>0</v>
      </c>
      <c r="X89" s="1495">
        <f t="shared" si="22"/>
        <v>0</v>
      </c>
      <c r="Y89" s="1495">
        <f t="shared" si="23"/>
        <v>100</v>
      </c>
      <c r="Z89" s="1495">
        <f t="shared" si="24"/>
        <v>0</v>
      </c>
      <c r="AA89" s="1506">
        <f t="shared" si="25"/>
        <v>0</v>
      </c>
      <c r="AB89" s="1505"/>
      <c r="AC89" s="1504">
        <f t="shared" si="26"/>
        <v>0</v>
      </c>
      <c r="AD89" s="1503">
        <f t="shared" si="27"/>
        <v>0</v>
      </c>
      <c r="AE89" s="1503">
        <f t="shared" si="28"/>
        <v>0</v>
      </c>
      <c r="AF89" s="1502">
        <f t="shared" si="29"/>
        <v>0</v>
      </c>
    </row>
    <row r="90" spans="1:32" s="1474" customFormat="1" ht="23.25" customHeight="1">
      <c r="A90" s="1515">
        <v>25</v>
      </c>
      <c r="B90" s="1513" t="s">
        <v>2088</v>
      </c>
      <c r="C90" s="1514" t="s">
        <v>2248</v>
      </c>
      <c r="D90" s="1514"/>
      <c r="E90" s="1513">
        <v>20000000</v>
      </c>
      <c r="F90" s="1512">
        <v>3600000</v>
      </c>
      <c r="G90" s="2141">
        <v>41099</v>
      </c>
      <c r="H90" s="1511">
        <v>0.18</v>
      </c>
      <c r="I90" s="1508">
        <v>12</v>
      </c>
      <c r="J90" s="1508">
        <v>12</v>
      </c>
      <c r="K90" s="1508">
        <v>1666700</v>
      </c>
      <c r="L90" s="1508">
        <f t="shared" si="31"/>
        <v>300000</v>
      </c>
      <c r="M90" s="1510">
        <f t="shared" si="17"/>
        <v>20000000</v>
      </c>
      <c r="N90" s="1510">
        <f t="shared" si="18"/>
        <v>3600000</v>
      </c>
      <c r="O90" s="1509">
        <v>20000000</v>
      </c>
      <c r="P90" s="1509">
        <v>3600000</v>
      </c>
      <c r="Q90" s="1509"/>
      <c r="R90" s="2650"/>
      <c r="S90" s="2650"/>
      <c r="T90" s="1507"/>
      <c r="U90" s="1495">
        <f t="shared" si="19"/>
        <v>20000000</v>
      </c>
      <c r="V90" s="1495">
        <f t="shared" si="20"/>
        <v>3600000</v>
      </c>
      <c r="W90" s="1495">
        <f t="shared" si="21"/>
        <v>0</v>
      </c>
      <c r="X90" s="1495">
        <f t="shared" si="22"/>
        <v>0</v>
      </c>
      <c r="Y90" s="1495">
        <f t="shared" si="23"/>
        <v>100</v>
      </c>
      <c r="Z90" s="1495">
        <f t="shared" si="24"/>
        <v>0</v>
      </c>
      <c r="AA90" s="1506">
        <f t="shared" si="25"/>
        <v>0</v>
      </c>
      <c r="AB90" s="1505"/>
      <c r="AC90" s="1504">
        <f t="shared" si="26"/>
        <v>0</v>
      </c>
      <c r="AD90" s="1503">
        <f t="shared" si="27"/>
        <v>0</v>
      </c>
      <c r="AE90" s="1503">
        <f t="shared" si="28"/>
        <v>0</v>
      </c>
      <c r="AF90" s="1502">
        <f t="shared" si="29"/>
        <v>0</v>
      </c>
    </row>
    <row r="91" spans="1:32" s="1474" customFormat="1" ht="23.25" customHeight="1">
      <c r="A91" s="1515">
        <v>26</v>
      </c>
      <c r="B91" s="1513" t="s">
        <v>2089</v>
      </c>
      <c r="C91" s="1514" t="s">
        <v>2312</v>
      </c>
      <c r="D91" s="1514"/>
      <c r="E91" s="1513">
        <v>14000000</v>
      </c>
      <c r="F91" s="1512">
        <f t="shared" si="16"/>
        <v>2520000</v>
      </c>
      <c r="G91" s="2141">
        <v>41193</v>
      </c>
      <c r="H91" s="1511">
        <v>0.18</v>
      </c>
      <c r="I91" s="1508">
        <v>12</v>
      </c>
      <c r="J91" s="1508">
        <v>12</v>
      </c>
      <c r="K91" s="1508">
        <v>1166700</v>
      </c>
      <c r="L91" s="1508">
        <f t="shared" si="31"/>
        <v>210000</v>
      </c>
      <c r="M91" s="1510">
        <f t="shared" si="17"/>
        <v>14000000</v>
      </c>
      <c r="N91" s="2401">
        <f>IF(J91&lt;I91,J91*L91,IF(J91&gt;=I91,F91))-420000</f>
        <v>2100000</v>
      </c>
      <c r="O91" s="1509">
        <v>14000000</v>
      </c>
      <c r="P91" s="1509">
        <v>2100000</v>
      </c>
      <c r="Q91" s="1509"/>
      <c r="R91" s="2650"/>
      <c r="S91" s="2650"/>
      <c r="T91" s="1507"/>
      <c r="U91" s="1495">
        <f t="shared" si="19"/>
        <v>14000000</v>
      </c>
      <c r="V91" s="1495">
        <f t="shared" si="20"/>
        <v>2100000</v>
      </c>
      <c r="W91" s="1495">
        <f t="shared" si="21"/>
        <v>0</v>
      </c>
      <c r="X91" s="1495">
        <f t="shared" si="22"/>
        <v>0</v>
      </c>
      <c r="Y91" s="1495">
        <f t="shared" si="23"/>
        <v>100</v>
      </c>
      <c r="Z91" s="1495">
        <f t="shared" si="24"/>
        <v>0</v>
      </c>
      <c r="AA91" s="1506">
        <f t="shared" si="25"/>
        <v>0</v>
      </c>
      <c r="AB91" s="1505"/>
      <c r="AC91" s="1504">
        <f t="shared" si="26"/>
        <v>0</v>
      </c>
      <c r="AD91" s="1503">
        <f t="shared" si="27"/>
        <v>0</v>
      </c>
      <c r="AE91" s="1503">
        <f t="shared" si="28"/>
        <v>0</v>
      </c>
      <c r="AF91" s="1502">
        <f t="shared" si="29"/>
        <v>0</v>
      </c>
    </row>
    <row r="92" spans="1:32" s="1474" customFormat="1" ht="23.25" customHeight="1">
      <c r="A92" s="1515">
        <v>27</v>
      </c>
      <c r="B92" s="1513" t="s">
        <v>2090</v>
      </c>
      <c r="C92" s="1514" t="s">
        <v>2312</v>
      </c>
      <c r="D92" s="1514"/>
      <c r="E92" s="1513">
        <v>14000000</v>
      </c>
      <c r="F92" s="1512">
        <f t="shared" si="16"/>
        <v>2520000</v>
      </c>
      <c r="G92" s="2141">
        <v>41193</v>
      </c>
      <c r="H92" s="1511">
        <v>0.18</v>
      </c>
      <c r="I92" s="1508">
        <v>12</v>
      </c>
      <c r="J92" s="1508">
        <v>12</v>
      </c>
      <c r="K92" s="1508">
        <v>1166700</v>
      </c>
      <c r="L92" s="1508">
        <f t="shared" si="31"/>
        <v>210000</v>
      </c>
      <c r="M92" s="1510">
        <f t="shared" si="17"/>
        <v>14000000</v>
      </c>
      <c r="N92" s="2401">
        <f>IF(J92&lt;I92,J92*L92,IF(J92&gt;=I92,F92))-420000</f>
        <v>2100000</v>
      </c>
      <c r="O92" s="1509">
        <v>14000000</v>
      </c>
      <c r="P92" s="1509">
        <v>2100000</v>
      </c>
      <c r="Q92" s="1509"/>
      <c r="R92" s="2650"/>
      <c r="S92" s="2650"/>
      <c r="T92" s="1507"/>
      <c r="U92" s="1495">
        <f t="shared" si="19"/>
        <v>14000000</v>
      </c>
      <c r="V92" s="1495">
        <f t="shared" si="20"/>
        <v>2100000</v>
      </c>
      <c r="W92" s="1495">
        <f t="shared" si="21"/>
        <v>0</v>
      </c>
      <c r="X92" s="1495">
        <f t="shared" si="22"/>
        <v>0</v>
      </c>
      <c r="Y92" s="1495">
        <f t="shared" si="23"/>
        <v>100</v>
      </c>
      <c r="Z92" s="1495">
        <f t="shared" si="24"/>
        <v>0</v>
      </c>
      <c r="AA92" s="1506">
        <f t="shared" si="25"/>
        <v>0</v>
      </c>
      <c r="AB92" s="1505"/>
      <c r="AC92" s="1504">
        <f t="shared" si="26"/>
        <v>0</v>
      </c>
      <c r="AD92" s="1503">
        <f t="shared" si="27"/>
        <v>0</v>
      </c>
      <c r="AE92" s="1503">
        <f t="shared" si="28"/>
        <v>0</v>
      </c>
      <c r="AF92" s="1502">
        <f t="shared" si="29"/>
        <v>0</v>
      </c>
    </row>
    <row r="93" spans="1:32" s="1474" customFormat="1" ht="23.25" customHeight="1">
      <c r="A93" s="1515">
        <v>28</v>
      </c>
      <c r="B93" s="1513" t="s">
        <v>2091</v>
      </c>
      <c r="C93" s="1514" t="s">
        <v>2312</v>
      </c>
      <c r="D93" s="1514"/>
      <c r="E93" s="1513">
        <v>14000000</v>
      </c>
      <c r="F93" s="1512">
        <f t="shared" si="16"/>
        <v>2520000</v>
      </c>
      <c r="G93" s="2141">
        <v>41193</v>
      </c>
      <c r="H93" s="1511">
        <v>0.18</v>
      </c>
      <c r="I93" s="1508">
        <v>12</v>
      </c>
      <c r="J93" s="1508">
        <v>12</v>
      </c>
      <c r="K93" s="1508">
        <v>1166700</v>
      </c>
      <c r="L93" s="1508">
        <f t="shared" si="31"/>
        <v>210000</v>
      </c>
      <c r="M93" s="1510">
        <f t="shared" si="17"/>
        <v>14000000</v>
      </c>
      <c r="N93" s="2401">
        <f>IF(J93&lt;I93,J93*L93,IF(J93&gt;=I93,F93))-420000</f>
        <v>2100000</v>
      </c>
      <c r="O93" s="1509">
        <v>14000000</v>
      </c>
      <c r="P93" s="1509">
        <v>2100000</v>
      </c>
      <c r="Q93" s="1509"/>
      <c r="R93" s="1508"/>
      <c r="S93" s="1508"/>
      <c r="T93" s="1507"/>
      <c r="U93" s="1495">
        <f t="shared" si="19"/>
        <v>14000000</v>
      </c>
      <c r="V93" s="1495">
        <f t="shared" si="20"/>
        <v>2100000</v>
      </c>
      <c r="W93" s="1495">
        <f t="shared" si="21"/>
        <v>0</v>
      </c>
      <c r="X93" s="1495">
        <f t="shared" si="22"/>
        <v>0</v>
      </c>
      <c r="Y93" s="1495">
        <f t="shared" si="23"/>
        <v>100</v>
      </c>
      <c r="Z93" s="1495">
        <f t="shared" si="24"/>
        <v>0</v>
      </c>
      <c r="AA93" s="1506">
        <f t="shared" si="25"/>
        <v>0</v>
      </c>
      <c r="AB93" s="1505"/>
      <c r="AC93" s="1504">
        <f t="shared" si="26"/>
        <v>0</v>
      </c>
      <c r="AD93" s="1503">
        <f t="shared" si="27"/>
        <v>0</v>
      </c>
      <c r="AE93" s="1503">
        <f t="shared" si="28"/>
        <v>0</v>
      </c>
      <c r="AF93" s="1502">
        <f t="shared" si="29"/>
        <v>0</v>
      </c>
    </row>
    <row r="94" spans="1:32" s="1474" customFormat="1" ht="23.25" customHeight="1">
      <c r="A94" s="1515">
        <v>29</v>
      </c>
      <c r="B94" s="1513" t="s">
        <v>2092</v>
      </c>
      <c r="C94" s="1514" t="s">
        <v>2312</v>
      </c>
      <c r="D94" s="1514"/>
      <c r="E94" s="1513">
        <v>15000000</v>
      </c>
      <c r="F94" s="1512">
        <f t="shared" si="16"/>
        <v>2700000</v>
      </c>
      <c r="G94" s="2141">
        <v>41193</v>
      </c>
      <c r="H94" s="1511">
        <v>0.18</v>
      </c>
      <c r="I94" s="1508">
        <v>12</v>
      </c>
      <c r="J94" s="1508">
        <v>12</v>
      </c>
      <c r="K94" s="1508">
        <v>1250000</v>
      </c>
      <c r="L94" s="1508">
        <f t="shared" si="31"/>
        <v>225000</v>
      </c>
      <c r="M94" s="1510">
        <f t="shared" si="17"/>
        <v>15000000</v>
      </c>
      <c r="N94" s="2401">
        <f>IF(J94&lt;I94,J94*L94,IF(J94&gt;=I94,F94))-450000</f>
        <v>2250000</v>
      </c>
      <c r="O94" s="1509">
        <v>15000000</v>
      </c>
      <c r="P94" s="1509">
        <v>2250000</v>
      </c>
      <c r="Q94" s="1509"/>
      <c r="R94" s="1508"/>
      <c r="S94" s="1508"/>
      <c r="T94" s="1507"/>
      <c r="U94" s="1495">
        <f t="shared" si="19"/>
        <v>15000000</v>
      </c>
      <c r="V94" s="1495">
        <f t="shared" si="20"/>
        <v>2250000</v>
      </c>
      <c r="W94" s="1495">
        <f t="shared" si="21"/>
        <v>0</v>
      </c>
      <c r="X94" s="1495">
        <f t="shared" si="22"/>
        <v>0</v>
      </c>
      <c r="Y94" s="1495">
        <f t="shared" si="23"/>
        <v>100</v>
      </c>
      <c r="Z94" s="1495">
        <f t="shared" si="24"/>
        <v>0</v>
      </c>
      <c r="AA94" s="1506">
        <f t="shared" si="25"/>
        <v>0</v>
      </c>
      <c r="AB94" s="1505"/>
      <c r="AC94" s="1504">
        <f t="shared" si="26"/>
        <v>0</v>
      </c>
      <c r="AD94" s="1503">
        <f t="shared" si="27"/>
        <v>0</v>
      </c>
      <c r="AE94" s="1503">
        <f t="shared" si="28"/>
        <v>0</v>
      </c>
      <c r="AF94" s="1502">
        <f t="shared" si="29"/>
        <v>0</v>
      </c>
    </row>
    <row r="95" spans="1:32" s="1474" customFormat="1" ht="23.25" customHeight="1">
      <c r="A95" s="1515">
        <v>30</v>
      </c>
      <c r="B95" s="1513" t="s">
        <v>2331</v>
      </c>
      <c r="C95" s="1514" t="s">
        <v>2312</v>
      </c>
      <c r="D95" s="1514"/>
      <c r="E95" s="1513">
        <v>10500000</v>
      </c>
      <c r="F95" s="1512">
        <f t="shared" si="16"/>
        <v>1890000</v>
      </c>
      <c r="G95" s="2141">
        <v>41197</v>
      </c>
      <c r="H95" s="1511">
        <v>0.18</v>
      </c>
      <c r="I95" s="1508">
        <v>12</v>
      </c>
      <c r="J95" s="1508">
        <v>12</v>
      </c>
      <c r="K95" s="1508">
        <f>E95/I95</f>
        <v>875000</v>
      </c>
      <c r="L95" s="1508">
        <f t="shared" si="31"/>
        <v>157500</v>
      </c>
      <c r="M95" s="1510">
        <f t="shared" si="17"/>
        <v>10500000</v>
      </c>
      <c r="N95" s="2401">
        <f>IF(J95&lt;I95,J95*L95,IF(J95&gt;=I95,F95))-157500</f>
        <v>1732500</v>
      </c>
      <c r="O95" s="1509">
        <v>10500000</v>
      </c>
      <c r="P95" s="1509">
        <v>1732500</v>
      </c>
      <c r="Q95" s="1509"/>
      <c r="R95" s="1508"/>
      <c r="S95" s="1508"/>
      <c r="T95" s="1507"/>
      <c r="U95" s="1495">
        <f t="shared" si="19"/>
        <v>10500000</v>
      </c>
      <c r="V95" s="1495">
        <f t="shared" si="20"/>
        <v>1732500</v>
      </c>
      <c r="W95" s="1495">
        <f t="shared" si="21"/>
        <v>0</v>
      </c>
      <c r="X95" s="1495">
        <f t="shared" si="22"/>
        <v>0</v>
      </c>
      <c r="Y95" s="1495">
        <f t="shared" si="23"/>
        <v>100</v>
      </c>
      <c r="Z95" s="1495">
        <f t="shared" si="24"/>
        <v>0</v>
      </c>
      <c r="AA95" s="1506">
        <f t="shared" si="25"/>
        <v>0</v>
      </c>
      <c r="AB95" s="1505"/>
      <c r="AC95" s="1504">
        <f t="shared" si="26"/>
        <v>0</v>
      </c>
      <c r="AD95" s="1503">
        <f t="shared" si="27"/>
        <v>0</v>
      </c>
      <c r="AE95" s="1503">
        <f t="shared" si="28"/>
        <v>0</v>
      </c>
      <c r="AF95" s="1502">
        <f t="shared" si="29"/>
        <v>0</v>
      </c>
    </row>
    <row r="96" spans="1:32" s="1474" customFormat="1" ht="23.25" customHeight="1">
      <c r="A96" s="1515">
        <v>31</v>
      </c>
      <c r="B96" s="1513" t="s">
        <v>2094</v>
      </c>
      <c r="C96" s="1514" t="s">
        <v>2312</v>
      </c>
      <c r="D96" s="1514"/>
      <c r="E96" s="1513">
        <v>15000000</v>
      </c>
      <c r="F96" s="1512">
        <f t="shared" si="16"/>
        <v>2700000</v>
      </c>
      <c r="G96" s="2141">
        <v>41198</v>
      </c>
      <c r="H96" s="1511">
        <v>0.18</v>
      </c>
      <c r="I96" s="1508">
        <v>12</v>
      </c>
      <c r="J96" s="1508">
        <v>12</v>
      </c>
      <c r="K96" s="1508">
        <f>E96/I96</f>
        <v>1250000</v>
      </c>
      <c r="L96" s="1508">
        <f t="shared" si="31"/>
        <v>225000</v>
      </c>
      <c r="M96" s="1510">
        <f t="shared" si="17"/>
        <v>15000000</v>
      </c>
      <c r="N96" s="1510">
        <f t="shared" si="18"/>
        <v>2700000</v>
      </c>
      <c r="O96" s="1509">
        <v>15000000</v>
      </c>
      <c r="P96" s="1509">
        <v>2700000</v>
      </c>
      <c r="Q96" s="1509"/>
      <c r="R96" s="1508"/>
      <c r="S96" s="1508"/>
      <c r="T96" s="1507"/>
      <c r="U96" s="1495">
        <f t="shared" si="19"/>
        <v>15000000</v>
      </c>
      <c r="V96" s="1495">
        <f t="shared" si="20"/>
        <v>2700000</v>
      </c>
      <c r="W96" s="1495">
        <f t="shared" si="21"/>
        <v>0</v>
      </c>
      <c r="X96" s="1495">
        <f t="shared" si="22"/>
        <v>0</v>
      </c>
      <c r="Y96" s="1495">
        <f t="shared" si="23"/>
        <v>100</v>
      </c>
      <c r="Z96" s="1495">
        <f t="shared" si="24"/>
        <v>0</v>
      </c>
      <c r="AA96" s="1506">
        <f t="shared" si="25"/>
        <v>0</v>
      </c>
      <c r="AB96" s="1505"/>
      <c r="AC96" s="1504">
        <f t="shared" si="26"/>
        <v>0</v>
      </c>
      <c r="AD96" s="1503">
        <f t="shared" si="27"/>
        <v>0</v>
      </c>
      <c r="AE96" s="1503">
        <f t="shared" si="28"/>
        <v>0</v>
      </c>
      <c r="AF96" s="1502">
        <f t="shared" si="29"/>
        <v>0</v>
      </c>
    </row>
    <row r="97" spans="1:32" s="1474" customFormat="1" ht="23.25" customHeight="1">
      <c r="A97" s="1515">
        <v>32</v>
      </c>
      <c r="B97" s="1513" t="s">
        <v>2087</v>
      </c>
      <c r="C97" s="1514" t="s">
        <v>2312</v>
      </c>
      <c r="D97" s="1514"/>
      <c r="E97" s="1513">
        <v>30000000</v>
      </c>
      <c r="F97" s="1512">
        <f t="shared" si="16"/>
        <v>5400000</v>
      </c>
      <c r="G97" s="2141">
        <v>41226</v>
      </c>
      <c r="H97" s="1511">
        <v>0.18</v>
      </c>
      <c r="I97" s="1508">
        <v>12</v>
      </c>
      <c r="J97" s="1508">
        <v>12</v>
      </c>
      <c r="K97" s="1508">
        <f>E97/I97</f>
        <v>2500000</v>
      </c>
      <c r="L97" s="1508">
        <f t="shared" si="31"/>
        <v>450000</v>
      </c>
      <c r="M97" s="1510">
        <f t="shared" si="17"/>
        <v>30000000</v>
      </c>
      <c r="N97" s="2401">
        <f>IF(J97&lt;I97,J97*L97,IF(J97&gt;=I97,F97))-450000</f>
        <v>4950000</v>
      </c>
      <c r="O97" s="1509">
        <v>30000000</v>
      </c>
      <c r="P97" s="1509">
        <v>4950000</v>
      </c>
      <c r="Q97" s="1509"/>
      <c r="R97" s="1508"/>
      <c r="S97" s="1508"/>
      <c r="T97" s="1507"/>
      <c r="U97" s="1495">
        <f t="shared" si="19"/>
        <v>30000000</v>
      </c>
      <c r="V97" s="1495">
        <f t="shared" si="20"/>
        <v>4950000</v>
      </c>
      <c r="W97" s="1495">
        <f t="shared" si="21"/>
        <v>0</v>
      </c>
      <c r="X97" s="1495">
        <f t="shared" si="22"/>
        <v>0</v>
      </c>
      <c r="Y97" s="1495">
        <f t="shared" si="23"/>
        <v>100</v>
      </c>
      <c r="Z97" s="1495">
        <f t="shared" si="24"/>
        <v>0</v>
      </c>
      <c r="AA97" s="1506">
        <f t="shared" si="25"/>
        <v>0</v>
      </c>
      <c r="AB97" s="1505"/>
      <c r="AC97" s="1504">
        <f t="shared" si="26"/>
        <v>0</v>
      </c>
      <c r="AD97" s="1503">
        <f t="shared" si="27"/>
        <v>0</v>
      </c>
      <c r="AE97" s="1503">
        <f t="shared" si="28"/>
        <v>0</v>
      </c>
      <c r="AF97" s="1502">
        <f t="shared" si="29"/>
        <v>0</v>
      </c>
    </row>
    <row r="98" spans="1:32" s="1474" customFormat="1" ht="23.25" customHeight="1">
      <c r="A98" s="1515">
        <v>33</v>
      </c>
      <c r="B98" s="1513" t="s">
        <v>1952</v>
      </c>
      <c r="C98" s="1514" t="s">
        <v>2312</v>
      </c>
      <c r="D98" s="1514"/>
      <c r="E98" s="1513">
        <v>24000000</v>
      </c>
      <c r="F98" s="1512">
        <f t="shared" si="16"/>
        <v>4320000</v>
      </c>
      <c r="G98" s="2141">
        <v>41235</v>
      </c>
      <c r="H98" s="1511">
        <v>0.18</v>
      </c>
      <c r="I98" s="1508">
        <v>12</v>
      </c>
      <c r="J98" s="1508">
        <v>12</v>
      </c>
      <c r="K98" s="1508">
        <f>E98/I98</f>
        <v>2000000</v>
      </c>
      <c r="L98" s="1508">
        <f t="shared" si="31"/>
        <v>360000</v>
      </c>
      <c r="M98" s="1510">
        <f t="shared" si="17"/>
        <v>24000000</v>
      </c>
      <c r="N98" s="1510">
        <f t="shared" si="18"/>
        <v>4320000</v>
      </c>
      <c r="O98" s="1509">
        <v>24000000</v>
      </c>
      <c r="P98" s="1509">
        <v>4320000</v>
      </c>
      <c r="Q98" s="1509"/>
      <c r="R98" s="1508"/>
      <c r="S98" s="1508"/>
      <c r="T98" s="1507"/>
      <c r="U98" s="1495">
        <f t="shared" si="19"/>
        <v>24000000</v>
      </c>
      <c r="V98" s="1495">
        <f t="shared" si="20"/>
        <v>4320000</v>
      </c>
      <c r="W98" s="1495">
        <f t="shared" si="21"/>
        <v>0</v>
      </c>
      <c r="X98" s="1495">
        <f t="shared" si="22"/>
        <v>0</v>
      </c>
      <c r="Y98" s="1495">
        <f t="shared" si="23"/>
        <v>100</v>
      </c>
      <c r="Z98" s="1495">
        <f t="shared" si="24"/>
        <v>0</v>
      </c>
      <c r="AA98" s="1506">
        <f t="shared" si="25"/>
        <v>0</v>
      </c>
      <c r="AB98" s="1505"/>
      <c r="AC98" s="1504">
        <f t="shared" si="26"/>
        <v>0</v>
      </c>
      <c r="AD98" s="1503">
        <f t="shared" si="27"/>
        <v>0</v>
      </c>
      <c r="AE98" s="1503">
        <f t="shared" si="28"/>
        <v>0</v>
      </c>
      <c r="AF98" s="1502">
        <f t="shared" si="29"/>
        <v>0</v>
      </c>
    </row>
    <row r="99" spans="1:32" s="1474" customFormat="1" ht="23.25" customHeight="1">
      <c r="A99" s="1515">
        <v>34</v>
      </c>
      <c r="B99" s="1513" t="s">
        <v>1941</v>
      </c>
      <c r="C99" s="1514" t="s">
        <v>2340</v>
      </c>
      <c r="D99" s="1514"/>
      <c r="E99" s="1513">
        <v>25000000</v>
      </c>
      <c r="F99" s="1512">
        <f t="shared" si="16"/>
        <v>4500000</v>
      </c>
      <c r="G99" s="2141">
        <v>41246</v>
      </c>
      <c r="H99" s="1511">
        <v>0.18</v>
      </c>
      <c r="I99" s="1508">
        <v>12</v>
      </c>
      <c r="J99" s="1508">
        <v>12</v>
      </c>
      <c r="K99" s="1508">
        <v>2083300</v>
      </c>
      <c r="L99" s="1508">
        <f t="shared" si="31"/>
        <v>375000</v>
      </c>
      <c r="M99" s="1510">
        <f t="shared" si="17"/>
        <v>25000000</v>
      </c>
      <c r="N99" s="2401">
        <f>IF(J99&lt;I99,J99*L99,IF(J99&gt;=I99,F99))-375000</f>
        <v>4125000</v>
      </c>
      <c r="O99" s="1509">
        <v>25000000</v>
      </c>
      <c r="P99" s="1509">
        <v>4125000</v>
      </c>
      <c r="Q99" s="1509"/>
      <c r="R99" s="2650"/>
      <c r="S99" s="2650"/>
      <c r="T99" s="1507"/>
      <c r="U99" s="1495">
        <f t="shared" si="19"/>
        <v>25000000</v>
      </c>
      <c r="V99" s="1495">
        <f t="shared" si="20"/>
        <v>4125000</v>
      </c>
      <c r="W99" s="1495"/>
      <c r="X99" s="1495">
        <f t="shared" si="22"/>
        <v>0</v>
      </c>
      <c r="Y99" s="1495">
        <f t="shared" si="23"/>
        <v>100</v>
      </c>
      <c r="Z99" s="1495">
        <f t="shared" si="24"/>
        <v>0</v>
      </c>
      <c r="AA99" s="1506">
        <f t="shared" si="25"/>
        <v>0</v>
      </c>
      <c r="AB99" s="1505"/>
      <c r="AC99" s="1504">
        <f t="shared" si="26"/>
        <v>0</v>
      </c>
      <c r="AD99" s="1503">
        <f t="shared" si="27"/>
        <v>0</v>
      </c>
      <c r="AE99" s="1503">
        <f t="shared" si="28"/>
        <v>0</v>
      </c>
      <c r="AF99" s="1502">
        <f t="shared" si="29"/>
        <v>0</v>
      </c>
    </row>
    <row r="100" spans="1:32" s="1474" customFormat="1" ht="23.25" customHeight="1">
      <c r="A100" s="1515">
        <v>35</v>
      </c>
      <c r="B100" s="1513" t="s">
        <v>2351</v>
      </c>
      <c r="C100" s="1514" t="s">
        <v>2340</v>
      </c>
      <c r="D100" s="1514"/>
      <c r="E100" s="1513">
        <v>18000000</v>
      </c>
      <c r="F100" s="1512">
        <f t="shared" si="16"/>
        <v>3240000</v>
      </c>
      <c r="G100" s="2141">
        <v>41288</v>
      </c>
      <c r="H100" s="1511">
        <v>0.18</v>
      </c>
      <c r="I100" s="1508">
        <v>12</v>
      </c>
      <c r="J100" s="1508">
        <v>12</v>
      </c>
      <c r="K100" s="1508">
        <f>E100/I100</f>
        <v>1500000</v>
      </c>
      <c r="L100" s="1508">
        <f t="shared" si="31"/>
        <v>270000</v>
      </c>
      <c r="M100" s="1510">
        <f t="shared" si="17"/>
        <v>18000000</v>
      </c>
      <c r="N100" s="2401">
        <f>IF(J100&lt;I100,J100*L100,IF(J100&gt;=I100,F100))-540000</f>
        <v>2700000</v>
      </c>
      <c r="O100" s="1509">
        <v>18000000</v>
      </c>
      <c r="P100" s="1509">
        <v>2700000</v>
      </c>
      <c r="Q100" s="1509"/>
      <c r="R100" s="2650"/>
      <c r="S100" s="2650"/>
      <c r="T100" s="1507"/>
      <c r="U100" s="1495">
        <f t="shared" si="19"/>
        <v>18000000</v>
      </c>
      <c r="V100" s="1495">
        <f t="shared" si="20"/>
        <v>2700000</v>
      </c>
      <c r="W100" s="1495"/>
      <c r="X100" s="1495">
        <f t="shared" si="22"/>
        <v>0</v>
      </c>
      <c r="Y100" s="1495">
        <f t="shared" si="23"/>
        <v>100</v>
      </c>
      <c r="Z100" s="1495">
        <f t="shared" si="24"/>
        <v>0</v>
      </c>
      <c r="AA100" s="1506">
        <f t="shared" si="25"/>
        <v>0</v>
      </c>
      <c r="AB100" s="1505"/>
      <c r="AC100" s="1504">
        <f t="shared" si="26"/>
        <v>0</v>
      </c>
      <c r="AD100" s="1503">
        <f t="shared" si="27"/>
        <v>0</v>
      </c>
      <c r="AE100" s="1503">
        <f t="shared" si="28"/>
        <v>0</v>
      </c>
      <c r="AF100" s="1502">
        <f t="shared" si="29"/>
        <v>0</v>
      </c>
    </row>
    <row r="101" spans="1:32" s="1474" customFormat="1" ht="23.25" customHeight="1">
      <c r="A101" s="1515">
        <v>36</v>
      </c>
      <c r="B101" s="1513" t="s">
        <v>2050</v>
      </c>
      <c r="C101" s="1514" t="s">
        <v>2377</v>
      </c>
      <c r="D101" s="1514">
        <v>20</v>
      </c>
      <c r="E101" s="1513">
        <v>35000000</v>
      </c>
      <c r="F101" s="1512">
        <f t="shared" si="16"/>
        <v>6300000</v>
      </c>
      <c r="G101" s="2141">
        <v>41352</v>
      </c>
      <c r="H101" s="1511">
        <v>0.18</v>
      </c>
      <c r="I101" s="1508">
        <v>12</v>
      </c>
      <c r="J101" s="1508">
        <v>12</v>
      </c>
      <c r="K101" s="1508">
        <v>2916700</v>
      </c>
      <c r="L101" s="1508">
        <f t="shared" si="31"/>
        <v>525000</v>
      </c>
      <c r="M101" s="1510">
        <f t="shared" si="17"/>
        <v>35000000</v>
      </c>
      <c r="N101" s="1510">
        <f t="shared" si="18"/>
        <v>6300000</v>
      </c>
      <c r="O101" s="1509">
        <v>35000000</v>
      </c>
      <c r="P101" s="1509">
        <v>6300000</v>
      </c>
      <c r="Q101" s="1509"/>
      <c r="R101" s="2650"/>
      <c r="S101" s="2650"/>
      <c r="T101" s="1507"/>
      <c r="U101" s="1495">
        <f t="shared" si="19"/>
        <v>35000000</v>
      </c>
      <c r="V101" s="1495">
        <f t="shared" si="20"/>
        <v>6300000</v>
      </c>
      <c r="W101" s="1495"/>
      <c r="X101" s="1495">
        <f t="shared" si="22"/>
        <v>0</v>
      </c>
      <c r="Y101" s="1495">
        <f t="shared" si="23"/>
        <v>100</v>
      </c>
      <c r="Z101" s="1495">
        <f t="shared" si="24"/>
        <v>0</v>
      </c>
      <c r="AA101" s="1506">
        <f t="shared" si="25"/>
        <v>0</v>
      </c>
      <c r="AB101" s="1505"/>
      <c r="AC101" s="1504">
        <f t="shared" si="26"/>
        <v>0</v>
      </c>
      <c r="AD101" s="1503">
        <f t="shared" si="27"/>
        <v>0</v>
      </c>
      <c r="AE101" s="1503">
        <f t="shared" si="28"/>
        <v>0</v>
      </c>
      <c r="AF101" s="1502">
        <f t="shared" si="29"/>
        <v>0</v>
      </c>
    </row>
    <row r="102" spans="1:32" s="1474" customFormat="1" ht="23.25" customHeight="1">
      <c r="A102" s="1515">
        <v>37</v>
      </c>
      <c r="B102" s="1513" t="s">
        <v>2385</v>
      </c>
      <c r="C102" s="1514" t="s">
        <v>2377</v>
      </c>
      <c r="D102" s="1514">
        <v>7</v>
      </c>
      <c r="E102" s="1513">
        <v>7000000</v>
      </c>
      <c r="F102" s="1512">
        <f t="shared" si="16"/>
        <v>1260000</v>
      </c>
      <c r="G102" s="2141">
        <v>41372</v>
      </c>
      <c r="H102" s="1511">
        <v>0.18</v>
      </c>
      <c r="I102" s="1508">
        <v>12</v>
      </c>
      <c r="J102" s="1508">
        <v>12</v>
      </c>
      <c r="K102" s="1508">
        <v>583300</v>
      </c>
      <c r="L102" s="1508">
        <f t="shared" si="31"/>
        <v>105000</v>
      </c>
      <c r="M102" s="1510">
        <f t="shared" si="17"/>
        <v>7000000</v>
      </c>
      <c r="N102" s="1510">
        <f>IF(J102&lt;I102,J102*L102,IF(J102&gt;=I102,F102))-105000</f>
        <v>1155000</v>
      </c>
      <c r="O102" s="1509">
        <v>7000000</v>
      </c>
      <c r="P102" s="1509">
        <v>1155000</v>
      </c>
      <c r="Q102" s="1509"/>
      <c r="R102" s="2650"/>
      <c r="S102" s="2650"/>
      <c r="T102" s="1507"/>
      <c r="U102" s="1495">
        <f t="shared" si="19"/>
        <v>7000000</v>
      </c>
      <c r="V102" s="1495">
        <f t="shared" si="20"/>
        <v>1155000</v>
      </c>
      <c r="W102" s="1495"/>
      <c r="X102" s="1495">
        <f t="shared" si="22"/>
        <v>0</v>
      </c>
      <c r="Y102" s="1495">
        <f t="shared" si="23"/>
        <v>100</v>
      </c>
      <c r="Z102" s="1495">
        <f t="shared" si="24"/>
        <v>0</v>
      </c>
      <c r="AA102" s="1506">
        <f t="shared" si="25"/>
        <v>0</v>
      </c>
      <c r="AB102" s="1505"/>
      <c r="AC102" s="1504">
        <f t="shared" si="26"/>
        <v>0</v>
      </c>
      <c r="AD102" s="1503">
        <f t="shared" si="27"/>
        <v>0</v>
      </c>
      <c r="AE102" s="1503">
        <f t="shared" si="28"/>
        <v>0</v>
      </c>
      <c r="AF102" s="1502">
        <f t="shared" si="29"/>
        <v>0</v>
      </c>
    </row>
    <row r="103" spans="1:32" s="1474" customFormat="1" ht="23.25" customHeight="1">
      <c r="A103" s="1515">
        <v>38</v>
      </c>
      <c r="B103" s="1513" t="s">
        <v>2093</v>
      </c>
      <c r="C103" s="1514" t="s">
        <v>2387</v>
      </c>
      <c r="D103" s="1514">
        <v>20</v>
      </c>
      <c r="E103" s="1513">
        <v>35000000</v>
      </c>
      <c r="F103" s="1512">
        <f t="shared" si="16"/>
        <v>6300000</v>
      </c>
      <c r="G103" s="2141">
        <v>41408</v>
      </c>
      <c r="H103" s="1511">
        <v>0.18</v>
      </c>
      <c r="I103" s="1508">
        <v>12</v>
      </c>
      <c r="J103" s="1508">
        <v>12</v>
      </c>
      <c r="K103" s="1508">
        <v>2916700</v>
      </c>
      <c r="L103" s="1508">
        <f t="shared" si="31"/>
        <v>525000</v>
      </c>
      <c r="M103" s="1510">
        <f t="shared" si="17"/>
        <v>35000000</v>
      </c>
      <c r="N103" s="1510">
        <f t="shared" si="18"/>
        <v>6300000</v>
      </c>
      <c r="O103" s="1509">
        <v>35000000</v>
      </c>
      <c r="P103" s="1509">
        <v>6300000</v>
      </c>
      <c r="Q103" s="1509"/>
      <c r="R103" s="2650"/>
      <c r="S103" s="2650"/>
      <c r="T103" s="1507"/>
      <c r="U103" s="1495">
        <f t="shared" si="19"/>
        <v>35000000</v>
      </c>
      <c r="V103" s="1495">
        <f t="shared" si="20"/>
        <v>6300000</v>
      </c>
      <c r="W103" s="1495"/>
      <c r="X103" s="1495">
        <f t="shared" si="22"/>
        <v>0</v>
      </c>
      <c r="Y103" s="1495">
        <f t="shared" si="23"/>
        <v>100</v>
      </c>
      <c r="Z103" s="1495">
        <f t="shared" si="24"/>
        <v>0</v>
      </c>
      <c r="AA103" s="1506">
        <f t="shared" si="25"/>
        <v>0</v>
      </c>
      <c r="AB103" s="1505"/>
      <c r="AC103" s="1504">
        <f t="shared" si="26"/>
        <v>0</v>
      </c>
      <c r="AD103" s="1503">
        <f t="shared" si="27"/>
        <v>0</v>
      </c>
      <c r="AE103" s="1503">
        <f t="shared" si="28"/>
        <v>0</v>
      </c>
      <c r="AF103" s="1502">
        <f t="shared" si="29"/>
        <v>0</v>
      </c>
    </row>
    <row r="104" spans="1:32" s="2849" customFormat="1" ht="23.25" customHeight="1">
      <c r="A104" s="2683">
        <v>39</v>
      </c>
      <c r="B104" s="2684" t="s">
        <v>2438</v>
      </c>
      <c r="C104" s="2685" t="s">
        <v>2377</v>
      </c>
      <c r="D104" s="2685">
        <v>12</v>
      </c>
      <c r="E104" s="2684">
        <v>22000000</v>
      </c>
      <c r="F104" s="2684">
        <f t="shared" si="16"/>
        <v>3960000</v>
      </c>
      <c r="G104" s="2686">
        <v>41487</v>
      </c>
      <c r="H104" s="2687">
        <v>0.18</v>
      </c>
      <c r="I104" s="2688">
        <v>12</v>
      </c>
      <c r="J104" s="2688">
        <v>12</v>
      </c>
      <c r="K104" s="2688">
        <v>1833300</v>
      </c>
      <c r="L104" s="2688">
        <f t="shared" si="31"/>
        <v>330000</v>
      </c>
      <c r="M104" s="2688">
        <f t="shared" si="17"/>
        <v>22000000</v>
      </c>
      <c r="N104" s="2688">
        <f t="shared" si="18"/>
        <v>3960000</v>
      </c>
      <c r="O104" s="2688">
        <v>6969900</v>
      </c>
      <c r="P104" s="2688">
        <v>1320000</v>
      </c>
      <c r="Q104" s="2688"/>
      <c r="R104" s="2688"/>
      <c r="S104" s="2688"/>
      <c r="T104" s="2684"/>
      <c r="U104" s="2689">
        <f t="shared" si="19"/>
        <v>6969900</v>
      </c>
      <c r="V104" s="2689">
        <f t="shared" si="20"/>
        <v>1320000</v>
      </c>
      <c r="W104" s="2689"/>
      <c r="X104" s="2689">
        <f t="shared" si="22"/>
        <v>15030100</v>
      </c>
      <c r="Y104" s="2689">
        <f t="shared" si="23"/>
        <v>31.681363636363635</v>
      </c>
      <c r="Z104" s="2689">
        <f t="shared" si="24"/>
        <v>15030100</v>
      </c>
      <c r="AA104" s="2828">
        <f t="shared" si="25"/>
        <v>2640000</v>
      </c>
      <c r="AB104" s="2845">
        <v>7</v>
      </c>
      <c r="AC104" s="2846">
        <f t="shared" si="26"/>
        <v>0</v>
      </c>
      <c r="AD104" s="2847">
        <f t="shared" si="27"/>
        <v>0</v>
      </c>
      <c r="AE104" s="2847">
        <f t="shared" si="28"/>
        <v>0</v>
      </c>
      <c r="AF104" s="2848">
        <f t="shared" si="29"/>
        <v>15030100</v>
      </c>
    </row>
    <row r="105" spans="1:32" s="1474" customFormat="1" ht="23.25" customHeight="1">
      <c r="A105" s="1515">
        <v>40</v>
      </c>
      <c r="B105" s="1513" t="s">
        <v>2326</v>
      </c>
      <c r="C105" s="1514" t="s">
        <v>2411</v>
      </c>
      <c r="D105" s="1514">
        <v>12</v>
      </c>
      <c r="E105" s="1513">
        <v>9800000</v>
      </c>
      <c r="F105" s="1512">
        <f t="shared" si="16"/>
        <v>1764000</v>
      </c>
      <c r="G105" s="2141">
        <v>41487</v>
      </c>
      <c r="H105" s="1511">
        <v>0.18</v>
      </c>
      <c r="I105" s="1508">
        <v>12</v>
      </c>
      <c r="J105" s="1508">
        <v>12</v>
      </c>
      <c r="K105" s="1508">
        <v>816700</v>
      </c>
      <c r="L105" s="1508">
        <f t="shared" si="31"/>
        <v>147000</v>
      </c>
      <c r="M105" s="1510">
        <f t="shared" si="17"/>
        <v>9800000</v>
      </c>
      <c r="N105" s="1510">
        <f>IF(J105&lt;I105,J105*L105,IF(J105&gt;=I105,F105))-147000</f>
        <v>1617000</v>
      </c>
      <c r="O105" s="1509">
        <v>9800000</v>
      </c>
      <c r="P105" s="1509">
        <v>1617000</v>
      </c>
      <c r="Q105" s="1509"/>
      <c r="R105" s="1509"/>
      <c r="S105" s="1509"/>
      <c r="T105" s="1507"/>
      <c r="U105" s="1495">
        <f t="shared" si="19"/>
        <v>9800000</v>
      </c>
      <c r="V105" s="1495">
        <f t="shared" si="20"/>
        <v>1617000</v>
      </c>
      <c r="W105" s="1495"/>
      <c r="X105" s="1495">
        <f t="shared" si="22"/>
        <v>0</v>
      </c>
      <c r="Y105" s="1495">
        <f t="shared" si="23"/>
        <v>100</v>
      </c>
      <c r="Z105" s="1495">
        <f t="shared" si="24"/>
        <v>0</v>
      </c>
      <c r="AA105" s="1506">
        <f t="shared" si="25"/>
        <v>0</v>
      </c>
      <c r="AB105" s="1505"/>
      <c r="AC105" s="1504">
        <f t="shared" si="26"/>
        <v>0</v>
      </c>
      <c r="AD105" s="1503">
        <f t="shared" si="27"/>
        <v>0</v>
      </c>
      <c r="AE105" s="1503">
        <f t="shared" si="28"/>
        <v>0</v>
      </c>
      <c r="AF105" s="1502">
        <f t="shared" si="29"/>
        <v>0</v>
      </c>
    </row>
    <row r="106" spans="1:32" s="1474" customFormat="1" ht="23.25" customHeight="1">
      <c r="A106" s="1515">
        <v>41</v>
      </c>
      <c r="B106" s="1513" t="s">
        <v>2327</v>
      </c>
      <c r="C106" s="1514" t="s">
        <v>2411</v>
      </c>
      <c r="D106" s="1514">
        <v>10</v>
      </c>
      <c r="E106" s="1513">
        <v>11200000</v>
      </c>
      <c r="F106" s="1512">
        <f t="shared" si="16"/>
        <v>2016000</v>
      </c>
      <c r="G106" s="2141">
        <v>41487</v>
      </c>
      <c r="H106" s="1511">
        <v>0.18</v>
      </c>
      <c r="I106" s="1508">
        <v>12</v>
      </c>
      <c r="J106" s="1508">
        <v>12</v>
      </c>
      <c r="K106" s="1508">
        <v>933300</v>
      </c>
      <c r="L106" s="1508">
        <f t="shared" si="31"/>
        <v>168000</v>
      </c>
      <c r="M106" s="1510">
        <f t="shared" si="17"/>
        <v>11200000</v>
      </c>
      <c r="N106" s="1510">
        <f>IF(J106&lt;I106,J106*L106,IF(J106&gt;=I106,F106))-168000</f>
        <v>1848000</v>
      </c>
      <c r="O106" s="1509">
        <v>11200000</v>
      </c>
      <c r="P106" s="1509">
        <v>1848000</v>
      </c>
      <c r="Q106" s="1509"/>
      <c r="R106" s="2650"/>
      <c r="S106" s="2650"/>
      <c r="T106" s="1507"/>
      <c r="U106" s="1495">
        <f t="shared" si="19"/>
        <v>11200000</v>
      </c>
      <c r="V106" s="1495">
        <f t="shared" si="20"/>
        <v>1848000</v>
      </c>
      <c r="W106" s="1495"/>
      <c r="X106" s="1495">
        <f t="shared" si="22"/>
        <v>0</v>
      </c>
      <c r="Y106" s="1495">
        <f t="shared" si="23"/>
        <v>100</v>
      </c>
      <c r="Z106" s="1495">
        <f t="shared" si="24"/>
        <v>0</v>
      </c>
      <c r="AA106" s="1506">
        <f t="shared" si="25"/>
        <v>0</v>
      </c>
      <c r="AB106" s="1505"/>
      <c r="AC106" s="1504">
        <f t="shared" si="26"/>
        <v>0</v>
      </c>
      <c r="AD106" s="1503">
        <f t="shared" si="27"/>
        <v>0</v>
      </c>
      <c r="AE106" s="1503">
        <f t="shared" si="28"/>
        <v>0</v>
      </c>
      <c r="AF106" s="1502">
        <f t="shared" si="29"/>
        <v>0</v>
      </c>
    </row>
    <row r="107" spans="1:32" s="1474" customFormat="1" ht="23.25" customHeight="1">
      <c r="A107" s="1515">
        <v>42</v>
      </c>
      <c r="B107" s="1513" t="s">
        <v>2089</v>
      </c>
      <c r="C107" s="1514" t="s">
        <v>2411</v>
      </c>
      <c r="D107" s="1514">
        <v>10</v>
      </c>
      <c r="E107" s="1513">
        <v>20000000</v>
      </c>
      <c r="F107" s="1512">
        <f t="shared" si="16"/>
        <v>3600000</v>
      </c>
      <c r="G107" s="2141">
        <v>41528</v>
      </c>
      <c r="H107" s="1511">
        <v>0.18</v>
      </c>
      <c r="I107" s="1508">
        <v>12</v>
      </c>
      <c r="J107" s="1508">
        <v>12</v>
      </c>
      <c r="K107" s="1508">
        <v>1666700</v>
      </c>
      <c r="L107" s="1508">
        <f t="shared" si="31"/>
        <v>300000</v>
      </c>
      <c r="M107" s="1510">
        <f t="shared" si="17"/>
        <v>20000000</v>
      </c>
      <c r="N107" s="1510">
        <f t="shared" si="18"/>
        <v>3600000</v>
      </c>
      <c r="O107" s="1509">
        <v>20000000</v>
      </c>
      <c r="P107" s="1509">
        <v>3600000</v>
      </c>
      <c r="Q107" s="1509"/>
      <c r="R107" s="2650"/>
      <c r="S107" s="2650"/>
      <c r="T107" s="1507"/>
      <c r="U107" s="1495">
        <f t="shared" si="19"/>
        <v>20000000</v>
      </c>
      <c r="V107" s="1495">
        <f t="shared" si="20"/>
        <v>3600000</v>
      </c>
      <c r="W107" s="1495"/>
      <c r="X107" s="1495">
        <f t="shared" si="22"/>
        <v>0</v>
      </c>
      <c r="Y107" s="1495">
        <f t="shared" si="23"/>
        <v>100</v>
      </c>
      <c r="Z107" s="1495">
        <f t="shared" si="24"/>
        <v>0</v>
      </c>
      <c r="AA107" s="1506">
        <f t="shared" si="25"/>
        <v>0</v>
      </c>
      <c r="AB107" s="1505"/>
      <c r="AC107" s="1504">
        <f t="shared" si="26"/>
        <v>0</v>
      </c>
      <c r="AD107" s="1503">
        <f t="shared" si="27"/>
        <v>0</v>
      </c>
      <c r="AE107" s="1503">
        <f t="shared" si="28"/>
        <v>0</v>
      </c>
      <c r="AF107" s="1502">
        <f t="shared" si="29"/>
        <v>0</v>
      </c>
    </row>
    <row r="108" spans="1:32" s="1474" customFormat="1" ht="23.25" customHeight="1">
      <c r="A108" s="1515">
        <v>43</v>
      </c>
      <c r="B108" s="1513" t="s">
        <v>2090</v>
      </c>
      <c r="C108" s="1514" t="s">
        <v>2411</v>
      </c>
      <c r="D108" s="1514">
        <v>10</v>
      </c>
      <c r="E108" s="1513">
        <v>20000000</v>
      </c>
      <c r="F108" s="1512">
        <f t="shared" si="16"/>
        <v>3600000</v>
      </c>
      <c r="G108" s="2141">
        <v>41528</v>
      </c>
      <c r="H108" s="1511">
        <v>0.18</v>
      </c>
      <c r="I108" s="1508">
        <v>12</v>
      </c>
      <c r="J108" s="1508">
        <v>12</v>
      </c>
      <c r="K108" s="1508">
        <v>1666700</v>
      </c>
      <c r="L108" s="1508">
        <f t="shared" si="31"/>
        <v>300000</v>
      </c>
      <c r="M108" s="1510">
        <f t="shared" si="17"/>
        <v>20000000</v>
      </c>
      <c r="N108" s="1510">
        <f>IF(J108&lt;I108,J108*L108,IF(J108&gt;=I108,F108))-300000</f>
        <v>3300000</v>
      </c>
      <c r="O108" s="1509">
        <v>20000000</v>
      </c>
      <c r="P108" s="1509">
        <v>3300000</v>
      </c>
      <c r="Q108" s="1509"/>
      <c r="R108" s="2650"/>
      <c r="S108" s="2650"/>
      <c r="T108" s="1507"/>
      <c r="U108" s="1495">
        <f t="shared" si="19"/>
        <v>20000000</v>
      </c>
      <c r="V108" s="1495">
        <f t="shared" si="20"/>
        <v>3300000</v>
      </c>
      <c r="W108" s="1495"/>
      <c r="X108" s="1495">
        <f t="shared" si="22"/>
        <v>0</v>
      </c>
      <c r="Y108" s="1495">
        <f t="shared" si="23"/>
        <v>100</v>
      </c>
      <c r="Z108" s="1495">
        <f t="shared" si="24"/>
        <v>0</v>
      </c>
      <c r="AA108" s="1506">
        <f t="shared" si="25"/>
        <v>0</v>
      </c>
      <c r="AB108" s="1505"/>
      <c r="AC108" s="1504">
        <f t="shared" si="26"/>
        <v>0</v>
      </c>
      <c r="AD108" s="1503">
        <f t="shared" si="27"/>
        <v>0</v>
      </c>
      <c r="AE108" s="1503">
        <f t="shared" si="28"/>
        <v>0</v>
      </c>
      <c r="AF108" s="1502">
        <f t="shared" si="29"/>
        <v>0</v>
      </c>
    </row>
    <row r="109" spans="1:32" s="1474" customFormat="1" ht="23.25" customHeight="1">
      <c r="A109" s="1515">
        <v>44</v>
      </c>
      <c r="B109" s="1513" t="s">
        <v>2091</v>
      </c>
      <c r="C109" s="1514" t="s">
        <v>2411</v>
      </c>
      <c r="D109" s="1514">
        <v>10</v>
      </c>
      <c r="E109" s="1513">
        <v>20000000</v>
      </c>
      <c r="F109" s="1512">
        <f t="shared" si="16"/>
        <v>3600000</v>
      </c>
      <c r="G109" s="2141">
        <v>41528</v>
      </c>
      <c r="H109" s="1511">
        <v>0.18</v>
      </c>
      <c r="I109" s="1508">
        <v>12</v>
      </c>
      <c r="J109" s="1508">
        <v>12</v>
      </c>
      <c r="K109" s="1508">
        <v>1666700</v>
      </c>
      <c r="L109" s="1508">
        <f t="shared" si="31"/>
        <v>300000</v>
      </c>
      <c r="M109" s="1510">
        <f t="shared" si="17"/>
        <v>20000000</v>
      </c>
      <c r="N109" s="1510">
        <f>IF(J109&lt;I109,J109*L109,IF(J109&gt;=I109,F109))-300000</f>
        <v>3300000</v>
      </c>
      <c r="O109" s="1509">
        <v>20000000</v>
      </c>
      <c r="P109" s="1509">
        <v>3300000</v>
      </c>
      <c r="Q109" s="1509"/>
      <c r="R109" s="2650"/>
      <c r="S109" s="2650"/>
      <c r="T109" s="1507"/>
      <c r="U109" s="1495">
        <f t="shared" si="19"/>
        <v>20000000</v>
      </c>
      <c r="V109" s="1495">
        <f t="shared" si="20"/>
        <v>3300000</v>
      </c>
      <c r="W109" s="1495"/>
      <c r="X109" s="1495">
        <f t="shared" si="22"/>
        <v>0</v>
      </c>
      <c r="Y109" s="1495">
        <f t="shared" si="23"/>
        <v>100</v>
      </c>
      <c r="Z109" s="1495">
        <f t="shared" si="24"/>
        <v>0</v>
      </c>
      <c r="AA109" s="1506">
        <f t="shared" si="25"/>
        <v>0</v>
      </c>
      <c r="AB109" s="1505"/>
      <c r="AC109" s="1504">
        <f t="shared" si="26"/>
        <v>0</v>
      </c>
      <c r="AD109" s="1503">
        <f t="shared" si="27"/>
        <v>0</v>
      </c>
      <c r="AE109" s="1503">
        <f t="shared" si="28"/>
        <v>0</v>
      </c>
      <c r="AF109" s="1502">
        <f t="shared" si="29"/>
        <v>0</v>
      </c>
    </row>
    <row r="110" spans="1:32" s="1474" customFormat="1" ht="23.25" customHeight="1">
      <c r="A110" s="1515">
        <v>45</v>
      </c>
      <c r="B110" s="1513" t="s">
        <v>2092</v>
      </c>
      <c r="C110" s="1514" t="s">
        <v>2411</v>
      </c>
      <c r="D110" s="1514">
        <v>10</v>
      </c>
      <c r="E110" s="1513">
        <v>22000000</v>
      </c>
      <c r="F110" s="1512">
        <f t="shared" si="16"/>
        <v>3960000</v>
      </c>
      <c r="G110" s="2141">
        <v>41528</v>
      </c>
      <c r="H110" s="1511">
        <v>0.18</v>
      </c>
      <c r="I110" s="1508">
        <v>12</v>
      </c>
      <c r="J110" s="1508">
        <v>12</v>
      </c>
      <c r="K110" s="1508">
        <v>1833300</v>
      </c>
      <c r="L110" s="1508">
        <f t="shared" si="31"/>
        <v>330000</v>
      </c>
      <c r="M110" s="1510">
        <f t="shared" si="17"/>
        <v>22000000</v>
      </c>
      <c r="N110" s="1510">
        <f t="shared" si="18"/>
        <v>3960000</v>
      </c>
      <c r="O110" s="1509">
        <v>22000000</v>
      </c>
      <c r="P110" s="1509">
        <v>3960000</v>
      </c>
      <c r="Q110" s="1509"/>
      <c r="R110" s="2650"/>
      <c r="S110" s="2650"/>
      <c r="T110" s="1507"/>
      <c r="U110" s="1495">
        <f t="shared" si="19"/>
        <v>22000000</v>
      </c>
      <c r="V110" s="1495">
        <f t="shared" si="20"/>
        <v>3960000</v>
      </c>
      <c r="W110" s="1495"/>
      <c r="X110" s="1495">
        <f t="shared" si="22"/>
        <v>0</v>
      </c>
      <c r="Y110" s="1495">
        <f t="shared" si="23"/>
        <v>100</v>
      </c>
      <c r="Z110" s="1495">
        <f t="shared" si="24"/>
        <v>0</v>
      </c>
      <c r="AA110" s="1506">
        <f t="shared" si="25"/>
        <v>0</v>
      </c>
      <c r="AB110" s="1505"/>
      <c r="AC110" s="1504">
        <f t="shared" si="26"/>
        <v>0</v>
      </c>
      <c r="AD110" s="1503">
        <f t="shared" si="27"/>
        <v>0</v>
      </c>
      <c r="AE110" s="1503">
        <f t="shared" si="28"/>
        <v>0</v>
      </c>
      <c r="AF110" s="1502">
        <f t="shared" si="29"/>
        <v>0</v>
      </c>
    </row>
    <row r="111" spans="1:32" s="1474" customFormat="1" ht="23.25" customHeight="1">
      <c r="A111" s="1515">
        <v>46</v>
      </c>
      <c r="B111" s="1513" t="s">
        <v>2331</v>
      </c>
      <c r="C111" s="1514" t="s">
        <v>2411</v>
      </c>
      <c r="D111" s="1514">
        <v>10</v>
      </c>
      <c r="E111" s="1513">
        <v>15000000</v>
      </c>
      <c r="F111" s="1512">
        <f t="shared" si="16"/>
        <v>2700000</v>
      </c>
      <c r="G111" s="2141">
        <v>41536</v>
      </c>
      <c r="H111" s="1511">
        <v>0.18</v>
      </c>
      <c r="I111" s="1508">
        <v>12</v>
      </c>
      <c r="J111" s="1508">
        <v>12</v>
      </c>
      <c r="K111" s="1508">
        <f>E111/I111</f>
        <v>1250000</v>
      </c>
      <c r="L111" s="1508">
        <f t="shared" si="31"/>
        <v>225000</v>
      </c>
      <c r="M111" s="1510">
        <f t="shared" si="17"/>
        <v>15000000</v>
      </c>
      <c r="N111" s="1510">
        <f t="shared" si="18"/>
        <v>2700000</v>
      </c>
      <c r="O111" s="1509">
        <v>15000000</v>
      </c>
      <c r="P111" s="1509">
        <v>2700000</v>
      </c>
      <c r="Q111" s="1509"/>
      <c r="R111" s="2650"/>
      <c r="S111" s="2650"/>
      <c r="T111" s="1507"/>
      <c r="U111" s="1495">
        <f t="shared" si="19"/>
        <v>15000000</v>
      </c>
      <c r="V111" s="1495">
        <f t="shared" si="20"/>
        <v>2700000</v>
      </c>
      <c r="W111" s="1495"/>
      <c r="X111" s="1495">
        <f t="shared" si="22"/>
        <v>0</v>
      </c>
      <c r="Y111" s="1495">
        <f t="shared" si="23"/>
        <v>100</v>
      </c>
      <c r="Z111" s="1495">
        <f t="shared" si="24"/>
        <v>0</v>
      </c>
      <c r="AA111" s="1506">
        <f t="shared" si="25"/>
        <v>0</v>
      </c>
      <c r="AB111" s="1505"/>
      <c r="AC111" s="1504">
        <f t="shared" si="26"/>
        <v>0</v>
      </c>
      <c r="AD111" s="1503">
        <f t="shared" si="27"/>
        <v>0</v>
      </c>
      <c r="AE111" s="1503">
        <f t="shared" si="28"/>
        <v>0</v>
      </c>
      <c r="AF111" s="1502">
        <f t="shared" si="29"/>
        <v>0</v>
      </c>
    </row>
    <row r="112" spans="1:32" s="1474" customFormat="1" ht="23.25" customHeight="1">
      <c r="A112" s="1515">
        <v>47</v>
      </c>
      <c r="B112" s="1513" t="s">
        <v>2087</v>
      </c>
      <c r="C112" s="1514" t="s">
        <v>2465</v>
      </c>
      <c r="D112" s="1514">
        <v>10</v>
      </c>
      <c r="E112" s="1513">
        <v>40000000</v>
      </c>
      <c r="F112" s="1512">
        <f t="shared" si="16"/>
        <v>7200000</v>
      </c>
      <c r="G112" s="2141">
        <v>41564</v>
      </c>
      <c r="H112" s="1511">
        <v>0.18</v>
      </c>
      <c r="I112" s="1508">
        <v>12</v>
      </c>
      <c r="J112" s="1508">
        <v>12</v>
      </c>
      <c r="K112" s="1508">
        <v>3333300</v>
      </c>
      <c r="L112" s="1508">
        <f t="shared" si="31"/>
        <v>600000</v>
      </c>
      <c r="M112" s="1510">
        <f t="shared" si="17"/>
        <v>40000000</v>
      </c>
      <c r="N112" s="2401">
        <f>IF(J112&lt;I112,J112*L112,IF(J112&gt;=I112,F112))-600000</f>
        <v>6600000</v>
      </c>
      <c r="O112" s="1509">
        <v>40000000</v>
      </c>
      <c r="P112" s="1509">
        <v>6600000</v>
      </c>
      <c r="Q112" s="1509"/>
      <c r="R112" s="2650"/>
      <c r="S112" s="2650"/>
      <c r="T112" s="1507"/>
      <c r="U112" s="1495">
        <f t="shared" si="19"/>
        <v>40000000</v>
      </c>
      <c r="V112" s="1495">
        <f t="shared" si="20"/>
        <v>6600000</v>
      </c>
      <c r="W112" s="1495"/>
      <c r="X112" s="1495">
        <f t="shared" si="22"/>
        <v>0</v>
      </c>
      <c r="Y112" s="1495">
        <f t="shared" si="23"/>
        <v>100</v>
      </c>
      <c r="Z112" s="1495">
        <f t="shared" si="24"/>
        <v>0</v>
      </c>
      <c r="AA112" s="1506">
        <f t="shared" si="25"/>
        <v>0</v>
      </c>
      <c r="AB112" s="1505"/>
      <c r="AC112" s="1504">
        <f t="shared" si="26"/>
        <v>0</v>
      </c>
      <c r="AD112" s="1503">
        <f t="shared" si="27"/>
        <v>0</v>
      </c>
      <c r="AE112" s="1503">
        <f t="shared" si="28"/>
        <v>0</v>
      </c>
      <c r="AF112" s="1502">
        <f t="shared" si="29"/>
        <v>0</v>
      </c>
    </row>
    <row r="113" spans="1:32" s="1474" customFormat="1" ht="23.25" customHeight="1">
      <c r="A113" s="1515">
        <v>48</v>
      </c>
      <c r="B113" s="1513" t="s">
        <v>2467</v>
      </c>
      <c r="C113" s="1514" t="s">
        <v>2465</v>
      </c>
      <c r="D113" s="1514">
        <v>10</v>
      </c>
      <c r="E113" s="1513">
        <v>18000000</v>
      </c>
      <c r="F113" s="1512">
        <f t="shared" si="16"/>
        <v>3240000</v>
      </c>
      <c r="G113" s="2141">
        <v>41564</v>
      </c>
      <c r="H113" s="1511">
        <v>0.18</v>
      </c>
      <c r="I113" s="1508">
        <v>12</v>
      </c>
      <c r="J113" s="1508">
        <v>12</v>
      </c>
      <c r="K113" s="1508">
        <f t="shared" ref="K113:K121" si="32">E113/I113</f>
        <v>1500000</v>
      </c>
      <c r="L113" s="1508">
        <f t="shared" si="31"/>
        <v>270000</v>
      </c>
      <c r="M113" s="1510">
        <f t="shared" si="17"/>
        <v>18000000</v>
      </c>
      <c r="N113" s="2401">
        <f>IF(J113&lt;I113,J113*L113,IF(J113&gt;=I113,F113))-270000</f>
        <v>2970000</v>
      </c>
      <c r="O113" s="1509">
        <v>18000000</v>
      </c>
      <c r="P113" s="1509">
        <v>2970000</v>
      </c>
      <c r="Q113" s="1509"/>
      <c r="R113" s="2650"/>
      <c r="S113" s="2650"/>
      <c r="T113" s="1507"/>
      <c r="U113" s="1495">
        <f t="shared" si="19"/>
        <v>18000000</v>
      </c>
      <c r="V113" s="1495">
        <f t="shared" si="20"/>
        <v>2970000</v>
      </c>
      <c r="W113" s="1495"/>
      <c r="X113" s="1495">
        <f t="shared" si="22"/>
        <v>0</v>
      </c>
      <c r="Y113" s="1495">
        <f t="shared" si="23"/>
        <v>100</v>
      </c>
      <c r="Z113" s="1495">
        <f t="shared" si="24"/>
        <v>0</v>
      </c>
      <c r="AA113" s="1506">
        <f t="shared" si="25"/>
        <v>0</v>
      </c>
      <c r="AB113" s="1505"/>
      <c r="AC113" s="1504">
        <f t="shared" si="26"/>
        <v>0</v>
      </c>
      <c r="AD113" s="1503">
        <f t="shared" si="27"/>
        <v>0</v>
      </c>
      <c r="AE113" s="1503">
        <f t="shared" si="28"/>
        <v>0</v>
      </c>
      <c r="AF113" s="1502">
        <f t="shared" si="29"/>
        <v>0</v>
      </c>
    </row>
    <row r="114" spans="1:32" s="1474" customFormat="1" ht="23.25" customHeight="1">
      <c r="A114" s="1515">
        <v>49</v>
      </c>
      <c r="B114" s="1513" t="s">
        <v>1941</v>
      </c>
      <c r="C114" s="1514" t="s">
        <v>2465</v>
      </c>
      <c r="D114" s="1514">
        <v>10</v>
      </c>
      <c r="E114" s="1513">
        <v>30000000</v>
      </c>
      <c r="F114" s="1512">
        <f t="shared" si="16"/>
        <v>5400000</v>
      </c>
      <c r="G114" s="2141">
        <v>41589</v>
      </c>
      <c r="H114" s="1511">
        <v>0.18</v>
      </c>
      <c r="I114" s="1508">
        <v>12</v>
      </c>
      <c r="J114" s="1508">
        <v>12</v>
      </c>
      <c r="K114" s="1508">
        <f t="shared" si="32"/>
        <v>2500000</v>
      </c>
      <c r="L114" s="1508">
        <f t="shared" si="31"/>
        <v>450000</v>
      </c>
      <c r="M114" s="1510">
        <f t="shared" si="17"/>
        <v>30000000</v>
      </c>
      <c r="N114" s="2401">
        <f>IF(J114&lt;I114,J114*L114,IF(J114&gt;=I114,F114))-450000</f>
        <v>4950000</v>
      </c>
      <c r="O114" s="1509">
        <v>30000000</v>
      </c>
      <c r="P114" s="1509">
        <v>4950000</v>
      </c>
      <c r="Q114" s="1509"/>
      <c r="R114" s="2650"/>
      <c r="S114" s="2650"/>
      <c r="T114" s="1507"/>
      <c r="U114" s="1495">
        <f t="shared" si="19"/>
        <v>30000000</v>
      </c>
      <c r="V114" s="1495">
        <f t="shared" si="20"/>
        <v>4950000</v>
      </c>
      <c r="W114" s="1495"/>
      <c r="X114" s="1495">
        <f t="shared" si="22"/>
        <v>0</v>
      </c>
      <c r="Y114" s="1495">
        <f t="shared" si="23"/>
        <v>100</v>
      </c>
      <c r="Z114" s="1495">
        <f t="shared" si="24"/>
        <v>0</v>
      </c>
      <c r="AA114" s="1506">
        <f t="shared" si="25"/>
        <v>0</v>
      </c>
      <c r="AB114" s="1505"/>
      <c r="AC114" s="1504">
        <f t="shared" si="26"/>
        <v>0</v>
      </c>
      <c r="AD114" s="1503">
        <f t="shared" si="27"/>
        <v>0</v>
      </c>
      <c r="AE114" s="1503">
        <f t="shared" si="28"/>
        <v>0</v>
      </c>
      <c r="AF114" s="1502">
        <f t="shared" si="29"/>
        <v>0</v>
      </c>
    </row>
    <row r="115" spans="1:32" s="1474" customFormat="1" ht="23.25" customHeight="1">
      <c r="A115" s="1515">
        <v>50</v>
      </c>
      <c r="B115" s="1513" t="s">
        <v>2477</v>
      </c>
      <c r="C115" s="1514" t="s">
        <v>2465</v>
      </c>
      <c r="D115" s="1514">
        <v>10</v>
      </c>
      <c r="E115" s="1513">
        <v>24000000</v>
      </c>
      <c r="F115" s="1512">
        <f t="shared" si="16"/>
        <v>4320000</v>
      </c>
      <c r="G115" s="2141">
        <v>41595</v>
      </c>
      <c r="H115" s="1511">
        <v>0.18</v>
      </c>
      <c r="I115" s="1508">
        <v>12</v>
      </c>
      <c r="J115" s="1508">
        <v>12</v>
      </c>
      <c r="K115" s="1508">
        <f t="shared" si="32"/>
        <v>2000000</v>
      </c>
      <c r="L115" s="1508">
        <f t="shared" si="31"/>
        <v>360000</v>
      </c>
      <c r="M115" s="1510">
        <f t="shared" si="17"/>
        <v>24000000</v>
      </c>
      <c r="N115" s="1510">
        <f t="shared" si="18"/>
        <v>4320000</v>
      </c>
      <c r="O115" s="1509">
        <v>24000000</v>
      </c>
      <c r="P115" s="1509">
        <v>4320000</v>
      </c>
      <c r="Q115" s="1509"/>
      <c r="R115" s="2650"/>
      <c r="S115" s="2650"/>
      <c r="T115" s="1507"/>
      <c r="U115" s="1495">
        <f t="shared" si="19"/>
        <v>24000000</v>
      </c>
      <c r="V115" s="1495">
        <f t="shared" si="20"/>
        <v>4320000</v>
      </c>
      <c r="W115" s="1495"/>
      <c r="X115" s="1495">
        <f t="shared" si="22"/>
        <v>0</v>
      </c>
      <c r="Y115" s="1495">
        <f t="shared" si="23"/>
        <v>100</v>
      </c>
      <c r="Z115" s="1495">
        <f t="shared" si="24"/>
        <v>0</v>
      </c>
      <c r="AA115" s="1506">
        <f t="shared" si="25"/>
        <v>0</v>
      </c>
      <c r="AB115" s="1505"/>
      <c r="AC115" s="1504">
        <f t="shared" si="26"/>
        <v>0</v>
      </c>
      <c r="AD115" s="1503">
        <f t="shared" si="27"/>
        <v>0</v>
      </c>
      <c r="AE115" s="1503">
        <f t="shared" si="28"/>
        <v>0</v>
      </c>
      <c r="AF115" s="1502">
        <f t="shared" si="29"/>
        <v>0</v>
      </c>
    </row>
    <row r="116" spans="1:32" s="1474" customFormat="1" ht="23.25" customHeight="1">
      <c r="A116" s="1515">
        <v>51</v>
      </c>
      <c r="B116" s="1513" t="s">
        <v>2094</v>
      </c>
      <c r="C116" s="1514" t="s">
        <v>2411</v>
      </c>
      <c r="D116" s="1514">
        <v>10</v>
      </c>
      <c r="E116" s="1513">
        <v>16000000</v>
      </c>
      <c r="F116" s="1512">
        <f t="shared" si="16"/>
        <v>2880000</v>
      </c>
      <c r="G116" s="2141">
        <v>41614</v>
      </c>
      <c r="H116" s="1511">
        <v>0.18</v>
      </c>
      <c r="I116" s="1508">
        <v>12</v>
      </c>
      <c r="J116" s="1508">
        <v>12</v>
      </c>
      <c r="K116" s="1508">
        <v>1333300</v>
      </c>
      <c r="L116" s="1508">
        <f t="shared" si="31"/>
        <v>240000</v>
      </c>
      <c r="M116" s="1510">
        <f t="shared" si="17"/>
        <v>16000000</v>
      </c>
      <c r="N116" s="2401">
        <f>IF(J116&lt;I116,J116*L116,IF(J116&gt;=I116,F116))-240000</f>
        <v>2640000</v>
      </c>
      <c r="O116" s="1509">
        <v>16000000</v>
      </c>
      <c r="P116" s="1509">
        <v>2640000</v>
      </c>
      <c r="Q116" s="1509"/>
      <c r="R116" s="2650"/>
      <c r="S116" s="2650"/>
      <c r="T116" s="1507"/>
      <c r="U116" s="1495">
        <f t="shared" si="19"/>
        <v>16000000</v>
      </c>
      <c r="V116" s="1495">
        <f t="shared" si="20"/>
        <v>2640000</v>
      </c>
      <c r="W116" s="1495"/>
      <c r="X116" s="1495">
        <f t="shared" si="22"/>
        <v>0</v>
      </c>
      <c r="Y116" s="1495">
        <f t="shared" si="23"/>
        <v>100</v>
      </c>
      <c r="Z116" s="1495">
        <f t="shared" si="24"/>
        <v>0</v>
      </c>
      <c r="AA116" s="1506">
        <f t="shared" si="25"/>
        <v>0</v>
      </c>
      <c r="AB116" s="1505"/>
      <c r="AC116" s="1504">
        <f t="shared" si="26"/>
        <v>0</v>
      </c>
      <c r="AD116" s="1503">
        <f t="shared" si="27"/>
        <v>0</v>
      </c>
      <c r="AE116" s="1503">
        <f t="shared" si="28"/>
        <v>0</v>
      </c>
      <c r="AF116" s="1502">
        <f t="shared" si="29"/>
        <v>0</v>
      </c>
    </row>
    <row r="117" spans="1:32" s="1474" customFormat="1" ht="23.25" customHeight="1">
      <c r="A117" s="1515">
        <v>52</v>
      </c>
      <c r="B117" s="1513" t="s">
        <v>2095</v>
      </c>
      <c r="C117" s="1514" t="s">
        <v>2465</v>
      </c>
      <c r="D117" s="1514">
        <v>10</v>
      </c>
      <c r="E117" s="1513">
        <v>26000000</v>
      </c>
      <c r="F117" s="1512">
        <f t="shared" si="16"/>
        <v>4680000</v>
      </c>
      <c r="G117" s="2141">
        <v>41614</v>
      </c>
      <c r="H117" s="1511">
        <v>0.18</v>
      </c>
      <c r="I117" s="1508">
        <v>12</v>
      </c>
      <c r="J117" s="1508">
        <v>12</v>
      </c>
      <c r="K117" s="1508">
        <v>2166700</v>
      </c>
      <c r="L117" s="1508">
        <f t="shared" si="31"/>
        <v>390000</v>
      </c>
      <c r="M117" s="1510">
        <f t="shared" si="17"/>
        <v>26000000</v>
      </c>
      <c r="N117" s="2401">
        <f>IF(J117&lt;I117,J117*L117,IF(J117&gt;=I117,F117))-780000</f>
        <v>3900000</v>
      </c>
      <c r="O117" s="1509">
        <v>26000000</v>
      </c>
      <c r="P117" s="1509">
        <v>3900000</v>
      </c>
      <c r="Q117" s="1509"/>
      <c r="R117" s="2650"/>
      <c r="S117" s="2650"/>
      <c r="T117" s="1507"/>
      <c r="U117" s="1495">
        <f t="shared" si="19"/>
        <v>26000000</v>
      </c>
      <c r="V117" s="1495">
        <f t="shared" si="20"/>
        <v>3900000</v>
      </c>
      <c r="W117" s="1495"/>
      <c r="X117" s="1495">
        <f t="shared" si="22"/>
        <v>0</v>
      </c>
      <c r="Y117" s="1495">
        <f t="shared" si="23"/>
        <v>100</v>
      </c>
      <c r="Z117" s="1495">
        <f t="shared" si="24"/>
        <v>0</v>
      </c>
      <c r="AA117" s="1506">
        <f t="shared" si="25"/>
        <v>0</v>
      </c>
      <c r="AB117" s="1505"/>
      <c r="AC117" s="1504">
        <f t="shared" si="26"/>
        <v>0</v>
      </c>
      <c r="AD117" s="1503">
        <f t="shared" si="27"/>
        <v>0</v>
      </c>
      <c r="AE117" s="1503">
        <f t="shared" si="28"/>
        <v>0</v>
      </c>
      <c r="AF117" s="1502">
        <f t="shared" si="29"/>
        <v>0</v>
      </c>
    </row>
    <row r="118" spans="1:32" s="1474" customFormat="1" ht="23.25" customHeight="1">
      <c r="A118" s="1515">
        <v>53</v>
      </c>
      <c r="B118" s="1513" t="s">
        <v>1958</v>
      </c>
      <c r="C118" s="1514" t="s">
        <v>2496</v>
      </c>
      <c r="D118" s="1514">
        <v>10</v>
      </c>
      <c r="E118" s="1513">
        <v>12000000</v>
      </c>
      <c r="F118" s="1512">
        <f t="shared" si="16"/>
        <v>2160000</v>
      </c>
      <c r="G118" s="2141">
        <v>41649</v>
      </c>
      <c r="H118" s="1511">
        <v>0.18</v>
      </c>
      <c r="I118" s="1508">
        <v>12</v>
      </c>
      <c r="J118" s="1508">
        <v>12</v>
      </c>
      <c r="K118" s="1508">
        <f t="shared" si="32"/>
        <v>1000000</v>
      </c>
      <c r="L118" s="1508">
        <f t="shared" si="31"/>
        <v>180000</v>
      </c>
      <c r="M118" s="1510">
        <f t="shared" si="17"/>
        <v>12000000</v>
      </c>
      <c r="N118" s="1510">
        <f t="shared" si="18"/>
        <v>2160000</v>
      </c>
      <c r="O118" s="1509">
        <v>12000000</v>
      </c>
      <c r="P118" s="1509">
        <v>2160000</v>
      </c>
      <c r="Q118" s="1509"/>
      <c r="R118" s="2650"/>
      <c r="S118" s="2650"/>
      <c r="T118" s="1507"/>
      <c r="U118" s="1495">
        <f t="shared" si="19"/>
        <v>12000000</v>
      </c>
      <c r="V118" s="1495">
        <f t="shared" si="20"/>
        <v>2160000</v>
      </c>
      <c r="W118" s="1495"/>
      <c r="X118" s="1495">
        <f t="shared" si="22"/>
        <v>0</v>
      </c>
      <c r="Y118" s="1495">
        <f t="shared" si="23"/>
        <v>100</v>
      </c>
      <c r="Z118" s="1495">
        <f t="shared" si="24"/>
        <v>0</v>
      </c>
      <c r="AA118" s="1506">
        <f t="shared" si="25"/>
        <v>0</v>
      </c>
      <c r="AB118" s="1505"/>
      <c r="AC118" s="1504">
        <f t="shared" si="26"/>
        <v>0</v>
      </c>
      <c r="AD118" s="1503">
        <f t="shared" si="27"/>
        <v>0</v>
      </c>
      <c r="AE118" s="1503">
        <f t="shared" si="28"/>
        <v>0</v>
      </c>
      <c r="AF118" s="1502">
        <f t="shared" si="29"/>
        <v>0</v>
      </c>
    </row>
    <row r="119" spans="1:32" s="1474" customFormat="1" ht="23.25" customHeight="1">
      <c r="A119" s="1515">
        <v>54</v>
      </c>
      <c r="B119" s="1513" t="s">
        <v>1991</v>
      </c>
      <c r="C119" s="1514" t="s">
        <v>2496</v>
      </c>
      <c r="D119" s="1514">
        <v>10</v>
      </c>
      <c r="E119" s="1513">
        <v>45000000</v>
      </c>
      <c r="F119" s="1512">
        <f t="shared" si="16"/>
        <v>8100000</v>
      </c>
      <c r="G119" s="2141">
        <v>41704</v>
      </c>
      <c r="H119" s="1511">
        <v>0.18</v>
      </c>
      <c r="I119" s="1508">
        <v>12</v>
      </c>
      <c r="J119" s="1508">
        <v>12</v>
      </c>
      <c r="K119" s="1508">
        <f t="shared" si="32"/>
        <v>3750000</v>
      </c>
      <c r="L119" s="1508">
        <f t="shared" si="31"/>
        <v>675000</v>
      </c>
      <c r="M119" s="1510">
        <f t="shared" si="17"/>
        <v>45000000</v>
      </c>
      <c r="N119" s="1510">
        <f t="shared" si="18"/>
        <v>8100000</v>
      </c>
      <c r="O119" s="1509">
        <v>45000000</v>
      </c>
      <c r="P119" s="1509">
        <v>8100000</v>
      </c>
      <c r="Q119" s="1509"/>
      <c r="R119" s="2650"/>
      <c r="S119" s="2650"/>
      <c r="T119" s="1507"/>
      <c r="U119" s="1495">
        <f t="shared" si="19"/>
        <v>45000000</v>
      </c>
      <c r="V119" s="1495">
        <f t="shared" si="20"/>
        <v>8100000</v>
      </c>
      <c r="W119" s="1495"/>
      <c r="X119" s="1495">
        <f t="shared" si="22"/>
        <v>0</v>
      </c>
      <c r="Y119" s="1495">
        <f t="shared" si="23"/>
        <v>100</v>
      </c>
      <c r="Z119" s="1495">
        <f t="shared" si="24"/>
        <v>0</v>
      </c>
      <c r="AA119" s="1506">
        <f t="shared" si="25"/>
        <v>0</v>
      </c>
      <c r="AB119" s="1505"/>
      <c r="AC119" s="1504">
        <f t="shared" si="26"/>
        <v>0</v>
      </c>
      <c r="AD119" s="1503">
        <f t="shared" si="27"/>
        <v>0</v>
      </c>
      <c r="AE119" s="1503">
        <f t="shared" si="28"/>
        <v>0</v>
      </c>
      <c r="AF119" s="1502">
        <f t="shared" si="29"/>
        <v>0</v>
      </c>
    </row>
    <row r="120" spans="1:32" s="1474" customFormat="1" ht="23.25" customHeight="1">
      <c r="A120" s="1515">
        <v>55</v>
      </c>
      <c r="B120" s="1513" t="s">
        <v>2385</v>
      </c>
      <c r="C120" s="1514" t="s">
        <v>2537</v>
      </c>
      <c r="D120" s="1514">
        <v>10</v>
      </c>
      <c r="E120" s="1513">
        <v>12000000</v>
      </c>
      <c r="F120" s="1512">
        <f t="shared" si="16"/>
        <v>2160000</v>
      </c>
      <c r="G120" s="2141">
        <v>41736</v>
      </c>
      <c r="H120" s="1511">
        <v>0.18</v>
      </c>
      <c r="I120" s="1508">
        <v>12</v>
      </c>
      <c r="J120" s="1508">
        <v>12</v>
      </c>
      <c r="K120" s="1508">
        <f t="shared" si="32"/>
        <v>1000000</v>
      </c>
      <c r="L120" s="1508">
        <f t="shared" si="31"/>
        <v>180000</v>
      </c>
      <c r="M120" s="1510">
        <f t="shared" si="17"/>
        <v>12000000</v>
      </c>
      <c r="N120" s="2401">
        <f>IF(J120&lt;I120,J120*L120,IF(J120&gt;=I120,F120))-180000</f>
        <v>1980000</v>
      </c>
      <c r="O120" s="1509">
        <v>12000000</v>
      </c>
      <c r="P120" s="1509">
        <v>1980000</v>
      </c>
      <c r="Q120" s="1509"/>
      <c r="R120" s="2650"/>
      <c r="S120" s="2650"/>
      <c r="T120" s="1507"/>
      <c r="U120" s="1495">
        <f t="shared" si="19"/>
        <v>12000000</v>
      </c>
      <c r="V120" s="1495">
        <f t="shared" si="20"/>
        <v>1980000</v>
      </c>
      <c r="W120" s="1495"/>
      <c r="X120" s="1495">
        <f t="shared" si="22"/>
        <v>0</v>
      </c>
      <c r="Y120" s="1495">
        <f t="shared" si="23"/>
        <v>100</v>
      </c>
      <c r="Z120" s="1495">
        <f t="shared" si="24"/>
        <v>0</v>
      </c>
      <c r="AA120" s="1506">
        <f t="shared" si="25"/>
        <v>0</v>
      </c>
      <c r="AB120" s="1505"/>
      <c r="AC120" s="1504">
        <f t="shared" si="26"/>
        <v>0</v>
      </c>
      <c r="AD120" s="1503">
        <f t="shared" si="27"/>
        <v>0</v>
      </c>
      <c r="AE120" s="1503">
        <f t="shared" si="28"/>
        <v>0</v>
      </c>
      <c r="AF120" s="1502">
        <f t="shared" si="29"/>
        <v>0</v>
      </c>
    </row>
    <row r="121" spans="1:32" s="1474" customFormat="1" ht="23.25" customHeight="1">
      <c r="A121" s="1515">
        <v>56</v>
      </c>
      <c r="B121" s="1513" t="s">
        <v>1898</v>
      </c>
      <c r="C121" s="1514" t="s">
        <v>2549</v>
      </c>
      <c r="D121" s="1514">
        <v>12</v>
      </c>
      <c r="E121" s="1513">
        <v>42000000</v>
      </c>
      <c r="F121" s="1512">
        <f t="shared" si="16"/>
        <v>7560000</v>
      </c>
      <c r="G121" s="2141">
        <v>41787</v>
      </c>
      <c r="H121" s="1511">
        <v>0.18</v>
      </c>
      <c r="I121" s="1508">
        <v>12</v>
      </c>
      <c r="J121" s="1508">
        <v>12</v>
      </c>
      <c r="K121" s="1508">
        <f t="shared" si="32"/>
        <v>3500000</v>
      </c>
      <c r="L121" s="1508">
        <f t="shared" si="31"/>
        <v>630000</v>
      </c>
      <c r="M121" s="1510">
        <f t="shared" si="17"/>
        <v>42000000</v>
      </c>
      <c r="N121" s="1510">
        <f t="shared" si="18"/>
        <v>7560000</v>
      </c>
      <c r="O121" s="1509">
        <v>42000000</v>
      </c>
      <c r="P121" s="1509">
        <v>7560000</v>
      </c>
      <c r="Q121" s="1509"/>
      <c r="R121" s="2650"/>
      <c r="S121" s="2650"/>
      <c r="T121" s="1507"/>
      <c r="U121" s="1495">
        <f t="shared" si="19"/>
        <v>42000000</v>
      </c>
      <c r="V121" s="1495">
        <f t="shared" si="20"/>
        <v>7560000</v>
      </c>
      <c r="W121" s="1495"/>
      <c r="X121" s="1495">
        <f t="shared" si="22"/>
        <v>0</v>
      </c>
      <c r="Y121" s="1495">
        <f t="shared" si="23"/>
        <v>100</v>
      </c>
      <c r="Z121" s="1495">
        <f t="shared" si="24"/>
        <v>0</v>
      </c>
      <c r="AA121" s="1506">
        <f t="shared" si="25"/>
        <v>0</v>
      </c>
      <c r="AB121" s="1505"/>
      <c r="AC121" s="1504">
        <f t="shared" si="26"/>
        <v>0</v>
      </c>
      <c r="AD121" s="1503">
        <f t="shared" si="27"/>
        <v>0</v>
      </c>
      <c r="AE121" s="1503">
        <f t="shared" si="28"/>
        <v>0</v>
      </c>
      <c r="AF121" s="1502">
        <f t="shared" si="29"/>
        <v>0</v>
      </c>
    </row>
    <row r="122" spans="1:32" s="1474" customFormat="1" ht="23.25" customHeight="1">
      <c r="A122" s="1515">
        <v>57</v>
      </c>
      <c r="B122" s="1513" t="s">
        <v>2326</v>
      </c>
      <c r="C122" s="1514" t="s">
        <v>2563</v>
      </c>
      <c r="D122" s="1514">
        <v>10</v>
      </c>
      <c r="E122" s="1513">
        <v>14000000</v>
      </c>
      <c r="F122" s="1512">
        <f t="shared" si="16"/>
        <v>2520000</v>
      </c>
      <c r="G122" s="2141">
        <v>41841</v>
      </c>
      <c r="H122" s="1511">
        <v>0.18</v>
      </c>
      <c r="I122" s="1508">
        <v>12</v>
      </c>
      <c r="J122" s="1508">
        <v>12</v>
      </c>
      <c r="K122" s="1508">
        <v>1166700</v>
      </c>
      <c r="L122" s="1508">
        <f t="shared" si="31"/>
        <v>210000</v>
      </c>
      <c r="M122" s="1510">
        <f t="shared" si="17"/>
        <v>14000000</v>
      </c>
      <c r="N122" s="1510">
        <f t="shared" si="18"/>
        <v>2520000</v>
      </c>
      <c r="O122" s="1509">
        <v>14000000</v>
      </c>
      <c r="P122" s="1509">
        <v>2520000</v>
      </c>
      <c r="Q122" s="1509"/>
      <c r="R122" s="1508"/>
      <c r="S122" s="1508"/>
      <c r="T122" s="1507"/>
      <c r="U122" s="1495">
        <f t="shared" si="19"/>
        <v>14000000</v>
      </c>
      <c r="V122" s="1495">
        <f t="shared" si="20"/>
        <v>2520000</v>
      </c>
      <c r="W122" s="1495"/>
      <c r="X122" s="1495">
        <f t="shared" si="22"/>
        <v>0</v>
      </c>
      <c r="Y122" s="1495">
        <f t="shared" si="23"/>
        <v>100</v>
      </c>
      <c r="Z122" s="1495">
        <f t="shared" si="24"/>
        <v>0</v>
      </c>
      <c r="AA122" s="1506">
        <f t="shared" si="25"/>
        <v>0</v>
      </c>
      <c r="AB122" s="1505"/>
      <c r="AC122" s="1504">
        <f t="shared" si="26"/>
        <v>0</v>
      </c>
      <c r="AD122" s="1503">
        <f t="shared" si="27"/>
        <v>0</v>
      </c>
      <c r="AE122" s="1503">
        <f t="shared" si="28"/>
        <v>0</v>
      </c>
      <c r="AF122" s="1502">
        <f t="shared" si="29"/>
        <v>0</v>
      </c>
    </row>
    <row r="123" spans="1:32" s="1474" customFormat="1" ht="23.25" customHeight="1">
      <c r="A123" s="1515">
        <v>58</v>
      </c>
      <c r="B123" s="1513" t="s">
        <v>2327</v>
      </c>
      <c r="C123" s="1514" t="s">
        <v>2563</v>
      </c>
      <c r="D123" s="1514">
        <v>10</v>
      </c>
      <c r="E123" s="1513">
        <v>16000000</v>
      </c>
      <c r="F123" s="1512">
        <f t="shared" si="16"/>
        <v>2880000</v>
      </c>
      <c r="G123" s="2141">
        <v>41841</v>
      </c>
      <c r="H123" s="1511">
        <v>0.18</v>
      </c>
      <c r="I123" s="1508">
        <v>12</v>
      </c>
      <c r="J123" s="1508">
        <v>12</v>
      </c>
      <c r="K123" s="1508">
        <v>1333300</v>
      </c>
      <c r="L123" s="1508">
        <f t="shared" si="31"/>
        <v>240000</v>
      </c>
      <c r="M123" s="1510">
        <f t="shared" si="17"/>
        <v>16000000</v>
      </c>
      <c r="N123" s="1510">
        <f t="shared" si="18"/>
        <v>2880000</v>
      </c>
      <c r="O123" s="1509">
        <v>16000000</v>
      </c>
      <c r="P123" s="1509">
        <v>2880000</v>
      </c>
      <c r="Q123" s="1509"/>
      <c r="R123" s="1508"/>
      <c r="S123" s="1508"/>
      <c r="T123" s="1507"/>
      <c r="U123" s="1495">
        <f t="shared" si="19"/>
        <v>16000000</v>
      </c>
      <c r="V123" s="1495">
        <f t="shared" si="20"/>
        <v>2880000</v>
      </c>
      <c r="W123" s="1495"/>
      <c r="X123" s="1495">
        <f t="shared" si="22"/>
        <v>0</v>
      </c>
      <c r="Y123" s="1495">
        <f t="shared" si="23"/>
        <v>100</v>
      </c>
      <c r="Z123" s="1495">
        <f t="shared" si="24"/>
        <v>0</v>
      </c>
      <c r="AA123" s="1506">
        <f t="shared" si="25"/>
        <v>0</v>
      </c>
      <c r="AB123" s="1505"/>
      <c r="AC123" s="1504">
        <f t="shared" si="26"/>
        <v>0</v>
      </c>
      <c r="AD123" s="1503">
        <f t="shared" si="27"/>
        <v>0</v>
      </c>
      <c r="AE123" s="1503">
        <f t="shared" si="28"/>
        <v>0</v>
      </c>
      <c r="AF123" s="1502">
        <f t="shared" si="29"/>
        <v>0</v>
      </c>
    </row>
    <row r="124" spans="1:32" s="1474" customFormat="1" ht="23.25" customHeight="1">
      <c r="A124" s="1515">
        <v>59</v>
      </c>
      <c r="B124" s="1513" t="s">
        <v>2089</v>
      </c>
      <c r="C124" s="1514" t="s">
        <v>2563</v>
      </c>
      <c r="D124" s="1514">
        <v>10</v>
      </c>
      <c r="E124" s="1513">
        <v>24000000</v>
      </c>
      <c r="F124" s="1512">
        <f t="shared" si="16"/>
        <v>4320000</v>
      </c>
      <c r="G124" s="2141">
        <v>41893</v>
      </c>
      <c r="H124" s="1511">
        <v>0.18</v>
      </c>
      <c r="I124" s="1508">
        <v>12</v>
      </c>
      <c r="J124" s="1508">
        <v>12</v>
      </c>
      <c r="K124" s="1508">
        <v>2000000</v>
      </c>
      <c r="L124" s="1508">
        <f t="shared" si="31"/>
        <v>360000</v>
      </c>
      <c r="M124" s="1510">
        <f t="shared" si="17"/>
        <v>24000000</v>
      </c>
      <c r="N124" s="1510">
        <f t="shared" si="18"/>
        <v>4320000</v>
      </c>
      <c r="O124" s="1509">
        <v>24000000</v>
      </c>
      <c r="P124" s="1509">
        <v>4320000</v>
      </c>
      <c r="Q124" s="1509"/>
      <c r="R124" s="1509"/>
      <c r="S124" s="1509"/>
      <c r="T124" s="1507"/>
      <c r="U124" s="1495">
        <f t="shared" si="19"/>
        <v>24000000</v>
      </c>
      <c r="V124" s="1495">
        <f t="shared" si="20"/>
        <v>4320000</v>
      </c>
      <c r="W124" s="1495"/>
      <c r="X124" s="1495">
        <f t="shared" si="22"/>
        <v>0</v>
      </c>
      <c r="Y124" s="1495">
        <f t="shared" si="23"/>
        <v>100</v>
      </c>
      <c r="Z124" s="1495">
        <f t="shared" si="24"/>
        <v>0</v>
      </c>
      <c r="AA124" s="1506">
        <f t="shared" si="25"/>
        <v>0</v>
      </c>
      <c r="AB124" s="1505"/>
      <c r="AC124" s="1504">
        <f t="shared" si="26"/>
        <v>0</v>
      </c>
      <c r="AD124" s="1503">
        <f t="shared" si="27"/>
        <v>0</v>
      </c>
      <c r="AE124" s="1503">
        <f t="shared" si="28"/>
        <v>0</v>
      </c>
      <c r="AF124" s="1502">
        <f t="shared" si="29"/>
        <v>0</v>
      </c>
    </row>
    <row r="125" spans="1:32" s="1474" customFormat="1" ht="23.25" customHeight="1">
      <c r="A125" s="1515">
        <v>60</v>
      </c>
      <c r="B125" s="1513" t="s">
        <v>2090</v>
      </c>
      <c r="C125" s="1514" t="s">
        <v>2563</v>
      </c>
      <c r="D125" s="1514">
        <v>10</v>
      </c>
      <c r="E125" s="1513">
        <v>24000000</v>
      </c>
      <c r="F125" s="1512">
        <f t="shared" si="16"/>
        <v>4320000</v>
      </c>
      <c r="G125" s="2141">
        <v>41893</v>
      </c>
      <c r="H125" s="1511">
        <v>0.18</v>
      </c>
      <c r="I125" s="1508">
        <v>12</v>
      </c>
      <c r="J125" s="1508">
        <v>12</v>
      </c>
      <c r="K125" s="1508">
        <v>2000000</v>
      </c>
      <c r="L125" s="1508">
        <f t="shared" si="31"/>
        <v>360000</v>
      </c>
      <c r="M125" s="1510">
        <f t="shared" si="17"/>
        <v>24000000</v>
      </c>
      <c r="N125" s="1510">
        <f t="shared" si="18"/>
        <v>4320000</v>
      </c>
      <c r="O125" s="1509">
        <v>24000000</v>
      </c>
      <c r="P125" s="1509">
        <v>4320000</v>
      </c>
      <c r="Q125" s="1509"/>
      <c r="R125" s="1509"/>
      <c r="S125" s="1509"/>
      <c r="T125" s="1507"/>
      <c r="U125" s="1495">
        <f t="shared" si="19"/>
        <v>24000000</v>
      </c>
      <c r="V125" s="1495">
        <f t="shared" si="20"/>
        <v>4320000</v>
      </c>
      <c r="W125" s="1495"/>
      <c r="X125" s="1495">
        <f t="shared" si="22"/>
        <v>0</v>
      </c>
      <c r="Y125" s="1495">
        <f t="shared" si="23"/>
        <v>100</v>
      </c>
      <c r="Z125" s="1495">
        <f t="shared" si="24"/>
        <v>0</v>
      </c>
      <c r="AA125" s="1506">
        <f t="shared" si="25"/>
        <v>0</v>
      </c>
      <c r="AB125" s="1505"/>
      <c r="AC125" s="1504">
        <f t="shared" si="26"/>
        <v>0</v>
      </c>
      <c r="AD125" s="1503">
        <f t="shared" si="27"/>
        <v>0</v>
      </c>
      <c r="AE125" s="1503">
        <f t="shared" si="28"/>
        <v>0</v>
      </c>
      <c r="AF125" s="1502">
        <f t="shared" si="29"/>
        <v>0</v>
      </c>
    </row>
    <row r="126" spans="1:32" s="1474" customFormat="1" ht="23.25" customHeight="1">
      <c r="A126" s="1515">
        <v>61</v>
      </c>
      <c r="B126" s="1513" t="s">
        <v>2091</v>
      </c>
      <c r="C126" s="1514" t="s">
        <v>2563</v>
      </c>
      <c r="D126" s="1514">
        <v>10</v>
      </c>
      <c r="E126" s="1513">
        <v>24000000</v>
      </c>
      <c r="F126" s="1512">
        <f t="shared" si="16"/>
        <v>4320000</v>
      </c>
      <c r="G126" s="2141">
        <v>41893</v>
      </c>
      <c r="H126" s="1511">
        <v>0.18</v>
      </c>
      <c r="I126" s="1508">
        <v>12</v>
      </c>
      <c r="J126" s="1508">
        <v>12</v>
      </c>
      <c r="K126" s="1508">
        <v>2000000</v>
      </c>
      <c r="L126" s="1508">
        <f t="shared" si="31"/>
        <v>360000</v>
      </c>
      <c r="M126" s="1510">
        <f t="shared" si="17"/>
        <v>24000000</v>
      </c>
      <c r="N126" s="1510">
        <f t="shared" si="18"/>
        <v>4320000</v>
      </c>
      <c r="O126" s="1509">
        <v>24000000</v>
      </c>
      <c r="P126" s="1509">
        <v>4320000</v>
      </c>
      <c r="Q126" s="1509"/>
      <c r="R126" s="1509"/>
      <c r="S126" s="1509"/>
      <c r="T126" s="1507"/>
      <c r="U126" s="1495">
        <f t="shared" si="19"/>
        <v>24000000</v>
      </c>
      <c r="V126" s="1495">
        <f t="shared" si="20"/>
        <v>4320000</v>
      </c>
      <c r="W126" s="1495"/>
      <c r="X126" s="1495">
        <f t="shared" si="22"/>
        <v>0</v>
      </c>
      <c r="Y126" s="1495">
        <f t="shared" si="23"/>
        <v>100</v>
      </c>
      <c r="Z126" s="1495">
        <f t="shared" si="24"/>
        <v>0</v>
      </c>
      <c r="AA126" s="1506">
        <f t="shared" si="25"/>
        <v>0</v>
      </c>
      <c r="AB126" s="1505"/>
      <c r="AC126" s="1504">
        <f t="shared" si="26"/>
        <v>0</v>
      </c>
      <c r="AD126" s="1503">
        <f t="shared" si="27"/>
        <v>0</v>
      </c>
      <c r="AE126" s="1503">
        <f t="shared" si="28"/>
        <v>0</v>
      </c>
      <c r="AF126" s="1502">
        <f t="shared" si="29"/>
        <v>0</v>
      </c>
    </row>
    <row r="127" spans="1:32" s="1474" customFormat="1" ht="23.25" customHeight="1">
      <c r="A127" s="1515">
        <v>62</v>
      </c>
      <c r="B127" s="1513" t="s">
        <v>2092</v>
      </c>
      <c r="C127" s="1514" t="s">
        <v>2563</v>
      </c>
      <c r="D127" s="1514">
        <v>10</v>
      </c>
      <c r="E127" s="1513">
        <v>26000000</v>
      </c>
      <c r="F127" s="1512">
        <f t="shared" si="16"/>
        <v>4680000</v>
      </c>
      <c r="G127" s="2141">
        <v>41893</v>
      </c>
      <c r="H127" s="1511">
        <v>0.18</v>
      </c>
      <c r="I127" s="1508">
        <v>12</v>
      </c>
      <c r="J127" s="1508">
        <v>12</v>
      </c>
      <c r="K127" s="1508">
        <v>2166700</v>
      </c>
      <c r="L127" s="1508">
        <f t="shared" si="31"/>
        <v>390000</v>
      </c>
      <c r="M127" s="1510">
        <f t="shared" si="17"/>
        <v>26000000</v>
      </c>
      <c r="N127" s="1510">
        <f t="shared" si="18"/>
        <v>4680000</v>
      </c>
      <c r="O127" s="1509">
        <v>26000000</v>
      </c>
      <c r="P127" s="1509">
        <v>4680000</v>
      </c>
      <c r="Q127" s="1509"/>
      <c r="R127" s="1509"/>
      <c r="S127" s="1509"/>
      <c r="T127" s="1507"/>
      <c r="U127" s="1495">
        <f t="shared" si="19"/>
        <v>26000000</v>
      </c>
      <c r="V127" s="1495">
        <f t="shared" si="20"/>
        <v>4680000</v>
      </c>
      <c r="W127" s="1495"/>
      <c r="X127" s="1495">
        <f t="shared" si="22"/>
        <v>0</v>
      </c>
      <c r="Y127" s="1495">
        <f t="shared" si="23"/>
        <v>100</v>
      </c>
      <c r="Z127" s="1495">
        <f t="shared" si="24"/>
        <v>0</v>
      </c>
      <c r="AA127" s="1506">
        <f t="shared" si="25"/>
        <v>0</v>
      </c>
      <c r="AB127" s="1505"/>
      <c r="AC127" s="1504">
        <f t="shared" si="26"/>
        <v>0</v>
      </c>
      <c r="AD127" s="1503">
        <f t="shared" si="27"/>
        <v>0</v>
      </c>
      <c r="AE127" s="1503">
        <f t="shared" si="28"/>
        <v>0</v>
      </c>
      <c r="AF127" s="1502">
        <f t="shared" si="29"/>
        <v>0</v>
      </c>
    </row>
    <row r="128" spans="1:32" s="1474" customFormat="1" ht="23.25" customHeight="1">
      <c r="A128" s="1515">
        <v>63</v>
      </c>
      <c r="B128" s="1513" t="s">
        <v>2331</v>
      </c>
      <c r="C128" s="1514" t="s">
        <v>2563</v>
      </c>
      <c r="D128" s="1514">
        <v>10</v>
      </c>
      <c r="E128" s="1513">
        <v>20000000</v>
      </c>
      <c r="F128" s="1512">
        <f t="shared" si="16"/>
        <v>3600000</v>
      </c>
      <c r="G128" s="2141">
        <v>41893</v>
      </c>
      <c r="H128" s="1511">
        <v>0.18</v>
      </c>
      <c r="I128" s="1508">
        <v>12</v>
      </c>
      <c r="J128" s="1508">
        <v>12</v>
      </c>
      <c r="K128" s="1508">
        <v>1666700</v>
      </c>
      <c r="L128" s="1508">
        <f t="shared" si="31"/>
        <v>300000</v>
      </c>
      <c r="M128" s="1510">
        <f t="shared" si="17"/>
        <v>20000000</v>
      </c>
      <c r="N128" s="1510">
        <f t="shared" si="18"/>
        <v>3600000</v>
      </c>
      <c r="O128" s="1509">
        <v>20000000</v>
      </c>
      <c r="P128" s="1509">
        <v>3600000</v>
      </c>
      <c r="Q128" s="1509"/>
      <c r="R128" s="1509"/>
      <c r="S128" s="1509"/>
      <c r="T128" s="1507"/>
      <c r="U128" s="1495">
        <f t="shared" si="19"/>
        <v>20000000</v>
      </c>
      <c r="V128" s="1495">
        <f t="shared" si="20"/>
        <v>3600000</v>
      </c>
      <c r="W128" s="1495"/>
      <c r="X128" s="1495">
        <f t="shared" si="22"/>
        <v>0</v>
      </c>
      <c r="Y128" s="1495">
        <f t="shared" si="23"/>
        <v>100</v>
      </c>
      <c r="Z128" s="1495">
        <f t="shared" si="24"/>
        <v>0</v>
      </c>
      <c r="AA128" s="1506">
        <f t="shared" si="25"/>
        <v>0</v>
      </c>
      <c r="AB128" s="1505"/>
      <c r="AC128" s="1504">
        <f t="shared" si="26"/>
        <v>0</v>
      </c>
      <c r="AD128" s="1503">
        <f t="shared" si="27"/>
        <v>0</v>
      </c>
      <c r="AE128" s="1503">
        <f t="shared" si="28"/>
        <v>0</v>
      </c>
      <c r="AF128" s="1502">
        <f t="shared" si="29"/>
        <v>0</v>
      </c>
    </row>
    <row r="129" spans="1:32" s="1474" customFormat="1" ht="23.25" customHeight="1">
      <c r="A129" s="1515">
        <v>64</v>
      </c>
      <c r="B129" s="1513" t="s">
        <v>2578</v>
      </c>
      <c r="C129" s="1514" t="s">
        <v>2563</v>
      </c>
      <c r="D129" s="1514">
        <v>10</v>
      </c>
      <c r="E129" s="1513">
        <v>50000000</v>
      </c>
      <c r="F129" s="1512">
        <f t="shared" si="16"/>
        <v>9000000</v>
      </c>
      <c r="G129" s="2141">
        <v>41894</v>
      </c>
      <c r="H129" s="1511">
        <v>0.18</v>
      </c>
      <c r="I129" s="1508">
        <v>12</v>
      </c>
      <c r="J129" s="1508">
        <v>12</v>
      </c>
      <c r="K129" s="1508">
        <v>4166700</v>
      </c>
      <c r="L129" s="1508">
        <f t="shared" si="31"/>
        <v>750000</v>
      </c>
      <c r="M129" s="1510">
        <f t="shared" si="17"/>
        <v>50000000</v>
      </c>
      <c r="N129" s="1510">
        <f t="shared" ref="N129:N130" si="33">IF(J129&lt;I129,J129*L129,IF(J129&gt;=I129,F129))-1*L129</f>
        <v>8250000</v>
      </c>
      <c r="O129" s="1509">
        <v>50000000</v>
      </c>
      <c r="P129" s="1509">
        <v>8250000</v>
      </c>
      <c r="Q129" s="1509"/>
      <c r="R129" s="1509"/>
      <c r="S129" s="1509"/>
      <c r="T129" s="1507"/>
      <c r="U129" s="1495">
        <f t="shared" si="19"/>
        <v>50000000</v>
      </c>
      <c r="V129" s="1495">
        <f t="shared" si="20"/>
        <v>8250000</v>
      </c>
      <c r="W129" s="1495"/>
      <c r="X129" s="1495">
        <f t="shared" si="22"/>
        <v>0</v>
      </c>
      <c r="Y129" s="1495">
        <f t="shared" si="23"/>
        <v>100</v>
      </c>
      <c r="Z129" s="1495">
        <f t="shared" si="24"/>
        <v>0</v>
      </c>
      <c r="AA129" s="1506">
        <f t="shared" si="25"/>
        <v>0</v>
      </c>
      <c r="AB129" s="1505"/>
      <c r="AC129" s="1504">
        <f t="shared" si="26"/>
        <v>0</v>
      </c>
      <c r="AD129" s="1503">
        <f t="shared" si="27"/>
        <v>0</v>
      </c>
      <c r="AE129" s="1503">
        <f t="shared" si="28"/>
        <v>0</v>
      </c>
      <c r="AF129" s="1502">
        <f t="shared" si="29"/>
        <v>0</v>
      </c>
    </row>
    <row r="130" spans="1:32" s="1474" customFormat="1" ht="23.25" customHeight="1">
      <c r="A130" s="1515">
        <v>65</v>
      </c>
      <c r="B130" s="1513" t="s">
        <v>2579</v>
      </c>
      <c r="C130" s="1514" t="s">
        <v>2563</v>
      </c>
      <c r="D130" s="1514">
        <v>10</v>
      </c>
      <c r="E130" s="1513">
        <v>25000000</v>
      </c>
      <c r="F130" s="1512">
        <f t="shared" si="16"/>
        <v>4500000</v>
      </c>
      <c r="G130" s="2141">
        <v>41894</v>
      </c>
      <c r="H130" s="1511">
        <v>0.18</v>
      </c>
      <c r="I130" s="1508">
        <v>12</v>
      </c>
      <c r="J130" s="1508">
        <v>12</v>
      </c>
      <c r="K130" s="1508">
        <v>2083300</v>
      </c>
      <c r="L130" s="1508">
        <f t="shared" si="31"/>
        <v>375000</v>
      </c>
      <c r="M130" s="1510">
        <f t="shared" si="17"/>
        <v>25000000</v>
      </c>
      <c r="N130" s="1510">
        <f t="shared" si="33"/>
        <v>4125000</v>
      </c>
      <c r="O130" s="1509">
        <v>25000000</v>
      </c>
      <c r="P130" s="1509">
        <v>4125000</v>
      </c>
      <c r="Q130" s="1509"/>
      <c r="R130" s="1509"/>
      <c r="S130" s="1509"/>
      <c r="T130" s="1507"/>
      <c r="U130" s="1495">
        <f t="shared" si="19"/>
        <v>25000000</v>
      </c>
      <c r="V130" s="1495">
        <f t="shared" si="20"/>
        <v>4125000</v>
      </c>
      <c r="W130" s="1495"/>
      <c r="X130" s="1495">
        <f t="shared" si="22"/>
        <v>0</v>
      </c>
      <c r="Y130" s="1495">
        <f t="shared" si="23"/>
        <v>100</v>
      </c>
      <c r="Z130" s="1495">
        <f t="shared" si="24"/>
        <v>0</v>
      </c>
      <c r="AA130" s="1506">
        <f t="shared" si="25"/>
        <v>0</v>
      </c>
      <c r="AB130" s="1505"/>
      <c r="AC130" s="1504">
        <f t="shared" si="26"/>
        <v>0</v>
      </c>
      <c r="AD130" s="1503">
        <f t="shared" si="27"/>
        <v>0</v>
      </c>
      <c r="AE130" s="1503">
        <f t="shared" si="28"/>
        <v>0</v>
      </c>
      <c r="AF130" s="1502">
        <f t="shared" si="29"/>
        <v>0</v>
      </c>
    </row>
    <row r="131" spans="1:32" s="1474" customFormat="1" ht="23.25" customHeight="1">
      <c r="A131" s="1515">
        <v>66</v>
      </c>
      <c r="B131" s="1513" t="s">
        <v>1941</v>
      </c>
      <c r="C131" s="1514" t="s">
        <v>2582</v>
      </c>
      <c r="D131" s="1514">
        <v>15</v>
      </c>
      <c r="E131" s="1513">
        <v>40000000</v>
      </c>
      <c r="F131" s="1512">
        <f t="shared" si="16"/>
        <v>7200000</v>
      </c>
      <c r="G131" s="2141" t="s">
        <v>2586</v>
      </c>
      <c r="H131" s="1511">
        <v>0.18</v>
      </c>
      <c r="I131" s="1508">
        <v>12</v>
      </c>
      <c r="J131" s="1508">
        <v>12</v>
      </c>
      <c r="K131" s="1508">
        <v>3333300</v>
      </c>
      <c r="L131" s="1508">
        <f t="shared" si="31"/>
        <v>600000</v>
      </c>
      <c r="M131" s="1510">
        <f t="shared" si="17"/>
        <v>40000000</v>
      </c>
      <c r="N131" s="1510">
        <f>IF(J131&lt;I131,J131*L131,IF(J131&gt;=I131,F131))-1*L131</f>
        <v>6600000</v>
      </c>
      <c r="O131" s="1509">
        <v>40000000</v>
      </c>
      <c r="P131" s="1509">
        <v>6600000</v>
      </c>
      <c r="Q131" s="1509"/>
      <c r="R131" s="1509"/>
      <c r="S131" s="1509"/>
      <c r="T131" s="1507"/>
      <c r="U131" s="1495">
        <f t="shared" si="19"/>
        <v>40000000</v>
      </c>
      <c r="V131" s="1495">
        <f t="shared" si="20"/>
        <v>6600000</v>
      </c>
      <c r="W131" s="1495"/>
      <c r="X131" s="1495">
        <f t="shared" si="22"/>
        <v>0</v>
      </c>
      <c r="Y131" s="1495">
        <f t="shared" si="23"/>
        <v>100</v>
      </c>
      <c r="Z131" s="1495">
        <f t="shared" si="24"/>
        <v>0</v>
      </c>
      <c r="AA131" s="1506">
        <f t="shared" si="25"/>
        <v>0</v>
      </c>
      <c r="AB131" s="1505"/>
      <c r="AC131" s="1504">
        <f t="shared" si="26"/>
        <v>0</v>
      </c>
      <c r="AD131" s="1503">
        <f t="shared" si="27"/>
        <v>0</v>
      </c>
      <c r="AE131" s="1503">
        <f t="shared" si="28"/>
        <v>0</v>
      </c>
      <c r="AF131" s="1502">
        <f t="shared" si="29"/>
        <v>0</v>
      </c>
    </row>
    <row r="132" spans="1:32" s="1474" customFormat="1" ht="23.25" customHeight="1">
      <c r="A132" s="1515">
        <v>67</v>
      </c>
      <c r="B132" s="1513" t="s">
        <v>2094</v>
      </c>
      <c r="C132" s="1514" t="s">
        <v>2582</v>
      </c>
      <c r="D132" s="1514">
        <v>10</v>
      </c>
      <c r="E132" s="1513">
        <v>25000000</v>
      </c>
      <c r="F132" s="1512">
        <f t="shared" si="16"/>
        <v>4500000</v>
      </c>
      <c r="G132" s="2141">
        <v>41923</v>
      </c>
      <c r="H132" s="1511">
        <v>0.18</v>
      </c>
      <c r="I132" s="1508">
        <v>12</v>
      </c>
      <c r="J132" s="1508">
        <v>12</v>
      </c>
      <c r="K132" s="1508">
        <v>2083300</v>
      </c>
      <c r="L132" s="1508">
        <f t="shared" si="31"/>
        <v>375000</v>
      </c>
      <c r="M132" s="1510">
        <f t="shared" si="17"/>
        <v>25000000</v>
      </c>
      <c r="N132" s="1510">
        <f t="shared" si="18"/>
        <v>4500000</v>
      </c>
      <c r="O132" s="1509">
        <v>25000000</v>
      </c>
      <c r="P132" s="1509">
        <v>4500000</v>
      </c>
      <c r="Q132" s="1509"/>
      <c r="R132" s="1509"/>
      <c r="S132" s="1509"/>
      <c r="T132" s="1507"/>
      <c r="U132" s="1495">
        <f t="shared" si="19"/>
        <v>25000000</v>
      </c>
      <c r="V132" s="1495">
        <f t="shared" si="20"/>
        <v>4500000</v>
      </c>
      <c r="W132" s="1495"/>
      <c r="X132" s="1495">
        <f t="shared" si="22"/>
        <v>0</v>
      </c>
      <c r="Y132" s="1495">
        <f t="shared" si="23"/>
        <v>100</v>
      </c>
      <c r="Z132" s="1495">
        <f t="shared" si="24"/>
        <v>0</v>
      </c>
      <c r="AA132" s="1506">
        <f t="shared" si="25"/>
        <v>0</v>
      </c>
      <c r="AB132" s="1505"/>
      <c r="AC132" s="1504">
        <f t="shared" si="26"/>
        <v>0</v>
      </c>
      <c r="AD132" s="1503">
        <f t="shared" si="27"/>
        <v>0</v>
      </c>
      <c r="AE132" s="1503">
        <f t="shared" si="28"/>
        <v>0</v>
      </c>
      <c r="AF132" s="1502">
        <f t="shared" si="29"/>
        <v>0</v>
      </c>
    </row>
    <row r="133" spans="1:32" s="1474" customFormat="1" ht="23.25" customHeight="1">
      <c r="A133" s="1515">
        <v>68</v>
      </c>
      <c r="B133" s="1513" t="s">
        <v>2095</v>
      </c>
      <c r="C133" s="1514" t="s">
        <v>2582</v>
      </c>
      <c r="D133" s="1514">
        <v>10</v>
      </c>
      <c r="E133" s="1513">
        <v>35000000</v>
      </c>
      <c r="F133" s="1512">
        <f t="shared" si="16"/>
        <v>6300000</v>
      </c>
      <c r="G133" s="2141">
        <v>41923</v>
      </c>
      <c r="H133" s="1511">
        <v>0.18</v>
      </c>
      <c r="I133" s="1508">
        <v>12</v>
      </c>
      <c r="J133" s="1508">
        <v>12</v>
      </c>
      <c r="K133" s="1508">
        <v>2916700</v>
      </c>
      <c r="L133" s="1508">
        <f t="shared" si="31"/>
        <v>525000</v>
      </c>
      <c r="M133" s="1510">
        <f t="shared" si="17"/>
        <v>35000000</v>
      </c>
      <c r="N133" s="1510">
        <f t="shared" si="18"/>
        <v>6300000</v>
      </c>
      <c r="O133" s="1509">
        <v>35000000</v>
      </c>
      <c r="P133" s="1509">
        <v>6300000</v>
      </c>
      <c r="Q133" s="1509"/>
      <c r="R133" s="1509"/>
      <c r="S133" s="1509"/>
      <c r="T133" s="1507"/>
      <c r="U133" s="1495">
        <f t="shared" si="19"/>
        <v>35000000</v>
      </c>
      <c r="V133" s="1495">
        <f t="shared" si="20"/>
        <v>6300000</v>
      </c>
      <c r="W133" s="1495"/>
      <c r="X133" s="1495">
        <f t="shared" si="22"/>
        <v>0</v>
      </c>
      <c r="Y133" s="1495">
        <f t="shared" si="23"/>
        <v>100</v>
      </c>
      <c r="Z133" s="1495">
        <f t="shared" si="24"/>
        <v>0</v>
      </c>
      <c r="AA133" s="1506">
        <f t="shared" si="25"/>
        <v>0</v>
      </c>
      <c r="AB133" s="1505"/>
      <c r="AC133" s="1504">
        <f t="shared" si="26"/>
        <v>0</v>
      </c>
      <c r="AD133" s="1503">
        <f t="shared" si="27"/>
        <v>0</v>
      </c>
      <c r="AE133" s="1503">
        <f t="shared" si="28"/>
        <v>0</v>
      </c>
      <c r="AF133" s="1502">
        <f t="shared" si="29"/>
        <v>0</v>
      </c>
    </row>
    <row r="134" spans="1:32" s="1474" customFormat="1" ht="23.25" customHeight="1">
      <c r="A134" s="1515">
        <v>69</v>
      </c>
      <c r="B134" s="1513" t="s">
        <v>2609</v>
      </c>
      <c r="C134" s="1514" t="s">
        <v>2582</v>
      </c>
      <c r="D134" s="1514">
        <v>10</v>
      </c>
      <c r="E134" s="1513">
        <v>30000000</v>
      </c>
      <c r="F134" s="1512">
        <f t="shared" si="16"/>
        <v>5400000</v>
      </c>
      <c r="G134" s="2141"/>
      <c r="H134" s="1511">
        <v>0.18</v>
      </c>
      <c r="I134" s="1508">
        <v>12</v>
      </c>
      <c r="J134" s="1508">
        <v>12</v>
      </c>
      <c r="K134" s="1508">
        <f t="shared" ref="K134:K143" si="34">E134/I134</f>
        <v>2500000</v>
      </c>
      <c r="L134" s="1508">
        <f t="shared" si="31"/>
        <v>450000</v>
      </c>
      <c r="M134" s="1510">
        <f t="shared" si="17"/>
        <v>30000000</v>
      </c>
      <c r="N134" s="1510">
        <f t="shared" si="18"/>
        <v>5400000</v>
      </c>
      <c r="O134" s="1509">
        <v>30000000</v>
      </c>
      <c r="P134" s="1509">
        <v>5400000</v>
      </c>
      <c r="Q134" s="1509"/>
      <c r="R134" s="1509"/>
      <c r="S134" s="1509"/>
      <c r="T134" s="1507"/>
      <c r="U134" s="1495">
        <f t="shared" si="19"/>
        <v>30000000</v>
      </c>
      <c r="V134" s="1495">
        <f t="shared" si="20"/>
        <v>5400000</v>
      </c>
      <c r="W134" s="1495"/>
      <c r="X134" s="1495">
        <f t="shared" si="22"/>
        <v>0</v>
      </c>
      <c r="Y134" s="1495">
        <f t="shared" si="23"/>
        <v>100</v>
      </c>
      <c r="Z134" s="1495">
        <f t="shared" si="24"/>
        <v>0</v>
      </c>
      <c r="AA134" s="1506">
        <f t="shared" si="25"/>
        <v>0</v>
      </c>
      <c r="AB134" s="1505"/>
      <c r="AC134" s="1504">
        <f t="shared" si="26"/>
        <v>0</v>
      </c>
      <c r="AD134" s="1503">
        <f t="shared" si="27"/>
        <v>0</v>
      </c>
      <c r="AE134" s="1503">
        <f t="shared" si="28"/>
        <v>0</v>
      </c>
      <c r="AF134" s="1502">
        <f t="shared" si="29"/>
        <v>0</v>
      </c>
    </row>
    <row r="135" spans="1:32" s="1474" customFormat="1" ht="23.25" customHeight="1">
      <c r="A135" s="1515">
        <v>70</v>
      </c>
      <c r="B135" s="1513" t="s">
        <v>2616</v>
      </c>
      <c r="C135" s="1514" t="s">
        <v>2615</v>
      </c>
      <c r="D135" s="1514">
        <v>10</v>
      </c>
      <c r="E135" s="1513">
        <v>10000000</v>
      </c>
      <c r="F135" s="1512">
        <f t="shared" si="16"/>
        <v>1800000</v>
      </c>
      <c r="G135" s="2141">
        <v>41991</v>
      </c>
      <c r="H135" s="1511">
        <v>0.18</v>
      </c>
      <c r="I135" s="1508">
        <v>12</v>
      </c>
      <c r="J135" s="1508">
        <v>12</v>
      </c>
      <c r="K135" s="1508">
        <v>833300</v>
      </c>
      <c r="L135" s="1508">
        <f t="shared" si="31"/>
        <v>150000</v>
      </c>
      <c r="M135" s="1510">
        <f t="shared" si="17"/>
        <v>10000000</v>
      </c>
      <c r="N135" s="1510">
        <f t="shared" si="18"/>
        <v>1800000</v>
      </c>
      <c r="O135" s="1509">
        <v>10000000</v>
      </c>
      <c r="P135" s="1509">
        <v>1800000</v>
      </c>
      <c r="Q135" s="1509"/>
      <c r="R135" s="2837"/>
      <c r="S135" s="2837"/>
      <c r="T135" s="1507"/>
      <c r="U135" s="1495">
        <f t="shared" si="19"/>
        <v>10000000</v>
      </c>
      <c r="V135" s="1495">
        <f t="shared" si="20"/>
        <v>1800000</v>
      </c>
      <c r="W135" s="1495"/>
      <c r="X135" s="1495">
        <f t="shared" si="22"/>
        <v>0</v>
      </c>
      <c r="Y135" s="1495">
        <f t="shared" si="23"/>
        <v>100</v>
      </c>
      <c r="Z135" s="1495">
        <f t="shared" si="24"/>
        <v>0</v>
      </c>
      <c r="AA135" s="1506">
        <f t="shared" si="25"/>
        <v>0</v>
      </c>
      <c r="AB135" s="1505">
        <v>1</v>
      </c>
      <c r="AC135" s="1504">
        <f t="shared" si="26"/>
        <v>0</v>
      </c>
      <c r="AD135" s="1503">
        <f t="shared" si="27"/>
        <v>0</v>
      </c>
      <c r="AE135" s="1503">
        <f t="shared" si="28"/>
        <v>0</v>
      </c>
      <c r="AF135" s="1502">
        <f t="shared" si="29"/>
        <v>0</v>
      </c>
    </row>
    <row r="136" spans="1:32" s="1474" customFormat="1" ht="23.25" customHeight="1">
      <c r="A136" s="1515">
        <v>71</v>
      </c>
      <c r="B136" s="1513" t="s">
        <v>1958</v>
      </c>
      <c r="C136" s="1514" t="s">
        <v>2615</v>
      </c>
      <c r="D136" s="1514">
        <v>10</v>
      </c>
      <c r="E136" s="1513">
        <v>20000000</v>
      </c>
      <c r="F136" s="1512">
        <f t="shared" si="16"/>
        <v>3600000</v>
      </c>
      <c r="G136" s="2141">
        <v>42044</v>
      </c>
      <c r="H136" s="1511">
        <v>0.18</v>
      </c>
      <c r="I136" s="1508">
        <v>12</v>
      </c>
      <c r="J136" s="1508">
        <v>12</v>
      </c>
      <c r="K136" s="1508">
        <v>1666700</v>
      </c>
      <c r="L136" s="1508">
        <f t="shared" si="31"/>
        <v>300000</v>
      </c>
      <c r="M136" s="1510">
        <f t="shared" si="17"/>
        <v>20000000</v>
      </c>
      <c r="N136" s="1510">
        <f t="shared" si="18"/>
        <v>3600000</v>
      </c>
      <c r="O136" s="1509">
        <v>18333700</v>
      </c>
      <c r="P136" s="1509">
        <v>3300000</v>
      </c>
      <c r="Q136" s="1509"/>
      <c r="R136" s="2837">
        <v>1666300</v>
      </c>
      <c r="S136" s="2837">
        <v>300000</v>
      </c>
      <c r="T136" s="1507"/>
      <c r="U136" s="1495">
        <f t="shared" si="19"/>
        <v>20000000</v>
      </c>
      <c r="V136" s="1495">
        <f t="shared" si="20"/>
        <v>3600000</v>
      </c>
      <c r="W136" s="1495"/>
      <c r="X136" s="1495">
        <f t="shared" si="22"/>
        <v>0</v>
      </c>
      <c r="Y136" s="1495">
        <f t="shared" si="23"/>
        <v>100</v>
      </c>
      <c r="Z136" s="1495">
        <f t="shared" si="24"/>
        <v>0</v>
      </c>
      <c r="AA136" s="1506">
        <f t="shared" si="25"/>
        <v>0</v>
      </c>
      <c r="AB136" s="1505"/>
      <c r="AC136" s="1504">
        <f t="shared" si="26"/>
        <v>0</v>
      </c>
      <c r="AD136" s="1503">
        <f t="shared" si="27"/>
        <v>0</v>
      </c>
      <c r="AE136" s="1503">
        <f t="shared" si="28"/>
        <v>0</v>
      </c>
      <c r="AF136" s="1502">
        <f t="shared" si="29"/>
        <v>0</v>
      </c>
    </row>
    <row r="137" spans="1:32" s="1474" customFormat="1" ht="23.25" customHeight="1">
      <c r="A137" s="1515">
        <v>72</v>
      </c>
      <c r="B137" s="1513" t="s">
        <v>2653</v>
      </c>
      <c r="C137" s="1514" t="s">
        <v>2615</v>
      </c>
      <c r="D137" s="1514">
        <v>10</v>
      </c>
      <c r="E137" s="1513">
        <v>8000000</v>
      </c>
      <c r="F137" s="1512">
        <f t="shared" si="16"/>
        <v>1440000</v>
      </c>
      <c r="G137" s="2141">
        <v>42083</v>
      </c>
      <c r="H137" s="1511">
        <v>0.18</v>
      </c>
      <c r="I137" s="1508">
        <v>12</v>
      </c>
      <c r="J137" s="1508">
        <v>12</v>
      </c>
      <c r="K137" s="1508">
        <v>666700</v>
      </c>
      <c r="L137" s="1508">
        <f t="shared" si="31"/>
        <v>120000</v>
      </c>
      <c r="M137" s="1510">
        <f t="shared" si="17"/>
        <v>8000000</v>
      </c>
      <c r="N137" s="1510">
        <f>IF(J137&lt;I137,J137*L137,IF(J137&gt;=I137,F137))*1-L137</f>
        <v>1320000</v>
      </c>
      <c r="O137" s="1509">
        <v>6667000</v>
      </c>
      <c r="P137" s="1509">
        <v>1200000</v>
      </c>
      <c r="Q137" s="1509"/>
      <c r="R137" s="2837">
        <v>1333000</v>
      </c>
      <c r="S137" s="2837">
        <v>120000</v>
      </c>
      <c r="T137" s="1507"/>
      <c r="U137" s="1495">
        <f t="shared" si="19"/>
        <v>8000000</v>
      </c>
      <c r="V137" s="1495">
        <f t="shared" si="20"/>
        <v>1320000</v>
      </c>
      <c r="W137" s="1495"/>
      <c r="X137" s="1495">
        <f t="shared" si="22"/>
        <v>0</v>
      </c>
      <c r="Y137" s="1495">
        <f t="shared" si="23"/>
        <v>100</v>
      </c>
      <c r="Z137" s="1495">
        <f t="shared" si="24"/>
        <v>0</v>
      </c>
      <c r="AA137" s="1506">
        <f t="shared" si="25"/>
        <v>0</v>
      </c>
      <c r="AB137" s="1505"/>
      <c r="AC137" s="1504">
        <f t="shared" si="26"/>
        <v>0</v>
      </c>
      <c r="AD137" s="1503">
        <f t="shared" si="27"/>
        <v>0</v>
      </c>
      <c r="AE137" s="1503">
        <f t="shared" si="28"/>
        <v>0</v>
      </c>
      <c r="AF137" s="1502">
        <f t="shared" si="29"/>
        <v>0</v>
      </c>
    </row>
    <row r="138" spans="1:32" s="1474" customFormat="1" ht="23.25" customHeight="1">
      <c r="A138" s="1515">
        <v>73</v>
      </c>
      <c r="B138" s="1513" t="s">
        <v>2654</v>
      </c>
      <c r="C138" s="1514" t="s">
        <v>2615</v>
      </c>
      <c r="D138" s="1514">
        <v>10</v>
      </c>
      <c r="E138" s="1513">
        <v>8000000</v>
      </c>
      <c r="F138" s="1512">
        <f t="shared" si="16"/>
        <v>1440000</v>
      </c>
      <c r="G138" s="2141">
        <v>42084</v>
      </c>
      <c r="H138" s="1511">
        <v>0.18</v>
      </c>
      <c r="I138" s="1508">
        <v>12</v>
      </c>
      <c r="J138" s="1508">
        <v>12</v>
      </c>
      <c r="K138" s="1508">
        <v>666700</v>
      </c>
      <c r="L138" s="1508">
        <f t="shared" si="31"/>
        <v>120000</v>
      </c>
      <c r="M138" s="1510">
        <f t="shared" si="17"/>
        <v>8000000</v>
      </c>
      <c r="N138" s="1510">
        <f>IF(J138&lt;I138,J138*L138,IF(J138&gt;=I138,F138))*1-L138</f>
        <v>1320000</v>
      </c>
      <c r="O138" s="1509">
        <v>6667000</v>
      </c>
      <c r="P138" s="1509">
        <v>1200000</v>
      </c>
      <c r="Q138" s="1509"/>
      <c r="R138" s="2837">
        <v>1333000</v>
      </c>
      <c r="S138" s="2837">
        <v>120000</v>
      </c>
      <c r="T138" s="1507"/>
      <c r="U138" s="1495">
        <f t="shared" si="19"/>
        <v>8000000</v>
      </c>
      <c r="V138" s="1495">
        <f t="shared" si="20"/>
        <v>1320000</v>
      </c>
      <c r="W138" s="1495"/>
      <c r="X138" s="1495">
        <f t="shared" si="22"/>
        <v>0</v>
      </c>
      <c r="Y138" s="1495">
        <f t="shared" si="23"/>
        <v>100</v>
      </c>
      <c r="Z138" s="1495">
        <f t="shared" si="24"/>
        <v>0</v>
      </c>
      <c r="AA138" s="1506">
        <f t="shared" si="25"/>
        <v>0</v>
      </c>
      <c r="AB138" s="1505"/>
      <c r="AC138" s="1504">
        <f t="shared" si="26"/>
        <v>0</v>
      </c>
      <c r="AD138" s="1503">
        <f t="shared" si="27"/>
        <v>0</v>
      </c>
      <c r="AE138" s="1503">
        <f t="shared" si="28"/>
        <v>0</v>
      </c>
      <c r="AF138" s="1502">
        <f t="shared" si="29"/>
        <v>0</v>
      </c>
    </row>
    <row r="139" spans="1:32" s="1474" customFormat="1" ht="23.25" customHeight="1">
      <c r="A139" s="1515">
        <v>74</v>
      </c>
      <c r="B139" s="1513" t="s">
        <v>1991</v>
      </c>
      <c r="C139" s="1514" t="s">
        <v>2615</v>
      </c>
      <c r="D139" s="1514">
        <v>12</v>
      </c>
      <c r="E139" s="1513">
        <v>30000000</v>
      </c>
      <c r="F139" s="1512">
        <f t="shared" si="16"/>
        <v>5400000</v>
      </c>
      <c r="G139" s="2141">
        <v>42085</v>
      </c>
      <c r="H139" s="1511">
        <v>0.18</v>
      </c>
      <c r="I139" s="1508">
        <v>12</v>
      </c>
      <c r="J139" s="1508">
        <v>11</v>
      </c>
      <c r="K139" s="1508">
        <f t="shared" si="34"/>
        <v>2500000</v>
      </c>
      <c r="L139" s="1508">
        <f t="shared" si="31"/>
        <v>450000</v>
      </c>
      <c r="M139" s="1510">
        <f t="shared" si="17"/>
        <v>27500000</v>
      </c>
      <c r="N139" s="1510">
        <f t="shared" si="18"/>
        <v>4950000</v>
      </c>
      <c r="O139" s="1509">
        <v>25000000</v>
      </c>
      <c r="P139" s="1509">
        <v>4500000</v>
      </c>
      <c r="Q139" s="1509"/>
      <c r="R139" s="2837"/>
      <c r="S139" s="2837"/>
      <c r="T139" s="1507"/>
      <c r="U139" s="1495">
        <f t="shared" si="19"/>
        <v>25000000</v>
      </c>
      <c r="V139" s="1495">
        <f t="shared" si="20"/>
        <v>4500000</v>
      </c>
      <c r="W139" s="1495"/>
      <c r="X139" s="1495">
        <f t="shared" si="22"/>
        <v>5000000</v>
      </c>
      <c r="Y139" s="1495">
        <f t="shared" si="23"/>
        <v>90.909090909090907</v>
      </c>
      <c r="Z139" s="1495">
        <f t="shared" si="24"/>
        <v>2500000</v>
      </c>
      <c r="AA139" s="1506">
        <f t="shared" si="25"/>
        <v>450000</v>
      </c>
      <c r="AB139" s="1505"/>
      <c r="AC139" s="1504">
        <f t="shared" si="26"/>
        <v>0</v>
      </c>
      <c r="AD139" s="1503">
        <f t="shared" si="27"/>
        <v>0</v>
      </c>
      <c r="AE139" s="1503">
        <f t="shared" si="28"/>
        <v>0</v>
      </c>
      <c r="AF139" s="1502">
        <f t="shared" si="29"/>
        <v>0</v>
      </c>
    </row>
    <row r="140" spans="1:32" s="1474" customFormat="1" ht="23.25" customHeight="1">
      <c r="A140" s="1515">
        <v>75</v>
      </c>
      <c r="B140" s="1513" t="s">
        <v>2132</v>
      </c>
      <c r="C140" s="1514" t="s">
        <v>2615</v>
      </c>
      <c r="D140" s="1514">
        <v>12</v>
      </c>
      <c r="E140" s="1513">
        <v>30000000</v>
      </c>
      <c r="F140" s="1512">
        <f t="shared" si="16"/>
        <v>5400000</v>
      </c>
      <c r="G140" s="2141">
        <v>42086</v>
      </c>
      <c r="H140" s="1511">
        <v>0.18</v>
      </c>
      <c r="I140" s="1508">
        <v>12</v>
      </c>
      <c r="J140" s="1508">
        <v>11</v>
      </c>
      <c r="K140" s="1508">
        <f t="shared" si="34"/>
        <v>2500000</v>
      </c>
      <c r="L140" s="1508">
        <f t="shared" si="31"/>
        <v>450000</v>
      </c>
      <c r="M140" s="1510">
        <f t="shared" si="17"/>
        <v>27500000</v>
      </c>
      <c r="N140" s="1510">
        <f t="shared" si="18"/>
        <v>4950000</v>
      </c>
      <c r="O140" s="1509">
        <v>25000000</v>
      </c>
      <c r="P140" s="1509">
        <v>4500000</v>
      </c>
      <c r="Q140" s="1509"/>
      <c r="R140" s="2837"/>
      <c r="S140" s="2837"/>
      <c r="T140" s="1507"/>
      <c r="U140" s="1495">
        <f t="shared" si="19"/>
        <v>25000000</v>
      </c>
      <c r="V140" s="1495">
        <f t="shared" si="20"/>
        <v>4500000</v>
      </c>
      <c r="W140" s="1495"/>
      <c r="X140" s="1495">
        <f t="shared" si="22"/>
        <v>5000000</v>
      </c>
      <c r="Y140" s="1495">
        <f t="shared" si="23"/>
        <v>90.909090909090907</v>
      </c>
      <c r="Z140" s="1495">
        <f t="shared" si="24"/>
        <v>2500000</v>
      </c>
      <c r="AA140" s="1506">
        <f t="shared" si="25"/>
        <v>450000</v>
      </c>
      <c r="AB140" s="1505"/>
      <c r="AC140" s="1504">
        <f t="shared" si="26"/>
        <v>0</v>
      </c>
      <c r="AD140" s="1503">
        <f t="shared" si="27"/>
        <v>0</v>
      </c>
      <c r="AE140" s="1503">
        <f t="shared" si="28"/>
        <v>0</v>
      </c>
      <c r="AF140" s="1502">
        <f t="shared" si="29"/>
        <v>0</v>
      </c>
    </row>
    <row r="141" spans="1:32" s="1474" customFormat="1" ht="23.25" customHeight="1">
      <c r="A141" s="1515">
        <v>76</v>
      </c>
      <c r="B141" s="1513" t="s">
        <v>2385</v>
      </c>
      <c r="C141" s="1514" t="s">
        <v>2615</v>
      </c>
      <c r="D141" s="1514">
        <v>12</v>
      </c>
      <c r="E141" s="1513">
        <v>16000000</v>
      </c>
      <c r="F141" s="1512">
        <f t="shared" si="16"/>
        <v>2880000</v>
      </c>
      <c r="G141" s="2141">
        <v>42107</v>
      </c>
      <c r="H141" s="1511">
        <v>0.18</v>
      </c>
      <c r="I141" s="1508">
        <v>12</v>
      </c>
      <c r="J141" s="1508">
        <v>10</v>
      </c>
      <c r="K141" s="1508">
        <v>1333300</v>
      </c>
      <c r="L141" s="1508">
        <f t="shared" si="31"/>
        <v>240000</v>
      </c>
      <c r="M141" s="1510">
        <f t="shared" si="17"/>
        <v>13333000</v>
      </c>
      <c r="N141" s="1510">
        <f t="shared" si="18"/>
        <v>2400000</v>
      </c>
      <c r="O141" s="1509">
        <v>11999700</v>
      </c>
      <c r="P141" s="1509">
        <v>2160000</v>
      </c>
      <c r="Q141" s="1509"/>
      <c r="R141" s="2837">
        <v>1333300</v>
      </c>
      <c r="S141" s="2837">
        <v>240000</v>
      </c>
      <c r="T141" s="1507"/>
      <c r="U141" s="1495">
        <f t="shared" si="19"/>
        <v>13333000</v>
      </c>
      <c r="V141" s="1495">
        <f t="shared" si="20"/>
        <v>2400000</v>
      </c>
      <c r="W141" s="1495"/>
      <c r="X141" s="1495">
        <f t="shared" si="22"/>
        <v>2667000</v>
      </c>
      <c r="Y141" s="1495">
        <f t="shared" si="23"/>
        <v>100</v>
      </c>
      <c r="Z141" s="1495">
        <f t="shared" si="24"/>
        <v>0</v>
      </c>
      <c r="AA141" s="1506">
        <f t="shared" si="25"/>
        <v>0</v>
      </c>
      <c r="AB141" s="1505"/>
      <c r="AC141" s="1504">
        <f t="shared" si="26"/>
        <v>0</v>
      </c>
      <c r="AD141" s="1503">
        <f t="shared" si="27"/>
        <v>0</v>
      </c>
      <c r="AE141" s="1503">
        <f t="shared" si="28"/>
        <v>0</v>
      </c>
      <c r="AF141" s="1502">
        <f t="shared" si="29"/>
        <v>0</v>
      </c>
    </row>
    <row r="142" spans="1:32" s="1474" customFormat="1" ht="23.25" customHeight="1">
      <c r="A142" s="1515">
        <v>77</v>
      </c>
      <c r="B142" s="1513" t="s">
        <v>1898</v>
      </c>
      <c r="C142" s="1514" t="s">
        <v>2670</v>
      </c>
      <c r="D142" s="1514">
        <v>12</v>
      </c>
      <c r="E142" s="1513">
        <v>50000000</v>
      </c>
      <c r="F142" s="1512">
        <f t="shared" si="16"/>
        <v>9000000</v>
      </c>
      <c r="G142" s="2141">
        <v>42156</v>
      </c>
      <c r="H142" s="1511">
        <v>0.18</v>
      </c>
      <c r="I142" s="1508">
        <v>12</v>
      </c>
      <c r="J142" s="1508">
        <v>8</v>
      </c>
      <c r="K142" s="1508">
        <v>4166700</v>
      </c>
      <c r="L142" s="1508">
        <f t="shared" si="31"/>
        <v>750000</v>
      </c>
      <c r="M142" s="1510">
        <f t="shared" si="17"/>
        <v>33333600</v>
      </c>
      <c r="N142" s="1510">
        <f t="shared" si="18"/>
        <v>6000000</v>
      </c>
      <c r="O142" s="1509">
        <v>29166900</v>
      </c>
      <c r="P142" s="1509">
        <v>5250000</v>
      </c>
      <c r="Q142" s="1509"/>
      <c r="R142" s="2837">
        <v>4166700</v>
      </c>
      <c r="S142" s="2837">
        <v>750000</v>
      </c>
      <c r="T142" s="1507"/>
      <c r="U142" s="1495">
        <f t="shared" si="19"/>
        <v>33333600</v>
      </c>
      <c r="V142" s="1495">
        <f t="shared" si="20"/>
        <v>6000000</v>
      </c>
      <c r="W142" s="1495"/>
      <c r="X142" s="1495">
        <f t="shared" si="22"/>
        <v>16666400</v>
      </c>
      <c r="Y142" s="1495">
        <f t="shared" si="23"/>
        <v>100</v>
      </c>
      <c r="Z142" s="1495">
        <f t="shared" si="24"/>
        <v>0</v>
      </c>
      <c r="AA142" s="1506">
        <f t="shared" si="25"/>
        <v>0</v>
      </c>
      <c r="AB142" s="1505"/>
      <c r="AC142" s="1504">
        <f t="shared" si="26"/>
        <v>0</v>
      </c>
      <c r="AD142" s="1503">
        <f t="shared" si="27"/>
        <v>0</v>
      </c>
      <c r="AE142" s="1503">
        <f t="shared" si="28"/>
        <v>0</v>
      </c>
      <c r="AF142" s="1502">
        <f t="shared" si="29"/>
        <v>0</v>
      </c>
    </row>
    <row r="143" spans="1:32" s="1474" customFormat="1" ht="23.25" customHeight="1">
      <c r="A143" s="1515">
        <v>78</v>
      </c>
      <c r="B143" s="1513" t="s">
        <v>2674</v>
      </c>
      <c r="C143" s="1514" t="s">
        <v>2670</v>
      </c>
      <c r="D143" s="1514">
        <v>12</v>
      </c>
      <c r="E143" s="1513">
        <v>18000000</v>
      </c>
      <c r="F143" s="1512">
        <f t="shared" si="16"/>
        <v>3240000</v>
      </c>
      <c r="G143" s="2141">
        <v>42156</v>
      </c>
      <c r="H143" s="1511">
        <v>0.18</v>
      </c>
      <c r="I143" s="1508">
        <v>12</v>
      </c>
      <c r="J143" s="1508">
        <v>8</v>
      </c>
      <c r="K143" s="1508">
        <f t="shared" si="34"/>
        <v>1500000</v>
      </c>
      <c r="L143" s="1508">
        <f t="shared" si="31"/>
        <v>270000</v>
      </c>
      <c r="M143" s="1510">
        <f t="shared" si="17"/>
        <v>12000000</v>
      </c>
      <c r="N143" s="1510">
        <f t="shared" si="18"/>
        <v>2160000</v>
      </c>
      <c r="O143" s="1509">
        <v>10500000</v>
      </c>
      <c r="P143" s="1509">
        <v>1890000</v>
      </c>
      <c r="Q143" s="1509"/>
      <c r="R143" s="2837">
        <v>1500000</v>
      </c>
      <c r="S143" s="2837">
        <v>270000</v>
      </c>
      <c r="T143" s="1507"/>
      <c r="U143" s="1495">
        <f t="shared" si="19"/>
        <v>12000000</v>
      </c>
      <c r="V143" s="1495">
        <f t="shared" si="20"/>
        <v>2160000</v>
      </c>
      <c r="W143" s="1495"/>
      <c r="X143" s="1495">
        <f t="shared" si="22"/>
        <v>6000000</v>
      </c>
      <c r="Y143" s="1495">
        <f t="shared" si="23"/>
        <v>100</v>
      </c>
      <c r="Z143" s="1495">
        <f t="shared" si="24"/>
        <v>0</v>
      </c>
      <c r="AA143" s="1506">
        <f t="shared" si="25"/>
        <v>0</v>
      </c>
      <c r="AB143" s="1505"/>
      <c r="AC143" s="1504">
        <f t="shared" si="26"/>
        <v>0</v>
      </c>
      <c r="AD143" s="1503">
        <f t="shared" si="27"/>
        <v>0</v>
      </c>
      <c r="AE143" s="1503">
        <f t="shared" si="28"/>
        <v>0</v>
      </c>
      <c r="AF143" s="1502">
        <f t="shared" si="29"/>
        <v>0</v>
      </c>
    </row>
    <row r="144" spans="1:32" s="1474" customFormat="1" ht="23.25" customHeight="1">
      <c r="A144" s="1515">
        <v>79</v>
      </c>
      <c r="B144" s="1513" t="s">
        <v>2326</v>
      </c>
      <c r="C144" s="1514" t="s">
        <v>2670</v>
      </c>
      <c r="D144" s="1514">
        <v>7</v>
      </c>
      <c r="E144" s="1513">
        <v>16000000</v>
      </c>
      <c r="F144" s="1512">
        <f t="shared" si="16"/>
        <v>2880000</v>
      </c>
      <c r="G144" s="2141">
        <v>42227</v>
      </c>
      <c r="H144" s="1511">
        <v>0.18</v>
      </c>
      <c r="I144" s="1508">
        <v>12</v>
      </c>
      <c r="J144" s="1508">
        <v>6</v>
      </c>
      <c r="K144" s="1508">
        <f>ROUND(E144/I144,-2)</f>
        <v>1333300</v>
      </c>
      <c r="L144" s="1508">
        <f t="shared" ref="L144:L148" si="35">F144/I144</f>
        <v>240000</v>
      </c>
      <c r="M144" s="1510">
        <f t="shared" si="17"/>
        <v>7999800</v>
      </c>
      <c r="N144" s="1510">
        <f t="shared" si="18"/>
        <v>1440000</v>
      </c>
      <c r="O144" s="1509">
        <v>6666500</v>
      </c>
      <c r="P144" s="1509">
        <v>1200000</v>
      </c>
      <c r="Q144" s="1509"/>
      <c r="R144" s="2837">
        <v>1333300</v>
      </c>
      <c r="S144" s="2837">
        <v>240000</v>
      </c>
      <c r="T144" s="1507"/>
      <c r="U144" s="1495">
        <f t="shared" si="19"/>
        <v>7999800</v>
      </c>
      <c r="V144" s="1495">
        <f t="shared" si="20"/>
        <v>1440000</v>
      </c>
      <c r="W144" s="1495"/>
      <c r="X144" s="1495">
        <f t="shared" si="22"/>
        <v>8000200</v>
      </c>
      <c r="Y144" s="1495">
        <f t="shared" si="23"/>
        <v>100</v>
      </c>
      <c r="Z144" s="1495">
        <f t="shared" si="24"/>
        <v>0</v>
      </c>
      <c r="AA144" s="1506">
        <f t="shared" si="25"/>
        <v>0</v>
      </c>
      <c r="AB144" s="1505"/>
      <c r="AC144" s="1504">
        <f t="shared" si="26"/>
        <v>0</v>
      </c>
      <c r="AD144" s="1503">
        <f t="shared" si="27"/>
        <v>0</v>
      </c>
      <c r="AE144" s="1503">
        <f t="shared" si="28"/>
        <v>0</v>
      </c>
      <c r="AF144" s="1502">
        <f t="shared" si="29"/>
        <v>0</v>
      </c>
    </row>
    <row r="145" spans="1:32" s="1474" customFormat="1" ht="23.25" customHeight="1">
      <c r="A145" s="1515">
        <v>80</v>
      </c>
      <c r="B145" s="1513" t="s">
        <v>2327</v>
      </c>
      <c r="C145" s="1514" t="s">
        <v>2670</v>
      </c>
      <c r="D145" s="1514">
        <v>7</v>
      </c>
      <c r="E145" s="1513">
        <v>17500000</v>
      </c>
      <c r="F145" s="1512">
        <f t="shared" si="16"/>
        <v>3150000</v>
      </c>
      <c r="G145" s="2141">
        <v>42227</v>
      </c>
      <c r="H145" s="1511">
        <v>0.18</v>
      </c>
      <c r="I145" s="1508">
        <v>12</v>
      </c>
      <c r="J145" s="1508">
        <v>6</v>
      </c>
      <c r="K145" s="1508">
        <f t="shared" ref="K145:K148" si="36">ROUND(E145/I145,-2)</f>
        <v>1458300</v>
      </c>
      <c r="L145" s="1508">
        <f t="shared" si="35"/>
        <v>262500</v>
      </c>
      <c r="M145" s="1510">
        <f t="shared" si="17"/>
        <v>8749800</v>
      </c>
      <c r="N145" s="1510">
        <f t="shared" si="18"/>
        <v>1575000</v>
      </c>
      <c r="O145" s="1509">
        <v>7291500</v>
      </c>
      <c r="P145" s="1509">
        <v>1312500</v>
      </c>
      <c r="Q145" s="1509"/>
      <c r="R145" s="2837">
        <v>1458300</v>
      </c>
      <c r="S145" s="2837">
        <v>262500</v>
      </c>
      <c r="T145" s="1507"/>
      <c r="U145" s="1495">
        <f t="shared" si="19"/>
        <v>8749800</v>
      </c>
      <c r="V145" s="1495">
        <f t="shared" si="20"/>
        <v>1575000</v>
      </c>
      <c r="W145" s="1495"/>
      <c r="X145" s="1495">
        <f t="shared" si="22"/>
        <v>8750200</v>
      </c>
      <c r="Y145" s="1495">
        <f t="shared" si="23"/>
        <v>100</v>
      </c>
      <c r="Z145" s="1495">
        <f t="shared" si="24"/>
        <v>0</v>
      </c>
      <c r="AA145" s="1506">
        <f t="shared" si="25"/>
        <v>0</v>
      </c>
      <c r="AB145" s="1505"/>
      <c r="AC145" s="1504">
        <f t="shared" si="26"/>
        <v>0</v>
      </c>
      <c r="AD145" s="1503">
        <f t="shared" si="27"/>
        <v>0</v>
      </c>
      <c r="AE145" s="1503">
        <f t="shared" si="28"/>
        <v>0</v>
      </c>
      <c r="AF145" s="1502">
        <f t="shared" si="29"/>
        <v>0</v>
      </c>
    </row>
    <row r="146" spans="1:32" s="1474" customFormat="1" ht="23.25" customHeight="1">
      <c r="A146" s="1515">
        <v>81</v>
      </c>
      <c r="B146" s="1513" t="s">
        <v>2705</v>
      </c>
      <c r="C146" s="1514" t="s">
        <v>2670</v>
      </c>
      <c r="D146" s="1514">
        <v>15</v>
      </c>
      <c r="E146" s="1513">
        <v>50000000</v>
      </c>
      <c r="F146" s="1512">
        <f t="shared" si="16"/>
        <v>9000000</v>
      </c>
      <c r="G146" s="2141">
        <v>42262</v>
      </c>
      <c r="H146" s="1511">
        <v>0.18</v>
      </c>
      <c r="I146" s="1508">
        <v>12</v>
      </c>
      <c r="J146" s="1508">
        <v>5</v>
      </c>
      <c r="K146" s="1508">
        <f t="shared" si="36"/>
        <v>4166700</v>
      </c>
      <c r="L146" s="1508">
        <f t="shared" si="35"/>
        <v>750000</v>
      </c>
      <c r="M146" s="1510">
        <f t="shared" si="17"/>
        <v>20833500</v>
      </c>
      <c r="N146" s="1510">
        <f t="shared" si="18"/>
        <v>3750000</v>
      </c>
      <c r="O146" s="1509">
        <v>16666800</v>
      </c>
      <c r="P146" s="1509">
        <v>3000000</v>
      </c>
      <c r="Q146" s="1509"/>
      <c r="R146" s="2837">
        <v>4166700</v>
      </c>
      <c r="S146" s="2837">
        <v>750000</v>
      </c>
      <c r="T146" s="1507"/>
      <c r="U146" s="1495">
        <f t="shared" si="19"/>
        <v>20833500</v>
      </c>
      <c r="V146" s="1495">
        <f t="shared" si="20"/>
        <v>3750000</v>
      </c>
      <c r="W146" s="1495"/>
      <c r="X146" s="1495">
        <f t="shared" si="22"/>
        <v>29166500</v>
      </c>
      <c r="Y146" s="1495">
        <f t="shared" si="23"/>
        <v>100</v>
      </c>
      <c r="Z146" s="1495">
        <f t="shared" si="24"/>
        <v>0</v>
      </c>
      <c r="AA146" s="1506">
        <f t="shared" si="25"/>
        <v>0</v>
      </c>
      <c r="AB146" s="1505"/>
      <c r="AC146" s="1504">
        <f t="shared" si="26"/>
        <v>0</v>
      </c>
      <c r="AD146" s="1503">
        <f t="shared" si="27"/>
        <v>0</v>
      </c>
      <c r="AE146" s="1503">
        <f t="shared" si="28"/>
        <v>0</v>
      </c>
      <c r="AF146" s="1502">
        <f t="shared" si="29"/>
        <v>0</v>
      </c>
    </row>
    <row r="147" spans="1:32" s="1474" customFormat="1" ht="23.25" customHeight="1">
      <c r="A147" s="1515">
        <v>82</v>
      </c>
      <c r="B147" s="1513" t="s">
        <v>2467</v>
      </c>
      <c r="C147" s="1514" t="s">
        <v>2670</v>
      </c>
      <c r="D147" s="1514">
        <v>15</v>
      </c>
      <c r="E147" s="1513">
        <v>35000000</v>
      </c>
      <c r="F147" s="1512">
        <f t="shared" si="16"/>
        <v>6300000</v>
      </c>
      <c r="G147" s="2141">
        <v>42262</v>
      </c>
      <c r="H147" s="1511">
        <v>0.18</v>
      </c>
      <c r="I147" s="1508">
        <v>12</v>
      </c>
      <c r="J147" s="1508">
        <v>5</v>
      </c>
      <c r="K147" s="1508">
        <f t="shared" si="36"/>
        <v>2916700</v>
      </c>
      <c r="L147" s="1508">
        <f t="shared" si="35"/>
        <v>525000</v>
      </c>
      <c r="M147" s="1510">
        <f t="shared" si="17"/>
        <v>14583500</v>
      </c>
      <c r="N147" s="1510">
        <f t="shared" si="18"/>
        <v>2625000</v>
      </c>
      <c r="O147" s="1509">
        <v>11666800</v>
      </c>
      <c r="P147" s="1509">
        <v>2100000</v>
      </c>
      <c r="Q147" s="1509"/>
      <c r="R147" s="2837">
        <v>2916700</v>
      </c>
      <c r="S147" s="2837">
        <v>525000</v>
      </c>
      <c r="T147" s="1507"/>
      <c r="U147" s="1495">
        <f t="shared" si="19"/>
        <v>14583500</v>
      </c>
      <c r="V147" s="1495">
        <f t="shared" si="20"/>
        <v>2625000</v>
      </c>
      <c r="W147" s="1495"/>
      <c r="X147" s="1495">
        <f t="shared" si="22"/>
        <v>20416500</v>
      </c>
      <c r="Y147" s="1495">
        <f t="shared" si="23"/>
        <v>100</v>
      </c>
      <c r="Z147" s="1495">
        <f t="shared" si="24"/>
        <v>0</v>
      </c>
      <c r="AA147" s="1506">
        <f t="shared" si="25"/>
        <v>0</v>
      </c>
      <c r="AB147" s="1505"/>
      <c r="AC147" s="1504">
        <f t="shared" si="26"/>
        <v>0</v>
      </c>
      <c r="AD147" s="1503">
        <f t="shared" si="27"/>
        <v>0</v>
      </c>
      <c r="AE147" s="1503">
        <f t="shared" si="28"/>
        <v>0</v>
      </c>
      <c r="AF147" s="1502">
        <f t="shared" si="29"/>
        <v>0</v>
      </c>
    </row>
    <row r="148" spans="1:32" s="1474" customFormat="1" ht="23.25" customHeight="1">
      <c r="A148" s="1515">
        <v>83</v>
      </c>
      <c r="B148" s="1513" t="s">
        <v>2090</v>
      </c>
      <c r="C148" s="1514" t="s">
        <v>2670</v>
      </c>
      <c r="D148" s="1514">
        <v>8</v>
      </c>
      <c r="E148" s="1513">
        <v>28000000</v>
      </c>
      <c r="F148" s="1512">
        <f t="shared" si="16"/>
        <v>5040000</v>
      </c>
      <c r="G148" s="2141">
        <v>42263</v>
      </c>
      <c r="H148" s="1511">
        <v>0.18</v>
      </c>
      <c r="I148" s="1508">
        <v>12</v>
      </c>
      <c r="J148" s="1508">
        <v>5</v>
      </c>
      <c r="K148" s="1508">
        <f t="shared" si="36"/>
        <v>2333300</v>
      </c>
      <c r="L148" s="1508">
        <f t="shared" si="35"/>
        <v>420000</v>
      </c>
      <c r="M148" s="1510">
        <f t="shared" si="17"/>
        <v>11666500</v>
      </c>
      <c r="N148" s="1510">
        <f t="shared" si="18"/>
        <v>2100000</v>
      </c>
      <c r="O148" s="1509">
        <v>9333200</v>
      </c>
      <c r="P148" s="1509">
        <v>1680000</v>
      </c>
      <c r="Q148" s="1509"/>
      <c r="R148" s="2837"/>
      <c r="S148" s="2837"/>
      <c r="T148" s="1507"/>
      <c r="U148" s="1495">
        <f t="shared" si="19"/>
        <v>9333200</v>
      </c>
      <c r="V148" s="1495">
        <f t="shared" si="20"/>
        <v>1680000</v>
      </c>
      <c r="W148" s="1495"/>
      <c r="X148" s="1495">
        <f t="shared" si="22"/>
        <v>18666800</v>
      </c>
      <c r="Y148" s="1495">
        <f t="shared" si="23"/>
        <v>80</v>
      </c>
      <c r="Z148" s="1495">
        <f t="shared" si="24"/>
        <v>2333300</v>
      </c>
      <c r="AA148" s="1506">
        <f t="shared" si="25"/>
        <v>420000</v>
      </c>
      <c r="AB148" s="1505"/>
      <c r="AC148" s="1504">
        <f t="shared" si="26"/>
        <v>0</v>
      </c>
      <c r="AD148" s="1503">
        <f t="shared" si="27"/>
        <v>0</v>
      </c>
      <c r="AE148" s="1503">
        <f t="shared" si="28"/>
        <v>0</v>
      </c>
      <c r="AF148" s="1502">
        <f t="shared" si="29"/>
        <v>0</v>
      </c>
    </row>
    <row r="149" spans="1:32" s="1474" customFormat="1" ht="23.25" customHeight="1">
      <c r="A149" s="1515">
        <v>84</v>
      </c>
      <c r="B149" s="1513" t="s">
        <v>2091</v>
      </c>
      <c r="C149" s="1514" t="s">
        <v>2670</v>
      </c>
      <c r="D149" s="1514">
        <v>8</v>
      </c>
      <c r="E149" s="1513">
        <v>28000000</v>
      </c>
      <c r="F149" s="1512">
        <f t="shared" si="16"/>
        <v>5040000</v>
      </c>
      <c r="G149" s="2141">
        <v>42289</v>
      </c>
      <c r="H149" s="1511">
        <v>0.18</v>
      </c>
      <c r="I149" s="1508">
        <v>12</v>
      </c>
      <c r="J149" s="1508">
        <v>4</v>
      </c>
      <c r="K149" s="1508">
        <f t="shared" ref="K149:K154" si="37">ROUND(E149/I149,-2)</f>
        <v>2333300</v>
      </c>
      <c r="L149" s="1508">
        <f t="shared" ref="L149:L154" si="38">F149/I149</f>
        <v>420000</v>
      </c>
      <c r="M149" s="1510">
        <f t="shared" si="17"/>
        <v>9333200</v>
      </c>
      <c r="N149" s="1510">
        <f t="shared" si="18"/>
        <v>1680000</v>
      </c>
      <c r="O149" s="1509">
        <v>6999900</v>
      </c>
      <c r="P149" s="1509">
        <v>1260000</v>
      </c>
      <c r="Q149" s="1509"/>
      <c r="R149" s="2837">
        <v>2333300</v>
      </c>
      <c r="S149" s="2837">
        <v>420000</v>
      </c>
      <c r="T149" s="1507"/>
      <c r="U149" s="1495">
        <f t="shared" si="19"/>
        <v>9333200</v>
      </c>
      <c r="V149" s="1495">
        <f t="shared" si="20"/>
        <v>1680000</v>
      </c>
      <c r="W149" s="1495"/>
      <c r="X149" s="1495">
        <f t="shared" si="22"/>
        <v>18666800</v>
      </c>
      <c r="Y149" s="1495">
        <f t="shared" si="23"/>
        <v>100</v>
      </c>
      <c r="Z149" s="1495">
        <f t="shared" si="24"/>
        <v>0</v>
      </c>
      <c r="AA149" s="1506">
        <f t="shared" si="25"/>
        <v>0</v>
      </c>
      <c r="AB149" s="1505"/>
      <c r="AC149" s="1504">
        <f t="shared" si="26"/>
        <v>0</v>
      </c>
      <c r="AD149" s="1503">
        <f t="shared" si="27"/>
        <v>0</v>
      </c>
      <c r="AE149" s="1503">
        <f t="shared" si="28"/>
        <v>0</v>
      </c>
      <c r="AF149" s="1502">
        <f t="shared" si="29"/>
        <v>0</v>
      </c>
    </row>
    <row r="150" spans="1:32" s="1474" customFormat="1" ht="23.25" customHeight="1">
      <c r="A150" s="1515">
        <v>85</v>
      </c>
      <c r="B150" s="1513" t="s">
        <v>2709</v>
      </c>
      <c r="C150" s="1514" t="s">
        <v>2689</v>
      </c>
      <c r="D150" s="1514">
        <v>9</v>
      </c>
      <c r="E150" s="1513">
        <v>12000000</v>
      </c>
      <c r="F150" s="1512">
        <f t="shared" si="16"/>
        <v>2160000</v>
      </c>
      <c r="G150" s="2141">
        <v>42289</v>
      </c>
      <c r="H150" s="1511">
        <v>0.18</v>
      </c>
      <c r="I150" s="1508">
        <v>12</v>
      </c>
      <c r="J150" s="1508">
        <v>4</v>
      </c>
      <c r="K150" s="1508">
        <f t="shared" si="37"/>
        <v>1000000</v>
      </c>
      <c r="L150" s="1508">
        <f t="shared" si="38"/>
        <v>180000</v>
      </c>
      <c r="M150" s="1510">
        <f t="shared" si="17"/>
        <v>4000000</v>
      </c>
      <c r="N150" s="1510">
        <f t="shared" si="18"/>
        <v>720000</v>
      </c>
      <c r="O150" s="1509">
        <v>2000000</v>
      </c>
      <c r="P150" s="1509">
        <v>360000</v>
      </c>
      <c r="Q150" s="1509"/>
      <c r="R150" s="2837">
        <v>1000000</v>
      </c>
      <c r="S150" s="2837">
        <v>180000</v>
      </c>
      <c r="T150" s="1507"/>
      <c r="U150" s="1495">
        <f t="shared" si="19"/>
        <v>3000000</v>
      </c>
      <c r="V150" s="1495">
        <f t="shared" si="20"/>
        <v>540000</v>
      </c>
      <c r="W150" s="1495"/>
      <c r="X150" s="1495">
        <f t="shared" si="22"/>
        <v>9000000</v>
      </c>
      <c r="Y150" s="1495">
        <f t="shared" si="23"/>
        <v>75</v>
      </c>
      <c r="Z150" s="1495">
        <f t="shared" si="24"/>
        <v>1000000</v>
      </c>
      <c r="AA150" s="1506">
        <f t="shared" si="25"/>
        <v>180000</v>
      </c>
      <c r="AB150" s="1505"/>
      <c r="AC150" s="1504">
        <f t="shared" si="26"/>
        <v>0</v>
      </c>
      <c r="AD150" s="1503">
        <f t="shared" si="27"/>
        <v>0</v>
      </c>
      <c r="AE150" s="1503">
        <f t="shared" si="28"/>
        <v>0</v>
      </c>
      <c r="AF150" s="1502">
        <f t="shared" si="29"/>
        <v>0</v>
      </c>
    </row>
    <row r="151" spans="1:32" s="1474" customFormat="1" ht="23.25" customHeight="1">
      <c r="A151" s="1515">
        <v>86</v>
      </c>
      <c r="B151" s="1513" t="s">
        <v>2089</v>
      </c>
      <c r="C151" s="1514" t="s">
        <v>2670</v>
      </c>
      <c r="D151" s="1514">
        <v>8</v>
      </c>
      <c r="E151" s="1513">
        <v>28000000</v>
      </c>
      <c r="F151" s="1512">
        <f t="shared" si="16"/>
        <v>5040000</v>
      </c>
      <c r="G151" s="2141">
        <v>42289</v>
      </c>
      <c r="H151" s="1511">
        <v>0.18</v>
      </c>
      <c r="I151" s="1508">
        <v>12</v>
      </c>
      <c r="J151" s="1508">
        <v>4</v>
      </c>
      <c r="K151" s="1508">
        <f t="shared" si="37"/>
        <v>2333300</v>
      </c>
      <c r="L151" s="1508">
        <f t="shared" si="38"/>
        <v>420000</v>
      </c>
      <c r="M151" s="1510">
        <f t="shared" si="17"/>
        <v>9333200</v>
      </c>
      <c r="N151" s="1510">
        <f t="shared" si="18"/>
        <v>1680000</v>
      </c>
      <c r="O151" s="1509">
        <v>6999900</v>
      </c>
      <c r="P151" s="1509">
        <v>1260000</v>
      </c>
      <c r="Q151" s="1509"/>
      <c r="R151" s="2837">
        <v>2333300</v>
      </c>
      <c r="S151" s="2837">
        <v>420000</v>
      </c>
      <c r="T151" s="1507"/>
      <c r="U151" s="1495">
        <f t="shared" si="19"/>
        <v>9333200</v>
      </c>
      <c r="V151" s="1495">
        <f t="shared" si="20"/>
        <v>1680000</v>
      </c>
      <c r="W151" s="1495"/>
      <c r="X151" s="1495">
        <f t="shared" si="22"/>
        <v>18666800</v>
      </c>
      <c r="Y151" s="1495">
        <f t="shared" si="23"/>
        <v>100</v>
      </c>
      <c r="Z151" s="1495">
        <f t="shared" si="24"/>
        <v>0</v>
      </c>
      <c r="AA151" s="1506">
        <f t="shared" si="25"/>
        <v>0</v>
      </c>
      <c r="AB151" s="1505"/>
      <c r="AC151" s="1504">
        <f t="shared" si="26"/>
        <v>0</v>
      </c>
      <c r="AD151" s="1503">
        <f t="shared" si="27"/>
        <v>0</v>
      </c>
      <c r="AE151" s="1503">
        <f t="shared" si="28"/>
        <v>0</v>
      </c>
      <c r="AF151" s="1502">
        <f t="shared" si="29"/>
        <v>0</v>
      </c>
    </row>
    <row r="152" spans="1:32" s="1474" customFormat="1" ht="23.25" customHeight="1">
      <c r="A152" s="1515">
        <v>87</v>
      </c>
      <c r="B152" s="1513" t="s">
        <v>2331</v>
      </c>
      <c r="C152" s="1514" t="s">
        <v>2689</v>
      </c>
      <c r="D152" s="1514">
        <v>8</v>
      </c>
      <c r="E152" s="1513">
        <v>24000000</v>
      </c>
      <c r="F152" s="1512">
        <f t="shared" si="16"/>
        <v>4320000</v>
      </c>
      <c r="G152" s="2141">
        <v>42289</v>
      </c>
      <c r="H152" s="1511">
        <v>0.18</v>
      </c>
      <c r="I152" s="1508">
        <v>12</v>
      </c>
      <c r="J152" s="1508">
        <v>4</v>
      </c>
      <c r="K152" s="1508">
        <f t="shared" si="37"/>
        <v>2000000</v>
      </c>
      <c r="L152" s="1508">
        <f t="shared" si="38"/>
        <v>360000</v>
      </c>
      <c r="M152" s="1510">
        <f t="shared" si="17"/>
        <v>8000000</v>
      </c>
      <c r="N152" s="1510">
        <f t="shared" si="18"/>
        <v>1440000</v>
      </c>
      <c r="O152" s="1509">
        <v>6000000</v>
      </c>
      <c r="P152" s="1509">
        <v>1080000</v>
      </c>
      <c r="Q152" s="1509"/>
      <c r="R152" s="2837">
        <v>2000000</v>
      </c>
      <c r="S152" s="2837">
        <v>360000</v>
      </c>
      <c r="T152" s="1507"/>
      <c r="U152" s="1495">
        <f t="shared" si="19"/>
        <v>8000000</v>
      </c>
      <c r="V152" s="1495">
        <f t="shared" si="20"/>
        <v>1440000</v>
      </c>
      <c r="W152" s="1495"/>
      <c r="X152" s="1495">
        <f t="shared" si="22"/>
        <v>16000000</v>
      </c>
      <c r="Y152" s="1495">
        <f t="shared" si="23"/>
        <v>100</v>
      </c>
      <c r="Z152" s="1495">
        <f t="shared" si="24"/>
        <v>0</v>
      </c>
      <c r="AA152" s="1506">
        <f t="shared" si="25"/>
        <v>0</v>
      </c>
      <c r="AB152" s="1505"/>
      <c r="AC152" s="1504">
        <f t="shared" si="26"/>
        <v>0</v>
      </c>
      <c r="AD152" s="1503">
        <f t="shared" si="27"/>
        <v>0</v>
      </c>
      <c r="AE152" s="1503">
        <f t="shared" si="28"/>
        <v>0</v>
      </c>
      <c r="AF152" s="1502">
        <f t="shared" si="29"/>
        <v>0</v>
      </c>
    </row>
    <row r="153" spans="1:32" s="1474" customFormat="1" ht="23.25" customHeight="1">
      <c r="A153" s="1515">
        <v>88</v>
      </c>
      <c r="B153" s="1513" t="s">
        <v>2710</v>
      </c>
      <c r="C153" s="1514" t="s">
        <v>2670</v>
      </c>
      <c r="D153" s="1514">
        <v>8</v>
      </c>
      <c r="E153" s="1513">
        <v>28000000</v>
      </c>
      <c r="F153" s="1512">
        <f t="shared" si="16"/>
        <v>5040000</v>
      </c>
      <c r="G153" s="2141">
        <v>42289</v>
      </c>
      <c r="H153" s="1511">
        <v>0.18</v>
      </c>
      <c r="I153" s="1508">
        <v>12</v>
      </c>
      <c r="J153" s="1508">
        <v>4</v>
      </c>
      <c r="K153" s="1508">
        <f t="shared" si="37"/>
        <v>2333300</v>
      </c>
      <c r="L153" s="1508">
        <f t="shared" si="38"/>
        <v>420000</v>
      </c>
      <c r="M153" s="1510">
        <f t="shared" si="17"/>
        <v>9333200</v>
      </c>
      <c r="N153" s="1510">
        <f t="shared" si="18"/>
        <v>1680000</v>
      </c>
      <c r="O153" s="1509">
        <v>6999900</v>
      </c>
      <c r="P153" s="1509">
        <v>1260000</v>
      </c>
      <c r="Q153" s="1509"/>
      <c r="R153" s="2837"/>
      <c r="S153" s="2837"/>
      <c r="T153" s="1507"/>
      <c r="U153" s="1495">
        <f t="shared" si="19"/>
        <v>6999900</v>
      </c>
      <c r="V153" s="1495">
        <f t="shared" si="20"/>
        <v>1260000</v>
      </c>
      <c r="W153" s="1495"/>
      <c r="X153" s="1495">
        <f t="shared" si="22"/>
        <v>21000100</v>
      </c>
      <c r="Y153" s="1495">
        <f t="shared" si="23"/>
        <v>75</v>
      </c>
      <c r="Z153" s="1495">
        <f t="shared" si="24"/>
        <v>2333300</v>
      </c>
      <c r="AA153" s="1506">
        <f t="shared" si="25"/>
        <v>420000</v>
      </c>
      <c r="AB153" s="1505"/>
      <c r="AC153" s="1504">
        <f t="shared" si="26"/>
        <v>0</v>
      </c>
      <c r="AD153" s="1503">
        <f t="shared" si="27"/>
        <v>0</v>
      </c>
      <c r="AE153" s="1503">
        <f t="shared" si="28"/>
        <v>0</v>
      </c>
      <c r="AF153" s="1502">
        <f t="shared" si="29"/>
        <v>0</v>
      </c>
    </row>
    <row r="154" spans="1:32" s="1474" customFormat="1" ht="23.25" customHeight="1">
      <c r="A154" s="1515">
        <v>89</v>
      </c>
      <c r="B154" s="1513" t="s">
        <v>1941</v>
      </c>
      <c r="C154" s="1514" t="s">
        <v>2689</v>
      </c>
      <c r="D154" s="1514">
        <v>15</v>
      </c>
      <c r="E154" s="1513">
        <v>50000000</v>
      </c>
      <c r="F154" s="1512">
        <f t="shared" si="16"/>
        <v>9000000</v>
      </c>
      <c r="G154" s="2141">
        <v>42292</v>
      </c>
      <c r="H154" s="1511">
        <v>0.18</v>
      </c>
      <c r="I154" s="1508">
        <v>12</v>
      </c>
      <c r="J154" s="1508">
        <v>4</v>
      </c>
      <c r="K154" s="1508">
        <f t="shared" si="37"/>
        <v>4166700</v>
      </c>
      <c r="L154" s="1508">
        <f t="shared" si="38"/>
        <v>750000</v>
      </c>
      <c r="M154" s="1510">
        <f t="shared" si="17"/>
        <v>16666800</v>
      </c>
      <c r="N154" s="1510">
        <f t="shared" si="18"/>
        <v>3000000</v>
      </c>
      <c r="O154" s="1509">
        <v>12500100</v>
      </c>
      <c r="P154" s="1509">
        <v>2250000</v>
      </c>
      <c r="Q154" s="1509"/>
      <c r="R154" s="2837">
        <v>4166700</v>
      </c>
      <c r="S154" s="2837">
        <v>750000</v>
      </c>
      <c r="T154" s="1507"/>
      <c r="U154" s="1495">
        <f t="shared" si="19"/>
        <v>16666800</v>
      </c>
      <c r="V154" s="1495">
        <f t="shared" si="20"/>
        <v>3000000</v>
      </c>
      <c r="W154" s="1495"/>
      <c r="X154" s="1495">
        <f t="shared" si="22"/>
        <v>33333200</v>
      </c>
      <c r="Y154" s="1495">
        <f t="shared" si="23"/>
        <v>100</v>
      </c>
      <c r="Z154" s="1495">
        <f t="shared" si="24"/>
        <v>0</v>
      </c>
      <c r="AA154" s="1506">
        <f t="shared" si="25"/>
        <v>0</v>
      </c>
      <c r="AB154" s="1505"/>
      <c r="AC154" s="1504">
        <f t="shared" si="26"/>
        <v>0</v>
      </c>
      <c r="AD154" s="1503">
        <f t="shared" si="27"/>
        <v>0</v>
      </c>
      <c r="AE154" s="1503">
        <f t="shared" si="28"/>
        <v>0</v>
      </c>
      <c r="AF154" s="1502">
        <f t="shared" si="29"/>
        <v>0</v>
      </c>
    </row>
    <row r="155" spans="1:32" s="1474" customFormat="1" ht="23.25" customHeight="1">
      <c r="A155" s="1515">
        <v>90</v>
      </c>
      <c r="B155" s="1513" t="s">
        <v>2722</v>
      </c>
      <c r="C155" s="1514" t="s">
        <v>2689</v>
      </c>
      <c r="D155" s="1514">
        <v>10</v>
      </c>
      <c r="E155" s="1513">
        <v>34000000</v>
      </c>
      <c r="F155" s="1512">
        <f t="shared" si="16"/>
        <v>6120000</v>
      </c>
      <c r="G155" s="2141">
        <v>42341</v>
      </c>
      <c r="H155" s="1511">
        <v>0.18</v>
      </c>
      <c r="I155" s="1508">
        <v>12</v>
      </c>
      <c r="J155" s="1508">
        <v>2</v>
      </c>
      <c r="K155" s="1508">
        <f t="shared" ref="K155:K164" si="39">ROUND(E155/I155,-2)</f>
        <v>2833300</v>
      </c>
      <c r="L155" s="1508">
        <f t="shared" ref="L155:L164" si="40">F155/I155</f>
        <v>510000</v>
      </c>
      <c r="M155" s="1510">
        <f t="shared" ref="M155:M163" si="41">IF(J155&lt;I155,J155*K155,IF(J155&gt;=I155,E155))</f>
        <v>5666600</v>
      </c>
      <c r="N155" s="1510">
        <f t="shared" ref="N155:N163" si="42">IF(J155&lt;I155,J155*L155,IF(J155&gt;=I155,F155))</f>
        <v>1020000</v>
      </c>
      <c r="O155" s="1509">
        <v>2833300</v>
      </c>
      <c r="P155" s="1509">
        <v>510000</v>
      </c>
      <c r="Q155" s="1509"/>
      <c r="R155" s="2837">
        <v>2833300</v>
      </c>
      <c r="S155" s="2837">
        <v>510000</v>
      </c>
      <c r="T155" s="1507"/>
      <c r="U155" s="1495">
        <f t="shared" ref="U155:U164" si="43">SUM(O155+R155)</f>
        <v>5666600</v>
      </c>
      <c r="V155" s="1495">
        <f t="shared" ref="V155:V164" si="44">SUM(P155+S155)</f>
        <v>1020000</v>
      </c>
      <c r="W155" s="1495"/>
      <c r="X155" s="1495">
        <f t="shared" si="22"/>
        <v>28333400</v>
      </c>
      <c r="Y155" s="1495">
        <f t="shared" si="23"/>
        <v>100</v>
      </c>
      <c r="Z155" s="1495">
        <f t="shared" ref="Z155:Z164" si="45">SUM(M155-U155)</f>
        <v>0</v>
      </c>
      <c r="AA155" s="1506">
        <f t="shared" ref="AA155:AA164" si="46">SUM(N155-V155)</f>
        <v>0</v>
      </c>
      <c r="AB155" s="1505"/>
      <c r="AC155" s="1504">
        <f t="shared" ref="AC155:AC164" si="47">IF(AND(AB155&gt;0,AB155&lt;=2),X155,0)</f>
        <v>0</v>
      </c>
      <c r="AD155" s="1503">
        <f t="shared" ref="AD155:AD164" si="48">IF(AND(AB155&gt;=3,AB155&lt;=4),X155,0)</f>
        <v>0</v>
      </c>
      <c r="AE155" s="1503">
        <f t="shared" ref="AE155:AE164" si="49">IF(AND(AB155&gt;=5,AB155&lt;=6),X155,0)</f>
        <v>0</v>
      </c>
      <c r="AF155" s="1502">
        <f t="shared" ref="AF155:AF164" si="50">IF(AB155&gt;6,X155,0)</f>
        <v>0</v>
      </c>
    </row>
    <row r="156" spans="1:32" s="1474" customFormat="1" ht="23.25" customHeight="1">
      <c r="A156" s="1515">
        <v>91</v>
      </c>
      <c r="B156" s="1513" t="s">
        <v>2095</v>
      </c>
      <c r="C156" s="1514" t="s">
        <v>2689</v>
      </c>
      <c r="D156" s="1514">
        <v>12</v>
      </c>
      <c r="E156" s="1513">
        <v>38000000</v>
      </c>
      <c r="F156" s="1512">
        <f t="shared" si="16"/>
        <v>6840000</v>
      </c>
      <c r="G156" s="2141">
        <v>42355</v>
      </c>
      <c r="H156" s="1511">
        <v>0.18</v>
      </c>
      <c r="I156" s="1508">
        <v>12</v>
      </c>
      <c r="J156" s="1508">
        <v>2</v>
      </c>
      <c r="K156" s="1508">
        <f t="shared" si="39"/>
        <v>3166700</v>
      </c>
      <c r="L156" s="1508">
        <f t="shared" si="40"/>
        <v>570000</v>
      </c>
      <c r="M156" s="1510">
        <f t="shared" si="41"/>
        <v>6333400</v>
      </c>
      <c r="N156" s="1510">
        <f t="shared" si="42"/>
        <v>1140000</v>
      </c>
      <c r="O156" s="1509">
        <v>0</v>
      </c>
      <c r="P156" s="1509">
        <v>0</v>
      </c>
      <c r="Q156" s="1509"/>
      <c r="R156" s="2837">
        <v>3166700</v>
      </c>
      <c r="S156" s="2837">
        <v>570000</v>
      </c>
      <c r="T156" s="1507"/>
      <c r="U156" s="1495">
        <f t="shared" si="43"/>
        <v>3166700</v>
      </c>
      <c r="V156" s="1495">
        <f t="shared" si="44"/>
        <v>570000</v>
      </c>
      <c r="W156" s="1495"/>
      <c r="X156" s="1495">
        <f t="shared" si="22"/>
        <v>34833300</v>
      </c>
      <c r="Y156" s="1495">
        <f t="shared" si="23"/>
        <v>50</v>
      </c>
      <c r="Z156" s="1495">
        <f t="shared" si="45"/>
        <v>3166700</v>
      </c>
      <c r="AA156" s="1506">
        <f t="shared" si="46"/>
        <v>570000</v>
      </c>
      <c r="AB156" s="1505"/>
      <c r="AC156" s="1504">
        <f t="shared" si="47"/>
        <v>0</v>
      </c>
      <c r="AD156" s="1503">
        <f t="shared" si="48"/>
        <v>0</v>
      </c>
      <c r="AE156" s="1503">
        <f t="shared" si="49"/>
        <v>0</v>
      </c>
      <c r="AF156" s="1502">
        <f t="shared" si="50"/>
        <v>0</v>
      </c>
    </row>
    <row r="157" spans="1:32" s="1474" customFormat="1" ht="23.25" customHeight="1">
      <c r="A157" s="1515">
        <v>92</v>
      </c>
      <c r="B157" s="1513" t="s">
        <v>2094</v>
      </c>
      <c r="C157" s="1514" t="s">
        <v>2689</v>
      </c>
      <c r="D157" s="1514">
        <v>10</v>
      </c>
      <c r="E157" s="1513">
        <v>30000000</v>
      </c>
      <c r="F157" s="1512">
        <f t="shared" si="16"/>
        <v>5400000</v>
      </c>
      <c r="G157" s="2141">
        <v>42355</v>
      </c>
      <c r="H157" s="1511">
        <v>0.18</v>
      </c>
      <c r="I157" s="1508">
        <v>12</v>
      </c>
      <c r="J157" s="1508">
        <v>2</v>
      </c>
      <c r="K157" s="1508">
        <f t="shared" si="39"/>
        <v>2500000</v>
      </c>
      <c r="L157" s="1508">
        <f t="shared" si="40"/>
        <v>450000</v>
      </c>
      <c r="M157" s="1510">
        <f t="shared" si="41"/>
        <v>5000000</v>
      </c>
      <c r="N157" s="1510">
        <f t="shared" si="42"/>
        <v>900000</v>
      </c>
      <c r="O157" s="1509">
        <v>2500000</v>
      </c>
      <c r="P157" s="1509">
        <v>450000</v>
      </c>
      <c r="Q157" s="1509"/>
      <c r="R157" s="2837"/>
      <c r="S157" s="2837"/>
      <c r="T157" s="1507"/>
      <c r="U157" s="1495">
        <f t="shared" si="43"/>
        <v>2500000</v>
      </c>
      <c r="V157" s="1495">
        <f t="shared" si="44"/>
        <v>450000</v>
      </c>
      <c r="W157" s="1495"/>
      <c r="X157" s="1495">
        <f t="shared" si="22"/>
        <v>27500000</v>
      </c>
      <c r="Y157" s="1495">
        <f t="shared" si="23"/>
        <v>50</v>
      </c>
      <c r="Z157" s="1495">
        <f t="shared" si="45"/>
        <v>2500000</v>
      </c>
      <c r="AA157" s="1506">
        <f t="shared" si="46"/>
        <v>450000</v>
      </c>
      <c r="AB157" s="1505"/>
      <c r="AC157" s="1504">
        <f t="shared" si="47"/>
        <v>0</v>
      </c>
      <c r="AD157" s="1503">
        <f t="shared" si="48"/>
        <v>0</v>
      </c>
      <c r="AE157" s="1503">
        <f t="shared" si="49"/>
        <v>0</v>
      </c>
      <c r="AF157" s="1502">
        <f t="shared" si="50"/>
        <v>0</v>
      </c>
    </row>
    <row r="158" spans="1:32" s="1474" customFormat="1" ht="23.25" customHeight="1">
      <c r="A158" s="1515">
        <v>93</v>
      </c>
      <c r="B158" s="1513" t="s">
        <v>2616</v>
      </c>
      <c r="C158" s="1514" t="s">
        <v>2954</v>
      </c>
      <c r="D158" s="1514">
        <v>10</v>
      </c>
      <c r="E158" s="1513">
        <v>13000000</v>
      </c>
      <c r="F158" s="1512">
        <f t="shared" si="16"/>
        <v>2340000</v>
      </c>
      <c r="G158" s="2141">
        <v>42405</v>
      </c>
      <c r="H158" s="1511">
        <v>0.18</v>
      </c>
      <c r="I158" s="1508">
        <v>12</v>
      </c>
      <c r="J158" s="1508"/>
      <c r="K158" s="1508">
        <f t="shared" si="39"/>
        <v>1083300</v>
      </c>
      <c r="L158" s="1508">
        <f t="shared" si="40"/>
        <v>195000</v>
      </c>
      <c r="M158" s="1510">
        <f t="shared" si="41"/>
        <v>0</v>
      </c>
      <c r="N158" s="1510">
        <f t="shared" si="42"/>
        <v>0</v>
      </c>
      <c r="O158" s="1509"/>
      <c r="P158" s="1509"/>
      <c r="Q158" s="1509"/>
      <c r="R158" s="1508"/>
      <c r="S158" s="1508"/>
      <c r="T158" s="1507"/>
      <c r="U158" s="1495">
        <f t="shared" si="43"/>
        <v>0</v>
      </c>
      <c r="V158" s="1495">
        <f t="shared" si="44"/>
        <v>0</v>
      </c>
      <c r="W158" s="1495"/>
      <c r="X158" s="1495">
        <f t="shared" si="22"/>
        <v>13000000</v>
      </c>
      <c r="Y158" s="1495" t="e">
        <f t="shared" si="23"/>
        <v>#DIV/0!</v>
      </c>
      <c r="Z158" s="1495">
        <f t="shared" si="45"/>
        <v>0</v>
      </c>
      <c r="AA158" s="1506">
        <f t="shared" si="46"/>
        <v>0</v>
      </c>
      <c r="AB158" s="1505"/>
      <c r="AC158" s="1504">
        <f t="shared" si="47"/>
        <v>0</v>
      </c>
      <c r="AD158" s="1503">
        <f t="shared" si="48"/>
        <v>0</v>
      </c>
      <c r="AE158" s="1503">
        <f t="shared" si="49"/>
        <v>0</v>
      </c>
      <c r="AF158" s="1502">
        <f t="shared" si="50"/>
        <v>0</v>
      </c>
    </row>
    <row r="159" spans="1:32" s="1474" customFormat="1" ht="23.25" customHeight="1">
      <c r="A159" s="1515">
        <v>94</v>
      </c>
      <c r="B159" s="1513" t="s">
        <v>2956</v>
      </c>
      <c r="C159" s="1514" t="s">
        <v>2954</v>
      </c>
      <c r="D159" s="1514">
        <v>8</v>
      </c>
      <c r="E159" s="1513">
        <v>6400000</v>
      </c>
      <c r="F159" s="1512">
        <f t="shared" si="16"/>
        <v>1152000</v>
      </c>
      <c r="G159" s="2141">
        <v>42417</v>
      </c>
      <c r="H159" s="1511">
        <v>0.18</v>
      </c>
      <c r="I159" s="1508">
        <v>12</v>
      </c>
      <c r="J159" s="1508"/>
      <c r="K159" s="1508">
        <f t="shared" si="39"/>
        <v>533300</v>
      </c>
      <c r="L159" s="1508">
        <f t="shared" si="40"/>
        <v>96000</v>
      </c>
      <c r="M159" s="1510">
        <f t="shared" si="41"/>
        <v>0</v>
      </c>
      <c r="N159" s="1510">
        <f t="shared" si="42"/>
        <v>0</v>
      </c>
      <c r="O159" s="1509"/>
      <c r="P159" s="1509"/>
      <c r="Q159" s="1509"/>
      <c r="R159" s="1508"/>
      <c r="S159" s="1508"/>
      <c r="T159" s="1507"/>
      <c r="U159" s="1495">
        <f t="shared" si="43"/>
        <v>0</v>
      </c>
      <c r="V159" s="1495">
        <f t="shared" si="44"/>
        <v>0</v>
      </c>
      <c r="W159" s="1495"/>
      <c r="X159" s="1495">
        <f t="shared" si="22"/>
        <v>6400000</v>
      </c>
      <c r="Y159" s="1495" t="e">
        <f t="shared" si="23"/>
        <v>#DIV/0!</v>
      </c>
      <c r="Z159" s="1495">
        <f t="shared" si="45"/>
        <v>0</v>
      </c>
      <c r="AA159" s="1506">
        <f t="shared" si="46"/>
        <v>0</v>
      </c>
      <c r="AB159" s="1505"/>
      <c r="AC159" s="1504">
        <f t="shared" si="47"/>
        <v>0</v>
      </c>
      <c r="AD159" s="1503">
        <f t="shared" si="48"/>
        <v>0</v>
      </c>
      <c r="AE159" s="1503">
        <f t="shared" si="49"/>
        <v>0</v>
      </c>
      <c r="AF159" s="1502">
        <f t="shared" si="50"/>
        <v>0</v>
      </c>
    </row>
    <row r="160" spans="1:32" s="1474" customFormat="1" ht="23.25" customHeight="1">
      <c r="A160" s="1515">
        <v>95</v>
      </c>
      <c r="B160" s="1513" t="s">
        <v>2957</v>
      </c>
      <c r="C160" s="1514" t="s">
        <v>2954</v>
      </c>
      <c r="D160" s="1514">
        <v>8</v>
      </c>
      <c r="E160" s="1513">
        <v>20000000</v>
      </c>
      <c r="F160" s="1512">
        <f t="shared" si="16"/>
        <v>3600000</v>
      </c>
      <c r="G160" s="2141">
        <v>42417</v>
      </c>
      <c r="H160" s="1511">
        <v>0.18</v>
      </c>
      <c r="I160" s="1508">
        <v>12</v>
      </c>
      <c r="J160" s="1508"/>
      <c r="K160" s="1508">
        <f t="shared" si="39"/>
        <v>1666700</v>
      </c>
      <c r="L160" s="1508">
        <f t="shared" si="40"/>
        <v>300000</v>
      </c>
      <c r="M160" s="1510">
        <f t="shared" si="41"/>
        <v>0</v>
      </c>
      <c r="N160" s="1510">
        <f t="shared" si="42"/>
        <v>0</v>
      </c>
      <c r="O160" s="1509"/>
      <c r="P160" s="1509"/>
      <c r="Q160" s="1509"/>
      <c r="R160" s="1508"/>
      <c r="S160" s="1508"/>
      <c r="T160" s="1507"/>
      <c r="U160" s="1495">
        <f t="shared" si="43"/>
        <v>0</v>
      </c>
      <c r="V160" s="1495">
        <f t="shared" si="44"/>
        <v>0</v>
      </c>
      <c r="W160" s="1495"/>
      <c r="X160" s="1495">
        <f t="shared" si="22"/>
        <v>20000000</v>
      </c>
      <c r="Y160" s="1495" t="e">
        <f t="shared" si="23"/>
        <v>#DIV/0!</v>
      </c>
      <c r="Z160" s="1495">
        <f t="shared" si="45"/>
        <v>0</v>
      </c>
      <c r="AA160" s="1506">
        <f t="shared" si="46"/>
        <v>0</v>
      </c>
      <c r="AB160" s="1505"/>
      <c r="AC160" s="1504">
        <f t="shared" si="47"/>
        <v>0</v>
      </c>
      <c r="AD160" s="1503">
        <f t="shared" si="48"/>
        <v>0</v>
      </c>
      <c r="AE160" s="1503">
        <f t="shared" si="49"/>
        <v>0</v>
      </c>
      <c r="AF160" s="1502">
        <f t="shared" si="50"/>
        <v>0</v>
      </c>
    </row>
    <row r="161" spans="1:32" s="1474" customFormat="1" ht="23.25" customHeight="1">
      <c r="A161" s="1515">
        <v>96</v>
      </c>
      <c r="B161" s="1513" t="s">
        <v>2653</v>
      </c>
      <c r="C161" s="1514" t="s">
        <v>2954</v>
      </c>
      <c r="D161" s="1514">
        <v>8</v>
      </c>
      <c r="E161" s="1513">
        <v>12000000</v>
      </c>
      <c r="F161" s="1512">
        <f t="shared" si="16"/>
        <v>2160000</v>
      </c>
      <c r="G161" s="2141">
        <v>42422</v>
      </c>
      <c r="H161" s="1511">
        <v>0.18</v>
      </c>
      <c r="I161" s="1508">
        <v>12</v>
      </c>
      <c r="J161" s="1508"/>
      <c r="K161" s="1508">
        <f t="shared" si="39"/>
        <v>1000000</v>
      </c>
      <c r="L161" s="1508">
        <f t="shared" si="40"/>
        <v>180000</v>
      </c>
      <c r="M161" s="1510">
        <f t="shared" si="41"/>
        <v>0</v>
      </c>
      <c r="N161" s="1510">
        <f t="shared" si="42"/>
        <v>0</v>
      </c>
      <c r="O161" s="1509"/>
      <c r="P161" s="1509"/>
      <c r="Q161" s="1509"/>
      <c r="R161" s="1508"/>
      <c r="S161" s="1508"/>
      <c r="T161" s="1507"/>
      <c r="U161" s="1495">
        <f t="shared" si="43"/>
        <v>0</v>
      </c>
      <c r="V161" s="1495">
        <f t="shared" si="44"/>
        <v>0</v>
      </c>
      <c r="W161" s="1495"/>
      <c r="X161" s="1495">
        <f t="shared" si="22"/>
        <v>12000000</v>
      </c>
      <c r="Y161" s="1495" t="e">
        <f t="shared" si="23"/>
        <v>#DIV/0!</v>
      </c>
      <c r="Z161" s="1495">
        <f t="shared" si="45"/>
        <v>0</v>
      </c>
      <c r="AA161" s="1506">
        <f t="shared" si="46"/>
        <v>0</v>
      </c>
      <c r="AB161" s="1505"/>
      <c r="AC161" s="1504">
        <f t="shared" si="47"/>
        <v>0</v>
      </c>
      <c r="AD161" s="1503">
        <f t="shared" si="48"/>
        <v>0</v>
      </c>
      <c r="AE161" s="1503">
        <f t="shared" si="49"/>
        <v>0</v>
      </c>
      <c r="AF161" s="1502">
        <f t="shared" si="50"/>
        <v>0</v>
      </c>
    </row>
    <row r="162" spans="1:32" s="1474" customFormat="1" ht="23.25" customHeight="1">
      <c r="A162" s="1515">
        <v>97</v>
      </c>
      <c r="B162" s="1513" t="s">
        <v>2654</v>
      </c>
      <c r="C162" s="1514" t="s">
        <v>2954</v>
      </c>
      <c r="D162" s="1514">
        <v>8</v>
      </c>
      <c r="E162" s="1513">
        <v>12000000</v>
      </c>
      <c r="F162" s="1512">
        <f t="shared" si="16"/>
        <v>2160000</v>
      </c>
      <c r="G162" s="2141">
        <v>42422</v>
      </c>
      <c r="H162" s="1511">
        <v>0.18</v>
      </c>
      <c r="I162" s="1508">
        <v>12</v>
      </c>
      <c r="J162" s="1508"/>
      <c r="K162" s="1508">
        <f t="shared" si="39"/>
        <v>1000000</v>
      </c>
      <c r="L162" s="1508">
        <f t="shared" si="40"/>
        <v>180000</v>
      </c>
      <c r="M162" s="1510">
        <f t="shared" si="41"/>
        <v>0</v>
      </c>
      <c r="N162" s="1510">
        <f t="shared" si="42"/>
        <v>0</v>
      </c>
      <c r="O162" s="1509"/>
      <c r="P162" s="1509"/>
      <c r="Q162" s="1509"/>
      <c r="R162" s="1508"/>
      <c r="S162" s="1508"/>
      <c r="T162" s="1507"/>
      <c r="U162" s="1495">
        <f t="shared" si="43"/>
        <v>0</v>
      </c>
      <c r="V162" s="1495">
        <f t="shared" si="44"/>
        <v>0</v>
      </c>
      <c r="W162" s="1495"/>
      <c r="X162" s="1495">
        <f t="shared" si="22"/>
        <v>12000000</v>
      </c>
      <c r="Y162" s="1495" t="e">
        <f t="shared" si="23"/>
        <v>#DIV/0!</v>
      </c>
      <c r="Z162" s="1495">
        <f t="shared" si="45"/>
        <v>0</v>
      </c>
      <c r="AA162" s="1506">
        <f t="shared" si="46"/>
        <v>0</v>
      </c>
      <c r="AB162" s="1505"/>
      <c r="AC162" s="1504">
        <f t="shared" si="47"/>
        <v>0</v>
      </c>
      <c r="AD162" s="1503">
        <f t="shared" si="48"/>
        <v>0</v>
      </c>
      <c r="AE162" s="1503">
        <f t="shared" si="49"/>
        <v>0</v>
      </c>
      <c r="AF162" s="1502">
        <f t="shared" si="50"/>
        <v>0</v>
      </c>
    </row>
    <row r="163" spans="1:32" s="1474" customFormat="1" ht="23.25" customHeight="1">
      <c r="A163" s="1515"/>
      <c r="B163" s="1513"/>
      <c r="C163" s="1514"/>
      <c r="D163" s="1514"/>
      <c r="E163" s="1513"/>
      <c r="F163" s="1512">
        <f t="shared" si="16"/>
        <v>0</v>
      </c>
      <c r="G163" s="2141"/>
      <c r="H163" s="1511"/>
      <c r="I163" s="1508"/>
      <c r="J163" s="1508"/>
      <c r="K163" s="1508" t="e">
        <f t="shared" si="39"/>
        <v>#DIV/0!</v>
      </c>
      <c r="L163" s="1508" t="e">
        <f t="shared" si="40"/>
        <v>#DIV/0!</v>
      </c>
      <c r="M163" s="1510">
        <f t="shared" si="41"/>
        <v>0</v>
      </c>
      <c r="N163" s="1510">
        <f t="shared" si="42"/>
        <v>0</v>
      </c>
      <c r="O163" s="1509"/>
      <c r="P163" s="1509"/>
      <c r="Q163" s="1509"/>
      <c r="R163" s="1508"/>
      <c r="S163" s="1508"/>
      <c r="T163" s="1507"/>
      <c r="U163" s="1495">
        <f t="shared" si="43"/>
        <v>0</v>
      </c>
      <c r="V163" s="1495">
        <f t="shared" si="44"/>
        <v>0</v>
      </c>
      <c r="W163" s="1495"/>
      <c r="X163" s="1495">
        <f t="shared" si="22"/>
        <v>0</v>
      </c>
      <c r="Y163" s="1495" t="e">
        <f t="shared" si="23"/>
        <v>#DIV/0!</v>
      </c>
      <c r="Z163" s="1495">
        <f t="shared" si="45"/>
        <v>0</v>
      </c>
      <c r="AA163" s="1506">
        <f t="shared" si="46"/>
        <v>0</v>
      </c>
      <c r="AB163" s="1505"/>
      <c r="AC163" s="1504">
        <f t="shared" si="47"/>
        <v>0</v>
      </c>
      <c r="AD163" s="1503">
        <f t="shared" si="48"/>
        <v>0</v>
      </c>
      <c r="AE163" s="1503">
        <f t="shared" si="49"/>
        <v>0</v>
      </c>
      <c r="AF163" s="1502">
        <f t="shared" si="50"/>
        <v>0</v>
      </c>
    </row>
    <row r="164" spans="1:32" s="1474" customFormat="1" ht="23.25" customHeight="1">
      <c r="A164" s="1515"/>
      <c r="B164" s="1513"/>
      <c r="C164" s="1514"/>
      <c r="D164" s="1514"/>
      <c r="E164" s="1513"/>
      <c r="F164" s="1512">
        <f t="shared" si="16"/>
        <v>0</v>
      </c>
      <c r="G164" s="1508"/>
      <c r="H164" s="1511"/>
      <c r="I164" s="1508"/>
      <c r="J164" s="1508"/>
      <c r="K164" s="1508" t="e">
        <f t="shared" si="39"/>
        <v>#DIV/0!</v>
      </c>
      <c r="L164" s="1508" t="e">
        <f t="shared" si="40"/>
        <v>#DIV/0!</v>
      </c>
      <c r="M164" s="1510">
        <f t="shared" si="17"/>
        <v>0</v>
      </c>
      <c r="N164" s="1510">
        <f t="shared" si="18"/>
        <v>0</v>
      </c>
      <c r="O164" s="1509"/>
      <c r="P164" s="1509"/>
      <c r="Q164" s="1509"/>
      <c r="R164" s="1508"/>
      <c r="S164" s="1508"/>
      <c r="T164" s="1507"/>
      <c r="U164" s="1495">
        <f t="shared" si="43"/>
        <v>0</v>
      </c>
      <c r="V164" s="1495">
        <f t="shared" si="44"/>
        <v>0</v>
      </c>
      <c r="W164" s="1495"/>
      <c r="X164" s="1495">
        <f t="shared" si="22"/>
        <v>0</v>
      </c>
      <c r="Y164" s="1495" t="e">
        <f t="shared" si="23"/>
        <v>#DIV/0!</v>
      </c>
      <c r="Z164" s="1495">
        <f t="shared" si="45"/>
        <v>0</v>
      </c>
      <c r="AA164" s="1506">
        <f t="shared" si="46"/>
        <v>0</v>
      </c>
      <c r="AB164" s="1505"/>
      <c r="AC164" s="1504">
        <f t="shared" si="47"/>
        <v>0</v>
      </c>
      <c r="AD164" s="1503">
        <f t="shared" si="48"/>
        <v>0</v>
      </c>
      <c r="AE164" s="1503">
        <f t="shared" si="49"/>
        <v>0</v>
      </c>
      <c r="AF164" s="1502">
        <f t="shared" si="50"/>
        <v>0</v>
      </c>
    </row>
    <row r="165" spans="1:32" s="1474" customFormat="1" ht="23.25" customHeight="1" thickBot="1">
      <c r="A165" s="1501"/>
      <c r="B165" s="1496"/>
      <c r="C165" s="1499"/>
      <c r="D165" s="1499"/>
      <c r="E165" s="1496"/>
      <c r="F165" s="1512">
        <f t="shared" si="16"/>
        <v>0</v>
      </c>
      <c r="G165" s="1499"/>
      <c r="H165" s="1500"/>
      <c r="I165" s="1499"/>
      <c r="J165" s="1499"/>
      <c r="K165" s="1499"/>
      <c r="L165" s="1499"/>
      <c r="M165" s="1510">
        <f t="shared" si="17"/>
        <v>0</v>
      </c>
      <c r="N165" s="1510">
        <f t="shared" si="18"/>
        <v>0</v>
      </c>
      <c r="O165" s="1497"/>
      <c r="P165" s="1497"/>
      <c r="Q165" s="1497"/>
      <c r="R165" s="1496"/>
      <c r="S165" s="1496"/>
      <c r="T165" s="1496"/>
      <c r="U165" s="1495">
        <f t="shared" si="19"/>
        <v>0</v>
      </c>
      <c r="V165" s="1495">
        <f t="shared" si="20"/>
        <v>0</v>
      </c>
      <c r="W165" s="1495"/>
      <c r="X165" s="1495">
        <f t="shared" si="22"/>
        <v>0</v>
      </c>
      <c r="Y165" s="1495" t="e">
        <f t="shared" si="23"/>
        <v>#DIV/0!</v>
      </c>
      <c r="Z165" s="1495">
        <f t="shared" si="24"/>
        <v>0</v>
      </c>
      <c r="AA165" s="1506">
        <f t="shared" si="25"/>
        <v>0</v>
      </c>
      <c r="AB165" s="1492"/>
      <c r="AC165" s="1504">
        <f t="shared" si="26"/>
        <v>0</v>
      </c>
      <c r="AD165" s="1503">
        <f t="shared" si="27"/>
        <v>0</v>
      </c>
      <c r="AE165" s="1503">
        <f t="shared" si="28"/>
        <v>0</v>
      </c>
      <c r="AF165" s="1502">
        <f t="shared" si="29"/>
        <v>0</v>
      </c>
    </row>
    <row r="166" spans="1:32" s="1474" customFormat="1" ht="11.25" customHeight="1" thickTop="1" thickBot="1">
      <c r="A166" s="1488"/>
      <c r="B166" s="1486"/>
      <c r="C166" s="1487"/>
      <c r="D166" s="1487"/>
      <c r="E166" s="1486"/>
      <c r="F166" s="1486"/>
      <c r="G166" s="1486"/>
      <c r="H166" s="1486"/>
      <c r="I166" s="1486"/>
      <c r="J166" s="1486"/>
      <c r="K166" s="1486"/>
      <c r="L166" s="1486"/>
      <c r="M166" s="1486"/>
      <c r="N166" s="1486"/>
      <c r="O166" s="1486"/>
      <c r="P166" s="1486"/>
      <c r="Q166" s="1486"/>
      <c r="R166" s="1486"/>
      <c r="S166" s="1486"/>
      <c r="T166" s="1486"/>
      <c r="U166" s="1486"/>
      <c r="V166" s="1486"/>
      <c r="W166" s="1486"/>
      <c r="X166" s="1486"/>
      <c r="Y166" s="1486"/>
      <c r="Z166" s="1486"/>
      <c r="AA166" s="1485"/>
      <c r="AB166" s="1484"/>
      <c r="AC166" s="1483"/>
      <c r="AD166" s="1483"/>
      <c r="AE166" s="1483"/>
      <c r="AF166" s="1482"/>
    </row>
    <row r="167" spans="1:32" s="1474" customFormat="1" ht="33" customHeight="1" thickTop="1" thickBot="1">
      <c r="A167" s="3410" t="s">
        <v>934</v>
      </c>
      <c r="B167" s="3410"/>
      <c r="C167" s="3410"/>
      <c r="D167" s="1480">
        <f>SUM(D66:D165)</f>
        <v>662</v>
      </c>
      <c r="E167" s="1480">
        <f>SUM(E66:E165)</f>
        <v>2069600000</v>
      </c>
      <c r="F167" s="1480">
        <f>SUM(F66:F165)</f>
        <v>372528000</v>
      </c>
      <c r="G167" s="1481"/>
      <c r="H167" s="1481"/>
      <c r="I167" s="1481"/>
      <c r="J167" s="1481"/>
      <c r="K167" s="1481"/>
      <c r="L167" s="1481"/>
      <c r="M167" s="1480">
        <f t="shared" ref="M167:X167" si="51">SUM(M66:M165)</f>
        <v>1694866100</v>
      </c>
      <c r="N167" s="1480">
        <f t="shared" si="51"/>
        <v>292198500</v>
      </c>
      <c r="O167" s="1480">
        <f t="shared" si="51"/>
        <v>1624462100</v>
      </c>
      <c r="P167" s="1480">
        <f t="shared" si="51"/>
        <v>279831000</v>
      </c>
      <c r="Q167" s="1480">
        <f t="shared" si="51"/>
        <v>0</v>
      </c>
      <c r="R167" s="1480">
        <f t="shared" si="51"/>
        <v>39040600</v>
      </c>
      <c r="S167" s="1480">
        <f t="shared" si="51"/>
        <v>6787500</v>
      </c>
      <c r="T167" s="1480">
        <f t="shared" si="51"/>
        <v>0</v>
      </c>
      <c r="U167" s="1480">
        <f t="shared" si="51"/>
        <v>1663502700</v>
      </c>
      <c r="V167" s="1480">
        <f t="shared" si="51"/>
        <v>286618500</v>
      </c>
      <c r="W167" s="1480">
        <f t="shared" si="51"/>
        <v>0</v>
      </c>
      <c r="X167" s="1480">
        <f t="shared" si="51"/>
        <v>406097300</v>
      </c>
      <c r="Y167" s="1480">
        <f>SUM(U167/M167)*100</f>
        <v>98.149505733815786</v>
      </c>
      <c r="Z167" s="1480">
        <f>SUM(Z66:Z165)</f>
        <v>31363400</v>
      </c>
      <c r="AA167" s="1479">
        <f>SUM(AA66:AA165)</f>
        <v>5580000</v>
      </c>
      <c r="AB167" s="1478"/>
      <c r="AC167" s="1477">
        <f>SUM(AC66:AC165)</f>
        <v>0</v>
      </c>
      <c r="AD167" s="1476">
        <f>SUM(AD66:AD165)</f>
        <v>0</v>
      </c>
      <c r="AE167" s="1476">
        <f>SUM(AE66:AE165)</f>
        <v>0</v>
      </c>
      <c r="AF167" s="1475">
        <f>SUM(AF66:AF165)</f>
        <v>15030100</v>
      </c>
    </row>
    <row r="168" spans="1:32" s="1461" customFormat="1" ht="17.25" thickTop="1" thickBot="1">
      <c r="A168" s="3410" t="s">
        <v>1464</v>
      </c>
      <c r="B168" s="3410"/>
      <c r="C168" s="3410"/>
      <c r="D168" s="1473">
        <f>COUNT(D66:D165)</f>
        <v>63</v>
      </c>
      <c r="G168" s="1462"/>
      <c r="H168" s="1462"/>
      <c r="I168" s="1462"/>
      <c r="J168" s="1462"/>
      <c r="K168" s="1472"/>
      <c r="L168" s="1472"/>
      <c r="AB168" s="1462"/>
    </row>
    <row r="169" spans="1:32" s="1461" customFormat="1" ht="18.75" thickTop="1">
      <c r="A169" s="1465"/>
      <c r="B169" s="1465"/>
      <c r="C169" s="1466"/>
      <c r="D169" s="1466"/>
      <c r="E169" s="3410" t="s">
        <v>1463</v>
      </c>
      <c r="F169" s="3410"/>
      <c r="G169" s="3410"/>
      <c r="H169" s="3410"/>
      <c r="I169" s="3410"/>
      <c r="J169" s="3410"/>
      <c r="K169" s="3410"/>
      <c r="L169" s="3410"/>
      <c r="M169" s="3410"/>
      <c r="N169" s="3410"/>
      <c r="O169" s="1467"/>
      <c r="P169" s="1467"/>
      <c r="Q169" s="1467"/>
      <c r="R169" s="1467"/>
      <c r="S169" s="1467"/>
      <c r="T169" s="1467"/>
      <c r="U169" s="1471"/>
      <c r="V169" s="3410" t="s">
        <v>1462</v>
      </c>
      <c r="W169" s="3410"/>
      <c r="X169" s="3410"/>
      <c r="Y169" s="3410"/>
      <c r="Z169" s="1465"/>
      <c r="AA169" s="1465"/>
      <c r="AB169" s="1462"/>
    </row>
    <row r="170" spans="1:32" s="1461" customFormat="1" ht="57" customHeight="1">
      <c r="A170" s="1468"/>
      <c r="B170" s="1468"/>
      <c r="C170" s="1470"/>
      <c r="D170" s="1470"/>
      <c r="E170" s="1468"/>
      <c r="F170" s="1468"/>
      <c r="G170" s="1470"/>
      <c r="H170" s="1470"/>
      <c r="I170" s="1470"/>
      <c r="J170" s="1470"/>
      <c r="K170" s="1469"/>
      <c r="L170" s="1469"/>
      <c r="M170" s="1468"/>
      <c r="N170" s="1468"/>
      <c r="O170" s="1468"/>
      <c r="P170" s="1468"/>
      <c r="Q170" s="1468"/>
      <c r="R170" s="1468"/>
      <c r="S170" s="1468"/>
      <c r="T170" s="1468"/>
      <c r="U170" s="1468"/>
      <c r="V170" s="1468"/>
      <c r="W170" s="1468"/>
      <c r="X170" s="1468"/>
      <c r="Y170" s="1468"/>
      <c r="Z170" s="1468"/>
      <c r="AA170" s="1468"/>
      <c r="AB170" s="1462"/>
    </row>
    <row r="171" spans="1:32" s="1461" customFormat="1" ht="18">
      <c r="A171" s="1465"/>
      <c r="B171" s="1465"/>
      <c r="C171" s="1466"/>
      <c r="D171" s="1466"/>
      <c r="E171" s="3410" t="str">
        <f>E52</f>
        <v>Endang Taryana</v>
      </c>
      <c r="F171" s="3410"/>
      <c r="G171" s="3410"/>
      <c r="H171" s="3410"/>
      <c r="I171" s="3410"/>
      <c r="J171" s="3410"/>
      <c r="K171" s="3410"/>
      <c r="L171" s="3410"/>
      <c r="M171" s="3410"/>
      <c r="N171" s="3410"/>
      <c r="O171" s="1467" t="s">
        <v>1461</v>
      </c>
      <c r="P171" s="3410"/>
      <c r="Q171" s="3410"/>
      <c r="R171" s="3410"/>
      <c r="S171" s="1465"/>
      <c r="T171" s="1465"/>
      <c r="U171" s="1465"/>
      <c r="V171" s="3410" t="str">
        <f>V52</f>
        <v>Arin Yustini, SE</v>
      </c>
      <c r="W171" s="3410"/>
      <c r="X171" s="3410"/>
      <c r="Y171" s="3410"/>
      <c r="Z171" s="1465"/>
      <c r="AA171" s="1465"/>
      <c r="AB171" s="1462"/>
    </row>
    <row r="172" spans="1:32" ht="18">
      <c r="A172" s="1465"/>
      <c r="B172" s="1465"/>
      <c r="C172" s="1466"/>
      <c r="D172" s="1466"/>
      <c r="E172" s="3410" t="s">
        <v>23</v>
      </c>
      <c r="F172" s="3410"/>
      <c r="G172" s="3410"/>
      <c r="H172" s="3410"/>
      <c r="I172" s="3410"/>
      <c r="J172" s="3410"/>
      <c r="K172" s="3410"/>
      <c r="L172" s="3410"/>
      <c r="M172" s="3410"/>
      <c r="N172" s="3410"/>
      <c r="O172" s="1465"/>
      <c r="P172" s="3410"/>
      <c r="Q172" s="3410"/>
      <c r="R172" s="3410"/>
      <c r="S172" s="1465"/>
      <c r="T172" s="1465"/>
      <c r="U172" s="1465"/>
      <c r="V172" s="3410" t="s">
        <v>24</v>
      </c>
      <c r="W172" s="3410"/>
      <c r="X172" s="3410"/>
      <c r="Y172" s="3410"/>
      <c r="Z172" s="1465"/>
      <c r="AA172" s="1465"/>
      <c r="AE172" s="1461"/>
      <c r="AF172" s="1461"/>
    </row>
  </sheetData>
  <protectedRanges>
    <protectedRange sqref="W13:W46 W66:W165" name="Range1_1"/>
  </protectedRanges>
  <mergeCells count="74">
    <mergeCell ref="E172:N172"/>
    <mergeCell ref="K63:L63"/>
    <mergeCell ref="E63:F63"/>
    <mergeCell ref="G63:G64"/>
    <mergeCell ref="E171:N171"/>
    <mergeCell ref="E169:N169"/>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69:Y169"/>
    <mergeCell ref="U63:W63"/>
    <mergeCell ref="E52:N52"/>
    <mergeCell ref="A55:AA55"/>
    <mergeCell ref="E53:N53"/>
    <mergeCell ref="P53:R53"/>
    <mergeCell ref="R63:T63"/>
    <mergeCell ref="A168:C168"/>
    <mergeCell ref="A59:C59"/>
    <mergeCell ref="A60:C60"/>
    <mergeCell ref="A61:C61"/>
    <mergeCell ref="H63:H65"/>
    <mergeCell ref="V172:Y172"/>
    <mergeCell ref="Z63:AA63"/>
    <mergeCell ref="P52:R52"/>
    <mergeCell ref="V52:Y52"/>
    <mergeCell ref="V171:Y171"/>
    <mergeCell ref="P171:R171"/>
    <mergeCell ref="P172:R172"/>
    <mergeCell ref="V53:Y53"/>
    <mergeCell ref="A54:AA54"/>
    <mergeCell ref="A167:C167"/>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ageMargins left="0.15748031496062992" right="0.15748031496062992" top="0.56999999999999995" bottom="1.05" header="0.51181102362204722" footer="1.04"/>
  <pageSetup paperSize="5" scale="39" orientation="landscape" horizontalDpi="4294967293" verticalDpi="4294967293" r:id="rId1"/>
  <headerFooter alignWithMargins="0"/>
  <drawing r:id="rId2"/>
  <legacyDrawing r:id="rId3"/>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258"/>
  <sheetViews>
    <sheetView topLeftCell="A10" zoomScale="64" zoomScaleNormal="64" workbookViewId="0">
      <pane xSplit="4" ySplit="3" topLeftCell="E247" activePane="bottomRight" state="frozen"/>
      <selection activeCell="A10" sqref="A10"/>
      <selection pane="topRight" activeCell="E10" sqref="E10"/>
      <selection pane="bottomLeft" activeCell="A13" sqref="A13"/>
      <selection pane="bottomRight" activeCell="A224" sqref="A224:XFD224"/>
    </sheetView>
  </sheetViews>
  <sheetFormatPr defaultColWidth="9.140625" defaultRowHeight="15.75"/>
  <cols>
    <col min="1" max="1" width="9.85546875" style="1460" customWidth="1"/>
    <col min="2" max="2" width="20.85546875" style="1460" customWidth="1"/>
    <col min="3" max="3" width="12.85546875" style="1464" customWidth="1"/>
    <col min="4" max="4" width="9.4257812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2925"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525" t="s">
        <v>0</v>
      </c>
      <c r="B1" s="3525"/>
      <c r="C1" s="3525"/>
      <c r="D1" s="3525"/>
      <c r="E1" s="3525"/>
      <c r="F1" s="3525"/>
      <c r="G1" s="3525"/>
      <c r="H1" s="3525"/>
      <c r="I1" s="3525"/>
      <c r="J1" s="3525"/>
      <c r="K1" s="3525"/>
      <c r="L1" s="3525"/>
      <c r="M1" s="3525"/>
      <c r="N1" s="3525"/>
      <c r="O1" s="3525"/>
      <c r="P1" s="3525"/>
      <c r="Q1" s="3525"/>
      <c r="R1" s="3525"/>
      <c r="S1" s="3525"/>
      <c r="T1" s="3525"/>
      <c r="U1" s="3525"/>
      <c r="V1" s="3525"/>
      <c r="W1" s="3525"/>
      <c r="X1" s="3525"/>
      <c r="Y1" s="3525"/>
      <c r="Z1" s="3525"/>
      <c r="AA1" s="3525"/>
      <c r="AB1" s="2922"/>
      <c r="AC1" s="1560"/>
      <c r="AD1" s="1560"/>
      <c r="AE1" s="1560"/>
      <c r="AF1" s="1560"/>
    </row>
    <row r="2" spans="1:32" s="1559" customFormat="1" ht="24.75" customHeight="1">
      <c r="A2" s="3525" t="str">
        <f>'LPP-SPP'!A2:W2</f>
        <v>LAPORAN PERKEMBANGAN PINJAMAN  SPP</v>
      </c>
      <c r="B2" s="3525"/>
      <c r="C2" s="3525"/>
      <c r="D2" s="3525"/>
      <c r="E2" s="3525"/>
      <c r="F2" s="3525"/>
      <c r="G2" s="3525"/>
      <c r="H2" s="3525"/>
      <c r="I2" s="3525"/>
      <c r="J2" s="3525"/>
      <c r="K2" s="3525"/>
      <c r="L2" s="3525"/>
      <c r="M2" s="3525"/>
      <c r="N2" s="3525"/>
      <c r="O2" s="3525"/>
      <c r="P2" s="3525"/>
      <c r="Q2" s="3525"/>
      <c r="R2" s="3525"/>
      <c r="S2" s="3525"/>
      <c r="T2" s="3525"/>
      <c r="U2" s="3525"/>
      <c r="V2" s="3525"/>
      <c r="W2" s="3525"/>
      <c r="X2" s="3525"/>
      <c r="Y2" s="3525"/>
      <c r="Z2" s="3525"/>
      <c r="AA2" s="3525"/>
      <c r="AB2" s="2922"/>
      <c r="AC2" s="1560"/>
      <c r="AD2" s="1560"/>
      <c r="AE2" s="1560"/>
      <c r="AF2" s="1560"/>
    </row>
    <row r="3" spans="1:32" s="1559" customFormat="1" ht="26.25">
      <c r="A3" s="3525" t="s">
        <v>1506</v>
      </c>
      <c r="B3" s="3525"/>
      <c r="C3" s="3525"/>
      <c r="D3" s="3525"/>
      <c r="E3" s="3525"/>
      <c r="F3" s="3525"/>
      <c r="G3" s="3525"/>
      <c r="H3" s="3525"/>
      <c r="I3" s="3525"/>
      <c r="J3" s="3525"/>
      <c r="K3" s="3525"/>
      <c r="L3" s="3525"/>
      <c r="M3" s="3525"/>
      <c r="N3" s="3525"/>
      <c r="O3" s="3525"/>
      <c r="P3" s="3525"/>
      <c r="Q3" s="3525"/>
      <c r="R3" s="3525"/>
      <c r="S3" s="3525"/>
      <c r="T3" s="3525"/>
      <c r="U3" s="3525"/>
      <c r="V3" s="3525"/>
      <c r="W3" s="3525"/>
      <c r="X3" s="3525"/>
      <c r="Y3" s="3525"/>
      <c r="Z3" s="3525"/>
      <c r="AA3" s="3525"/>
      <c r="AB3" s="2923"/>
      <c r="AC3" s="1560"/>
      <c r="AD3" s="1560"/>
      <c r="AE3" s="1560"/>
      <c r="AF3" s="1560"/>
    </row>
    <row r="4" spans="1:32" s="1542" customFormat="1" ht="24.75" customHeight="1">
      <c r="A4" s="3525" t="str">
        <f>'LPP-SPP'!A4</f>
        <v>Per - Februari 2016 2016</v>
      </c>
      <c r="B4" s="3525"/>
      <c r="C4" s="3525"/>
      <c r="D4" s="3525"/>
      <c r="E4" s="3525"/>
      <c r="F4" s="3525"/>
      <c r="G4" s="3525"/>
      <c r="H4" s="3525"/>
      <c r="I4" s="3525"/>
      <c r="J4" s="3525"/>
      <c r="K4" s="3525"/>
      <c r="L4" s="3525"/>
      <c r="M4" s="3525"/>
      <c r="N4" s="3525"/>
      <c r="O4" s="3525"/>
      <c r="P4" s="3525"/>
      <c r="Q4" s="3525"/>
      <c r="R4" s="3525"/>
      <c r="S4" s="3525"/>
      <c r="T4" s="3525"/>
      <c r="U4" s="3525"/>
      <c r="V4" s="3525"/>
      <c r="W4" s="3525"/>
      <c r="X4" s="3525"/>
      <c r="Y4" s="3525"/>
      <c r="Z4" s="3525"/>
      <c r="AA4" s="3525"/>
      <c r="AB4" s="2922"/>
      <c r="AC4" s="1555"/>
      <c r="AD4" s="1555"/>
      <c r="AE4" s="1555"/>
      <c r="AF4" s="1555"/>
    </row>
    <row r="5" spans="1:32" s="1542" customFormat="1" ht="24.75" customHeight="1">
      <c r="A5" s="3410" t="s">
        <v>1503</v>
      </c>
      <c r="B5" s="3410"/>
      <c r="C5" s="3410"/>
      <c r="D5" s="1553"/>
      <c r="E5" s="1558" t="str">
        <f>":  "&amp;DT!I11</f>
        <v>:  CISARUA</v>
      </c>
      <c r="F5" s="1556"/>
      <c r="G5" s="1556"/>
      <c r="H5" s="1556"/>
      <c r="I5" s="1556"/>
      <c r="J5" s="1556"/>
      <c r="K5" s="1557"/>
      <c r="L5" s="1557"/>
      <c r="M5" s="1556"/>
      <c r="N5" s="1556"/>
      <c r="O5" s="1556"/>
      <c r="P5" s="1556"/>
      <c r="Q5" s="1556"/>
      <c r="R5" s="1556"/>
      <c r="S5" s="1556"/>
      <c r="T5" s="1556"/>
      <c r="U5" s="1556"/>
      <c r="V5" s="1556"/>
      <c r="W5" s="1556"/>
      <c r="X5" s="1556"/>
      <c r="Y5" s="1556"/>
      <c r="Z5" s="1556"/>
      <c r="AA5" s="1556"/>
      <c r="AB5" s="2922"/>
      <c r="AC5" s="1555"/>
      <c r="AD5" s="1555"/>
      <c r="AE5" s="1555"/>
      <c r="AF5" s="1555"/>
    </row>
    <row r="6" spans="1:32" s="1547" customFormat="1" ht="18.75" customHeight="1">
      <c r="A6" s="3410" t="s">
        <v>1502</v>
      </c>
      <c r="B6" s="3410"/>
      <c r="C6" s="3410"/>
      <c r="D6" s="1553"/>
      <c r="E6" s="1552" t="str">
        <f>'LPP-SPP'!F6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2924"/>
      <c r="AC6" s="1548"/>
      <c r="AD6" s="1548"/>
    </row>
    <row r="7" spans="1:32" s="1547" customFormat="1" ht="18.75" customHeight="1">
      <c r="A7" s="3410" t="s">
        <v>1501</v>
      </c>
      <c r="B7" s="3410"/>
      <c r="C7" s="3410"/>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2924"/>
      <c r="AC7" s="1548"/>
      <c r="AD7" s="1548"/>
    </row>
    <row r="8" spans="1:32" s="1547" customFormat="1" ht="18.75" customHeight="1">
      <c r="A8" s="3410" t="s">
        <v>1500</v>
      </c>
      <c r="B8" s="3410"/>
      <c r="C8" s="3410"/>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2924"/>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2925"/>
      <c r="AC9" s="1543"/>
      <c r="AD9" s="1543"/>
    </row>
    <row r="10" spans="1:32" ht="65.25" customHeight="1" thickTop="1">
      <c r="A10" s="3413" t="s">
        <v>36</v>
      </c>
      <c r="B10" s="3413" t="s">
        <v>1499</v>
      </c>
      <c r="C10" s="3413"/>
      <c r="D10" s="3413" t="s">
        <v>1498</v>
      </c>
      <c r="E10" s="3413" t="s">
        <v>1497</v>
      </c>
      <c r="F10" s="3413"/>
      <c r="G10" s="3413" t="s">
        <v>1496</v>
      </c>
      <c r="H10" s="3413" t="s">
        <v>1495</v>
      </c>
      <c r="I10" s="3413" t="s">
        <v>1494</v>
      </c>
      <c r="J10" s="3413" t="s">
        <v>1493</v>
      </c>
      <c r="K10" s="3413" t="s">
        <v>1492</v>
      </c>
      <c r="L10" s="3413"/>
      <c r="M10" s="3413" t="s">
        <v>1491</v>
      </c>
      <c r="N10" s="3413"/>
      <c r="O10" s="3413" t="s">
        <v>1490</v>
      </c>
      <c r="P10" s="3413"/>
      <c r="Q10" s="3413"/>
      <c r="R10" s="3413" t="s">
        <v>1489</v>
      </c>
      <c r="S10" s="3413"/>
      <c r="T10" s="3413"/>
      <c r="U10" s="3413" t="s">
        <v>1488</v>
      </c>
      <c r="V10" s="3413"/>
      <c r="W10" s="3413"/>
      <c r="X10" s="3413" t="s">
        <v>1487</v>
      </c>
      <c r="Y10" s="3413" t="s">
        <v>1486</v>
      </c>
      <c r="Z10" s="3413" t="s">
        <v>1485</v>
      </c>
      <c r="AA10" s="3413"/>
      <c r="AB10" s="3762" t="s">
        <v>1484</v>
      </c>
      <c r="AC10" s="1541" t="s">
        <v>1483</v>
      </c>
      <c r="AD10" s="1540" t="s">
        <v>1482</v>
      </c>
      <c r="AE10" s="1540" t="s">
        <v>1481</v>
      </c>
      <c r="AF10" s="1539" t="s">
        <v>1480</v>
      </c>
    </row>
    <row r="11" spans="1:32" ht="31.5" customHeight="1">
      <c r="A11" s="3413"/>
      <c r="B11" s="1536" t="s">
        <v>1479</v>
      </c>
      <c r="C11" s="1536" t="s">
        <v>1478</v>
      </c>
      <c r="D11" s="3413"/>
      <c r="E11" s="1537" t="s">
        <v>16</v>
      </c>
      <c r="F11" s="1537" t="s">
        <v>1476</v>
      </c>
      <c r="G11" s="3413"/>
      <c r="H11" s="3413"/>
      <c r="I11" s="3413"/>
      <c r="J11" s="3413"/>
      <c r="K11" s="3413" t="s">
        <v>16</v>
      </c>
      <c r="L11" s="3413" t="s">
        <v>1476</v>
      </c>
      <c r="M11" s="1537" t="s">
        <v>16</v>
      </c>
      <c r="N11" s="1537" t="s">
        <v>1476</v>
      </c>
      <c r="O11" s="1537" t="s">
        <v>16</v>
      </c>
      <c r="P11" s="1537" t="s">
        <v>1476</v>
      </c>
      <c r="Q11" s="1537" t="s">
        <v>1477</v>
      </c>
      <c r="R11" s="1537" t="s">
        <v>16</v>
      </c>
      <c r="S11" s="1537" t="s">
        <v>1476</v>
      </c>
      <c r="T11" s="1537" t="s">
        <v>1477</v>
      </c>
      <c r="U11" s="1537" t="s">
        <v>16</v>
      </c>
      <c r="V11" s="1537" t="s">
        <v>1476</v>
      </c>
      <c r="W11" s="1537" t="s">
        <v>1477</v>
      </c>
      <c r="X11" s="3413"/>
      <c r="Y11" s="3413"/>
      <c r="Z11" s="1537" t="s">
        <v>16</v>
      </c>
      <c r="AA11" s="2168" t="s">
        <v>1476</v>
      </c>
      <c r="AB11" s="3762"/>
      <c r="AC11" s="1531" t="s">
        <v>1475</v>
      </c>
      <c r="AD11" s="1530" t="s">
        <v>1474</v>
      </c>
      <c r="AE11" s="1530" t="s">
        <v>1473</v>
      </c>
      <c r="AF11" s="1529" t="s">
        <v>1472</v>
      </c>
    </row>
    <row r="12" spans="1:32" s="1528" customFormat="1" ht="14.25" customHeight="1" thickBot="1">
      <c r="A12" s="2168">
        <v>1</v>
      </c>
      <c r="B12" s="2168">
        <v>2</v>
      </c>
      <c r="C12" s="2168">
        <v>3</v>
      </c>
      <c r="D12" s="3413"/>
      <c r="E12" s="2168">
        <v>4</v>
      </c>
      <c r="F12" s="2168">
        <v>5</v>
      </c>
      <c r="G12" s="2168">
        <v>6</v>
      </c>
      <c r="H12" s="3413"/>
      <c r="I12" s="3413"/>
      <c r="J12" s="3413"/>
      <c r="K12" s="3413"/>
      <c r="L12" s="3413"/>
      <c r="M12" s="2168">
        <v>7</v>
      </c>
      <c r="N12" s="2168">
        <v>8</v>
      </c>
      <c r="O12" s="2168">
        <v>9</v>
      </c>
      <c r="P12" s="2168">
        <v>10</v>
      </c>
      <c r="Q12" s="2168">
        <v>11</v>
      </c>
      <c r="R12" s="2168">
        <v>12</v>
      </c>
      <c r="S12" s="2168">
        <v>13</v>
      </c>
      <c r="T12" s="2168">
        <v>14</v>
      </c>
      <c r="U12" s="2168" t="s">
        <v>1471</v>
      </c>
      <c r="V12" s="2168" t="s">
        <v>1470</v>
      </c>
      <c r="W12" s="2168" t="s">
        <v>1469</v>
      </c>
      <c r="X12" s="2168" t="s">
        <v>1468</v>
      </c>
      <c r="Y12" s="2168" t="s">
        <v>1467</v>
      </c>
      <c r="Z12" s="2168" t="s">
        <v>1466</v>
      </c>
      <c r="AA12" s="2168" t="s">
        <v>1465</v>
      </c>
      <c r="AB12" s="2926">
        <v>22</v>
      </c>
      <c r="AC12" s="1518">
        <v>23</v>
      </c>
      <c r="AD12" s="1517">
        <v>24</v>
      </c>
      <c r="AE12" s="1517">
        <v>25</v>
      </c>
      <c r="AF12" s="1516">
        <v>26</v>
      </c>
    </row>
    <row r="13" spans="1:32" s="1474" customFormat="1" ht="23.25" customHeight="1" thickTop="1">
      <c r="A13" s="1515">
        <v>1</v>
      </c>
      <c r="B13" s="1513" t="s">
        <v>2096</v>
      </c>
      <c r="C13" s="1514" t="s">
        <v>1916</v>
      </c>
      <c r="D13" s="1514"/>
      <c r="E13" s="1513">
        <v>6750000</v>
      </c>
      <c r="F13" s="1512">
        <f t="shared" ref="F13:F46" si="0">E13*H13</f>
        <v>1215000</v>
      </c>
      <c r="G13" s="2141">
        <v>39776</v>
      </c>
      <c r="H13" s="1511">
        <v>0.18</v>
      </c>
      <c r="I13" s="1508">
        <v>12</v>
      </c>
      <c r="J13" s="1569">
        <v>12</v>
      </c>
      <c r="K13" s="1508">
        <v>562500</v>
      </c>
      <c r="L13" s="1508">
        <v>101250</v>
      </c>
      <c r="M13" s="1567">
        <f t="shared" ref="M13:M46" si="1">IF(J13&lt;I13,J13*K13,IF(J13&gt;=I13,E13))</f>
        <v>6750000</v>
      </c>
      <c r="N13" s="1510">
        <f t="shared" ref="N13:N46" si="2">IF(J13&lt;I13,J13*L13,IF(J13&gt;=I13,F13))</f>
        <v>1215000</v>
      </c>
      <c r="O13" s="1509">
        <v>6750000</v>
      </c>
      <c r="P13" s="1509">
        <v>1215000</v>
      </c>
      <c r="Q13" s="1509"/>
      <c r="R13" s="1508"/>
      <c r="S13" s="1508"/>
      <c r="T13" s="1507"/>
      <c r="U13" s="1495">
        <f t="shared" ref="U13:U46" si="3">SUM(O13+R13)</f>
        <v>6750000</v>
      </c>
      <c r="V13" s="1495">
        <f t="shared" ref="V13:V46" si="4">SUM(P13+S13)</f>
        <v>1215000</v>
      </c>
      <c r="W13" s="1495">
        <f t="shared" ref="W13:W46" si="5">SUM(Q13+T13)</f>
        <v>0</v>
      </c>
      <c r="X13" s="1495">
        <f t="shared" ref="X13:X46" si="6">SUM(E13-U13)</f>
        <v>0</v>
      </c>
      <c r="Y13" s="1495">
        <f t="shared" ref="Y13:Y46" si="7">SUM(U13/M13)*100</f>
        <v>100</v>
      </c>
      <c r="Z13" s="1495">
        <f t="shared" ref="Z13:Z46" si="8">SUM(M13-U13)</f>
        <v>0</v>
      </c>
      <c r="AA13" s="1506">
        <f t="shared" ref="AA13:AA46" si="9">SUM(N13-V13)</f>
        <v>0</v>
      </c>
      <c r="AB13" s="2927"/>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f>A13+1</f>
        <v>2</v>
      </c>
      <c r="B14" s="1513" t="s">
        <v>2097</v>
      </c>
      <c r="C14" s="1514" t="s">
        <v>1916</v>
      </c>
      <c r="D14" s="1514"/>
      <c r="E14" s="1513">
        <v>250000</v>
      </c>
      <c r="F14" s="1512">
        <f t="shared" si="0"/>
        <v>45000</v>
      </c>
      <c r="G14" s="2141">
        <v>39953</v>
      </c>
      <c r="H14" s="1511">
        <v>0.18</v>
      </c>
      <c r="I14" s="1508">
        <v>12</v>
      </c>
      <c r="J14" s="1508">
        <v>12</v>
      </c>
      <c r="K14" s="1508">
        <v>20800</v>
      </c>
      <c r="L14" s="1508">
        <v>3750</v>
      </c>
      <c r="M14" s="1510">
        <f t="shared" si="1"/>
        <v>250000</v>
      </c>
      <c r="N14" s="1510">
        <f t="shared" si="2"/>
        <v>45000</v>
      </c>
      <c r="O14" s="1509">
        <v>250000</v>
      </c>
      <c r="P14" s="1509">
        <v>45000</v>
      </c>
      <c r="Q14" s="1509"/>
      <c r="R14" s="1508"/>
      <c r="S14" s="1508"/>
      <c r="T14" s="1507"/>
      <c r="U14" s="1495">
        <f t="shared" si="3"/>
        <v>250000</v>
      </c>
      <c r="V14" s="1495">
        <f t="shared" si="4"/>
        <v>45000</v>
      </c>
      <c r="W14" s="1495">
        <f t="shared" si="5"/>
        <v>0</v>
      </c>
      <c r="X14" s="1495">
        <f t="shared" si="6"/>
        <v>0</v>
      </c>
      <c r="Y14" s="1495">
        <f t="shared" si="7"/>
        <v>100</v>
      </c>
      <c r="Z14" s="1495">
        <f t="shared" si="8"/>
        <v>0</v>
      </c>
      <c r="AA14" s="1506">
        <f t="shared" si="9"/>
        <v>0</v>
      </c>
      <c r="AB14" s="2927"/>
      <c r="AC14" s="1504">
        <f t="shared" si="10"/>
        <v>0</v>
      </c>
      <c r="AD14" s="1503">
        <f t="shared" si="11"/>
        <v>0</v>
      </c>
      <c r="AE14" s="1503">
        <f t="shared" si="12"/>
        <v>0</v>
      </c>
      <c r="AF14" s="1502">
        <f t="shared" si="13"/>
        <v>0</v>
      </c>
    </row>
    <row r="15" spans="1:32" s="1474" customFormat="1" ht="23.25" customHeight="1">
      <c r="A15" s="1515">
        <f t="shared" ref="A15:A32" si="14">A14+1</f>
        <v>3</v>
      </c>
      <c r="B15" s="1513" t="s">
        <v>2053</v>
      </c>
      <c r="C15" s="1514" t="s">
        <v>1919</v>
      </c>
      <c r="D15" s="1514"/>
      <c r="E15" s="1513">
        <v>10000000</v>
      </c>
      <c r="F15" s="1512">
        <f t="shared" si="0"/>
        <v>1800000</v>
      </c>
      <c r="G15" s="2141">
        <v>40129</v>
      </c>
      <c r="H15" s="1511">
        <v>0.18</v>
      </c>
      <c r="I15" s="1508">
        <v>12</v>
      </c>
      <c r="J15" s="1508">
        <v>12</v>
      </c>
      <c r="K15" s="1508">
        <v>833300</v>
      </c>
      <c r="L15" s="1508">
        <v>150000</v>
      </c>
      <c r="M15" s="1510">
        <f t="shared" si="1"/>
        <v>10000000</v>
      </c>
      <c r="N15" s="1510">
        <f t="shared" si="2"/>
        <v>1800000</v>
      </c>
      <c r="O15" s="1509">
        <v>10000000</v>
      </c>
      <c r="P15" s="1509">
        <v>1800000</v>
      </c>
      <c r="Q15" s="1509"/>
      <c r="R15" s="1508"/>
      <c r="S15" s="1508"/>
      <c r="T15" s="1507"/>
      <c r="U15" s="1495">
        <f t="shared" si="3"/>
        <v>10000000</v>
      </c>
      <c r="V15" s="1495">
        <f t="shared" si="4"/>
        <v>1800000</v>
      </c>
      <c r="W15" s="1495">
        <f t="shared" si="5"/>
        <v>0</v>
      </c>
      <c r="X15" s="1495">
        <f t="shared" si="6"/>
        <v>0</v>
      </c>
      <c r="Y15" s="1495">
        <f t="shared" si="7"/>
        <v>100</v>
      </c>
      <c r="Z15" s="1495">
        <f t="shared" si="8"/>
        <v>0</v>
      </c>
      <c r="AA15" s="1506">
        <f t="shared" si="9"/>
        <v>0</v>
      </c>
      <c r="AB15" s="2927"/>
      <c r="AC15" s="1504">
        <f t="shared" si="10"/>
        <v>0</v>
      </c>
      <c r="AD15" s="1503">
        <f t="shared" si="11"/>
        <v>0</v>
      </c>
      <c r="AE15" s="1503">
        <f t="shared" si="12"/>
        <v>0</v>
      </c>
      <c r="AF15" s="1502">
        <f t="shared" si="13"/>
        <v>0</v>
      </c>
    </row>
    <row r="16" spans="1:32" s="1474" customFormat="1" ht="23.25" customHeight="1">
      <c r="A16" s="1515">
        <f t="shared" si="14"/>
        <v>4</v>
      </c>
      <c r="B16" s="1513" t="s">
        <v>2055</v>
      </c>
      <c r="C16" s="1514" t="s">
        <v>1919</v>
      </c>
      <c r="D16" s="1514"/>
      <c r="E16" s="1513">
        <v>10000000</v>
      </c>
      <c r="F16" s="1512">
        <f t="shared" si="0"/>
        <v>1800000</v>
      </c>
      <c r="G16" s="2141">
        <v>40129</v>
      </c>
      <c r="H16" s="1511">
        <v>0.18</v>
      </c>
      <c r="I16" s="1508">
        <v>12</v>
      </c>
      <c r="J16" s="1508">
        <v>12</v>
      </c>
      <c r="K16" s="1508">
        <v>833300</v>
      </c>
      <c r="L16" s="1508">
        <v>150000</v>
      </c>
      <c r="M16" s="1510">
        <f t="shared" si="1"/>
        <v>10000000</v>
      </c>
      <c r="N16" s="1510">
        <f t="shared" si="2"/>
        <v>1800000</v>
      </c>
      <c r="O16" s="1509">
        <v>10000000</v>
      </c>
      <c r="P16" s="1509">
        <v>1800000</v>
      </c>
      <c r="Q16" s="1509"/>
      <c r="R16" s="1508"/>
      <c r="S16" s="1508"/>
      <c r="T16" s="1507"/>
      <c r="U16" s="1495">
        <f t="shared" si="3"/>
        <v>10000000</v>
      </c>
      <c r="V16" s="1495">
        <f t="shared" si="4"/>
        <v>1800000</v>
      </c>
      <c r="W16" s="1495">
        <f t="shared" si="5"/>
        <v>0</v>
      </c>
      <c r="X16" s="1495">
        <f t="shared" si="6"/>
        <v>0</v>
      </c>
      <c r="Y16" s="1495">
        <f t="shared" si="7"/>
        <v>100</v>
      </c>
      <c r="Z16" s="1495">
        <f t="shared" si="8"/>
        <v>0</v>
      </c>
      <c r="AA16" s="1506">
        <f t="shared" si="9"/>
        <v>0</v>
      </c>
      <c r="AB16" s="2927"/>
      <c r="AC16" s="1504">
        <f t="shared" si="10"/>
        <v>0</v>
      </c>
      <c r="AD16" s="1503">
        <f t="shared" si="11"/>
        <v>0</v>
      </c>
      <c r="AE16" s="1503">
        <f t="shared" si="12"/>
        <v>0</v>
      </c>
      <c r="AF16" s="1502">
        <f t="shared" si="13"/>
        <v>0</v>
      </c>
    </row>
    <row r="17" spans="1:32" s="1474" customFormat="1" ht="23.25" customHeight="1">
      <c r="A17" s="1515">
        <f t="shared" si="14"/>
        <v>5</v>
      </c>
      <c r="B17" s="1513" t="s">
        <v>2098</v>
      </c>
      <c r="C17" s="1514" t="s">
        <v>1919</v>
      </c>
      <c r="D17" s="1514"/>
      <c r="E17" s="1513">
        <v>12000000</v>
      </c>
      <c r="F17" s="1512">
        <f t="shared" si="0"/>
        <v>2160000</v>
      </c>
      <c r="G17" s="2141">
        <v>40129</v>
      </c>
      <c r="H17" s="1511">
        <v>0.18</v>
      </c>
      <c r="I17" s="1508">
        <v>12</v>
      </c>
      <c r="J17" s="1508">
        <v>12</v>
      </c>
      <c r="K17" s="1508">
        <v>1000000</v>
      </c>
      <c r="L17" s="1508">
        <v>180000</v>
      </c>
      <c r="M17" s="1510">
        <f t="shared" si="1"/>
        <v>12000000</v>
      </c>
      <c r="N17" s="1510">
        <f t="shared" si="2"/>
        <v>2160000</v>
      </c>
      <c r="O17" s="1509">
        <v>12000000</v>
      </c>
      <c r="P17" s="1509">
        <v>2160000</v>
      </c>
      <c r="Q17" s="1509"/>
      <c r="R17" s="1508"/>
      <c r="S17" s="1508"/>
      <c r="T17" s="1507"/>
      <c r="U17" s="1495">
        <f t="shared" si="3"/>
        <v>12000000</v>
      </c>
      <c r="V17" s="1495">
        <f t="shared" si="4"/>
        <v>2160000</v>
      </c>
      <c r="W17" s="1495">
        <f t="shared" si="5"/>
        <v>0</v>
      </c>
      <c r="X17" s="1495">
        <f t="shared" si="6"/>
        <v>0</v>
      </c>
      <c r="Y17" s="1495">
        <f t="shared" si="7"/>
        <v>100</v>
      </c>
      <c r="Z17" s="1495">
        <f t="shared" si="8"/>
        <v>0</v>
      </c>
      <c r="AA17" s="1506">
        <f t="shared" si="9"/>
        <v>0</v>
      </c>
      <c r="AB17" s="2927"/>
      <c r="AC17" s="1504">
        <f t="shared" si="10"/>
        <v>0</v>
      </c>
      <c r="AD17" s="1503">
        <f t="shared" si="11"/>
        <v>0</v>
      </c>
      <c r="AE17" s="1503">
        <f t="shared" si="12"/>
        <v>0</v>
      </c>
      <c r="AF17" s="1502">
        <f t="shared" si="13"/>
        <v>0</v>
      </c>
    </row>
    <row r="18" spans="1:32" s="1474" customFormat="1" ht="23.25" customHeight="1">
      <c r="A18" s="1515">
        <f t="shared" si="14"/>
        <v>6</v>
      </c>
      <c r="B18" s="1513" t="s">
        <v>2099</v>
      </c>
      <c r="C18" s="1514" t="s">
        <v>1919</v>
      </c>
      <c r="D18" s="1514"/>
      <c r="E18" s="1513">
        <v>8000000</v>
      </c>
      <c r="F18" s="1512">
        <f t="shared" si="0"/>
        <v>1440000</v>
      </c>
      <c r="G18" s="2141">
        <v>40129</v>
      </c>
      <c r="H18" s="1511">
        <v>0.18</v>
      </c>
      <c r="I18" s="1508">
        <v>12</v>
      </c>
      <c r="J18" s="1508">
        <v>12</v>
      </c>
      <c r="K18" s="1508">
        <v>666700</v>
      </c>
      <c r="L18" s="1508">
        <v>120000</v>
      </c>
      <c r="M18" s="1510">
        <f t="shared" si="1"/>
        <v>8000000</v>
      </c>
      <c r="N18" s="1510">
        <f t="shared" si="2"/>
        <v>1440000</v>
      </c>
      <c r="O18" s="1509">
        <v>8000000</v>
      </c>
      <c r="P18" s="1509">
        <v>1440000</v>
      </c>
      <c r="Q18" s="1509"/>
      <c r="R18" s="1508"/>
      <c r="S18" s="1508"/>
      <c r="T18" s="1507"/>
      <c r="U18" s="1495">
        <f t="shared" si="3"/>
        <v>8000000</v>
      </c>
      <c r="V18" s="1495">
        <f t="shared" si="4"/>
        <v>1440000</v>
      </c>
      <c r="W18" s="1495">
        <f t="shared" si="5"/>
        <v>0</v>
      </c>
      <c r="X18" s="1495">
        <f t="shared" si="6"/>
        <v>0</v>
      </c>
      <c r="Y18" s="1495">
        <f t="shared" si="7"/>
        <v>100</v>
      </c>
      <c r="Z18" s="1495">
        <f t="shared" si="8"/>
        <v>0</v>
      </c>
      <c r="AA18" s="1506">
        <f t="shared" si="9"/>
        <v>0</v>
      </c>
      <c r="AB18" s="2927"/>
      <c r="AC18" s="1504">
        <f t="shared" si="10"/>
        <v>0</v>
      </c>
      <c r="AD18" s="1503">
        <f t="shared" si="11"/>
        <v>0</v>
      </c>
      <c r="AE18" s="1503">
        <f t="shared" si="12"/>
        <v>0</v>
      </c>
      <c r="AF18" s="1502">
        <f t="shared" si="13"/>
        <v>0</v>
      </c>
    </row>
    <row r="19" spans="1:32" s="1474" customFormat="1" ht="23.25" customHeight="1">
      <c r="A19" s="1515">
        <f t="shared" si="14"/>
        <v>7</v>
      </c>
      <c r="B19" s="1513" t="s">
        <v>2100</v>
      </c>
      <c r="C19" s="1514" t="s">
        <v>1919</v>
      </c>
      <c r="D19" s="1514"/>
      <c r="E19" s="1513">
        <v>10000000</v>
      </c>
      <c r="F19" s="1512">
        <f t="shared" si="0"/>
        <v>1800000</v>
      </c>
      <c r="G19" s="2141">
        <v>40129</v>
      </c>
      <c r="H19" s="1511">
        <v>0.18</v>
      </c>
      <c r="I19" s="1508">
        <v>12</v>
      </c>
      <c r="J19" s="1508">
        <v>12</v>
      </c>
      <c r="K19" s="1508">
        <v>833300</v>
      </c>
      <c r="L19" s="1508">
        <v>150000</v>
      </c>
      <c r="M19" s="1510">
        <f t="shared" si="1"/>
        <v>10000000</v>
      </c>
      <c r="N19" s="1510">
        <f t="shared" si="2"/>
        <v>1800000</v>
      </c>
      <c r="O19" s="2171">
        <v>10000000</v>
      </c>
      <c r="P19" s="2171">
        <v>1800000</v>
      </c>
      <c r="Q19" s="1509"/>
      <c r="R19" s="1508"/>
      <c r="S19" s="1508"/>
      <c r="T19" s="1507"/>
      <c r="U19" s="1495">
        <f t="shared" si="3"/>
        <v>10000000</v>
      </c>
      <c r="V19" s="1495">
        <f t="shared" si="4"/>
        <v>1800000</v>
      </c>
      <c r="W19" s="1495">
        <f t="shared" si="5"/>
        <v>0</v>
      </c>
      <c r="X19" s="1495">
        <f t="shared" si="6"/>
        <v>0</v>
      </c>
      <c r="Y19" s="1495">
        <f t="shared" si="7"/>
        <v>100</v>
      </c>
      <c r="Z19" s="1495">
        <f t="shared" si="8"/>
        <v>0</v>
      </c>
      <c r="AA19" s="1506">
        <f t="shared" si="9"/>
        <v>0</v>
      </c>
      <c r="AB19" s="2927"/>
      <c r="AC19" s="1504">
        <f t="shared" si="10"/>
        <v>0</v>
      </c>
      <c r="AD19" s="1503">
        <f t="shared" si="11"/>
        <v>0</v>
      </c>
      <c r="AE19" s="1503">
        <f t="shared" si="12"/>
        <v>0</v>
      </c>
      <c r="AF19" s="1502">
        <f t="shared" si="13"/>
        <v>0</v>
      </c>
    </row>
    <row r="20" spans="1:32" s="1474" customFormat="1" ht="23.25" customHeight="1">
      <c r="A20" s="1515">
        <f t="shared" si="14"/>
        <v>8</v>
      </c>
      <c r="B20" s="1513" t="s">
        <v>2101</v>
      </c>
      <c r="C20" s="1514" t="s">
        <v>1919</v>
      </c>
      <c r="D20" s="1514"/>
      <c r="E20" s="1513">
        <v>8000000</v>
      </c>
      <c r="F20" s="1512">
        <f t="shared" si="0"/>
        <v>1440000</v>
      </c>
      <c r="G20" s="2141">
        <v>40129</v>
      </c>
      <c r="H20" s="1511">
        <v>0.18</v>
      </c>
      <c r="I20" s="1508">
        <v>12</v>
      </c>
      <c r="J20" s="1508">
        <v>12</v>
      </c>
      <c r="K20" s="1508">
        <v>666700</v>
      </c>
      <c r="L20" s="1508">
        <v>120000</v>
      </c>
      <c r="M20" s="1510">
        <f t="shared" si="1"/>
        <v>8000000</v>
      </c>
      <c r="N20" s="1510">
        <f t="shared" si="2"/>
        <v>1440000</v>
      </c>
      <c r="O20" s="2171">
        <v>8000000</v>
      </c>
      <c r="P20" s="2171">
        <v>1440000</v>
      </c>
      <c r="Q20" s="1509"/>
      <c r="R20" s="1508"/>
      <c r="S20" s="1508"/>
      <c r="T20" s="1507"/>
      <c r="U20" s="1495">
        <f t="shared" si="3"/>
        <v>8000000</v>
      </c>
      <c r="V20" s="1495">
        <f t="shared" si="4"/>
        <v>1440000</v>
      </c>
      <c r="W20" s="1495">
        <f t="shared" si="5"/>
        <v>0</v>
      </c>
      <c r="X20" s="1495">
        <f t="shared" si="6"/>
        <v>0</v>
      </c>
      <c r="Y20" s="1495">
        <f t="shared" si="7"/>
        <v>100</v>
      </c>
      <c r="Z20" s="1495">
        <f t="shared" si="8"/>
        <v>0</v>
      </c>
      <c r="AA20" s="1506">
        <f t="shared" si="9"/>
        <v>0</v>
      </c>
      <c r="AB20" s="2927"/>
      <c r="AC20" s="1504">
        <f t="shared" si="10"/>
        <v>0</v>
      </c>
      <c r="AD20" s="1503">
        <f t="shared" si="11"/>
        <v>0</v>
      </c>
      <c r="AE20" s="1503">
        <f t="shared" si="12"/>
        <v>0</v>
      </c>
      <c r="AF20" s="1502">
        <f t="shared" si="13"/>
        <v>0</v>
      </c>
    </row>
    <row r="21" spans="1:32" s="1474" customFormat="1" ht="23.25" customHeight="1">
      <c r="A21" s="1515">
        <f t="shared" si="14"/>
        <v>9</v>
      </c>
      <c r="B21" s="1513" t="s">
        <v>2102</v>
      </c>
      <c r="C21" s="1514" t="s">
        <v>1919</v>
      </c>
      <c r="D21" s="1514"/>
      <c r="E21" s="1513">
        <v>8000000</v>
      </c>
      <c r="F21" s="1512">
        <f t="shared" si="0"/>
        <v>1440000</v>
      </c>
      <c r="G21" s="2141">
        <v>40129</v>
      </c>
      <c r="H21" s="1511">
        <v>0.18</v>
      </c>
      <c r="I21" s="1508">
        <v>12</v>
      </c>
      <c r="J21" s="1508">
        <v>12</v>
      </c>
      <c r="K21" s="1508">
        <v>666700</v>
      </c>
      <c r="L21" s="1508">
        <v>120000</v>
      </c>
      <c r="M21" s="1510">
        <f t="shared" si="1"/>
        <v>8000000</v>
      </c>
      <c r="N21" s="1510">
        <f t="shared" si="2"/>
        <v>1440000</v>
      </c>
      <c r="O21" s="2171">
        <v>8000000</v>
      </c>
      <c r="P21" s="2171">
        <v>1440000</v>
      </c>
      <c r="Q21" s="1509"/>
      <c r="R21" s="1508"/>
      <c r="S21" s="1508"/>
      <c r="T21" s="1507"/>
      <c r="U21" s="1495">
        <f t="shared" si="3"/>
        <v>8000000</v>
      </c>
      <c r="V21" s="1495">
        <f t="shared" si="4"/>
        <v>1440000</v>
      </c>
      <c r="W21" s="1495">
        <f t="shared" si="5"/>
        <v>0</v>
      </c>
      <c r="X21" s="1495">
        <f t="shared" si="6"/>
        <v>0</v>
      </c>
      <c r="Y21" s="1495">
        <f t="shared" si="7"/>
        <v>100</v>
      </c>
      <c r="Z21" s="1495">
        <f t="shared" si="8"/>
        <v>0</v>
      </c>
      <c r="AA21" s="1506">
        <f t="shared" si="9"/>
        <v>0</v>
      </c>
      <c r="AB21" s="2927"/>
      <c r="AC21" s="1504">
        <f t="shared" si="10"/>
        <v>0</v>
      </c>
      <c r="AD21" s="1503">
        <f t="shared" si="11"/>
        <v>0</v>
      </c>
      <c r="AE21" s="1503">
        <f t="shared" si="12"/>
        <v>0</v>
      </c>
      <c r="AF21" s="1502">
        <f t="shared" si="13"/>
        <v>0</v>
      </c>
    </row>
    <row r="22" spans="1:32" s="1474" customFormat="1" ht="23.25" customHeight="1">
      <c r="A22" s="1515">
        <f t="shared" si="14"/>
        <v>10</v>
      </c>
      <c r="B22" s="1513" t="s">
        <v>2103</v>
      </c>
      <c r="C22" s="1514" t="s">
        <v>2079</v>
      </c>
      <c r="D22" s="1514"/>
      <c r="E22" s="1513">
        <v>7000000</v>
      </c>
      <c r="F22" s="1512">
        <f t="shared" si="0"/>
        <v>1260000</v>
      </c>
      <c r="G22" s="2141">
        <v>40486</v>
      </c>
      <c r="H22" s="1511">
        <v>0.18</v>
      </c>
      <c r="I22" s="1508">
        <v>12</v>
      </c>
      <c r="J22" s="1508">
        <v>12</v>
      </c>
      <c r="K22" s="1508">
        <v>583300</v>
      </c>
      <c r="L22" s="1508">
        <v>105000</v>
      </c>
      <c r="M22" s="1510">
        <f t="shared" si="1"/>
        <v>7000000</v>
      </c>
      <c r="N22" s="1510">
        <f t="shared" si="2"/>
        <v>1260000</v>
      </c>
      <c r="O22" s="2171">
        <v>7000000</v>
      </c>
      <c r="P22" s="2171">
        <v>1260000</v>
      </c>
      <c r="Q22" s="1509"/>
      <c r="R22" s="1508"/>
      <c r="S22" s="1508"/>
      <c r="T22" s="1507"/>
      <c r="U22" s="1495">
        <f t="shared" si="3"/>
        <v>7000000</v>
      </c>
      <c r="V22" s="1495">
        <f t="shared" si="4"/>
        <v>1260000</v>
      </c>
      <c r="W22" s="1495">
        <f t="shared" si="5"/>
        <v>0</v>
      </c>
      <c r="X22" s="1495">
        <f t="shared" si="6"/>
        <v>0</v>
      </c>
      <c r="Y22" s="1495">
        <f t="shared" si="7"/>
        <v>100</v>
      </c>
      <c r="Z22" s="1495">
        <f t="shared" si="8"/>
        <v>0</v>
      </c>
      <c r="AA22" s="1506">
        <f t="shared" si="9"/>
        <v>0</v>
      </c>
      <c r="AB22" s="2927"/>
      <c r="AC22" s="1504">
        <f t="shared" si="10"/>
        <v>0</v>
      </c>
      <c r="AD22" s="1503">
        <f t="shared" si="11"/>
        <v>0</v>
      </c>
      <c r="AE22" s="1503">
        <f t="shared" si="12"/>
        <v>0</v>
      </c>
      <c r="AF22" s="1502">
        <f t="shared" si="13"/>
        <v>0</v>
      </c>
    </row>
    <row r="23" spans="1:32" s="1474" customFormat="1" ht="23.25" customHeight="1">
      <c r="A23" s="1515">
        <f t="shared" si="14"/>
        <v>11</v>
      </c>
      <c r="B23" s="1513" t="s">
        <v>2104</v>
      </c>
      <c r="C23" s="1514" t="s">
        <v>2079</v>
      </c>
      <c r="D23" s="1514"/>
      <c r="E23" s="1513">
        <v>9000000</v>
      </c>
      <c r="F23" s="1512">
        <f t="shared" si="0"/>
        <v>1620000</v>
      </c>
      <c r="G23" s="2141">
        <v>40486</v>
      </c>
      <c r="H23" s="1511">
        <v>0.18</v>
      </c>
      <c r="I23" s="1508">
        <v>12</v>
      </c>
      <c r="J23" s="1508">
        <v>12</v>
      </c>
      <c r="K23" s="1508">
        <v>750000</v>
      </c>
      <c r="L23" s="1508">
        <v>135000</v>
      </c>
      <c r="M23" s="1510">
        <f t="shared" si="1"/>
        <v>9000000</v>
      </c>
      <c r="N23" s="1510">
        <f t="shared" si="2"/>
        <v>1620000</v>
      </c>
      <c r="O23" s="2171">
        <v>9000000</v>
      </c>
      <c r="P23" s="2171">
        <v>1620000</v>
      </c>
      <c r="Q23" s="1509"/>
      <c r="R23" s="1508"/>
      <c r="S23" s="1508"/>
      <c r="T23" s="1507"/>
      <c r="U23" s="1495">
        <f t="shared" si="3"/>
        <v>9000000</v>
      </c>
      <c r="V23" s="1495">
        <f t="shared" si="4"/>
        <v>1620000</v>
      </c>
      <c r="W23" s="1495">
        <f t="shared" si="5"/>
        <v>0</v>
      </c>
      <c r="X23" s="1495">
        <f t="shared" si="6"/>
        <v>0</v>
      </c>
      <c r="Y23" s="1495">
        <f t="shared" si="7"/>
        <v>100</v>
      </c>
      <c r="Z23" s="1495">
        <f t="shared" si="8"/>
        <v>0</v>
      </c>
      <c r="AA23" s="1506">
        <f t="shared" si="9"/>
        <v>0</v>
      </c>
      <c r="AB23" s="2927"/>
      <c r="AC23" s="1504">
        <f t="shared" si="10"/>
        <v>0</v>
      </c>
      <c r="AD23" s="1503">
        <f t="shared" si="11"/>
        <v>0</v>
      </c>
      <c r="AE23" s="1503">
        <f t="shared" si="12"/>
        <v>0</v>
      </c>
      <c r="AF23" s="1502">
        <f t="shared" si="13"/>
        <v>0</v>
      </c>
    </row>
    <row r="24" spans="1:32" s="1474" customFormat="1" ht="23.25" customHeight="1">
      <c r="A24" s="1515">
        <f t="shared" si="14"/>
        <v>12</v>
      </c>
      <c r="B24" t="s">
        <v>2105</v>
      </c>
      <c r="C24" s="1514" t="s">
        <v>2079</v>
      </c>
      <c r="D24" s="1514"/>
      <c r="E24" s="1513">
        <v>6500000</v>
      </c>
      <c r="F24" s="1512">
        <f t="shared" si="0"/>
        <v>1170000</v>
      </c>
      <c r="G24" s="2141">
        <v>40514</v>
      </c>
      <c r="H24" s="1511">
        <v>0.18</v>
      </c>
      <c r="I24" s="1508">
        <v>12</v>
      </c>
      <c r="J24" s="1508">
        <v>12</v>
      </c>
      <c r="K24" s="1508">
        <v>541700</v>
      </c>
      <c r="L24" s="1508">
        <v>97500</v>
      </c>
      <c r="M24" s="1510">
        <f t="shared" si="1"/>
        <v>6500000</v>
      </c>
      <c r="N24" s="1510">
        <f t="shared" si="2"/>
        <v>1170000</v>
      </c>
      <c r="O24" s="2171">
        <v>6500000</v>
      </c>
      <c r="P24" s="2171">
        <v>1170000</v>
      </c>
      <c r="Q24" s="1509"/>
      <c r="R24" s="1508"/>
      <c r="S24" s="1508"/>
      <c r="T24" s="1507"/>
      <c r="U24" s="1495">
        <f t="shared" si="3"/>
        <v>6500000</v>
      </c>
      <c r="V24" s="1495">
        <f t="shared" si="4"/>
        <v>1170000</v>
      </c>
      <c r="W24" s="1495">
        <f t="shared" si="5"/>
        <v>0</v>
      </c>
      <c r="X24" s="1495">
        <f t="shared" si="6"/>
        <v>0</v>
      </c>
      <c r="Y24" s="1495">
        <f t="shared" si="7"/>
        <v>100</v>
      </c>
      <c r="Z24" s="1495">
        <f t="shared" si="8"/>
        <v>0</v>
      </c>
      <c r="AA24" s="1506">
        <f t="shared" si="9"/>
        <v>0</v>
      </c>
      <c r="AB24" s="2927"/>
      <c r="AC24" s="1504">
        <f t="shared" si="10"/>
        <v>0</v>
      </c>
      <c r="AD24" s="1503">
        <f t="shared" si="11"/>
        <v>0</v>
      </c>
      <c r="AE24" s="1503">
        <f t="shared" si="12"/>
        <v>0</v>
      </c>
      <c r="AF24" s="1502">
        <f t="shared" si="13"/>
        <v>0</v>
      </c>
    </row>
    <row r="25" spans="1:32" s="1474" customFormat="1" ht="23.25" customHeight="1">
      <c r="A25" s="1515">
        <f t="shared" si="14"/>
        <v>13</v>
      </c>
      <c r="B25" s="1513" t="s">
        <v>2106</v>
      </c>
      <c r="C25" s="1514" t="s">
        <v>2079</v>
      </c>
      <c r="D25" s="1514"/>
      <c r="E25" s="1513">
        <v>5000000</v>
      </c>
      <c r="F25" s="1512">
        <f t="shared" si="0"/>
        <v>900000</v>
      </c>
      <c r="G25" s="2141">
        <v>40486</v>
      </c>
      <c r="H25" s="1511">
        <v>0.18</v>
      </c>
      <c r="I25" s="1508">
        <v>12</v>
      </c>
      <c r="J25" s="1508">
        <v>12</v>
      </c>
      <c r="K25" s="1508">
        <v>416700</v>
      </c>
      <c r="L25" s="1508">
        <v>75000</v>
      </c>
      <c r="M25" s="1510">
        <f t="shared" si="1"/>
        <v>5000000</v>
      </c>
      <c r="N25" s="1510">
        <f t="shared" si="2"/>
        <v>900000</v>
      </c>
      <c r="O25" s="2171">
        <v>5000000</v>
      </c>
      <c r="P25" s="2171">
        <v>900000</v>
      </c>
      <c r="Q25" s="1509"/>
      <c r="R25" s="1508"/>
      <c r="S25" s="1508"/>
      <c r="T25" s="1507"/>
      <c r="U25" s="1495">
        <f t="shared" si="3"/>
        <v>5000000</v>
      </c>
      <c r="V25" s="1495">
        <f t="shared" si="4"/>
        <v>900000</v>
      </c>
      <c r="W25" s="1495">
        <f t="shared" si="5"/>
        <v>0</v>
      </c>
      <c r="X25" s="1495">
        <f t="shared" si="6"/>
        <v>0</v>
      </c>
      <c r="Y25" s="1495">
        <f t="shared" si="7"/>
        <v>100</v>
      </c>
      <c r="Z25" s="1495">
        <f t="shared" si="8"/>
        <v>0</v>
      </c>
      <c r="AA25" s="1506">
        <f t="shared" si="9"/>
        <v>0</v>
      </c>
      <c r="AB25" s="2927"/>
      <c r="AC25" s="1504">
        <f t="shared" si="10"/>
        <v>0</v>
      </c>
      <c r="AD25" s="1503">
        <f t="shared" si="11"/>
        <v>0</v>
      </c>
      <c r="AE25" s="1503">
        <f t="shared" si="12"/>
        <v>0</v>
      </c>
      <c r="AF25" s="1502">
        <f t="shared" si="13"/>
        <v>0</v>
      </c>
    </row>
    <row r="26" spans="1:32" s="1474" customFormat="1" ht="23.25" customHeight="1">
      <c r="A26" s="1515">
        <f t="shared" si="14"/>
        <v>14</v>
      </c>
      <c r="B26" s="1513" t="s">
        <v>2107</v>
      </c>
      <c r="C26" s="1514" t="s">
        <v>2042</v>
      </c>
      <c r="D26" s="1514"/>
      <c r="E26" s="1513">
        <v>5600000</v>
      </c>
      <c r="F26" s="1512">
        <f t="shared" si="0"/>
        <v>1008000</v>
      </c>
      <c r="G26" s="2141">
        <v>40513</v>
      </c>
      <c r="H26" s="1511">
        <v>0.18</v>
      </c>
      <c r="I26" s="1508">
        <v>12</v>
      </c>
      <c r="J26" s="1508">
        <v>12</v>
      </c>
      <c r="K26" s="1508">
        <v>466700</v>
      </c>
      <c r="L26" s="1508">
        <v>84000</v>
      </c>
      <c r="M26" s="1510">
        <f t="shared" si="1"/>
        <v>5600000</v>
      </c>
      <c r="N26" s="1510">
        <f t="shared" si="2"/>
        <v>1008000</v>
      </c>
      <c r="O26" s="2171">
        <v>5600000</v>
      </c>
      <c r="P26" s="2171">
        <v>1008000</v>
      </c>
      <c r="Q26" s="1509"/>
      <c r="R26" s="1508"/>
      <c r="S26" s="1508"/>
      <c r="T26" s="1507"/>
      <c r="U26" s="1495">
        <f t="shared" si="3"/>
        <v>5600000</v>
      </c>
      <c r="V26" s="1495">
        <f t="shared" si="4"/>
        <v>1008000</v>
      </c>
      <c r="W26" s="1495">
        <f t="shared" si="5"/>
        <v>0</v>
      </c>
      <c r="X26" s="1495">
        <f t="shared" si="6"/>
        <v>0</v>
      </c>
      <c r="Y26" s="1495">
        <f t="shared" si="7"/>
        <v>100</v>
      </c>
      <c r="Z26" s="1495">
        <f t="shared" si="8"/>
        <v>0</v>
      </c>
      <c r="AA26" s="1506">
        <f t="shared" si="9"/>
        <v>0</v>
      </c>
      <c r="AB26" s="2927"/>
      <c r="AC26" s="1504">
        <f t="shared" si="10"/>
        <v>0</v>
      </c>
      <c r="AD26" s="1503">
        <f t="shared" si="11"/>
        <v>0</v>
      </c>
      <c r="AE26" s="1503">
        <f t="shared" si="12"/>
        <v>0</v>
      </c>
      <c r="AF26" s="1502">
        <f t="shared" si="13"/>
        <v>0</v>
      </c>
    </row>
    <row r="27" spans="1:32" s="1474" customFormat="1" ht="23.25" customHeight="1">
      <c r="A27" s="1515">
        <f t="shared" si="14"/>
        <v>15</v>
      </c>
      <c r="B27" s="1513" t="s">
        <v>2108</v>
      </c>
      <c r="C27" s="1514" t="s">
        <v>2042</v>
      </c>
      <c r="D27" s="1514"/>
      <c r="E27" s="1513">
        <v>7000000</v>
      </c>
      <c r="F27" s="1512">
        <f t="shared" si="0"/>
        <v>1260000</v>
      </c>
      <c r="G27" s="2141">
        <v>40513</v>
      </c>
      <c r="H27" s="1511">
        <v>0.18</v>
      </c>
      <c r="I27" s="1508">
        <v>12</v>
      </c>
      <c r="J27" s="1508">
        <v>12</v>
      </c>
      <c r="K27" s="1508">
        <v>583300</v>
      </c>
      <c r="L27" s="1508">
        <v>105000</v>
      </c>
      <c r="M27" s="1510">
        <f t="shared" si="1"/>
        <v>7000000</v>
      </c>
      <c r="N27" s="1510">
        <f t="shared" si="2"/>
        <v>1260000</v>
      </c>
      <c r="O27" s="2171">
        <v>7000000</v>
      </c>
      <c r="P27" s="2171">
        <v>1260000</v>
      </c>
      <c r="Q27" s="1509"/>
      <c r="R27" s="1508"/>
      <c r="S27" s="1508"/>
      <c r="T27" s="1507"/>
      <c r="U27" s="1495">
        <f t="shared" si="3"/>
        <v>7000000</v>
      </c>
      <c r="V27" s="1495">
        <f t="shared" si="4"/>
        <v>1260000</v>
      </c>
      <c r="W27" s="1495">
        <f t="shared" si="5"/>
        <v>0</v>
      </c>
      <c r="X27" s="1495">
        <f t="shared" si="6"/>
        <v>0</v>
      </c>
      <c r="Y27" s="1495">
        <f t="shared" si="7"/>
        <v>100</v>
      </c>
      <c r="Z27" s="1495">
        <f t="shared" si="8"/>
        <v>0</v>
      </c>
      <c r="AA27" s="1506">
        <f t="shared" si="9"/>
        <v>0</v>
      </c>
      <c r="AB27" s="2927"/>
      <c r="AC27" s="1504">
        <f t="shared" si="10"/>
        <v>0</v>
      </c>
      <c r="AD27" s="1503">
        <f t="shared" si="11"/>
        <v>0</v>
      </c>
      <c r="AE27" s="1503">
        <f t="shared" si="12"/>
        <v>0</v>
      </c>
      <c r="AF27" s="1502">
        <f t="shared" si="13"/>
        <v>0</v>
      </c>
    </row>
    <row r="28" spans="1:32" s="1474" customFormat="1" ht="23.25" customHeight="1">
      <c r="A28" s="1515">
        <f t="shared" si="14"/>
        <v>16</v>
      </c>
      <c r="B28" s="1513" t="s">
        <v>2109</v>
      </c>
      <c r="C28" s="1514" t="s">
        <v>2042</v>
      </c>
      <c r="D28" s="1514"/>
      <c r="E28" s="1513">
        <v>5600000</v>
      </c>
      <c r="F28" s="1512">
        <f t="shared" si="0"/>
        <v>1008000</v>
      </c>
      <c r="G28" s="2141">
        <v>40513</v>
      </c>
      <c r="H28" s="1511">
        <v>0.18</v>
      </c>
      <c r="I28" s="1508">
        <v>12</v>
      </c>
      <c r="J28" s="1508">
        <v>12</v>
      </c>
      <c r="K28" s="1508">
        <v>466700</v>
      </c>
      <c r="L28" s="1508">
        <v>84000</v>
      </c>
      <c r="M28" s="1510">
        <f t="shared" si="1"/>
        <v>5600000</v>
      </c>
      <c r="N28" s="1510">
        <f t="shared" si="2"/>
        <v>1008000</v>
      </c>
      <c r="O28" s="2171">
        <v>5600000</v>
      </c>
      <c r="P28" s="2171">
        <v>1008000</v>
      </c>
      <c r="Q28" s="1509"/>
      <c r="R28" s="1508"/>
      <c r="S28" s="1508"/>
      <c r="T28" s="1507"/>
      <c r="U28" s="1495">
        <f t="shared" si="3"/>
        <v>5600000</v>
      </c>
      <c r="V28" s="1495">
        <f t="shared" si="4"/>
        <v>1008000</v>
      </c>
      <c r="W28" s="1495">
        <f t="shared" si="5"/>
        <v>0</v>
      </c>
      <c r="X28" s="1495">
        <f t="shared" si="6"/>
        <v>0</v>
      </c>
      <c r="Y28" s="1495">
        <f t="shared" si="7"/>
        <v>100</v>
      </c>
      <c r="Z28" s="1495">
        <f t="shared" si="8"/>
        <v>0</v>
      </c>
      <c r="AA28" s="1506">
        <f t="shared" si="9"/>
        <v>0</v>
      </c>
      <c r="AB28" s="2927"/>
      <c r="AC28" s="1504">
        <f t="shared" si="10"/>
        <v>0</v>
      </c>
      <c r="AD28" s="1503">
        <f t="shared" si="11"/>
        <v>0</v>
      </c>
      <c r="AE28" s="1503">
        <f t="shared" si="12"/>
        <v>0</v>
      </c>
      <c r="AF28" s="1502">
        <f t="shared" si="13"/>
        <v>0</v>
      </c>
    </row>
    <row r="29" spans="1:32" s="1474" customFormat="1" ht="23.25" customHeight="1">
      <c r="A29" s="1515">
        <f t="shared" si="14"/>
        <v>17</v>
      </c>
      <c r="B29" s="1513" t="s">
        <v>2110</v>
      </c>
      <c r="C29" s="1514" t="s">
        <v>2042</v>
      </c>
      <c r="D29" s="1514"/>
      <c r="E29" s="1513">
        <v>4900000</v>
      </c>
      <c r="F29" s="1512">
        <f t="shared" si="0"/>
        <v>882000</v>
      </c>
      <c r="G29" s="2141">
        <v>40513</v>
      </c>
      <c r="H29" s="1511">
        <v>0.18</v>
      </c>
      <c r="I29" s="1508">
        <v>12</v>
      </c>
      <c r="J29" s="1508">
        <v>12</v>
      </c>
      <c r="K29" s="1508">
        <v>408300</v>
      </c>
      <c r="L29" s="1508">
        <v>73500</v>
      </c>
      <c r="M29" s="1510">
        <f t="shared" si="1"/>
        <v>4900000</v>
      </c>
      <c r="N29" s="1510">
        <f t="shared" si="2"/>
        <v>882000</v>
      </c>
      <c r="O29" s="2171">
        <v>4900000</v>
      </c>
      <c r="P29" s="2171">
        <v>882000</v>
      </c>
      <c r="Q29" s="1509"/>
      <c r="R29" s="1508"/>
      <c r="S29" s="1508"/>
      <c r="T29" s="1507"/>
      <c r="U29" s="1495">
        <f t="shared" si="3"/>
        <v>4900000</v>
      </c>
      <c r="V29" s="1495">
        <f t="shared" si="4"/>
        <v>882000</v>
      </c>
      <c r="W29" s="1495">
        <f t="shared" si="5"/>
        <v>0</v>
      </c>
      <c r="X29" s="1495">
        <f t="shared" si="6"/>
        <v>0</v>
      </c>
      <c r="Y29" s="1495">
        <f t="shared" si="7"/>
        <v>100</v>
      </c>
      <c r="Z29" s="1495">
        <f t="shared" si="8"/>
        <v>0</v>
      </c>
      <c r="AA29" s="1506">
        <f t="shared" si="9"/>
        <v>0</v>
      </c>
      <c r="AB29" s="2927"/>
      <c r="AC29" s="1504">
        <f t="shared" si="10"/>
        <v>0</v>
      </c>
      <c r="AD29" s="1503">
        <f t="shared" si="11"/>
        <v>0</v>
      </c>
      <c r="AE29" s="1503">
        <f t="shared" si="12"/>
        <v>0</v>
      </c>
      <c r="AF29" s="1502">
        <f t="shared" si="13"/>
        <v>0</v>
      </c>
    </row>
    <row r="30" spans="1:32" s="1474" customFormat="1" ht="23.25" customHeight="1">
      <c r="A30" s="1515">
        <f t="shared" si="14"/>
        <v>18</v>
      </c>
      <c r="B30" s="1513" t="s">
        <v>1957</v>
      </c>
      <c r="C30" s="1514" t="s">
        <v>2042</v>
      </c>
      <c r="D30" s="1514"/>
      <c r="E30" s="1513">
        <v>6400000</v>
      </c>
      <c r="F30" s="1512">
        <f t="shared" si="0"/>
        <v>1152000</v>
      </c>
      <c r="G30" s="2141">
        <v>40486</v>
      </c>
      <c r="H30" s="1511">
        <v>0.18</v>
      </c>
      <c r="I30" s="1508">
        <v>12</v>
      </c>
      <c r="J30" s="1508">
        <v>12</v>
      </c>
      <c r="K30" s="1508">
        <v>533300</v>
      </c>
      <c r="L30" s="1508">
        <v>96000</v>
      </c>
      <c r="M30" s="1510">
        <f t="shared" si="1"/>
        <v>6400000</v>
      </c>
      <c r="N30" s="1510">
        <f t="shared" si="2"/>
        <v>1152000</v>
      </c>
      <c r="O30" s="2171">
        <v>6400000</v>
      </c>
      <c r="P30" s="2171">
        <v>1152000</v>
      </c>
      <c r="Q30" s="1509"/>
      <c r="R30" s="1508"/>
      <c r="S30" s="1508"/>
      <c r="T30" s="1507"/>
      <c r="U30" s="1495">
        <f t="shared" si="3"/>
        <v>6400000</v>
      </c>
      <c r="V30" s="1495">
        <f t="shared" si="4"/>
        <v>1152000</v>
      </c>
      <c r="W30" s="1495">
        <f t="shared" si="5"/>
        <v>0</v>
      </c>
      <c r="X30" s="1495">
        <f t="shared" si="6"/>
        <v>0</v>
      </c>
      <c r="Y30" s="1495">
        <f t="shared" si="7"/>
        <v>100</v>
      </c>
      <c r="Z30" s="1495">
        <f t="shared" si="8"/>
        <v>0</v>
      </c>
      <c r="AA30" s="1506">
        <f t="shared" si="9"/>
        <v>0</v>
      </c>
      <c r="AB30" s="2927"/>
      <c r="AC30" s="1504">
        <f t="shared" si="10"/>
        <v>0</v>
      </c>
      <c r="AD30" s="1503">
        <f t="shared" si="11"/>
        <v>0</v>
      </c>
      <c r="AE30" s="1503">
        <f t="shared" si="12"/>
        <v>0</v>
      </c>
      <c r="AF30" s="1502">
        <f t="shared" si="13"/>
        <v>0</v>
      </c>
    </row>
    <row r="31" spans="1:32" s="1474" customFormat="1" ht="23.25" customHeight="1">
      <c r="A31" s="1515">
        <f t="shared" si="14"/>
        <v>19</v>
      </c>
      <c r="B31" s="1513" t="s">
        <v>2111</v>
      </c>
      <c r="C31" s="1514" t="s">
        <v>2042</v>
      </c>
      <c r="D31" s="1514"/>
      <c r="E31" s="1513">
        <v>10000000</v>
      </c>
      <c r="F31" s="1512">
        <f t="shared" si="0"/>
        <v>1800000</v>
      </c>
      <c r="G31" s="2141">
        <v>40513</v>
      </c>
      <c r="H31" s="1511">
        <v>0.18</v>
      </c>
      <c r="I31" s="1508">
        <v>12</v>
      </c>
      <c r="J31" s="1508">
        <v>12</v>
      </c>
      <c r="K31" s="1508">
        <v>833300</v>
      </c>
      <c r="L31" s="1508">
        <v>150000</v>
      </c>
      <c r="M31" s="1510">
        <f t="shared" si="1"/>
        <v>10000000</v>
      </c>
      <c r="N31" s="1510">
        <f t="shared" si="2"/>
        <v>1800000</v>
      </c>
      <c r="O31" s="2171">
        <v>10000000</v>
      </c>
      <c r="P31" s="2171">
        <v>1800000</v>
      </c>
      <c r="Q31" s="1509"/>
      <c r="R31" s="1508"/>
      <c r="S31" s="1508"/>
      <c r="T31" s="1507"/>
      <c r="U31" s="1495">
        <f t="shared" si="3"/>
        <v>10000000</v>
      </c>
      <c r="V31" s="1495">
        <f t="shared" si="4"/>
        <v>1800000</v>
      </c>
      <c r="W31" s="1495">
        <f t="shared" si="5"/>
        <v>0</v>
      </c>
      <c r="X31" s="1495">
        <f t="shared" si="6"/>
        <v>0</v>
      </c>
      <c r="Y31" s="1495">
        <f t="shared" si="7"/>
        <v>100</v>
      </c>
      <c r="Z31" s="1495">
        <f t="shared" si="8"/>
        <v>0</v>
      </c>
      <c r="AA31" s="1506">
        <f t="shared" si="9"/>
        <v>0</v>
      </c>
      <c r="AB31" s="2927"/>
      <c r="AC31" s="1504">
        <f t="shared" si="10"/>
        <v>0</v>
      </c>
      <c r="AD31" s="1503">
        <f t="shared" si="11"/>
        <v>0</v>
      </c>
      <c r="AE31" s="1503">
        <f t="shared" si="12"/>
        <v>0</v>
      </c>
      <c r="AF31" s="1502">
        <f t="shared" si="13"/>
        <v>0</v>
      </c>
    </row>
    <row r="32" spans="1:32" s="1474" customFormat="1" ht="23.25" customHeight="1">
      <c r="A32" s="1515">
        <f t="shared" si="14"/>
        <v>20</v>
      </c>
      <c r="B32" s="1513" t="s">
        <v>2112</v>
      </c>
      <c r="C32" s="1514" t="s">
        <v>2042</v>
      </c>
      <c r="D32" s="1514"/>
      <c r="E32" s="1513">
        <v>15000000</v>
      </c>
      <c r="F32" s="1512">
        <f t="shared" si="0"/>
        <v>2700000</v>
      </c>
      <c r="G32" s="2141">
        <v>40527</v>
      </c>
      <c r="H32" s="1511">
        <v>0.18</v>
      </c>
      <c r="I32" s="1508">
        <v>12</v>
      </c>
      <c r="J32" s="1508">
        <v>12</v>
      </c>
      <c r="K32" s="1508">
        <v>1250000</v>
      </c>
      <c r="L32" s="1508">
        <v>225000</v>
      </c>
      <c r="M32" s="1510">
        <f t="shared" si="1"/>
        <v>15000000</v>
      </c>
      <c r="N32" s="1510">
        <f t="shared" si="2"/>
        <v>2700000</v>
      </c>
      <c r="O32" s="2171">
        <v>15000000</v>
      </c>
      <c r="P32" s="2171">
        <v>2700000</v>
      </c>
      <c r="Q32" s="1509"/>
      <c r="R32" s="1508"/>
      <c r="S32" s="1508"/>
      <c r="T32" s="1507"/>
      <c r="U32" s="1495">
        <f t="shared" si="3"/>
        <v>15000000</v>
      </c>
      <c r="V32" s="1495">
        <f t="shared" si="4"/>
        <v>2700000</v>
      </c>
      <c r="W32" s="1495">
        <f t="shared" si="5"/>
        <v>0</v>
      </c>
      <c r="X32" s="1495">
        <f t="shared" si="6"/>
        <v>0</v>
      </c>
      <c r="Y32" s="1495">
        <f t="shared" si="7"/>
        <v>100</v>
      </c>
      <c r="Z32" s="1495">
        <f t="shared" si="8"/>
        <v>0</v>
      </c>
      <c r="AA32" s="1506">
        <f t="shared" si="9"/>
        <v>0</v>
      </c>
      <c r="AB32" s="2927"/>
      <c r="AC32" s="1504">
        <f t="shared" si="10"/>
        <v>0</v>
      </c>
      <c r="AD32" s="1503">
        <f t="shared" si="11"/>
        <v>0</v>
      </c>
      <c r="AE32" s="1503">
        <f t="shared" si="12"/>
        <v>0</v>
      </c>
      <c r="AF32" s="1502">
        <f t="shared" si="13"/>
        <v>0</v>
      </c>
    </row>
    <row r="33" spans="1:32" s="1474" customFormat="1" ht="23.25" customHeight="1">
      <c r="A33" s="1515">
        <v>21</v>
      </c>
      <c r="B33" s="1513" t="s">
        <v>1971</v>
      </c>
      <c r="C33" s="1514" t="s">
        <v>2227</v>
      </c>
      <c r="D33" s="1514"/>
      <c r="E33" s="1513">
        <v>7000000</v>
      </c>
      <c r="F33" s="1512">
        <f t="shared" si="0"/>
        <v>1260000</v>
      </c>
      <c r="G33" s="2141">
        <v>40917</v>
      </c>
      <c r="H33" s="1511">
        <v>0.18</v>
      </c>
      <c r="I33" s="1508">
        <v>12</v>
      </c>
      <c r="J33" s="1508">
        <v>12</v>
      </c>
      <c r="K33" s="1508">
        <v>583300</v>
      </c>
      <c r="L33" s="1508">
        <f>F33/I33</f>
        <v>105000</v>
      </c>
      <c r="M33" s="1510">
        <f t="shared" si="1"/>
        <v>7000000</v>
      </c>
      <c r="N33" s="1510">
        <f>IF(J33&lt;I33,J33*L33,IF(J33&gt;=I33,F33))-210000</f>
        <v>1050000</v>
      </c>
      <c r="O33" s="2171">
        <v>7000000</v>
      </c>
      <c r="P33" s="2171">
        <v>1050000</v>
      </c>
      <c r="Q33" s="1509"/>
      <c r="R33" s="1509"/>
      <c r="S33" s="1509"/>
      <c r="T33" s="1507"/>
      <c r="U33" s="1495">
        <f t="shared" si="3"/>
        <v>7000000</v>
      </c>
      <c r="V33" s="1495">
        <f t="shared" si="4"/>
        <v>1050000</v>
      </c>
      <c r="W33" s="1495">
        <f t="shared" si="5"/>
        <v>0</v>
      </c>
      <c r="X33" s="1495">
        <f t="shared" si="6"/>
        <v>0</v>
      </c>
      <c r="Y33" s="1495">
        <f t="shared" si="7"/>
        <v>100</v>
      </c>
      <c r="Z33" s="1495">
        <f t="shared" si="8"/>
        <v>0</v>
      </c>
      <c r="AA33" s="1506">
        <f t="shared" si="9"/>
        <v>0</v>
      </c>
      <c r="AB33" s="2927"/>
      <c r="AC33" s="1504">
        <f t="shared" si="10"/>
        <v>0</v>
      </c>
      <c r="AD33" s="1503">
        <f t="shared" si="11"/>
        <v>0</v>
      </c>
      <c r="AE33" s="1503">
        <f t="shared" si="12"/>
        <v>0</v>
      </c>
      <c r="AF33" s="1502">
        <f t="shared" si="13"/>
        <v>0</v>
      </c>
    </row>
    <row r="34" spans="1:32" s="1474" customFormat="1" ht="23.25" customHeight="1">
      <c r="A34" s="1515">
        <v>22</v>
      </c>
      <c r="B34" s="1513" t="s">
        <v>2328</v>
      </c>
      <c r="C34" s="1514" t="s">
        <v>2325</v>
      </c>
      <c r="D34" s="1514"/>
      <c r="E34" s="1513">
        <v>8000000</v>
      </c>
      <c r="F34" s="1512">
        <f t="shared" si="0"/>
        <v>1440000</v>
      </c>
      <c r="G34" s="2141">
        <v>41171</v>
      </c>
      <c r="H34" s="1511">
        <v>0.18</v>
      </c>
      <c r="I34" s="1508">
        <v>12</v>
      </c>
      <c r="J34" s="1508">
        <v>12</v>
      </c>
      <c r="K34" s="1508">
        <v>666700</v>
      </c>
      <c r="L34" s="1508">
        <v>120000</v>
      </c>
      <c r="M34" s="1510">
        <f t="shared" si="1"/>
        <v>8000000</v>
      </c>
      <c r="N34" s="1510">
        <f t="shared" si="2"/>
        <v>1440000</v>
      </c>
      <c r="O34" s="1509">
        <v>8000000</v>
      </c>
      <c r="P34" s="1509">
        <v>1440000</v>
      </c>
      <c r="Q34" s="1509"/>
      <c r="R34" s="1509"/>
      <c r="S34" s="1509"/>
      <c r="T34" s="1507"/>
      <c r="U34" s="1495">
        <f t="shared" si="3"/>
        <v>8000000</v>
      </c>
      <c r="V34" s="1495">
        <f t="shared" si="4"/>
        <v>1440000</v>
      </c>
      <c r="W34" s="1495">
        <f t="shared" si="5"/>
        <v>0</v>
      </c>
      <c r="X34" s="1495">
        <f t="shared" si="6"/>
        <v>0</v>
      </c>
      <c r="Y34" s="1495">
        <f t="shared" si="7"/>
        <v>100</v>
      </c>
      <c r="Z34" s="1495">
        <f t="shared" si="8"/>
        <v>0</v>
      </c>
      <c r="AA34" s="1506">
        <f t="shared" si="9"/>
        <v>0</v>
      </c>
      <c r="AB34" s="2927"/>
      <c r="AC34" s="1504">
        <f t="shared" si="10"/>
        <v>0</v>
      </c>
      <c r="AD34" s="1503">
        <f t="shared" si="11"/>
        <v>0</v>
      </c>
      <c r="AE34" s="1503">
        <f t="shared" si="12"/>
        <v>0</v>
      </c>
      <c r="AF34" s="1502">
        <f t="shared" si="13"/>
        <v>0</v>
      </c>
    </row>
    <row r="35" spans="1:32" s="1474" customFormat="1" ht="23.25" customHeight="1">
      <c r="A35" s="1515">
        <v>23</v>
      </c>
      <c r="B35" s="1513" t="s">
        <v>2329</v>
      </c>
      <c r="C35" s="1514" t="s">
        <v>2325</v>
      </c>
      <c r="D35" s="1514"/>
      <c r="E35" s="1513">
        <v>8000000</v>
      </c>
      <c r="F35" s="1512">
        <f t="shared" si="0"/>
        <v>1440000</v>
      </c>
      <c r="G35" s="2141">
        <v>41171</v>
      </c>
      <c r="H35" s="1511">
        <v>0.18</v>
      </c>
      <c r="I35" s="1508">
        <v>12</v>
      </c>
      <c r="J35" s="1508">
        <v>12</v>
      </c>
      <c r="K35" s="1508">
        <v>666700</v>
      </c>
      <c r="L35" s="1508">
        <v>120000</v>
      </c>
      <c r="M35" s="1510">
        <f t="shared" si="1"/>
        <v>8000000</v>
      </c>
      <c r="N35" s="2401">
        <f>IF(J35&lt;I35,J35*L35,IF(J35&gt;=I35,F35))-360000</f>
        <v>1080000</v>
      </c>
      <c r="O35" s="1509">
        <v>8000000</v>
      </c>
      <c r="P35" s="1509">
        <v>1080000</v>
      </c>
      <c r="Q35" s="1509"/>
      <c r="R35" s="1509"/>
      <c r="S35" s="1509"/>
      <c r="T35" s="1507"/>
      <c r="U35" s="1495">
        <f t="shared" si="3"/>
        <v>8000000</v>
      </c>
      <c r="V35" s="1495">
        <f t="shared" si="4"/>
        <v>1080000</v>
      </c>
      <c r="W35" s="1495">
        <f t="shared" si="5"/>
        <v>0</v>
      </c>
      <c r="X35" s="1495">
        <f t="shared" si="6"/>
        <v>0</v>
      </c>
      <c r="Y35" s="1495">
        <f t="shared" si="7"/>
        <v>100</v>
      </c>
      <c r="Z35" s="1495">
        <f t="shared" si="8"/>
        <v>0</v>
      </c>
      <c r="AA35" s="1506">
        <f t="shared" si="9"/>
        <v>0</v>
      </c>
      <c r="AB35" s="2927"/>
      <c r="AC35" s="1504">
        <f t="shared" si="10"/>
        <v>0</v>
      </c>
      <c r="AD35" s="1503">
        <f t="shared" si="11"/>
        <v>0</v>
      </c>
      <c r="AE35" s="1503">
        <f t="shared" si="12"/>
        <v>0</v>
      </c>
      <c r="AF35" s="1502">
        <f t="shared" si="13"/>
        <v>0</v>
      </c>
    </row>
    <row r="36" spans="1:32" s="1474" customFormat="1" ht="23.25" customHeight="1">
      <c r="A36" s="1515">
        <v>24</v>
      </c>
      <c r="B36" s="1513" t="s">
        <v>2132</v>
      </c>
      <c r="C36" s="1514" t="s">
        <v>2325</v>
      </c>
      <c r="D36" s="1514"/>
      <c r="E36" s="1513">
        <v>5600000</v>
      </c>
      <c r="F36" s="1512">
        <f t="shared" si="0"/>
        <v>1008000</v>
      </c>
      <c r="G36" s="2141">
        <v>41171</v>
      </c>
      <c r="H36" s="1511">
        <v>0.18</v>
      </c>
      <c r="I36" s="1508">
        <v>12</v>
      </c>
      <c r="J36" s="1508">
        <v>12</v>
      </c>
      <c r="K36" s="1508">
        <v>466700</v>
      </c>
      <c r="L36" s="1508">
        <f t="shared" ref="L36:L42" si="15">F36/I36</f>
        <v>84000</v>
      </c>
      <c r="M36" s="1510">
        <f t="shared" si="1"/>
        <v>5600000</v>
      </c>
      <c r="N36" s="1510">
        <f t="shared" si="2"/>
        <v>1008000</v>
      </c>
      <c r="O36" s="1509">
        <v>5600000</v>
      </c>
      <c r="P36" s="1509">
        <v>1008000</v>
      </c>
      <c r="Q36" s="1509"/>
      <c r="R36" s="1509"/>
      <c r="S36" s="1509"/>
      <c r="T36" s="1507"/>
      <c r="U36" s="1495">
        <f t="shared" si="3"/>
        <v>5600000</v>
      </c>
      <c r="V36" s="1495">
        <f t="shared" si="4"/>
        <v>1008000</v>
      </c>
      <c r="W36" s="1495">
        <f t="shared" si="5"/>
        <v>0</v>
      </c>
      <c r="X36" s="1495">
        <f t="shared" si="6"/>
        <v>0</v>
      </c>
      <c r="Y36" s="1495">
        <f t="shared" si="7"/>
        <v>100</v>
      </c>
      <c r="Z36" s="1495">
        <f t="shared" si="8"/>
        <v>0</v>
      </c>
      <c r="AA36" s="1506">
        <f t="shared" si="9"/>
        <v>0</v>
      </c>
      <c r="AB36" s="2927"/>
      <c r="AC36" s="1504">
        <f t="shared" si="10"/>
        <v>0</v>
      </c>
      <c r="AD36" s="1503">
        <f t="shared" si="11"/>
        <v>0</v>
      </c>
      <c r="AE36" s="1503">
        <f t="shared" si="12"/>
        <v>0</v>
      </c>
      <c r="AF36" s="1502">
        <f t="shared" si="13"/>
        <v>0</v>
      </c>
    </row>
    <row r="37" spans="1:32" s="1474" customFormat="1" ht="23.25" customHeight="1">
      <c r="A37" s="1515">
        <v>25</v>
      </c>
      <c r="B37" s="1513" t="s">
        <v>1956</v>
      </c>
      <c r="C37" s="1514" t="s">
        <v>2325</v>
      </c>
      <c r="D37" s="1514"/>
      <c r="E37" s="1513">
        <v>6400000</v>
      </c>
      <c r="F37" s="1512">
        <f t="shared" si="0"/>
        <v>1152000</v>
      </c>
      <c r="G37" s="2141">
        <v>41171</v>
      </c>
      <c r="H37" s="1511">
        <v>0.18</v>
      </c>
      <c r="I37" s="1508">
        <v>12</v>
      </c>
      <c r="J37" s="1508">
        <v>12</v>
      </c>
      <c r="K37" s="1508">
        <v>533300</v>
      </c>
      <c r="L37" s="1508">
        <f t="shared" si="15"/>
        <v>96000</v>
      </c>
      <c r="M37" s="1510">
        <f t="shared" si="1"/>
        <v>6400000</v>
      </c>
      <c r="N37" s="1510">
        <f t="shared" si="2"/>
        <v>1152000</v>
      </c>
      <c r="O37" s="1509">
        <v>6400000</v>
      </c>
      <c r="P37" s="1509">
        <v>1152000</v>
      </c>
      <c r="Q37" s="1509"/>
      <c r="R37" s="1509"/>
      <c r="S37" s="1509"/>
      <c r="T37" s="1507"/>
      <c r="U37" s="1495">
        <f t="shared" si="3"/>
        <v>6400000</v>
      </c>
      <c r="V37" s="1495">
        <f t="shared" si="4"/>
        <v>1152000</v>
      </c>
      <c r="W37" s="1495">
        <f t="shared" si="5"/>
        <v>0</v>
      </c>
      <c r="X37" s="1495">
        <f t="shared" si="6"/>
        <v>0</v>
      </c>
      <c r="Y37" s="1495">
        <f t="shared" si="7"/>
        <v>100</v>
      </c>
      <c r="Z37" s="1495">
        <f t="shared" si="8"/>
        <v>0</v>
      </c>
      <c r="AA37" s="1506">
        <f t="shared" si="9"/>
        <v>0</v>
      </c>
      <c r="AB37" s="2927"/>
      <c r="AC37" s="1504">
        <f t="shared" si="10"/>
        <v>0</v>
      </c>
      <c r="AD37" s="1503">
        <f t="shared" si="11"/>
        <v>0</v>
      </c>
      <c r="AE37" s="1503">
        <f t="shared" si="12"/>
        <v>0</v>
      </c>
      <c r="AF37" s="1502">
        <f t="shared" si="13"/>
        <v>0</v>
      </c>
    </row>
    <row r="38" spans="1:32" s="1474" customFormat="1" ht="23.25" customHeight="1">
      <c r="A38" s="1515">
        <v>26</v>
      </c>
      <c r="B38" s="1513" t="s">
        <v>2335</v>
      </c>
      <c r="C38" s="1514" t="s">
        <v>2336</v>
      </c>
      <c r="D38" s="1514"/>
      <c r="E38" s="1513">
        <v>9000000</v>
      </c>
      <c r="F38" s="1512">
        <f t="shared" si="0"/>
        <v>1620000</v>
      </c>
      <c r="G38" s="2141">
        <v>41218</v>
      </c>
      <c r="H38" s="1511">
        <v>0.18</v>
      </c>
      <c r="I38" s="1508">
        <v>12</v>
      </c>
      <c r="J38" s="1508">
        <v>12</v>
      </c>
      <c r="K38" s="1508">
        <f>E38/12</f>
        <v>750000</v>
      </c>
      <c r="L38" s="1508">
        <f t="shared" si="15"/>
        <v>135000</v>
      </c>
      <c r="M38" s="1510">
        <f t="shared" si="1"/>
        <v>9000000</v>
      </c>
      <c r="N38" s="1510">
        <f t="shared" si="2"/>
        <v>1620000</v>
      </c>
      <c r="O38" s="1509">
        <v>9000000</v>
      </c>
      <c r="P38" s="1509">
        <v>1620000</v>
      </c>
      <c r="Q38" s="1509"/>
      <c r="R38" s="1509"/>
      <c r="S38" s="1509"/>
      <c r="T38" s="1507"/>
      <c r="U38" s="1495">
        <f t="shared" si="3"/>
        <v>9000000</v>
      </c>
      <c r="V38" s="1495">
        <f t="shared" si="4"/>
        <v>1620000</v>
      </c>
      <c r="W38" s="1495">
        <f t="shared" si="5"/>
        <v>0</v>
      </c>
      <c r="X38" s="1495">
        <f t="shared" si="6"/>
        <v>0</v>
      </c>
      <c r="Y38" s="1495">
        <f t="shared" si="7"/>
        <v>100</v>
      </c>
      <c r="Z38" s="1495">
        <f t="shared" si="8"/>
        <v>0</v>
      </c>
      <c r="AA38" s="1506">
        <f t="shared" si="9"/>
        <v>0</v>
      </c>
      <c r="AB38" s="2927"/>
      <c r="AC38" s="1504">
        <f t="shared" si="10"/>
        <v>0</v>
      </c>
      <c r="AD38" s="1503">
        <f t="shared" si="11"/>
        <v>0</v>
      </c>
      <c r="AE38" s="1503">
        <f t="shared" si="12"/>
        <v>0</v>
      </c>
      <c r="AF38" s="1502">
        <f t="shared" si="13"/>
        <v>0</v>
      </c>
    </row>
    <row r="39" spans="1:32" s="1474" customFormat="1" ht="23.25" customHeight="1">
      <c r="A39" s="1515">
        <v>27</v>
      </c>
      <c r="B39" s="1513" t="s">
        <v>2337</v>
      </c>
      <c r="C39" s="1514" t="s">
        <v>2336</v>
      </c>
      <c r="D39" s="1514"/>
      <c r="E39" s="1513">
        <v>9000000</v>
      </c>
      <c r="F39" s="1512">
        <f t="shared" si="0"/>
        <v>1620000</v>
      </c>
      <c r="G39" s="2141">
        <v>41218</v>
      </c>
      <c r="H39" s="1511">
        <v>0.18</v>
      </c>
      <c r="I39" s="1508">
        <v>12</v>
      </c>
      <c r="J39" s="1508">
        <v>12</v>
      </c>
      <c r="K39" s="1508">
        <f>E39/12</f>
        <v>750000</v>
      </c>
      <c r="L39" s="1508">
        <f t="shared" si="15"/>
        <v>135000</v>
      </c>
      <c r="M39" s="1510">
        <f t="shared" si="1"/>
        <v>9000000</v>
      </c>
      <c r="N39" s="1510">
        <f t="shared" si="2"/>
        <v>1620000</v>
      </c>
      <c r="O39" s="1509">
        <v>9000000</v>
      </c>
      <c r="P39" s="1509">
        <v>1620000</v>
      </c>
      <c r="Q39" s="1509"/>
      <c r="R39" s="1509"/>
      <c r="S39" s="1509"/>
      <c r="T39" s="1507"/>
      <c r="U39" s="1495">
        <f t="shared" si="3"/>
        <v>9000000</v>
      </c>
      <c r="V39" s="1495">
        <f t="shared" si="4"/>
        <v>1620000</v>
      </c>
      <c r="W39" s="1495">
        <f t="shared" si="5"/>
        <v>0</v>
      </c>
      <c r="X39" s="1495">
        <f t="shared" si="6"/>
        <v>0</v>
      </c>
      <c r="Y39" s="1495">
        <f t="shared" si="7"/>
        <v>100</v>
      </c>
      <c r="Z39" s="1495">
        <f t="shared" si="8"/>
        <v>0</v>
      </c>
      <c r="AA39" s="1506">
        <f t="shared" si="9"/>
        <v>0</v>
      </c>
      <c r="AB39" s="2927"/>
      <c r="AC39" s="1504">
        <f t="shared" si="10"/>
        <v>0</v>
      </c>
      <c r="AD39" s="1503">
        <f t="shared" si="11"/>
        <v>0</v>
      </c>
      <c r="AE39" s="1503">
        <f t="shared" si="12"/>
        <v>0</v>
      </c>
      <c r="AF39" s="1502">
        <f t="shared" si="13"/>
        <v>0</v>
      </c>
    </row>
    <row r="40" spans="1:32" s="1474" customFormat="1" ht="23.25" customHeight="1">
      <c r="A40" s="1515">
        <v>28</v>
      </c>
      <c r="B40" s="1513" t="s">
        <v>2338</v>
      </c>
      <c r="C40" s="1514" t="s">
        <v>2336</v>
      </c>
      <c r="D40" s="1514"/>
      <c r="E40" s="1513">
        <v>9000000</v>
      </c>
      <c r="F40" s="1512">
        <f t="shared" si="0"/>
        <v>1620000</v>
      </c>
      <c r="G40" s="2141">
        <v>41218</v>
      </c>
      <c r="H40" s="1511">
        <v>0.18</v>
      </c>
      <c r="I40" s="1508">
        <v>12</v>
      </c>
      <c r="J40" s="1508">
        <v>12</v>
      </c>
      <c r="K40" s="1508">
        <f>E40/12</f>
        <v>750000</v>
      </c>
      <c r="L40" s="1508">
        <f t="shared" si="15"/>
        <v>135000</v>
      </c>
      <c r="M40" s="1510">
        <f t="shared" si="1"/>
        <v>9000000</v>
      </c>
      <c r="N40" s="1510">
        <f t="shared" si="2"/>
        <v>1620000</v>
      </c>
      <c r="O40" s="1509">
        <v>9000000</v>
      </c>
      <c r="P40" s="1509">
        <v>1620000</v>
      </c>
      <c r="Q40" s="1509"/>
      <c r="R40" s="1509"/>
      <c r="S40" s="1509"/>
      <c r="T40" s="1507"/>
      <c r="U40" s="1495">
        <f t="shared" si="3"/>
        <v>9000000</v>
      </c>
      <c r="V40" s="1495">
        <f t="shared" si="4"/>
        <v>1620000</v>
      </c>
      <c r="W40" s="1495">
        <f t="shared" si="5"/>
        <v>0</v>
      </c>
      <c r="X40" s="1495">
        <f t="shared" si="6"/>
        <v>0</v>
      </c>
      <c r="Y40" s="1495">
        <f t="shared" si="7"/>
        <v>100</v>
      </c>
      <c r="Z40" s="1495">
        <f t="shared" si="8"/>
        <v>0</v>
      </c>
      <c r="AA40" s="1506">
        <f t="shared" si="9"/>
        <v>0</v>
      </c>
      <c r="AB40" s="2927"/>
      <c r="AC40" s="1504">
        <f t="shared" si="10"/>
        <v>0</v>
      </c>
      <c r="AD40" s="1503">
        <f t="shared" si="11"/>
        <v>0</v>
      </c>
      <c r="AE40" s="1503">
        <f t="shared" si="12"/>
        <v>0</v>
      </c>
      <c r="AF40" s="1502">
        <f t="shared" si="13"/>
        <v>0</v>
      </c>
    </row>
    <row r="41" spans="1:32" s="1474" customFormat="1" ht="23.25" customHeight="1">
      <c r="A41" s="1515">
        <v>29</v>
      </c>
      <c r="B41" s="1513" t="s">
        <v>2700</v>
      </c>
      <c r="C41" s="1514" t="s">
        <v>2590</v>
      </c>
      <c r="D41" s="1514"/>
      <c r="E41" s="1513">
        <v>7100000</v>
      </c>
      <c r="F41" s="1512">
        <f t="shared" si="0"/>
        <v>1278000</v>
      </c>
      <c r="G41" s="2141">
        <v>41933</v>
      </c>
      <c r="H41" s="1511">
        <v>0.18</v>
      </c>
      <c r="I41" s="1508">
        <v>12</v>
      </c>
      <c r="J41" s="1508">
        <v>12</v>
      </c>
      <c r="K41" s="1508">
        <v>591700</v>
      </c>
      <c r="L41" s="1508">
        <f t="shared" si="15"/>
        <v>106500</v>
      </c>
      <c r="M41" s="1510">
        <f t="shared" si="1"/>
        <v>7100000</v>
      </c>
      <c r="N41" s="1510">
        <f t="shared" si="2"/>
        <v>1278000</v>
      </c>
      <c r="O41" s="1509">
        <v>7100000</v>
      </c>
      <c r="P41" s="1509">
        <v>1278000</v>
      </c>
      <c r="Q41" s="1509"/>
      <c r="R41" s="1509"/>
      <c r="S41" s="1509"/>
      <c r="T41" s="1507"/>
      <c r="U41" s="1495">
        <f t="shared" si="3"/>
        <v>7100000</v>
      </c>
      <c r="V41" s="1495">
        <f t="shared" si="4"/>
        <v>1278000</v>
      </c>
      <c r="W41" s="1495">
        <f t="shared" si="5"/>
        <v>0</v>
      </c>
      <c r="X41" s="1495">
        <f t="shared" si="6"/>
        <v>0</v>
      </c>
      <c r="Y41" s="1495">
        <f t="shared" si="7"/>
        <v>100</v>
      </c>
      <c r="Z41" s="1495">
        <f t="shared" si="8"/>
        <v>0</v>
      </c>
      <c r="AA41" s="1506">
        <f t="shared" si="9"/>
        <v>0</v>
      </c>
      <c r="AB41" s="2927"/>
      <c r="AC41" s="1504">
        <f t="shared" si="10"/>
        <v>0</v>
      </c>
      <c r="AD41" s="1503">
        <f t="shared" si="11"/>
        <v>0</v>
      </c>
      <c r="AE41" s="1503">
        <f t="shared" si="12"/>
        <v>0</v>
      </c>
      <c r="AF41" s="1502">
        <f t="shared" si="13"/>
        <v>0</v>
      </c>
    </row>
    <row r="42" spans="1:32" s="1474" customFormat="1" ht="23.25" customHeight="1">
      <c r="A42" s="1515">
        <v>30</v>
      </c>
      <c r="B42" s="1513" t="s">
        <v>2029</v>
      </c>
      <c r="C42" s="1514" t="s">
        <v>2590</v>
      </c>
      <c r="D42" s="1514"/>
      <c r="E42" s="1513">
        <v>7100000</v>
      </c>
      <c r="F42" s="1512">
        <f t="shared" si="0"/>
        <v>1278000</v>
      </c>
      <c r="G42" s="2141">
        <v>41947</v>
      </c>
      <c r="H42" s="1511">
        <v>0.18</v>
      </c>
      <c r="I42" s="1508">
        <v>12</v>
      </c>
      <c r="J42" s="1508">
        <v>12</v>
      </c>
      <c r="K42" s="1508">
        <v>591700</v>
      </c>
      <c r="L42" s="1508">
        <f t="shared" si="15"/>
        <v>106500</v>
      </c>
      <c r="M42" s="1510">
        <f t="shared" si="1"/>
        <v>7100000</v>
      </c>
      <c r="N42" s="1510">
        <f t="shared" si="2"/>
        <v>1278000</v>
      </c>
      <c r="O42" s="1509">
        <v>7100000</v>
      </c>
      <c r="P42" s="1509">
        <v>1278000</v>
      </c>
      <c r="Q42" s="1509"/>
      <c r="R42" s="1509"/>
      <c r="S42" s="1509"/>
      <c r="T42" s="1507"/>
      <c r="U42" s="1495">
        <f t="shared" si="3"/>
        <v>7100000</v>
      </c>
      <c r="V42" s="1495">
        <f t="shared" si="4"/>
        <v>1278000</v>
      </c>
      <c r="W42" s="1495">
        <f t="shared" si="5"/>
        <v>0</v>
      </c>
      <c r="X42" s="1495">
        <f t="shared" si="6"/>
        <v>0</v>
      </c>
      <c r="Y42" s="1495">
        <f t="shared" si="7"/>
        <v>100</v>
      </c>
      <c r="Z42" s="1495">
        <f t="shared" si="8"/>
        <v>0</v>
      </c>
      <c r="AA42" s="1506">
        <f t="shared" si="9"/>
        <v>0</v>
      </c>
      <c r="AB42" s="2927"/>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2927"/>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2927"/>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2927"/>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2928"/>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2929"/>
      <c r="AC47" s="1483"/>
      <c r="AD47" s="1483"/>
      <c r="AE47" s="1483"/>
      <c r="AF47" s="1482"/>
    </row>
    <row r="48" spans="1:32" s="1563" customFormat="1" ht="33" customHeight="1" thickTop="1" thickBot="1">
      <c r="A48" s="3410" t="s">
        <v>934</v>
      </c>
      <c r="B48" s="3410"/>
      <c r="C48" s="3410"/>
      <c r="D48" s="1480">
        <f>SUM(D13:D46)</f>
        <v>0</v>
      </c>
      <c r="E48" s="1480">
        <f>SUM(E13:E46)</f>
        <v>231200000</v>
      </c>
      <c r="F48" s="1480">
        <f>SUM(F13:F46)</f>
        <v>41616000</v>
      </c>
      <c r="G48" s="1481"/>
      <c r="H48" s="1481"/>
      <c r="I48" s="1481"/>
      <c r="J48" s="1481"/>
      <c r="K48" s="1481"/>
      <c r="L48" s="1481"/>
      <c r="M48" s="1480">
        <f t="shared" ref="M48:X48" si="16">SUM(M13:M46)</f>
        <v>231200000</v>
      </c>
      <c r="N48" s="1480">
        <f t="shared" si="16"/>
        <v>41046000</v>
      </c>
      <c r="O48" s="1480">
        <f t="shared" si="16"/>
        <v>231200000</v>
      </c>
      <c r="P48" s="1480">
        <f t="shared" si="16"/>
        <v>41046000</v>
      </c>
      <c r="Q48" s="1480">
        <f t="shared" si="16"/>
        <v>0</v>
      </c>
      <c r="R48" s="1480">
        <f t="shared" si="16"/>
        <v>0</v>
      </c>
      <c r="S48" s="1480">
        <f t="shared" si="16"/>
        <v>0</v>
      </c>
      <c r="T48" s="1480">
        <f t="shared" si="16"/>
        <v>0</v>
      </c>
      <c r="U48" s="1480">
        <f t="shared" si="16"/>
        <v>231200000</v>
      </c>
      <c r="V48" s="1480">
        <f t="shared" si="16"/>
        <v>41046000</v>
      </c>
      <c r="W48" s="1480">
        <f t="shared" si="16"/>
        <v>0</v>
      </c>
      <c r="X48" s="1480">
        <f t="shared" si="16"/>
        <v>0</v>
      </c>
      <c r="Y48" s="1480">
        <f>SUM(U48/M48)*100</f>
        <v>100</v>
      </c>
      <c r="Z48" s="1480">
        <f>SUM(Z13:Z46)</f>
        <v>0</v>
      </c>
      <c r="AA48" s="1479">
        <f>SUM(AA13:AA46)</f>
        <v>0</v>
      </c>
      <c r="AB48" s="2930"/>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30</v>
      </c>
      <c r="G49" s="1462"/>
      <c r="H49" s="1462"/>
      <c r="I49" s="1462"/>
      <c r="J49" s="1462"/>
      <c r="K49" s="1472"/>
      <c r="L49" s="1472"/>
      <c r="AB49" s="2925"/>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2925"/>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2925"/>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2925"/>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2925"/>
    </row>
    <row r="54" spans="1:32" s="1461" customFormat="1" ht="18">
      <c r="A54" s="1465"/>
      <c r="B54" s="1465"/>
      <c r="C54" s="1466"/>
      <c r="D54" s="1466"/>
      <c r="E54" s="2379"/>
      <c r="F54" s="2379"/>
      <c r="G54" s="2379"/>
      <c r="H54" s="2379"/>
      <c r="I54" s="2379"/>
      <c r="J54" s="2379"/>
      <c r="K54" s="2379"/>
      <c r="L54" s="2379"/>
      <c r="M54" s="2379"/>
      <c r="N54" s="2379"/>
      <c r="O54" s="1465"/>
      <c r="P54" s="2379"/>
      <c r="Q54" s="2379"/>
      <c r="R54" s="2379"/>
      <c r="S54" s="1465"/>
      <c r="T54" s="1465"/>
      <c r="U54" s="1465"/>
      <c r="V54" s="2379"/>
      <c r="W54" s="2379"/>
      <c r="X54" s="2379"/>
      <c r="Y54" s="2379"/>
      <c r="Z54" s="1465"/>
      <c r="AA54" s="1465"/>
      <c r="AB54" s="2925"/>
    </row>
    <row r="55" spans="1:32" s="1461" customFormat="1" ht="18">
      <c r="A55" s="1465"/>
      <c r="B55" s="1465"/>
      <c r="C55" s="1466"/>
      <c r="D55" s="1466"/>
      <c r="E55" s="2379"/>
      <c r="F55" s="2379"/>
      <c r="G55" s="2379"/>
      <c r="H55" s="2379"/>
      <c r="I55" s="2379"/>
      <c r="J55" s="2379"/>
      <c r="K55" s="2379"/>
      <c r="L55" s="2379"/>
      <c r="M55" s="2379"/>
      <c r="N55" s="2379"/>
      <c r="O55" s="1465"/>
      <c r="P55" s="2379"/>
      <c r="Q55" s="2379"/>
      <c r="R55" s="2379"/>
      <c r="S55" s="1465"/>
      <c r="T55" s="1465"/>
      <c r="U55" s="1465"/>
      <c r="V55" s="2379"/>
      <c r="W55" s="2379"/>
      <c r="X55" s="2379"/>
      <c r="Y55" s="2379"/>
      <c r="Z55" s="1465"/>
      <c r="AA55" s="1465"/>
      <c r="AB55" s="2925"/>
    </row>
    <row r="56" spans="1:32" s="1559" customFormat="1" ht="24.75" customHeight="1">
      <c r="A56" s="3763" t="s">
        <v>0</v>
      </c>
      <c r="B56" s="3763"/>
      <c r="C56" s="3763"/>
      <c r="D56" s="3763"/>
      <c r="E56" s="3763"/>
      <c r="F56" s="3763"/>
      <c r="G56" s="3763"/>
      <c r="H56" s="3763"/>
      <c r="I56" s="3763"/>
      <c r="J56" s="3763"/>
      <c r="K56" s="3763"/>
      <c r="L56" s="3763"/>
      <c r="M56" s="3763"/>
      <c r="N56" s="3763"/>
      <c r="O56" s="3763"/>
      <c r="P56" s="3763"/>
      <c r="Q56" s="3763"/>
      <c r="R56" s="3763"/>
      <c r="S56" s="3763"/>
      <c r="T56" s="3763"/>
      <c r="U56" s="3763"/>
      <c r="V56" s="3763"/>
      <c r="W56" s="3763"/>
      <c r="X56" s="3763"/>
      <c r="Y56" s="3763"/>
      <c r="Z56" s="3763"/>
      <c r="AA56" s="3763"/>
      <c r="AB56" s="2922"/>
      <c r="AC56" s="1560"/>
      <c r="AD56" s="1560"/>
      <c r="AE56" s="1560"/>
      <c r="AF56" s="1560"/>
    </row>
    <row r="57" spans="1:32" s="1559" customFormat="1" ht="24.75" customHeight="1">
      <c r="A57" s="3763" t="str">
        <f>A2</f>
        <v>LAPORAN PERKEMBANGAN PINJAMAN  SPP</v>
      </c>
      <c r="B57" s="3763"/>
      <c r="C57" s="3763"/>
      <c r="D57" s="3763"/>
      <c r="E57" s="3763"/>
      <c r="F57" s="3763"/>
      <c r="G57" s="3763"/>
      <c r="H57" s="3763"/>
      <c r="I57" s="3763"/>
      <c r="J57" s="3763"/>
      <c r="K57" s="3763"/>
      <c r="L57" s="3763"/>
      <c r="M57" s="3763"/>
      <c r="N57" s="3763"/>
      <c r="O57" s="3763"/>
      <c r="P57" s="3763"/>
      <c r="Q57" s="3763"/>
      <c r="R57" s="3763"/>
      <c r="S57" s="3763"/>
      <c r="T57" s="3763"/>
      <c r="U57" s="3763"/>
      <c r="V57" s="3763"/>
      <c r="W57" s="3763"/>
      <c r="X57" s="3763"/>
      <c r="Y57" s="3763"/>
      <c r="Z57" s="3763"/>
      <c r="AA57" s="3763"/>
      <c r="AB57" s="2922"/>
      <c r="AC57" s="1560"/>
      <c r="AD57" s="1560"/>
      <c r="AE57" s="1560"/>
      <c r="AF57" s="1560"/>
    </row>
    <row r="58" spans="1:32" s="1559" customFormat="1" ht="26.25">
      <c r="A58" s="3763" t="s">
        <v>1504</v>
      </c>
      <c r="B58" s="3763"/>
      <c r="C58" s="3763"/>
      <c r="D58" s="3763"/>
      <c r="E58" s="3763"/>
      <c r="F58" s="3763"/>
      <c r="G58" s="3763"/>
      <c r="H58" s="3763"/>
      <c r="I58" s="3763"/>
      <c r="J58" s="3763"/>
      <c r="K58" s="3763"/>
      <c r="L58" s="3763"/>
      <c r="M58" s="3763"/>
      <c r="N58" s="3763"/>
      <c r="O58" s="3763"/>
      <c r="P58" s="3763"/>
      <c r="Q58" s="3763"/>
      <c r="R58" s="3763"/>
      <c r="S58" s="3763"/>
      <c r="T58" s="3763"/>
      <c r="U58" s="3763"/>
      <c r="V58" s="3763"/>
      <c r="W58" s="3763"/>
      <c r="X58" s="3763"/>
      <c r="Y58" s="3763"/>
      <c r="Z58" s="3763"/>
      <c r="AA58" s="3763"/>
      <c r="AB58" s="2923"/>
      <c r="AC58" s="1560"/>
      <c r="AD58" s="1560"/>
      <c r="AE58" s="1560"/>
      <c r="AF58" s="1560"/>
    </row>
    <row r="59" spans="1:32" s="1547" customFormat="1" ht="26.25">
      <c r="A59" s="3763" t="str">
        <f>A4</f>
        <v>Per - Februari 2016 2016</v>
      </c>
      <c r="B59" s="3763"/>
      <c r="C59" s="3763"/>
      <c r="D59" s="3763"/>
      <c r="E59" s="3763"/>
      <c r="F59" s="3763"/>
      <c r="G59" s="3763"/>
      <c r="H59" s="3763"/>
      <c r="I59" s="3763"/>
      <c r="J59" s="3763"/>
      <c r="K59" s="3763"/>
      <c r="L59" s="3763"/>
      <c r="M59" s="3763"/>
      <c r="N59" s="3763"/>
      <c r="O59" s="3763"/>
      <c r="P59" s="3763"/>
      <c r="Q59" s="3763"/>
      <c r="R59" s="3763"/>
      <c r="S59" s="3763"/>
      <c r="T59" s="3763"/>
      <c r="U59" s="3763"/>
      <c r="V59" s="3763"/>
      <c r="W59" s="3763"/>
      <c r="X59" s="3763"/>
      <c r="Y59" s="3763"/>
      <c r="Z59" s="3763"/>
      <c r="AA59" s="3763"/>
      <c r="AB59" s="2922"/>
      <c r="AC59" s="1548"/>
      <c r="AD59" s="1548"/>
    </row>
    <row r="60" spans="1:32" s="1542" customFormat="1" ht="24.75" customHeight="1">
      <c r="A60" s="3410" t="s">
        <v>1503</v>
      </c>
      <c r="B60" s="3410"/>
      <c r="C60" s="3410"/>
      <c r="D60" s="1553"/>
      <c r="E60" s="1558" t="str">
        <f>E5</f>
        <v>:  CISARUA</v>
      </c>
      <c r="F60" s="1556"/>
      <c r="G60" s="1556"/>
      <c r="H60" s="1556"/>
      <c r="I60" s="1556"/>
      <c r="J60" s="1556"/>
      <c r="K60" s="1557"/>
      <c r="L60" s="1557"/>
      <c r="M60" s="1556"/>
      <c r="N60" s="1556"/>
      <c r="O60" s="1556"/>
      <c r="P60" s="1556"/>
      <c r="Q60" s="1556"/>
      <c r="R60" s="1556"/>
      <c r="S60" s="1556"/>
      <c r="T60" s="1556"/>
      <c r="U60" s="1556"/>
      <c r="V60" s="1556"/>
      <c r="W60" s="1556"/>
      <c r="X60" s="1556"/>
      <c r="Y60" s="1556"/>
      <c r="Z60" s="1556"/>
      <c r="AA60" s="1556"/>
      <c r="AB60" s="2922"/>
      <c r="AC60" s="1555"/>
      <c r="AD60" s="1555"/>
      <c r="AE60" s="1555"/>
      <c r="AF60" s="1555"/>
    </row>
    <row r="61" spans="1:32" s="1547" customFormat="1" ht="18.75" customHeight="1">
      <c r="A61" s="3410" t="s">
        <v>1502</v>
      </c>
      <c r="B61" s="3410"/>
      <c r="C61" s="3410"/>
      <c r="D61" s="1553"/>
      <c r="E61" s="1552" t="str">
        <f>E6</f>
        <v>:  Nagrak</v>
      </c>
      <c r="F61" s="1552"/>
      <c r="G61" s="1551"/>
      <c r="H61" s="1551"/>
      <c r="I61" s="1551"/>
      <c r="J61" s="1551"/>
      <c r="K61" s="1550"/>
      <c r="L61" s="1550"/>
      <c r="M61" s="1548"/>
      <c r="N61" s="1548"/>
      <c r="O61" s="1548"/>
      <c r="P61" s="1548"/>
      <c r="Q61" s="1548"/>
      <c r="R61" s="1548"/>
      <c r="S61" s="1548"/>
      <c r="T61" s="1548"/>
      <c r="U61" s="1548"/>
      <c r="V61" s="1548"/>
      <c r="W61" s="1548"/>
      <c r="X61" s="1548"/>
      <c r="Y61" s="1548"/>
      <c r="Z61" s="1548"/>
      <c r="AA61" s="1548"/>
      <c r="AB61" s="2924"/>
      <c r="AC61" s="1548"/>
      <c r="AD61" s="1548"/>
    </row>
    <row r="62" spans="1:32" s="1547" customFormat="1" ht="18.75" customHeight="1">
      <c r="A62" s="3410" t="s">
        <v>1501</v>
      </c>
      <c r="B62" s="3410"/>
      <c r="C62" s="3410"/>
      <c r="D62" s="1553"/>
      <c r="E62" s="1552" t="str">
        <f>E7</f>
        <v>:  Sukabumi</v>
      </c>
      <c r="F62" s="1552"/>
      <c r="G62" s="1551"/>
      <c r="H62" s="1551"/>
      <c r="I62" s="1551"/>
      <c r="J62" s="1551"/>
      <c r="K62" s="1550"/>
      <c r="L62" s="1550"/>
      <c r="M62" s="1554"/>
      <c r="N62" s="1548"/>
      <c r="O62" s="1548"/>
      <c r="P62" s="1548"/>
      <c r="Q62" s="1548"/>
      <c r="R62" s="1548"/>
      <c r="S62" s="1548"/>
      <c r="T62" s="1548"/>
      <c r="U62" s="1548"/>
      <c r="V62" s="1548"/>
      <c r="W62" s="1548"/>
      <c r="X62" s="1548"/>
      <c r="Y62" s="1548"/>
      <c r="Z62" s="1548"/>
      <c r="AA62" s="1548"/>
      <c r="AB62" s="2924"/>
      <c r="AC62" s="1548"/>
      <c r="AD62" s="1548"/>
    </row>
    <row r="63" spans="1:32" s="1542" customFormat="1" ht="24" customHeight="1">
      <c r="A63" s="3410" t="s">
        <v>1500</v>
      </c>
      <c r="B63" s="3410"/>
      <c r="C63" s="3410"/>
      <c r="D63" s="1553"/>
      <c r="E63" s="1552" t="str">
        <f>E8</f>
        <v>:  Jawa Barat</v>
      </c>
      <c r="F63" s="1552"/>
      <c r="G63" s="1551"/>
      <c r="H63" s="1551"/>
      <c r="I63" s="1551"/>
      <c r="J63" s="1551"/>
      <c r="K63" s="1550"/>
      <c r="L63" s="1550"/>
      <c r="M63" s="1465"/>
      <c r="N63" s="1465"/>
      <c r="O63" s="1548"/>
      <c r="P63" s="1548"/>
      <c r="Q63" s="1548"/>
      <c r="R63" s="1548"/>
      <c r="S63" s="1548"/>
      <c r="T63" s="1548"/>
      <c r="U63" s="1548"/>
      <c r="V63" s="1548"/>
      <c r="W63" s="1548"/>
      <c r="X63" s="1548"/>
      <c r="Y63" s="1548"/>
      <c r="Z63" s="1548"/>
      <c r="AA63" s="1548"/>
      <c r="AB63" s="2924"/>
      <c r="AC63" s="1548"/>
      <c r="AD63" s="1548"/>
      <c r="AE63" s="1547"/>
      <c r="AF63" s="1547"/>
    </row>
    <row r="64" spans="1:32" ht="14.25" customHeight="1" thickBot="1">
      <c r="A64" s="1546" t="s">
        <v>1461</v>
      </c>
      <c r="B64" s="1546"/>
      <c r="C64" s="1545"/>
      <c r="D64" s="1545"/>
      <c r="E64" s="1543"/>
      <c r="F64" s="1543"/>
      <c r="G64" s="1545"/>
      <c r="H64" s="1545"/>
      <c r="I64" s="1545"/>
      <c r="J64" s="1545"/>
      <c r="M64" s="1543"/>
      <c r="N64" s="1543"/>
      <c r="O64" s="1543"/>
      <c r="P64" s="1543"/>
      <c r="Q64" s="1543"/>
      <c r="R64" s="1543"/>
      <c r="S64" s="1543"/>
      <c r="T64" s="1543"/>
      <c r="U64" s="1543"/>
      <c r="V64" s="1543"/>
      <c r="W64" s="1543"/>
      <c r="X64" s="1543"/>
      <c r="Y64" s="1543"/>
      <c r="Z64" s="1543"/>
      <c r="AA64" s="1543"/>
      <c r="AC64" s="1543"/>
      <c r="AD64" s="1543"/>
      <c r="AE64" s="1542"/>
      <c r="AF64" s="1542"/>
    </row>
    <row r="65" spans="1:32" ht="66.75" customHeight="1" thickTop="1">
      <c r="A65" s="3413" t="s">
        <v>36</v>
      </c>
      <c r="B65" s="3413" t="s">
        <v>1499</v>
      </c>
      <c r="C65" s="3413"/>
      <c r="D65" s="3413" t="s">
        <v>1498</v>
      </c>
      <c r="E65" s="3413" t="s">
        <v>1497</v>
      </c>
      <c r="F65" s="3413"/>
      <c r="G65" s="3413" t="s">
        <v>1496</v>
      </c>
      <c r="H65" s="3413" t="s">
        <v>1495</v>
      </c>
      <c r="I65" s="3413" t="s">
        <v>1494</v>
      </c>
      <c r="J65" s="3413" t="s">
        <v>1493</v>
      </c>
      <c r="K65" s="3413" t="s">
        <v>1492</v>
      </c>
      <c r="L65" s="3413"/>
      <c r="M65" s="3413" t="s">
        <v>1491</v>
      </c>
      <c r="N65" s="3413"/>
      <c r="O65" s="3413" t="s">
        <v>1490</v>
      </c>
      <c r="P65" s="3413"/>
      <c r="Q65" s="3413"/>
      <c r="R65" s="3413" t="s">
        <v>1489</v>
      </c>
      <c r="S65" s="3413"/>
      <c r="T65" s="3413"/>
      <c r="U65" s="3413" t="s">
        <v>1488</v>
      </c>
      <c r="V65" s="3413"/>
      <c r="W65" s="3413"/>
      <c r="X65" s="3413" t="s">
        <v>1487</v>
      </c>
      <c r="Y65" s="3413" t="s">
        <v>1486</v>
      </c>
      <c r="Z65" s="3413" t="s">
        <v>1485</v>
      </c>
      <c r="AA65" s="3413"/>
      <c r="AB65" s="3762" t="s">
        <v>1484</v>
      </c>
      <c r="AC65" s="1541" t="s">
        <v>1483</v>
      </c>
      <c r="AD65" s="1540" t="s">
        <v>1482</v>
      </c>
      <c r="AE65" s="1540" t="s">
        <v>1481</v>
      </c>
      <c r="AF65" s="1539" t="s">
        <v>1480</v>
      </c>
    </row>
    <row r="66" spans="1:32" s="1528" customFormat="1" ht="22.5" customHeight="1">
      <c r="A66" s="3413"/>
      <c r="B66" s="1536" t="s">
        <v>1479</v>
      </c>
      <c r="C66" s="1536" t="s">
        <v>1478</v>
      </c>
      <c r="D66" s="3413"/>
      <c r="E66" s="1537" t="s">
        <v>16</v>
      </c>
      <c r="F66" s="1537" t="s">
        <v>1476</v>
      </c>
      <c r="G66" s="3413"/>
      <c r="H66" s="3413"/>
      <c r="I66" s="3413"/>
      <c r="J66" s="3413"/>
      <c r="K66" s="3413" t="s">
        <v>16</v>
      </c>
      <c r="L66" s="3413" t="s">
        <v>1476</v>
      </c>
      <c r="M66" s="1537" t="s">
        <v>16</v>
      </c>
      <c r="N66" s="1537" t="s">
        <v>1476</v>
      </c>
      <c r="O66" s="1537" t="s">
        <v>16</v>
      </c>
      <c r="P66" s="1537" t="s">
        <v>1476</v>
      </c>
      <c r="Q66" s="1537" t="s">
        <v>1477</v>
      </c>
      <c r="R66" s="1537" t="s">
        <v>16</v>
      </c>
      <c r="S66" s="1537" t="s">
        <v>1476</v>
      </c>
      <c r="T66" s="1537" t="s">
        <v>1477</v>
      </c>
      <c r="U66" s="1537" t="s">
        <v>16</v>
      </c>
      <c r="V66" s="1537" t="s">
        <v>1476</v>
      </c>
      <c r="W66" s="1537" t="s">
        <v>1477</v>
      </c>
      <c r="X66" s="3413"/>
      <c r="Y66" s="3413"/>
      <c r="Z66" s="1537" t="s">
        <v>16</v>
      </c>
      <c r="AA66" s="2168" t="s">
        <v>1476</v>
      </c>
      <c r="AB66" s="3762"/>
      <c r="AC66" s="1531" t="s">
        <v>1475</v>
      </c>
      <c r="AD66" s="1530" t="s">
        <v>1474</v>
      </c>
      <c r="AE66" s="1530" t="s">
        <v>1473</v>
      </c>
      <c r="AF66" s="1529" t="s">
        <v>1472</v>
      </c>
    </row>
    <row r="67" spans="1:32" s="1461" customFormat="1" ht="13.5" customHeight="1" thickBot="1">
      <c r="A67" s="2168">
        <v>1</v>
      </c>
      <c r="B67" s="2168">
        <v>2</v>
      </c>
      <c r="C67" s="2168">
        <v>3</v>
      </c>
      <c r="D67" s="3413"/>
      <c r="E67" s="2168">
        <v>4</v>
      </c>
      <c r="F67" s="2168">
        <v>5</v>
      </c>
      <c r="G67" s="2168">
        <v>6</v>
      </c>
      <c r="H67" s="3413"/>
      <c r="I67" s="3413"/>
      <c r="J67" s="3413"/>
      <c r="K67" s="3413"/>
      <c r="L67" s="3413"/>
      <c r="M67" s="2168">
        <v>7</v>
      </c>
      <c r="N67" s="2168">
        <v>8</v>
      </c>
      <c r="O67" s="2168">
        <v>9</v>
      </c>
      <c r="P67" s="2168">
        <v>10</v>
      </c>
      <c r="Q67" s="2168">
        <v>11</v>
      </c>
      <c r="R67" s="2168">
        <v>12</v>
      </c>
      <c r="S67" s="2168">
        <v>13</v>
      </c>
      <c r="T67" s="2168">
        <v>14</v>
      </c>
      <c r="U67" s="2168" t="s">
        <v>1471</v>
      </c>
      <c r="V67" s="2168" t="s">
        <v>1470</v>
      </c>
      <c r="W67" s="2168" t="s">
        <v>1469</v>
      </c>
      <c r="X67" s="2168" t="s">
        <v>1468</v>
      </c>
      <c r="Y67" s="2168" t="s">
        <v>1467</v>
      </c>
      <c r="Z67" s="2168" t="s">
        <v>1466</v>
      </c>
      <c r="AA67" s="2168" t="s">
        <v>1465</v>
      </c>
      <c r="AB67" s="2931">
        <v>22</v>
      </c>
      <c r="AC67" s="1518">
        <v>23</v>
      </c>
      <c r="AD67" s="1517">
        <v>24</v>
      </c>
      <c r="AE67" s="1517">
        <v>25</v>
      </c>
      <c r="AF67" s="1516">
        <v>26</v>
      </c>
    </row>
    <row r="68" spans="1:32" s="1474" customFormat="1" ht="23.25" customHeight="1" thickTop="1">
      <c r="A68" s="1515">
        <v>1</v>
      </c>
      <c r="B68" s="1513" t="s">
        <v>2113</v>
      </c>
      <c r="C68" s="1514" t="s">
        <v>1925</v>
      </c>
      <c r="D68" s="1514"/>
      <c r="E68" s="1513">
        <v>10000000</v>
      </c>
      <c r="F68" s="1512">
        <f t="shared" ref="F68:F251" si="17">E68*H68</f>
        <v>1800000</v>
      </c>
      <c r="G68" s="2141">
        <v>39939</v>
      </c>
      <c r="H68" s="1511">
        <v>0.18</v>
      </c>
      <c r="I68" s="1508">
        <v>12</v>
      </c>
      <c r="J68" s="1508">
        <v>12</v>
      </c>
      <c r="K68" s="1508">
        <v>833300</v>
      </c>
      <c r="L68" s="1508">
        <v>150000</v>
      </c>
      <c r="M68" s="1510">
        <f t="shared" ref="M68:M251" si="18">IF(J68&lt;I68,J68*K68,IF(J68&gt;=I68,E68))</f>
        <v>10000000</v>
      </c>
      <c r="N68" s="1510">
        <f t="shared" ref="N68:N251" si="19">IF(J68&lt;I68,J68*L68,IF(J68&gt;=I68,F68))</f>
        <v>1800000</v>
      </c>
      <c r="O68" s="1509">
        <v>10000000</v>
      </c>
      <c r="P68" s="1509">
        <v>1800000</v>
      </c>
      <c r="Q68" s="1509"/>
      <c r="R68" s="2650">
        <v>0</v>
      </c>
      <c r="S68" s="2650">
        <v>0</v>
      </c>
      <c r="T68" s="1507"/>
      <c r="U68" s="1495">
        <f t="shared" ref="U68:U251" si="20">SUM(O68+R68)</f>
        <v>10000000</v>
      </c>
      <c r="V68" s="1495">
        <f t="shared" ref="V68:V251" si="21">SUM(P68+S68)</f>
        <v>1800000</v>
      </c>
      <c r="W68" s="1495">
        <f t="shared" ref="W68:W251" si="22">SUM(Q68+T68)</f>
        <v>0</v>
      </c>
      <c r="X68" s="1495">
        <f t="shared" ref="X68:X251" si="23">SUM(E68-U68)</f>
        <v>0</v>
      </c>
      <c r="Y68" s="1495">
        <f t="shared" ref="Y68:Y251" si="24">SUM(U68/M68)*100</f>
        <v>100</v>
      </c>
      <c r="Z68" s="1495">
        <f t="shared" ref="Z68:Z251" si="25">SUM(M68-U68)</f>
        <v>0</v>
      </c>
      <c r="AA68" s="1506">
        <f t="shared" ref="AA68:AA251" si="26">SUM(N68-V68)</f>
        <v>0</v>
      </c>
      <c r="AB68" s="2927"/>
      <c r="AC68" s="1504">
        <f t="shared" ref="AC68:AC144" si="27">IF(AND(AB68&gt;0,AB68&lt;=2),X68,0)</f>
        <v>0</v>
      </c>
      <c r="AD68" s="1503">
        <f t="shared" ref="AD68:AD144" si="28">IF(AND(AB68&gt;=3,AB68&lt;=4),X68,0)</f>
        <v>0</v>
      </c>
      <c r="AE68" s="1503">
        <f t="shared" ref="AE68:AE144" si="29">IF(AND(AB68&gt;=5,AB68&lt;=6),X68,0)</f>
        <v>0</v>
      </c>
      <c r="AF68" s="1502">
        <f t="shared" ref="AF68:AF144" si="30">IF(AB68&gt;6,X68,0)</f>
        <v>0</v>
      </c>
    </row>
    <row r="69" spans="1:32" s="1474" customFormat="1" ht="23.25" customHeight="1">
      <c r="A69" s="1515">
        <f>A68+1</f>
        <v>2</v>
      </c>
      <c r="B69" s="1513" t="s">
        <v>2066</v>
      </c>
      <c r="C69" s="1514" t="s">
        <v>1928</v>
      </c>
      <c r="D69" s="1514"/>
      <c r="E69" s="1513">
        <v>7000000</v>
      </c>
      <c r="F69" s="1512">
        <f t="shared" si="17"/>
        <v>1260000</v>
      </c>
      <c r="G69" s="2141">
        <v>40214</v>
      </c>
      <c r="H69" s="1511">
        <v>0.18</v>
      </c>
      <c r="I69" s="1508">
        <v>12</v>
      </c>
      <c r="J69" s="1508">
        <v>12</v>
      </c>
      <c r="K69" s="1508">
        <v>583300</v>
      </c>
      <c r="L69" s="1508">
        <v>105000</v>
      </c>
      <c r="M69" s="1510">
        <f t="shared" si="18"/>
        <v>7000000</v>
      </c>
      <c r="N69" s="1510">
        <f t="shared" si="19"/>
        <v>1260000</v>
      </c>
      <c r="O69" s="1509">
        <v>7000000</v>
      </c>
      <c r="P69" s="1509">
        <v>1260000</v>
      </c>
      <c r="Q69" s="1509"/>
      <c r="R69" s="2650"/>
      <c r="S69" s="2650"/>
      <c r="T69" s="1507"/>
      <c r="U69" s="1495">
        <f t="shared" si="20"/>
        <v>7000000</v>
      </c>
      <c r="V69" s="1495">
        <f t="shared" si="21"/>
        <v>1260000</v>
      </c>
      <c r="W69" s="1495">
        <f t="shared" si="22"/>
        <v>0</v>
      </c>
      <c r="X69" s="1495">
        <f t="shared" si="23"/>
        <v>0</v>
      </c>
      <c r="Y69" s="1495">
        <f t="shared" si="24"/>
        <v>100</v>
      </c>
      <c r="Z69" s="1495">
        <f t="shared" si="25"/>
        <v>0</v>
      </c>
      <c r="AA69" s="1506">
        <f t="shared" si="26"/>
        <v>0</v>
      </c>
      <c r="AB69" s="2927"/>
      <c r="AC69" s="1504">
        <f t="shared" si="27"/>
        <v>0</v>
      </c>
      <c r="AD69" s="1503">
        <f t="shared" si="28"/>
        <v>0</v>
      </c>
      <c r="AE69" s="1503">
        <f t="shared" si="29"/>
        <v>0</v>
      </c>
      <c r="AF69" s="1502">
        <f t="shared" si="30"/>
        <v>0</v>
      </c>
    </row>
    <row r="70" spans="1:32" s="1474" customFormat="1" ht="23.25" customHeight="1">
      <c r="A70" s="1515">
        <f t="shared" ref="A70:A102" si="31">A69+1</f>
        <v>3</v>
      </c>
      <c r="B70" s="1513" t="s">
        <v>2114</v>
      </c>
      <c r="C70" s="1514" t="s">
        <v>1928</v>
      </c>
      <c r="D70" s="1514"/>
      <c r="E70" s="1513">
        <v>7000000</v>
      </c>
      <c r="F70" s="1512">
        <f t="shared" si="17"/>
        <v>1260000</v>
      </c>
      <c r="G70" s="2141">
        <v>40214</v>
      </c>
      <c r="H70" s="1511">
        <v>0.18</v>
      </c>
      <c r="I70" s="1508">
        <v>12</v>
      </c>
      <c r="J70" s="1508">
        <v>12</v>
      </c>
      <c r="K70" s="1508">
        <v>583300</v>
      </c>
      <c r="L70" s="1508">
        <v>105000</v>
      </c>
      <c r="M70" s="1510">
        <f t="shared" si="18"/>
        <v>7000000</v>
      </c>
      <c r="N70" s="1510">
        <f t="shared" si="19"/>
        <v>1260000</v>
      </c>
      <c r="O70" s="1509">
        <v>7000000</v>
      </c>
      <c r="P70" s="1509">
        <v>1260000</v>
      </c>
      <c r="Q70" s="1509"/>
      <c r="R70" s="2650"/>
      <c r="S70" s="2650"/>
      <c r="T70" s="1507"/>
      <c r="U70" s="1495">
        <f t="shared" si="20"/>
        <v>7000000</v>
      </c>
      <c r="V70" s="1495">
        <f t="shared" si="21"/>
        <v>1260000</v>
      </c>
      <c r="W70" s="1495">
        <f t="shared" si="22"/>
        <v>0</v>
      </c>
      <c r="X70" s="1495">
        <f t="shared" si="23"/>
        <v>0</v>
      </c>
      <c r="Y70" s="1495">
        <f t="shared" si="24"/>
        <v>100</v>
      </c>
      <c r="Z70" s="1495">
        <f t="shared" si="25"/>
        <v>0</v>
      </c>
      <c r="AA70" s="1506">
        <f t="shared" si="26"/>
        <v>0</v>
      </c>
      <c r="AB70" s="2927"/>
      <c r="AC70" s="1504">
        <f t="shared" si="27"/>
        <v>0</v>
      </c>
      <c r="AD70" s="1503">
        <f t="shared" si="28"/>
        <v>0</v>
      </c>
      <c r="AE70" s="1503">
        <f t="shared" si="29"/>
        <v>0</v>
      </c>
      <c r="AF70" s="1502">
        <f t="shared" si="30"/>
        <v>0</v>
      </c>
    </row>
    <row r="71" spans="1:32" s="1474" customFormat="1" ht="23.25" customHeight="1">
      <c r="A71" s="1515">
        <f t="shared" si="31"/>
        <v>4</v>
      </c>
      <c r="B71" s="1513" t="s">
        <v>2115</v>
      </c>
      <c r="C71" s="1514" t="s">
        <v>1928</v>
      </c>
      <c r="D71" s="1514"/>
      <c r="E71" s="1513">
        <v>9000000</v>
      </c>
      <c r="F71" s="1512">
        <f t="shared" si="17"/>
        <v>1620000</v>
      </c>
      <c r="G71" s="2141">
        <v>40214</v>
      </c>
      <c r="H71" s="1511">
        <v>0.18</v>
      </c>
      <c r="I71" s="1508">
        <v>12</v>
      </c>
      <c r="J71" s="1508">
        <v>12</v>
      </c>
      <c r="K71" s="1508">
        <v>750000</v>
      </c>
      <c r="L71" s="1508">
        <v>135000</v>
      </c>
      <c r="M71" s="1510">
        <f t="shared" si="18"/>
        <v>9000000</v>
      </c>
      <c r="N71" s="1510">
        <f t="shared" si="19"/>
        <v>1620000</v>
      </c>
      <c r="O71" s="1509">
        <v>9000000</v>
      </c>
      <c r="P71" s="1509">
        <v>1620000</v>
      </c>
      <c r="Q71" s="1509"/>
      <c r="R71" s="2650"/>
      <c r="S71" s="2650"/>
      <c r="T71" s="1507"/>
      <c r="U71" s="1495">
        <f t="shared" si="20"/>
        <v>9000000</v>
      </c>
      <c r="V71" s="1495">
        <f t="shared" si="21"/>
        <v>1620000</v>
      </c>
      <c r="W71" s="1495">
        <f t="shared" si="22"/>
        <v>0</v>
      </c>
      <c r="X71" s="1495">
        <f t="shared" si="23"/>
        <v>0</v>
      </c>
      <c r="Y71" s="1495">
        <f t="shared" si="24"/>
        <v>100</v>
      </c>
      <c r="Z71" s="1495">
        <f t="shared" si="25"/>
        <v>0</v>
      </c>
      <c r="AA71" s="1506">
        <f t="shared" si="26"/>
        <v>0</v>
      </c>
      <c r="AB71" s="2927"/>
      <c r="AC71" s="1504">
        <f t="shared" si="27"/>
        <v>0</v>
      </c>
      <c r="AD71" s="1503">
        <f t="shared" si="28"/>
        <v>0</v>
      </c>
      <c r="AE71" s="1503">
        <f t="shared" si="29"/>
        <v>0</v>
      </c>
      <c r="AF71" s="1502">
        <f t="shared" si="30"/>
        <v>0</v>
      </c>
    </row>
    <row r="72" spans="1:32" s="1474" customFormat="1" ht="23.25" customHeight="1">
      <c r="A72" s="1515">
        <f t="shared" si="31"/>
        <v>5</v>
      </c>
      <c r="B72" s="1513" t="s">
        <v>2116</v>
      </c>
      <c r="C72" s="1514" t="s">
        <v>1931</v>
      </c>
      <c r="D72" s="1514"/>
      <c r="E72" s="1513">
        <v>10000000</v>
      </c>
      <c r="F72" s="1512">
        <f t="shared" si="17"/>
        <v>1800000</v>
      </c>
      <c r="G72" s="2141">
        <v>40242</v>
      </c>
      <c r="H72" s="1511">
        <v>0.18</v>
      </c>
      <c r="I72" s="1508">
        <v>12</v>
      </c>
      <c r="J72" s="1508">
        <v>12</v>
      </c>
      <c r="K72" s="1508">
        <v>833300</v>
      </c>
      <c r="L72" s="1508">
        <v>150000</v>
      </c>
      <c r="M72" s="1510">
        <f t="shared" si="18"/>
        <v>10000000</v>
      </c>
      <c r="N72" s="1510">
        <f t="shared" si="19"/>
        <v>1800000</v>
      </c>
      <c r="O72" s="1509">
        <v>10000000</v>
      </c>
      <c r="P72" s="1509">
        <v>1800000</v>
      </c>
      <c r="Q72" s="1509"/>
      <c r="R72" s="2650"/>
      <c r="S72" s="2650"/>
      <c r="T72" s="1507"/>
      <c r="U72" s="1495">
        <f t="shared" si="20"/>
        <v>10000000</v>
      </c>
      <c r="V72" s="1495">
        <f t="shared" si="21"/>
        <v>1800000</v>
      </c>
      <c r="W72" s="1495">
        <f t="shared" si="22"/>
        <v>0</v>
      </c>
      <c r="X72" s="1495">
        <f t="shared" si="23"/>
        <v>0</v>
      </c>
      <c r="Y72" s="1495">
        <f t="shared" si="24"/>
        <v>100</v>
      </c>
      <c r="Z72" s="1495">
        <f t="shared" si="25"/>
        <v>0</v>
      </c>
      <c r="AA72" s="1506">
        <f t="shared" si="26"/>
        <v>0</v>
      </c>
      <c r="AB72" s="2927"/>
      <c r="AC72" s="1504">
        <f t="shared" si="27"/>
        <v>0</v>
      </c>
      <c r="AD72" s="1503">
        <f t="shared" si="28"/>
        <v>0</v>
      </c>
      <c r="AE72" s="1503">
        <f t="shared" si="29"/>
        <v>0</v>
      </c>
      <c r="AF72" s="1502">
        <f t="shared" si="30"/>
        <v>0</v>
      </c>
    </row>
    <row r="73" spans="1:32" s="1474" customFormat="1" ht="23.25" customHeight="1">
      <c r="A73" s="1515">
        <f t="shared" si="31"/>
        <v>6</v>
      </c>
      <c r="B73" s="1513" t="s">
        <v>1977</v>
      </c>
      <c r="C73" s="1514" t="s">
        <v>1931</v>
      </c>
      <c r="D73" s="1514"/>
      <c r="E73" s="1513">
        <v>10000000</v>
      </c>
      <c r="F73" s="1512">
        <f t="shared" si="17"/>
        <v>1800000</v>
      </c>
      <c r="G73" s="2141">
        <v>40242</v>
      </c>
      <c r="H73" s="1511">
        <v>0.18</v>
      </c>
      <c r="I73" s="1508">
        <v>12</v>
      </c>
      <c r="J73" s="1508">
        <v>12</v>
      </c>
      <c r="K73" s="1508">
        <v>833300</v>
      </c>
      <c r="L73" s="1508">
        <v>150000</v>
      </c>
      <c r="M73" s="1510">
        <f t="shared" si="18"/>
        <v>10000000</v>
      </c>
      <c r="N73" s="1510">
        <f t="shared" si="19"/>
        <v>1800000</v>
      </c>
      <c r="O73" s="1509">
        <v>10000000</v>
      </c>
      <c r="P73" s="1509">
        <v>1800000</v>
      </c>
      <c r="Q73" s="1509"/>
      <c r="R73" s="2650"/>
      <c r="S73" s="2650"/>
      <c r="T73" s="1507"/>
      <c r="U73" s="1495">
        <f t="shared" si="20"/>
        <v>10000000</v>
      </c>
      <c r="V73" s="1495">
        <f t="shared" si="21"/>
        <v>1800000</v>
      </c>
      <c r="W73" s="1495">
        <f t="shared" si="22"/>
        <v>0</v>
      </c>
      <c r="X73" s="1495">
        <f t="shared" si="23"/>
        <v>0</v>
      </c>
      <c r="Y73" s="1495">
        <f t="shared" si="24"/>
        <v>100</v>
      </c>
      <c r="Z73" s="1495">
        <f t="shared" si="25"/>
        <v>0</v>
      </c>
      <c r="AA73" s="1506">
        <f t="shared" si="26"/>
        <v>0</v>
      </c>
      <c r="AB73" s="2927"/>
      <c r="AC73" s="1504">
        <f t="shared" si="27"/>
        <v>0</v>
      </c>
      <c r="AD73" s="1503">
        <f t="shared" si="28"/>
        <v>0</v>
      </c>
      <c r="AE73" s="1503">
        <f t="shared" si="29"/>
        <v>0</v>
      </c>
      <c r="AF73" s="1502">
        <f t="shared" si="30"/>
        <v>0</v>
      </c>
    </row>
    <row r="74" spans="1:32" s="1474" customFormat="1" ht="23.25" customHeight="1">
      <c r="A74" s="1515">
        <f t="shared" si="31"/>
        <v>7</v>
      </c>
      <c r="B74" s="1513" t="s">
        <v>2117</v>
      </c>
      <c r="C74" s="1514" t="s">
        <v>1931</v>
      </c>
      <c r="D74" s="1514"/>
      <c r="E74" s="1513">
        <v>7000000</v>
      </c>
      <c r="F74" s="1512">
        <f t="shared" si="17"/>
        <v>1260000</v>
      </c>
      <c r="G74" s="2141">
        <v>40242</v>
      </c>
      <c r="H74" s="1511">
        <v>0.18</v>
      </c>
      <c r="I74" s="1508">
        <v>12</v>
      </c>
      <c r="J74" s="1508">
        <v>12</v>
      </c>
      <c r="K74" s="1508">
        <v>583300</v>
      </c>
      <c r="L74" s="1508">
        <v>105000</v>
      </c>
      <c r="M74" s="1510">
        <f t="shared" si="18"/>
        <v>7000000</v>
      </c>
      <c r="N74" s="1510">
        <f t="shared" si="19"/>
        <v>1260000</v>
      </c>
      <c r="O74" s="1509">
        <v>7000000</v>
      </c>
      <c r="P74" s="1509">
        <v>1260000</v>
      </c>
      <c r="Q74" s="1509"/>
      <c r="R74" s="2650"/>
      <c r="S74" s="2650"/>
      <c r="T74" s="1507"/>
      <c r="U74" s="1495">
        <f t="shared" si="20"/>
        <v>7000000</v>
      </c>
      <c r="V74" s="1495">
        <f t="shared" si="21"/>
        <v>1260000</v>
      </c>
      <c r="W74" s="1495">
        <f t="shared" si="22"/>
        <v>0</v>
      </c>
      <c r="X74" s="1495">
        <f t="shared" si="23"/>
        <v>0</v>
      </c>
      <c r="Y74" s="1495">
        <f t="shared" si="24"/>
        <v>100</v>
      </c>
      <c r="Z74" s="1495">
        <f t="shared" si="25"/>
        <v>0</v>
      </c>
      <c r="AA74" s="1506">
        <f t="shared" si="26"/>
        <v>0</v>
      </c>
      <c r="AB74" s="2927"/>
      <c r="AC74" s="1504">
        <f t="shared" si="27"/>
        <v>0</v>
      </c>
      <c r="AD74" s="1503">
        <f t="shared" si="28"/>
        <v>0</v>
      </c>
      <c r="AE74" s="1503">
        <f t="shared" si="29"/>
        <v>0</v>
      </c>
      <c r="AF74" s="1502">
        <f t="shared" si="30"/>
        <v>0</v>
      </c>
    </row>
    <row r="75" spans="1:32" s="1474" customFormat="1" ht="23.25" customHeight="1">
      <c r="A75" s="1515">
        <f t="shared" si="31"/>
        <v>8</v>
      </c>
      <c r="B75" s="1513" t="s">
        <v>2118</v>
      </c>
      <c r="C75" s="1514" t="s">
        <v>1931</v>
      </c>
      <c r="D75" s="1514"/>
      <c r="E75" s="1513">
        <v>6000000</v>
      </c>
      <c r="F75" s="1512">
        <f t="shared" si="17"/>
        <v>1080000</v>
      </c>
      <c r="G75" s="2141">
        <v>40242</v>
      </c>
      <c r="H75" s="1511">
        <v>0.18</v>
      </c>
      <c r="I75" s="1508">
        <v>12</v>
      </c>
      <c r="J75" s="1508">
        <v>12</v>
      </c>
      <c r="K75" s="1508">
        <v>500000</v>
      </c>
      <c r="L75" s="1508">
        <v>90000</v>
      </c>
      <c r="M75" s="1510">
        <f t="shared" si="18"/>
        <v>6000000</v>
      </c>
      <c r="N75" s="1510">
        <f t="shared" si="19"/>
        <v>1080000</v>
      </c>
      <c r="O75" s="1509">
        <v>6000000</v>
      </c>
      <c r="P75" s="1509">
        <v>1080000</v>
      </c>
      <c r="Q75" s="1509"/>
      <c r="R75" s="2650"/>
      <c r="S75" s="2650"/>
      <c r="T75" s="1507"/>
      <c r="U75" s="1495">
        <f t="shared" si="20"/>
        <v>6000000</v>
      </c>
      <c r="V75" s="1495">
        <f t="shared" si="21"/>
        <v>1080000</v>
      </c>
      <c r="W75" s="1495">
        <f t="shared" si="22"/>
        <v>0</v>
      </c>
      <c r="X75" s="1495">
        <f t="shared" si="23"/>
        <v>0</v>
      </c>
      <c r="Y75" s="1495">
        <f t="shared" si="24"/>
        <v>100</v>
      </c>
      <c r="Z75" s="1495">
        <f t="shared" si="25"/>
        <v>0</v>
      </c>
      <c r="AA75" s="1506">
        <f t="shared" si="26"/>
        <v>0</v>
      </c>
      <c r="AB75" s="2927"/>
      <c r="AC75" s="1504">
        <f t="shared" si="27"/>
        <v>0</v>
      </c>
      <c r="AD75" s="1503">
        <f t="shared" si="28"/>
        <v>0</v>
      </c>
      <c r="AE75" s="1503">
        <f t="shared" si="29"/>
        <v>0</v>
      </c>
      <c r="AF75" s="1502">
        <f t="shared" si="30"/>
        <v>0</v>
      </c>
    </row>
    <row r="76" spans="1:32" s="1474" customFormat="1" ht="23.25" customHeight="1">
      <c r="A76" s="1515">
        <f t="shared" si="31"/>
        <v>9</v>
      </c>
      <c r="B76" s="1513" t="s">
        <v>1991</v>
      </c>
      <c r="C76" s="1514" t="s">
        <v>1931</v>
      </c>
      <c r="D76" s="1514"/>
      <c r="E76" s="1513">
        <v>7000000</v>
      </c>
      <c r="F76" s="1512">
        <f t="shared" si="17"/>
        <v>1260000</v>
      </c>
      <c r="G76" s="2141">
        <v>40242</v>
      </c>
      <c r="H76" s="1511">
        <v>0.18</v>
      </c>
      <c r="I76" s="1508">
        <v>12</v>
      </c>
      <c r="J76" s="1508">
        <v>12</v>
      </c>
      <c r="K76" s="1508">
        <v>583300</v>
      </c>
      <c r="L76" s="1508">
        <v>105000</v>
      </c>
      <c r="M76" s="1510">
        <f t="shared" si="18"/>
        <v>7000000</v>
      </c>
      <c r="N76" s="1510">
        <f t="shared" si="19"/>
        <v>1260000</v>
      </c>
      <c r="O76" s="1509">
        <v>7000000</v>
      </c>
      <c r="P76" s="1509">
        <v>1260000</v>
      </c>
      <c r="Q76" s="1509"/>
      <c r="R76" s="2650"/>
      <c r="S76" s="2650"/>
      <c r="T76" s="1507"/>
      <c r="U76" s="1495">
        <f t="shared" si="20"/>
        <v>7000000</v>
      </c>
      <c r="V76" s="1495">
        <f t="shared" si="21"/>
        <v>1260000</v>
      </c>
      <c r="W76" s="1495">
        <f t="shared" si="22"/>
        <v>0</v>
      </c>
      <c r="X76" s="1495">
        <f t="shared" si="23"/>
        <v>0</v>
      </c>
      <c r="Y76" s="1495">
        <f t="shared" si="24"/>
        <v>100</v>
      </c>
      <c r="Z76" s="1495">
        <f t="shared" si="25"/>
        <v>0</v>
      </c>
      <c r="AA76" s="1506">
        <f t="shared" si="26"/>
        <v>0</v>
      </c>
      <c r="AB76" s="2927"/>
      <c r="AC76" s="1504">
        <f t="shared" si="27"/>
        <v>0</v>
      </c>
      <c r="AD76" s="1503">
        <f t="shared" si="28"/>
        <v>0</v>
      </c>
      <c r="AE76" s="1503">
        <f t="shared" si="29"/>
        <v>0</v>
      </c>
      <c r="AF76" s="1502">
        <f t="shared" si="30"/>
        <v>0</v>
      </c>
    </row>
    <row r="77" spans="1:32" s="1474" customFormat="1" ht="23.25" customHeight="1">
      <c r="A77" s="1515">
        <f t="shared" si="31"/>
        <v>10</v>
      </c>
      <c r="B77" s="1513" t="s">
        <v>2058</v>
      </c>
      <c r="C77" s="1514" t="s">
        <v>1931</v>
      </c>
      <c r="D77" s="1514"/>
      <c r="E77" s="1513">
        <v>7000000</v>
      </c>
      <c r="F77" s="1512">
        <f t="shared" si="17"/>
        <v>1260000</v>
      </c>
      <c r="G77" s="2141">
        <v>40242</v>
      </c>
      <c r="H77" s="1511">
        <v>0.18</v>
      </c>
      <c r="I77" s="1508">
        <v>12</v>
      </c>
      <c r="J77" s="1508">
        <v>12</v>
      </c>
      <c r="K77" s="1508">
        <v>583300</v>
      </c>
      <c r="L77" s="1508">
        <v>105000</v>
      </c>
      <c r="M77" s="1510">
        <f t="shared" si="18"/>
        <v>7000000</v>
      </c>
      <c r="N77" s="1510">
        <f t="shared" si="19"/>
        <v>1260000</v>
      </c>
      <c r="O77" s="1509">
        <v>7000000</v>
      </c>
      <c r="P77" s="1509">
        <v>1260000</v>
      </c>
      <c r="Q77" s="1509"/>
      <c r="R77" s="2650"/>
      <c r="S77" s="2650"/>
      <c r="T77" s="1507"/>
      <c r="U77" s="1495">
        <f t="shared" si="20"/>
        <v>7000000</v>
      </c>
      <c r="V77" s="1495">
        <f t="shared" si="21"/>
        <v>1260000</v>
      </c>
      <c r="W77" s="1495">
        <f t="shared" si="22"/>
        <v>0</v>
      </c>
      <c r="X77" s="1495">
        <f t="shared" si="23"/>
        <v>0</v>
      </c>
      <c r="Y77" s="1495">
        <f t="shared" si="24"/>
        <v>100</v>
      </c>
      <c r="Z77" s="1495">
        <f t="shared" si="25"/>
        <v>0</v>
      </c>
      <c r="AA77" s="1506">
        <f t="shared" si="26"/>
        <v>0</v>
      </c>
      <c r="AB77" s="2927"/>
      <c r="AC77" s="1504">
        <f t="shared" si="27"/>
        <v>0</v>
      </c>
      <c r="AD77" s="1503">
        <f t="shared" si="28"/>
        <v>0</v>
      </c>
      <c r="AE77" s="1503">
        <f t="shared" si="29"/>
        <v>0</v>
      </c>
      <c r="AF77" s="1502">
        <f t="shared" si="30"/>
        <v>0</v>
      </c>
    </row>
    <row r="78" spans="1:32" s="1474" customFormat="1" ht="23.25" customHeight="1">
      <c r="A78" s="1515">
        <f t="shared" si="31"/>
        <v>11</v>
      </c>
      <c r="B78" s="1513" t="s">
        <v>2078</v>
      </c>
      <c r="C78" s="1514" t="s">
        <v>1931</v>
      </c>
      <c r="D78" s="1514"/>
      <c r="E78" s="1513">
        <v>7000000</v>
      </c>
      <c r="F78" s="1512">
        <f t="shared" si="17"/>
        <v>1260000</v>
      </c>
      <c r="G78" s="2141">
        <v>40242</v>
      </c>
      <c r="H78" s="1511">
        <v>0.18</v>
      </c>
      <c r="I78" s="1508">
        <v>12</v>
      </c>
      <c r="J78" s="1508">
        <v>12</v>
      </c>
      <c r="K78" s="1508">
        <v>583300</v>
      </c>
      <c r="L78" s="1508">
        <v>105000</v>
      </c>
      <c r="M78" s="1510">
        <f t="shared" si="18"/>
        <v>7000000</v>
      </c>
      <c r="N78" s="1510">
        <f t="shared" si="19"/>
        <v>1260000</v>
      </c>
      <c r="O78" s="1509">
        <v>7000000</v>
      </c>
      <c r="P78" s="1509">
        <v>1260000</v>
      </c>
      <c r="Q78" s="1509"/>
      <c r="R78" s="2650"/>
      <c r="S78" s="2650"/>
      <c r="T78" s="1507"/>
      <c r="U78" s="1495">
        <f t="shared" si="20"/>
        <v>7000000</v>
      </c>
      <c r="V78" s="1495">
        <f t="shared" si="21"/>
        <v>1260000</v>
      </c>
      <c r="W78" s="1495">
        <f t="shared" si="22"/>
        <v>0</v>
      </c>
      <c r="X78" s="1495">
        <f t="shared" si="23"/>
        <v>0</v>
      </c>
      <c r="Y78" s="1495">
        <f t="shared" si="24"/>
        <v>100</v>
      </c>
      <c r="Z78" s="1495">
        <f t="shared" si="25"/>
        <v>0</v>
      </c>
      <c r="AA78" s="1506">
        <f t="shared" si="26"/>
        <v>0</v>
      </c>
      <c r="AB78" s="2927"/>
      <c r="AC78" s="1504">
        <f t="shared" si="27"/>
        <v>0</v>
      </c>
      <c r="AD78" s="1503">
        <f t="shared" si="28"/>
        <v>0</v>
      </c>
      <c r="AE78" s="1503">
        <f t="shared" si="29"/>
        <v>0</v>
      </c>
      <c r="AF78" s="1502">
        <f t="shared" si="30"/>
        <v>0</v>
      </c>
    </row>
    <row r="79" spans="1:32" s="1474" customFormat="1" ht="23.25" customHeight="1">
      <c r="A79" s="1515">
        <f t="shared" si="31"/>
        <v>12</v>
      </c>
      <c r="B79" s="1513" t="s">
        <v>2119</v>
      </c>
      <c r="C79" s="1514" t="s">
        <v>1932</v>
      </c>
      <c r="D79" s="1514"/>
      <c r="E79" s="1513">
        <v>5600000</v>
      </c>
      <c r="F79" s="1512">
        <f t="shared" si="17"/>
        <v>1008000</v>
      </c>
      <c r="G79" s="2141">
        <v>40339</v>
      </c>
      <c r="H79" s="1511">
        <v>0.18</v>
      </c>
      <c r="I79" s="1508">
        <v>12</v>
      </c>
      <c r="J79" s="1508">
        <v>12</v>
      </c>
      <c r="K79" s="1508">
        <v>466700</v>
      </c>
      <c r="L79" s="1508">
        <v>84000</v>
      </c>
      <c r="M79" s="1510">
        <f t="shared" si="18"/>
        <v>5600000</v>
      </c>
      <c r="N79" s="1510">
        <f t="shared" si="19"/>
        <v>1008000</v>
      </c>
      <c r="O79" s="1509">
        <v>5600000</v>
      </c>
      <c r="P79" s="1509">
        <v>1008000</v>
      </c>
      <c r="Q79" s="1509"/>
      <c r="R79" s="2650"/>
      <c r="S79" s="2650"/>
      <c r="T79" s="1507"/>
      <c r="U79" s="1495">
        <f t="shared" si="20"/>
        <v>5600000</v>
      </c>
      <c r="V79" s="1495">
        <f t="shared" si="21"/>
        <v>1008000</v>
      </c>
      <c r="W79" s="1495">
        <f t="shared" si="22"/>
        <v>0</v>
      </c>
      <c r="X79" s="1495">
        <f t="shared" si="23"/>
        <v>0</v>
      </c>
      <c r="Y79" s="1495">
        <f t="shared" si="24"/>
        <v>100</v>
      </c>
      <c r="Z79" s="1495">
        <f t="shared" si="25"/>
        <v>0</v>
      </c>
      <c r="AA79" s="1506">
        <f t="shared" si="26"/>
        <v>0</v>
      </c>
      <c r="AB79" s="2927"/>
      <c r="AC79" s="1504">
        <f t="shared" si="27"/>
        <v>0</v>
      </c>
      <c r="AD79" s="1503">
        <f t="shared" si="28"/>
        <v>0</v>
      </c>
      <c r="AE79" s="1503">
        <f t="shared" si="29"/>
        <v>0</v>
      </c>
      <c r="AF79" s="1502">
        <f t="shared" si="30"/>
        <v>0</v>
      </c>
    </row>
    <row r="80" spans="1:32" s="1474" customFormat="1" ht="23.25" customHeight="1">
      <c r="A80" s="1515">
        <f t="shared" si="31"/>
        <v>13</v>
      </c>
      <c r="B80" s="1513" t="s">
        <v>3</v>
      </c>
      <c r="C80" s="1514" t="s">
        <v>1932</v>
      </c>
      <c r="D80" s="1514"/>
      <c r="E80" s="1513">
        <v>6400000</v>
      </c>
      <c r="F80" s="1512">
        <f t="shared" si="17"/>
        <v>1152000</v>
      </c>
      <c r="G80" s="2141">
        <v>40339</v>
      </c>
      <c r="H80" s="1511">
        <v>0.18</v>
      </c>
      <c r="I80" s="1508">
        <v>12</v>
      </c>
      <c r="J80" s="1508">
        <v>12</v>
      </c>
      <c r="K80" s="1508">
        <v>533300</v>
      </c>
      <c r="L80" s="1508">
        <v>96000</v>
      </c>
      <c r="M80" s="1510">
        <f t="shared" si="18"/>
        <v>6400000</v>
      </c>
      <c r="N80" s="1510">
        <f t="shared" si="19"/>
        <v>1152000</v>
      </c>
      <c r="O80" s="1509">
        <v>6400000</v>
      </c>
      <c r="P80" s="1509">
        <v>1152000</v>
      </c>
      <c r="Q80" s="1509"/>
      <c r="R80" s="2650"/>
      <c r="S80" s="2650"/>
      <c r="T80" s="1507"/>
      <c r="U80" s="1495">
        <f t="shared" si="20"/>
        <v>6400000</v>
      </c>
      <c r="V80" s="1495">
        <f t="shared" si="21"/>
        <v>1152000</v>
      </c>
      <c r="W80" s="1495">
        <f t="shared" si="22"/>
        <v>0</v>
      </c>
      <c r="X80" s="1495">
        <f t="shared" si="23"/>
        <v>0</v>
      </c>
      <c r="Y80" s="1495">
        <f t="shared" si="24"/>
        <v>100</v>
      </c>
      <c r="Z80" s="1495">
        <f t="shared" si="25"/>
        <v>0</v>
      </c>
      <c r="AA80" s="1506">
        <f t="shared" si="26"/>
        <v>0</v>
      </c>
      <c r="AB80" s="2927"/>
      <c r="AC80" s="1504">
        <f t="shared" si="27"/>
        <v>0</v>
      </c>
      <c r="AD80" s="1503">
        <f t="shared" si="28"/>
        <v>0</v>
      </c>
      <c r="AE80" s="1503">
        <f t="shared" si="29"/>
        <v>0</v>
      </c>
      <c r="AF80" s="1502">
        <f t="shared" si="30"/>
        <v>0</v>
      </c>
    </row>
    <row r="81" spans="1:32" s="1474" customFormat="1" ht="23.25" customHeight="1">
      <c r="A81" s="1515">
        <f t="shared" si="31"/>
        <v>14</v>
      </c>
      <c r="B81" s="1513" t="s">
        <v>2120</v>
      </c>
      <c r="C81" s="1514" t="s">
        <v>1932</v>
      </c>
      <c r="D81" s="1514"/>
      <c r="E81" s="1513">
        <v>6400000</v>
      </c>
      <c r="F81" s="1512">
        <f t="shared" si="17"/>
        <v>1152000</v>
      </c>
      <c r="G81" s="2141">
        <v>40339</v>
      </c>
      <c r="H81" s="1511">
        <v>0.18</v>
      </c>
      <c r="I81" s="1508">
        <v>12</v>
      </c>
      <c r="J81" s="1508">
        <v>12</v>
      </c>
      <c r="K81" s="1508">
        <v>533300</v>
      </c>
      <c r="L81" s="1508">
        <v>96000</v>
      </c>
      <c r="M81" s="2172">
        <f t="shared" si="18"/>
        <v>6400000</v>
      </c>
      <c r="N81" s="2172">
        <f t="shared" si="19"/>
        <v>1152000</v>
      </c>
      <c r="O81" s="2171">
        <v>6400000</v>
      </c>
      <c r="P81" s="2171">
        <v>1152000</v>
      </c>
      <c r="Q81" s="2171"/>
      <c r="R81" s="2649"/>
      <c r="S81" s="2649"/>
      <c r="T81" s="2173"/>
      <c r="U81" s="2174">
        <f t="shared" si="20"/>
        <v>6400000</v>
      </c>
      <c r="V81" s="1495">
        <f t="shared" si="21"/>
        <v>1152000</v>
      </c>
      <c r="W81" s="1495">
        <f t="shared" si="22"/>
        <v>0</v>
      </c>
      <c r="X81" s="1495">
        <f t="shared" si="23"/>
        <v>0</v>
      </c>
      <c r="Y81" s="1495">
        <f t="shared" si="24"/>
        <v>100</v>
      </c>
      <c r="Z81" s="1495">
        <f t="shared" si="25"/>
        <v>0</v>
      </c>
      <c r="AA81" s="1506">
        <f t="shared" si="26"/>
        <v>0</v>
      </c>
      <c r="AB81" s="2927"/>
      <c r="AC81" s="1504">
        <f t="shared" si="27"/>
        <v>0</v>
      </c>
      <c r="AD81" s="1503">
        <f t="shared" si="28"/>
        <v>0</v>
      </c>
      <c r="AE81" s="1503">
        <f t="shared" si="29"/>
        <v>0</v>
      </c>
      <c r="AF81" s="1502">
        <f t="shared" si="30"/>
        <v>0</v>
      </c>
    </row>
    <row r="82" spans="1:32" s="1474" customFormat="1" ht="23.25" customHeight="1">
      <c r="A82" s="1515">
        <f t="shared" si="31"/>
        <v>15</v>
      </c>
      <c r="B82" s="1513" t="s">
        <v>2113</v>
      </c>
      <c r="C82" s="1514" t="s">
        <v>1932</v>
      </c>
      <c r="D82" s="1514"/>
      <c r="E82" s="1513">
        <v>15000000</v>
      </c>
      <c r="F82" s="1512">
        <f t="shared" si="17"/>
        <v>2700000</v>
      </c>
      <c r="G82" s="2141">
        <v>40339</v>
      </c>
      <c r="H82" s="1511">
        <v>0.18</v>
      </c>
      <c r="I82" s="1508">
        <v>12</v>
      </c>
      <c r="J82" s="1508">
        <v>12</v>
      </c>
      <c r="K82" s="1508">
        <v>1250000</v>
      </c>
      <c r="L82" s="1508">
        <v>225000</v>
      </c>
      <c r="M82" s="2172">
        <f t="shared" si="18"/>
        <v>15000000</v>
      </c>
      <c r="N82" s="2172">
        <f t="shared" si="19"/>
        <v>2700000</v>
      </c>
      <c r="O82" s="2171">
        <v>15000000</v>
      </c>
      <c r="P82" s="2171">
        <v>2700000</v>
      </c>
      <c r="Q82" s="2171"/>
      <c r="R82" s="2649"/>
      <c r="S82" s="2649"/>
      <c r="T82" s="2173"/>
      <c r="U82" s="2174">
        <f t="shared" si="20"/>
        <v>15000000</v>
      </c>
      <c r="V82" s="1495">
        <f t="shared" si="21"/>
        <v>2700000</v>
      </c>
      <c r="W82" s="1495">
        <f t="shared" si="22"/>
        <v>0</v>
      </c>
      <c r="X82" s="1495">
        <f t="shared" si="23"/>
        <v>0</v>
      </c>
      <c r="Y82" s="1495">
        <f t="shared" si="24"/>
        <v>100</v>
      </c>
      <c r="Z82" s="1495">
        <f t="shared" si="25"/>
        <v>0</v>
      </c>
      <c r="AA82" s="1506">
        <f t="shared" si="26"/>
        <v>0</v>
      </c>
      <c r="AB82" s="2927"/>
      <c r="AC82" s="1504">
        <f t="shared" si="27"/>
        <v>0</v>
      </c>
      <c r="AD82" s="1503">
        <f t="shared" si="28"/>
        <v>0</v>
      </c>
      <c r="AE82" s="1503">
        <f t="shared" si="29"/>
        <v>0</v>
      </c>
      <c r="AF82" s="1502">
        <f t="shared" si="30"/>
        <v>0</v>
      </c>
    </row>
    <row r="83" spans="1:32" s="1474" customFormat="1" ht="23.25" customHeight="1">
      <c r="A83" s="1515">
        <f t="shared" si="31"/>
        <v>16</v>
      </c>
      <c r="B83" s="1513" t="s">
        <v>2121</v>
      </c>
      <c r="C83" s="1514" t="s">
        <v>1935</v>
      </c>
      <c r="D83" s="1514"/>
      <c r="E83" s="1513">
        <v>12000000</v>
      </c>
      <c r="F83" s="1512">
        <f t="shared" si="17"/>
        <v>2160000</v>
      </c>
      <c r="G83" s="2141">
        <v>40486</v>
      </c>
      <c r="H83" s="1511">
        <v>0.18</v>
      </c>
      <c r="I83" s="1508">
        <v>12</v>
      </c>
      <c r="J83" s="1508">
        <v>12</v>
      </c>
      <c r="K83" s="1508">
        <v>1000000</v>
      </c>
      <c r="L83" s="1508">
        <v>180000</v>
      </c>
      <c r="M83" s="2172">
        <f t="shared" si="18"/>
        <v>12000000</v>
      </c>
      <c r="N83" s="2172">
        <f t="shared" si="19"/>
        <v>2160000</v>
      </c>
      <c r="O83" s="2171">
        <v>12000000</v>
      </c>
      <c r="P83" s="2171">
        <v>2160000</v>
      </c>
      <c r="Q83" s="2155"/>
      <c r="R83" s="2649"/>
      <c r="S83" s="2649"/>
      <c r="T83" s="2155"/>
      <c r="U83" s="2174">
        <f t="shared" si="20"/>
        <v>12000000</v>
      </c>
      <c r="V83" s="1495">
        <f t="shared" si="21"/>
        <v>2160000</v>
      </c>
      <c r="W83" s="1495">
        <f t="shared" si="22"/>
        <v>0</v>
      </c>
      <c r="X83" s="1495">
        <f t="shared" si="23"/>
        <v>0</v>
      </c>
      <c r="Y83" s="1495">
        <f t="shared" si="24"/>
        <v>100</v>
      </c>
      <c r="Z83" s="1495">
        <f t="shared" si="25"/>
        <v>0</v>
      </c>
      <c r="AA83" s="1506">
        <f t="shared" si="26"/>
        <v>0</v>
      </c>
      <c r="AB83" s="2927"/>
      <c r="AC83" s="1504">
        <f t="shared" si="27"/>
        <v>0</v>
      </c>
      <c r="AD83" s="1503">
        <f t="shared" si="28"/>
        <v>0</v>
      </c>
      <c r="AE83" s="1503">
        <f t="shared" si="29"/>
        <v>0</v>
      </c>
      <c r="AF83" s="1502">
        <f t="shared" si="30"/>
        <v>0</v>
      </c>
    </row>
    <row r="84" spans="1:32" s="1474" customFormat="1" ht="23.25" customHeight="1">
      <c r="A84" s="1515">
        <f t="shared" si="31"/>
        <v>17</v>
      </c>
      <c r="B84" s="1513" t="s">
        <v>2122</v>
      </c>
      <c r="C84" s="1514" t="s">
        <v>1935</v>
      </c>
      <c r="D84" s="1514"/>
      <c r="E84" s="1513">
        <v>20000000</v>
      </c>
      <c r="F84" s="1512">
        <f t="shared" si="17"/>
        <v>3600000</v>
      </c>
      <c r="G84" s="2141">
        <v>40487</v>
      </c>
      <c r="H84" s="1511">
        <v>0.18</v>
      </c>
      <c r="I84" s="1508">
        <v>12</v>
      </c>
      <c r="J84" s="2404">
        <v>12</v>
      </c>
      <c r="K84" s="1508">
        <v>1666700</v>
      </c>
      <c r="L84" s="1508">
        <v>300000</v>
      </c>
      <c r="M84" s="2172">
        <f t="shared" si="18"/>
        <v>20000000</v>
      </c>
      <c r="N84" s="2407">
        <f>IF(J84&lt;I84,J84*L84,IF(J84&gt;=I84,F84))-300000</f>
        <v>3300000</v>
      </c>
      <c r="O84" s="2171">
        <v>20000000</v>
      </c>
      <c r="P84" s="2171">
        <v>3300000</v>
      </c>
      <c r="Q84" s="2155"/>
      <c r="R84" s="2649"/>
      <c r="S84" s="2649"/>
      <c r="T84" s="2155"/>
      <c r="U84" s="2174">
        <f t="shared" si="20"/>
        <v>20000000</v>
      </c>
      <c r="V84" s="1495">
        <f t="shared" si="21"/>
        <v>3300000</v>
      </c>
      <c r="W84" s="1495">
        <f t="shared" si="22"/>
        <v>0</v>
      </c>
      <c r="X84" s="1495">
        <f t="shared" si="23"/>
        <v>0</v>
      </c>
      <c r="Y84" s="1495">
        <f t="shared" si="24"/>
        <v>100</v>
      </c>
      <c r="Z84" s="1495">
        <f t="shared" si="25"/>
        <v>0</v>
      </c>
      <c r="AA84" s="1506">
        <f t="shared" si="26"/>
        <v>0</v>
      </c>
      <c r="AB84" s="2927"/>
      <c r="AC84" s="1504">
        <f t="shared" si="27"/>
        <v>0</v>
      </c>
      <c r="AD84" s="1503">
        <f t="shared" si="28"/>
        <v>0</v>
      </c>
      <c r="AE84" s="1503">
        <f t="shared" si="29"/>
        <v>0</v>
      </c>
      <c r="AF84" s="1502">
        <f t="shared" si="30"/>
        <v>0</v>
      </c>
    </row>
    <row r="85" spans="1:32" s="1474" customFormat="1" ht="23.25" customHeight="1">
      <c r="A85" s="1515">
        <f t="shared" si="31"/>
        <v>18</v>
      </c>
      <c r="B85" s="1513" t="s">
        <v>2101</v>
      </c>
      <c r="C85" s="1514" t="s">
        <v>1935</v>
      </c>
      <c r="D85" s="1514"/>
      <c r="E85" s="1513">
        <v>15000000</v>
      </c>
      <c r="F85" s="1512">
        <f t="shared" si="17"/>
        <v>2700000</v>
      </c>
      <c r="G85" s="2141">
        <v>40487</v>
      </c>
      <c r="H85" s="1511">
        <v>0.18</v>
      </c>
      <c r="I85" s="1508">
        <v>12</v>
      </c>
      <c r="J85" s="2404">
        <v>12</v>
      </c>
      <c r="K85" s="1508">
        <v>1250000</v>
      </c>
      <c r="L85" s="1508">
        <v>225000</v>
      </c>
      <c r="M85" s="2172">
        <f t="shared" si="18"/>
        <v>15000000</v>
      </c>
      <c r="N85" s="2407">
        <f>IF(J85&lt;I85,J85*L85,IF(J85&gt;=I85,F85))-225000</f>
        <v>2475000</v>
      </c>
      <c r="O85" s="2171">
        <v>15000000</v>
      </c>
      <c r="P85" s="2171">
        <v>2475000</v>
      </c>
      <c r="Q85" s="2155"/>
      <c r="R85" s="2649"/>
      <c r="S85" s="2649"/>
      <c r="T85" s="2155"/>
      <c r="U85" s="2174">
        <f t="shared" si="20"/>
        <v>15000000</v>
      </c>
      <c r="V85" s="1495">
        <f t="shared" si="21"/>
        <v>2475000</v>
      </c>
      <c r="W85" s="1495">
        <f t="shared" si="22"/>
        <v>0</v>
      </c>
      <c r="X85" s="1495">
        <f t="shared" si="23"/>
        <v>0</v>
      </c>
      <c r="Y85" s="1495">
        <f t="shared" si="24"/>
        <v>100</v>
      </c>
      <c r="Z85" s="1495">
        <f t="shared" si="25"/>
        <v>0</v>
      </c>
      <c r="AA85" s="1506">
        <f t="shared" si="26"/>
        <v>0</v>
      </c>
      <c r="AB85" s="2927"/>
      <c r="AC85" s="1504">
        <f t="shared" si="27"/>
        <v>0</v>
      </c>
      <c r="AD85" s="1503">
        <f t="shared" si="28"/>
        <v>0</v>
      </c>
      <c r="AE85" s="1503">
        <f t="shared" si="29"/>
        <v>0</v>
      </c>
      <c r="AF85" s="1502">
        <f t="shared" si="30"/>
        <v>0</v>
      </c>
    </row>
    <row r="86" spans="1:32" s="1474" customFormat="1" ht="23.25" customHeight="1">
      <c r="A86" s="1515">
        <f t="shared" si="31"/>
        <v>19</v>
      </c>
      <c r="B86" s="1513" t="s">
        <v>2123</v>
      </c>
      <c r="C86" s="1514" t="s">
        <v>1935</v>
      </c>
      <c r="D86" s="1514"/>
      <c r="E86" s="1513">
        <v>16000000</v>
      </c>
      <c r="F86" s="1512">
        <f t="shared" si="17"/>
        <v>2880000</v>
      </c>
      <c r="G86" s="2141">
        <v>40497</v>
      </c>
      <c r="H86" s="1511">
        <v>0.18</v>
      </c>
      <c r="I86" s="1508">
        <v>12</v>
      </c>
      <c r="J86" s="1508">
        <v>12</v>
      </c>
      <c r="K86" s="1508">
        <v>1333300</v>
      </c>
      <c r="L86" s="1508">
        <v>240000</v>
      </c>
      <c r="M86" s="2172">
        <f t="shared" si="18"/>
        <v>16000000</v>
      </c>
      <c r="N86" s="2172">
        <f t="shared" si="19"/>
        <v>2880000</v>
      </c>
      <c r="O86" s="2171">
        <v>16000000</v>
      </c>
      <c r="P86" s="2171">
        <v>2880000</v>
      </c>
      <c r="Q86" s="2155"/>
      <c r="R86" s="2649"/>
      <c r="S86" s="2649"/>
      <c r="T86" s="2155"/>
      <c r="U86" s="2174">
        <f t="shared" si="20"/>
        <v>16000000</v>
      </c>
      <c r="V86" s="1495">
        <f t="shared" si="21"/>
        <v>2880000</v>
      </c>
      <c r="W86" s="1495">
        <f t="shared" si="22"/>
        <v>0</v>
      </c>
      <c r="X86" s="1495">
        <f t="shared" si="23"/>
        <v>0</v>
      </c>
      <c r="Y86" s="1495">
        <f t="shared" si="24"/>
        <v>100</v>
      </c>
      <c r="Z86" s="1495">
        <f t="shared" si="25"/>
        <v>0</v>
      </c>
      <c r="AA86" s="1506">
        <f t="shared" si="26"/>
        <v>0</v>
      </c>
      <c r="AB86" s="2927"/>
      <c r="AC86" s="1504">
        <f t="shared" si="27"/>
        <v>0</v>
      </c>
      <c r="AD86" s="1503">
        <f t="shared" si="28"/>
        <v>0</v>
      </c>
      <c r="AE86" s="1503">
        <f t="shared" si="29"/>
        <v>0</v>
      </c>
      <c r="AF86" s="1502">
        <f t="shared" si="30"/>
        <v>0</v>
      </c>
    </row>
    <row r="87" spans="1:32" s="1474" customFormat="1" ht="23.25" customHeight="1">
      <c r="A87" s="1515">
        <f t="shared" si="31"/>
        <v>20</v>
      </c>
      <c r="B87" s="1513" t="s">
        <v>2098</v>
      </c>
      <c r="C87" s="1514" t="s">
        <v>1935</v>
      </c>
      <c r="D87" s="1514"/>
      <c r="E87" s="1513">
        <v>16000000</v>
      </c>
      <c r="F87" s="1512">
        <f t="shared" si="17"/>
        <v>2880000</v>
      </c>
      <c r="G87" s="2141">
        <v>40526</v>
      </c>
      <c r="H87" s="1511">
        <v>0.18</v>
      </c>
      <c r="I87" s="1508">
        <v>12</v>
      </c>
      <c r="J87" s="1508">
        <v>12</v>
      </c>
      <c r="K87" s="1508">
        <v>1333300</v>
      </c>
      <c r="L87" s="1508">
        <v>240000</v>
      </c>
      <c r="M87" s="2172">
        <f t="shared" si="18"/>
        <v>16000000</v>
      </c>
      <c r="N87" s="2172">
        <f t="shared" si="19"/>
        <v>2880000</v>
      </c>
      <c r="O87" s="2171">
        <v>16000000</v>
      </c>
      <c r="P87" s="2171">
        <v>2880000</v>
      </c>
      <c r="Q87" s="2155"/>
      <c r="R87" s="2649"/>
      <c r="S87" s="2649"/>
      <c r="T87" s="2155"/>
      <c r="U87" s="2174">
        <f t="shared" si="20"/>
        <v>16000000</v>
      </c>
      <c r="V87" s="1495">
        <f t="shared" si="21"/>
        <v>2880000</v>
      </c>
      <c r="W87" s="1495">
        <f t="shared" si="22"/>
        <v>0</v>
      </c>
      <c r="X87" s="1495">
        <f t="shared" si="23"/>
        <v>0</v>
      </c>
      <c r="Y87" s="1495">
        <f t="shared" si="24"/>
        <v>100</v>
      </c>
      <c r="Z87" s="1495">
        <f t="shared" si="25"/>
        <v>0</v>
      </c>
      <c r="AA87" s="1506">
        <f t="shared" si="26"/>
        <v>0</v>
      </c>
      <c r="AB87" s="2927"/>
      <c r="AC87" s="1504">
        <f t="shared" si="27"/>
        <v>0</v>
      </c>
      <c r="AD87" s="1503">
        <f t="shared" si="28"/>
        <v>0</v>
      </c>
      <c r="AE87" s="1503">
        <f t="shared" si="29"/>
        <v>0</v>
      </c>
      <c r="AF87" s="1502">
        <f t="shared" si="30"/>
        <v>0</v>
      </c>
    </row>
    <row r="88" spans="1:32" s="1474" customFormat="1" ht="23.25" customHeight="1">
      <c r="A88" s="1515">
        <f t="shared" si="31"/>
        <v>21</v>
      </c>
      <c r="B88" s="1513" t="s">
        <v>2114</v>
      </c>
      <c r="C88" s="1514" t="s">
        <v>1935</v>
      </c>
      <c r="D88" s="1514"/>
      <c r="E88" s="1513">
        <v>10000000</v>
      </c>
      <c r="F88" s="1512">
        <f t="shared" si="17"/>
        <v>1800000</v>
      </c>
      <c r="G88" s="2141">
        <v>40526</v>
      </c>
      <c r="H88" s="1511">
        <v>0.18</v>
      </c>
      <c r="I88" s="1508">
        <v>12</v>
      </c>
      <c r="J88" s="1508">
        <v>12</v>
      </c>
      <c r="K88" s="1508">
        <v>833300</v>
      </c>
      <c r="L88" s="1508">
        <v>150000</v>
      </c>
      <c r="M88" s="2172">
        <f t="shared" si="18"/>
        <v>10000000</v>
      </c>
      <c r="N88" s="2172">
        <f t="shared" si="19"/>
        <v>1800000</v>
      </c>
      <c r="O88" s="2171">
        <v>10000000</v>
      </c>
      <c r="P88" s="2171">
        <v>1800000</v>
      </c>
      <c r="Q88" s="2155"/>
      <c r="R88" s="2649"/>
      <c r="S88" s="2649"/>
      <c r="T88" s="2155"/>
      <c r="U88" s="2174">
        <f t="shared" si="20"/>
        <v>10000000</v>
      </c>
      <c r="V88" s="1495">
        <f t="shared" si="21"/>
        <v>1800000</v>
      </c>
      <c r="W88" s="1495">
        <f t="shared" si="22"/>
        <v>0</v>
      </c>
      <c r="X88" s="1495">
        <f t="shared" si="23"/>
        <v>0</v>
      </c>
      <c r="Y88" s="1495">
        <f t="shared" si="24"/>
        <v>100</v>
      </c>
      <c r="Z88" s="1495">
        <f t="shared" si="25"/>
        <v>0</v>
      </c>
      <c r="AA88" s="1506">
        <f t="shared" si="26"/>
        <v>0</v>
      </c>
      <c r="AB88" s="2927"/>
      <c r="AC88" s="1504">
        <f t="shared" si="27"/>
        <v>0</v>
      </c>
      <c r="AD88" s="1503">
        <f t="shared" si="28"/>
        <v>0</v>
      </c>
      <c r="AE88" s="1503">
        <f t="shared" si="29"/>
        <v>0</v>
      </c>
      <c r="AF88" s="1502">
        <f t="shared" si="30"/>
        <v>0</v>
      </c>
    </row>
    <row r="89" spans="1:32" s="1474" customFormat="1" ht="23.25" customHeight="1">
      <c r="A89" s="1515">
        <f t="shared" si="31"/>
        <v>22</v>
      </c>
      <c r="B89" s="1513" t="s">
        <v>2124</v>
      </c>
      <c r="C89" s="1514" t="s">
        <v>1935</v>
      </c>
      <c r="D89" s="1514"/>
      <c r="E89" s="1513">
        <v>7000000</v>
      </c>
      <c r="F89" s="1512">
        <f t="shared" si="17"/>
        <v>1260000</v>
      </c>
      <c r="G89" s="2141">
        <v>40578</v>
      </c>
      <c r="H89" s="1511">
        <v>0.18</v>
      </c>
      <c r="I89" s="1508">
        <v>12</v>
      </c>
      <c r="J89" s="1508">
        <v>12</v>
      </c>
      <c r="K89" s="1508">
        <v>583300</v>
      </c>
      <c r="L89" s="1508">
        <v>105000</v>
      </c>
      <c r="M89" s="2172">
        <f t="shared" si="18"/>
        <v>7000000</v>
      </c>
      <c r="N89" s="2172">
        <f t="shared" si="19"/>
        <v>1260000</v>
      </c>
      <c r="O89" s="2171">
        <v>7000000</v>
      </c>
      <c r="P89" s="2171">
        <v>1260000</v>
      </c>
      <c r="Q89" s="2155"/>
      <c r="R89" s="2649"/>
      <c r="S89" s="2649"/>
      <c r="T89" s="2155"/>
      <c r="U89" s="2174">
        <f t="shared" si="20"/>
        <v>7000000</v>
      </c>
      <c r="V89" s="1495">
        <f t="shared" si="21"/>
        <v>1260000</v>
      </c>
      <c r="W89" s="1495">
        <f t="shared" si="22"/>
        <v>0</v>
      </c>
      <c r="X89" s="1495">
        <f t="shared" si="23"/>
        <v>0</v>
      </c>
      <c r="Y89" s="1495">
        <f t="shared" si="24"/>
        <v>100</v>
      </c>
      <c r="Z89" s="1495">
        <f t="shared" si="25"/>
        <v>0</v>
      </c>
      <c r="AA89" s="1506">
        <f t="shared" si="26"/>
        <v>0</v>
      </c>
      <c r="AB89" s="2927"/>
      <c r="AC89" s="1504">
        <f t="shared" si="27"/>
        <v>0</v>
      </c>
      <c r="AD89" s="1503">
        <f t="shared" si="28"/>
        <v>0</v>
      </c>
      <c r="AE89" s="1503">
        <f t="shared" si="29"/>
        <v>0</v>
      </c>
      <c r="AF89" s="1502">
        <f t="shared" si="30"/>
        <v>0</v>
      </c>
    </row>
    <row r="90" spans="1:32" s="1474" customFormat="1" ht="23.25" customHeight="1">
      <c r="A90" s="1515">
        <f t="shared" si="31"/>
        <v>23</v>
      </c>
      <c r="B90" s="1513" t="s">
        <v>2066</v>
      </c>
      <c r="C90" s="1514" t="s">
        <v>1935</v>
      </c>
      <c r="D90" s="1514"/>
      <c r="E90" s="1513">
        <v>12000000</v>
      </c>
      <c r="F90" s="1512">
        <f t="shared" si="17"/>
        <v>2160000</v>
      </c>
      <c r="G90" s="2141">
        <v>40583</v>
      </c>
      <c r="H90" s="1511">
        <v>0.18</v>
      </c>
      <c r="I90" s="1508">
        <v>12</v>
      </c>
      <c r="J90" s="1508">
        <v>12</v>
      </c>
      <c r="K90" s="1508">
        <v>1000000</v>
      </c>
      <c r="L90" s="1508">
        <v>180000</v>
      </c>
      <c r="M90" s="2172">
        <f t="shared" si="18"/>
        <v>12000000</v>
      </c>
      <c r="N90" s="2172">
        <f t="shared" si="19"/>
        <v>2160000</v>
      </c>
      <c r="O90" s="2171">
        <v>12000000</v>
      </c>
      <c r="P90" s="2171">
        <v>2160000</v>
      </c>
      <c r="Q90" s="2155"/>
      <c r="R90" s="2649"/>
      <c r="S90" s="2649"/>
      <c r="T90" s="2155"/>
      <c r="U90" s="2174">
        <f t="shared" si="20"/>
        <v>12000000</v>
      </c>
      <c r="V90" s="1495">
        <f t="shared" si="21"/>
        <v>2160000</v>
      </c>
      <c r="W90" s="1495">
        <f t="shared" si="22"/>
        <v>0</v>
      </c>
      <c r="X90" s="1495">
        <f t="shared" si="23"/>
        <v>0</v>
      </c>
      <c r="Y90" s="1495">
        <f t="shared" si="24"/>
        <v>100</v>
      </c>
      <c r="Z90" s="1495">
        <f t="shared" si="25"/>
        <v>0</v>
      </c>
      <c r="AA90" s="1506">
        <f t="shared" si="26"/>
        <v>0</v>
      </c>
      <c r="AB90" s="2927"/>
      <c r="AC90" s="1504">
        <f t="shared" si="27"/>
        <v>0</v>
      </c>
      <c r="AD90" s="1503">
        <f t="shared" si="28"/>
        <v>0</v>
      </c>
      <c r="AE90" s="1503">
        <f t="shared" si="29"/>
        <v>0</v>
      </c>
      <c r="AF90" s="1502">
        <f t="shared" si="30"/>
        <v>0</v>
      </c>
    </row>
    <row r="91" spans="1:32" s="1474" customFormat="1" ht="23.25" customHeight="1">
      <c r="A91" s="1515">
        <f t="shared" si="31"/>
        <v>24</v>
      </c>
      <c r="B91" s="1513" t="s">
        <v>2125</v>
      </c>
      <c r="C91" s="1514" t="s">
        <v>1935</v>
      </c>
      <c r="D91" s="1514"/>
      <c r="E91" s="1513">
        <v>11000000</v>
      </c>
      <c r="F91" s="1512">
        <f t="shared" si="17"/>
        <v>1980000</v>
      </c>
      <c r="G91" s="2141">
        <v>40583</v>
      </c>
      <c r="H91" s="1511">
        <v>0.18</v>
      </c>
      <c r="I91" s="1508">
        <v>12</v>
      </c>
      <c r="J91" s="1508">
        <v>12</v>
      </c>
      <c r="K91" s="1508">
        <v>916700</v>
      </c>
      <c r="L91" s="1508">
        <v>165000</v>
      </c>
      <c r="M91" s="2172">
        <f t="shared" si="18"/>
        <v>11000000</v>
      </c>
      <c r="N91" s="2172">
        <f t="shared" si="19"/>
        <v>1980000</v>
      </c>
      <c r="O91" s="2171">
        <v>11000000</v>
      </c>
      <c r="P91" s="2171">
        <v>1980000</v>
      </c>
      <c r="Q91" s="2155"/>
      <c r="R91" s="2649"/>
      <c r="S91" s="2649"/>
      <c r="T91" s="2155"/>
      <c r="U91" s="2174">
        <f t="shared" si="20"/>
        <v>11000000</v>
      </c>
      <c r="V91" s="1495">
        <f t="shared" si="21"/>
        <v>1980000</v>
      </c>
      <c r="W91" s="1495">
        <f t="shared" si="22"/>
        <v>0</v>
      </c>
      <c r="X91" s="1495">
        <f t="shared" si="23"/>
        <v>0</v>
      </c>
      <c r="Y91" s="1495">
        <f t="shared" si="24"/>
        <v>100</v>
      </c>
      <c r="Z91" s="1495">
        <f t="shared" si="25"/>
        <v>0</v>
      </c>
      <c r="AA91" s="1506">
        <f t="shared" si="26"/>
        <v>0</v>
      </c>
      <c r="AB91" s="2927"/>
      <c r="AC91" s="1504">
        <f t="shared" si="27"/>
        <v>0</v>
      </c>
      <c r="AD91" s="1503">
        <f t="shared" si="28"/>
        <v>0</v>
      </c>
      <c r="AE91" s="1503">
        <f t="shared" si="29"/>
        <v>0</v>
      </c>
      <c r="AF91" s="1502">
        <f t="shared" si="30"/>
        <v>0</v>
      </c>
    </row>
    <row r="92" spans="1:32" s="1474" customFormat="1" ht="23.25" customHeight="1">
      <c r="A92" s="1515">
        <f t="shared" si="31"/>
        <v>25</v>
      </c>
      <c r="B92" s="1513" t="s">
        <v>2126</v>
      </c>
      <c r="C92" s="1514" t="s">
        <v>1935</v>
      </c>
      <c r="D92" s="1514"/>
      <c r="E92" s="1513">
        <v>10500000</v>
      </c>
      <c r="F92" s="1512">
        <f t="shared" si="17"/>
        <v>1890000</v>
      </c>
      <c r="G92" s="2141">
        <v>40583</v>
      </c>
      <c r="H92" s="1511">
        <v>0.18</v>
      </c>
      <c r="I92" s="1508">
        <v>12</v>
      </c>
      <c r="J92" s="1508">
        <v>12</v>
      </c>
      <c r="K92" s="1508">
        <v>875000</v>
      </c>
      <c r="L92" s="1508">
        <v>157500</v>
      </c>
      <c r="M92" s="2172">
        <f t="shared" si="18"/>
        <v>10500000</v>
      </c>
      <c r="N92" s="2172">
        <f t="shared" si="19"/>
        <v>1890000</v>
      </c>
      <c r="O92" s="2171">
        <v>10500000</v>
      </c>
      <c r="P92" s="2171">
        <v>1890000</v>
      </c>
      <c r="Q92" s="2155"/>
      <c r="R92" s="2649"/>
      <c r="S92" s="2649"/>
      <c r="T92" s="2155"/>
      <c r="U92" s="2174">
        <f t="shared" si="20"/>
        <v>10500000</v>
      </c>
      <c r="V92" s="1495">
        <f t="shared" si="21"/>
        <v>1890000</v>
      </c>
      <c r="W92" s="1495">
        <f t="shared" si="22"/>
        <v>0</v>
      </c>
      <c r="X92" s="1495">
        <f t="shared" si="23"/>
        <v>0</v>
      </c>
      <c r="Y92" s="1495">
        <f t="shared" si="24"/>
        <v>100</v>
      </c>
      <c r="Z92" s="1495">
        <f t="shared" si="25"/>
        <v>0</v>
      </c>
      <c r="AA92" s="1506">
        <f t="shared" si="26"/>
        <v>0</v>
      </c>
      <c r="AB92" s="2927"/>
      <c r="AC92" s="1504">
        <f t="shared" si="27"/>
        <v>0</v>
      </c>
      <c r="AD92" s="1503">
        <f t="shared" si="28"/>
        <v>0</v>
      </c>
      <c r="AE92" s="1503">
        <f t="shared" si="29"/>
        <v>0</v>
      </c>
      <c r="AF92" s="1502">
        <f t="shared" si="30"/>
        <v>0</v>
      </c>
    </row>
    <row r="93" spans="1:32" s="1474" customFormat="1" ht="23.25" customHeight="1">
      <c r="A93" s="1515">
        <f t="shared" si="31"/>
        <v>26</v>
      </c>
      <c r="B93" s="1513" t="s">
        <v>2127</v>
      </c>
      <c r="C93" s="1514" t="s">
        <v>1940</v>
      </c>
      <c r="D93" s="1514"/>
      <c r="E93" s="1513">
        <v>15000000</v>
      </c>
      <c r="F93" s="1512">
        <f t="shared" si="17"/>
        <v>2700000</v>
      </c>
      <c r="G93" s="2141">
        <v>40624</v>
      </c>
      <c r="H93" s="1511">
        <v>0.18</v>
      </c>
      <c r="I93" s="1508">
        <v>12</v>
      </c>
      <c r="J93" s="1508">
        <v>12</v>
      </c>
      <c r="K93" s="1508">
        <v>1250000</v>
      </c>
      <c r="L93" s="1508">
        <v>225000</v>
      </c>
      <c r="M93" s="2172">
        <f t="shared" si="18"/>
        <v>15000000</v>
      </c>
      <c r="N93" s="2172">
        <f t="shared" si="19"/>
        <v>2700000</v>
      </c>
      <c r="O93" s="2171">
        <v>15000000</v>
      </c>
      <c r="P93" s="2171">
        <v>2700000</v>
      </c>
      <c r="Q93" s="2155"/>
      <c r="R93" s="2649"/>
      <c r="S93" s="2649"/>
      <c r="T93" s="2155"/>
      <c r="U93" s="2174">
        <f t="shared" si="20"/>
        <v>15000000</v>
      </c>
      <c r="V93" s="1495">
        <f t="shared" si="21"/>
        <v>2700000</v>
      </c>
      <c r="W93" s="1495">
        <f t="shared" si="22"/>
        <v>0</v>
      </c>
      <c r="X93" s="1495">
        <f t="shared" si="23"/>
        <v>0</v>
      </c>
      <c r="Y93" s="1495">
        <f t="shared" si="24"/>
        <v>100</v>
      </c>
      <c r="Z93" s="1495">
        <f t="shared" si="25"/>
        <v>0</v>
      </c>
      <c r="AA93" s="1506">
        <f t="shared" si="26"/>
        <v>0</v>
      </c>
      <c r="AB93" s="2927"/>
      <c r="AC93" s="1504">
        <f t="shared" si="27"/>
        <v>0</v>
      </c>
      <c r="AD93" s="1503">
        <f t="shared" si="28"/>
        <v>0</v>
      </c>
      <c r="AE93" s="1503">
        <f t="shared" si="29"/>
        <v>0</v>
      </c>
      <c r="AF93" s="1502">
        <f t="shared" si="30"/>
        <v>0</v>
      </c>
    </row>
    <row r="94" spans="1:32" s="1474" customFormat="1" ht="23.25" customHeight="1">
      <c r="A94" s="1515">
        <f t="shared" si="31"/>
        <v>27</v>
      </c>
      <c r="B94" s="1513" t="s">
        <v>1991</v>
      </c>
      <c r="C94" s="1514" t="s">
        <v>1940</v>
      </c>
      <c r="D94" s="1514"/>
      <c r="E94" s="1513">
        <v>9000000</v>
      </c>
      <c r="F94" s="1512">
        <f t="shared" si="17"/>
        <v>1620000</v>
      </c>
      <c r="G94" s="2141">
        <v>40641</v>
      </c>
      <c r="H94" s="1511">
        <v>0.18</v>
      </c>
      <c r="I94" s="1508">
        <v>12</v>
      </c>
      <c r="J94" s="1508">
        <v>12</v>
      </c>
      <c r="K94" s="1508">
        <v>750000</v>
      </c>
      <c r="L94" s="1508">
        <v>135000</v>
      </c>
      <c r="M94" s="2172">
        <f t="shared" si="18"/>
        <v>9000000</v>
      </c>
      <c r="N94" s="2172">
        <f t="shared" si="19"/>
        <v>1620000</v>
      </c>
      <c r="O94" s="2171">
        <v>9000000</v>
      </c>
      <c r="P94" s="2171">
        <v>1620000</v>
      </c>
      <c r="Q94" s="2155"/>
      <c r="R94" s="2649"/>
      <c r="S94" s="2649"/>
      <c r="T94" s="2155"/>
      <c r="U94" s="2174">
        <f t="shared" si="20"/>
        <v>9000000</v>
      </c>
      <c r="V94" s="1495">
        <f t="shared" si="21"/>
        <v>1620000</v>
      </c>
      <c r="W94" s="1495">
        <f t="shared" si="22"/>
        <v>0</v>
      </c>
      <c r="X94" s="1495">
        <f t="shared" si="23"/>
        <v>0</v>
      </c>
      <c r="Y94" s="1495">
        <f t="shared" si="24"/>
        <v>100</v>
      </c>
      <c r="Z94" s="1495">
        <f t="shared" si="25"/>
        <v>0</v>
      </c>
      <c r="AA94" s="1506">
        <f t="shared" si="26"/>
        <v>0</v>
      </c>
      <c r="AB94" s="2927"/>
      <c r="AC94" s="1504">
        <f t="shared" si="27"/>
        <v>0</v>
      </c>
      <c r="AD94" s="1503">
        <f t="shared" si="28"/>
        <v>0</v>
      </c>
      <c r="AE94" s="1503">
        <f t="shared" si="29"/>
        <v>0</v>
      </c>
      <c r="AF94" s="1502">
        <f t="shared" si="30"/>
        <v>0</v>
      </c>
    </row>
    <row r="95" spans="1:32" s="1474" customFormat="1" ht="23.25" customHeight="1">
      <c r="A95" s="1515">
        <f t="shared" si="31"/>
        <v>28</v>
      </c>
      <c r="B95" s="1513" t="s">
        <v>2118</v>
      </c>
      <c r="C95" s="1514" t="s">
        <v>1940</v>
      </c>
      <c r="D95" s="1514"/>
      <c r="E95" s="1513">
        <v>10000000</v>
      </c>
      <c r="F95" s="1512">
        <f t="shared" si="17"/>
        <v>1800000</v>
      </c>
      <c r="G95" s="2141">
        <v>40641</v>
      </c>
      <c r="H95" s="1511">
        <v>0.18</v>
      </c>
      <c r="I95" s="1508">
        <v>12</v>
      </c>
      <c r="J95" s="1508">
        <v>12</v>
      </c>
      <c r="K95" s="1508">
        <v>833300</v>
      </c>
      <c r="L95" s="1508">
        <v>150000</v>
      </c>
      <c r="M95" s="2172">
        <f t="shared" si="18"/>
        <v>10000000</v>
      </c>
      <c r="N95" s="2172">
        <f t="shared" si="19"/>
        <v>1800000</v>
      </c>
      <c r="O95" s="2171">
        <v>10000000</v>
      </c>
      <c r="P95" s="2171">
        <v>1800000</v>
      </c>
      <c r="Q95" s="2155"/>
      <c r="R95" s="2649"/>
      <c r="S95" s="2649"/>
      <c r="T95" s="2155"/>
      <c r="U95" s="2174">
        <f t="shared" si="20"/>
        <v>10000000</v>
      </c>
      <c r="V95" s="1495">
        <f t="shared" si="21"/>
        <v>1800000</v>
      </c>
      <c r="W95" s="1495">
        <f t="shared" si="22"/>
        <v>0</v>
      </c>
      <c r="X95" s="1495">
        <f t="shared" si="23"/>
        <v>0</v>
      </c>
      <c r="Y95" s="1495">
        <f t="shared" si="24"/>
        <v>100</v>
      </c>
      <c r="Z95" s="1495">
        <f t="shared" si="25"/>
        <v>0</v>
      </c>
      <c r="AA95" s="1506">
        <f t="shared" si="26"/>
        <v>0</v>
      </c>
      <c r="AB95" s="2927"/>
      <c r="AC95" s="1504">
        <f t="shared" si="27"/>
        <v>0</v>
      </c>
      <c r="AD95" s="1503">
        <f t="shared" si="28"/>
        <v>0</v>
      </c>
      <c r="AE95" s="1503">
        <f t="shared" si="29"/>
        <v>0</v>
      </c>
      <c r="AF95" s="1502">
        <f t="shared" si="30"/>
        <v>0</v>
      </c>
    </row>
    <row r="96" spans="1:32" s="1474" customFormat="1" ht="23.25" customHeight="1">
      <c r="A96" s="1515">
        <f t="shared" si="31"/>
        <v>29</v>
      </c>
      <c r="B96" s="1513" t="s">
        <v>2117</v>
      </c>
      <c r="C96" s="1514" t="s">
        <v>1940</v>
      </c>
      <c r="D96" s="1514"/>
      <c r="E96" s="1513">
        <v>15000000</v>
      </c>
      <c r="F96" s="1512">
        <f t="shared" si="17"/>
        <v>2700000</v>
      </c>
      <c r="G96" s="2141">
        <v>40641</v>
      </c>
      <c r="H96" s="1511">
        <v>0.18</v>
      </c>
      <c r="I96" s="1508">
        <v>12</v>
      </c>
      <c r="J96" s="2404">
        <v>12</v>
      </c>
      <c r="K96" s="1508">
        <v>1250000</v>
      </c>
      <c r="L96" s="1508">
        <v>225000</v>
      </c>
      <c r="M96" s="2172">
        <f t="shared" si="18"/>
        <v>15000000</v>
      </c>
      <c r="N96" s="2407">
        <f>IF(J96&lt;I96,J96*L96,IF(J96&gt;=I96,F96))-225000</f>
        <v>2475000</v>
      </c>
      <c r="O96" s="2171">
        <v>15000000</v>
      </c>
      <c r="P96" s="2171">
        <v>2475000</v>
      </c>
      <c r="Q96" s="2155"/>
      <c r="R96" s="2649"/>
      <c r="S96" s="2649"/>
      <c r="T96" s="2155"/>
      <c r="U96" s="2174">
        <f>SUM(O96+R96)</f>
        <v>15000000</v>
      </c>
      <c r="V96" s="1495">
        <f t="shared" si="21"/>
        <v>2475000</v>
      </c>
      <c r="W96" s="1495">
        <f t="shared" si="22"/>
        <v>0</v>
      </c>
      <c r="X96" s="1495">
        <f t="shared" si="23"/>
        <v>0</v>
      </c>
      <c r="Y96" s="1495">
        <f t="shared" si="24"/>
        <v>100</v>
      </c>
      <c r="Z96" s="1495">
        <f t="shared" si="25"/>
        <v>0</v>
      </c>
      <c r="AA96" s="1506">
        <f t="shared" si="26"/>
        <v>0</v>
      </c>
      <c r="AB96" s="2927"/>
      <c r="AC96" s="1504">
        <f t="shared" si="27"/>
        <v>0</v>
      </c>
      <c r="AD96" s="1503">
        <f t="shared" si="28"/>
        <v>0</v>
      </c>
      <c r="AE96" s="1503">
        <f t="shared" si="29"/>
        <v>0</v>
      </c>
      <c r="AF96" s="1502">
        <f t="shared" si="30"/>
        <v>0</v>
      </c>
    </row>
    <row r="97" spans="1:32" s="1474" customFormat="1" ht="23.25" customHeight="1">
      <c r="A97" s="1515">
        <f t="shared" si="31"/>
        <v>30</v>
      </c>
      <c r="B97" s="1513" t="s">
        <v>1977</v>
      </c>
      <c r="C97" s="1514" t="s">
        <v>1940</v>
      </c>
      <c r="D97" s="1514"/>
      <c r="E97" s="1513">
        <v>15000000</v>
      </c>
      <c r="F97" s="1512">
        <f t="shared" si="17"/>
        <v>2700000</v>
      </c>
      <c r="G97" s="2141">
        <v>40641</v>
      </c>
      <c r="H97" s="1511">
        <v>0.18</v>
      </c>
      <c r="I97" s="1508">
        <v>12</v>
      </c>
      <c r="J97" s="1508">
        <v>12</v>
      </c>
      <c r="K97" s="1508">
        <v>1250000</v>
      </c>
      <c r="L97" s="1508">
        <v>225000</v>
      </c>
      <c r="M97" s="2172">
        <f t="shared" si="18"/>
        <v>15000000</v>
      </c>
      <c r="N97" s="2172">
        <f t="shared" si="19"/>
        <v>2700000</v>
      </c>
      <c r="O97" s="2171">
        <v>15000000</v>
      </c>
      <c r="P97" s="2171">
        <v>2700000</v>
      </c>
      <c r="Q97" s="2155"/>
      <c r="R97" s="2649"/>
      <c r="S97" s="2649"/>
      <c r="T97" s="2155"/>
      <c r="U97" s="2174">
        <f t="shared" si="20"/>
        <v>15000000</v>
      </c>
      <c r="V97" s="1495">
        <f t="shared" si="21"/>
        <v>2700000</v>
      </c>
      <c r="W97" s="1495">
        <f t="shared" si="22"/>
        <v>0</v>
      </c>
      <c r="X97" s="1495">
        <f t="shared" si="23"/>
        <v>0</v>
      </c>
      <c r="Y97" s="1495">
        <f t="shared" si="24"/>
        <v>100</v>
      </c>
      <c r="Z97" s="1495">
        <f t="shared" si="25"/>
        <v>0</v>
      </c>
      <c r="AA97" s="1506">
        <f t="shared" si="26"/>
        <v>0</v>
      </c>
      <c r="AB97" s="2927"/>
      <c r="AC97" s="1504">
        <f t="shared" si="27"/>
        <v>0</v>
      </c>
      <c r="AD97" s="1503">
        <f t="shared" si="28"/>
        <v>0</v>
      </c>
      <c r="AE97" s="1503">
        <f t="shared" si="29"/>
        <v>0</v>
      </c>
      <c r="AF97" s="1502">
        <f t="shared" si="30"/>
        <v>0</v>
      </c>
    </row>
    <row r="98" spans="1:32" s="1474" customFormat="1" ht="23.25" customHeight="1">
      <c r="A98" s="1515">
        <f t="shared" si="31"/>
        <v>31</v>
      </c>
      <c r="B98" s="1513" t="s">
        <v>2078</v>
      </c>
      <c r="C98" s="1514" t="s">
        <v>1940</v>
      </c>
      <c r="D98" s="1514"/>
      <c r="E98" s="1513">
        <v>9000000</v>
      </c>
      <c r="F98" s="1512">
        <f t="shared" si="17"/>
        <v>1620000</v>
      </c>
      <c r="G98" s="2141">
        <v>40652</v>
      </c>
      <c r="H98" s="1511">
        <v>0.18</v>
      </c>
      <c r="I98" s="1508">
        <v>12</v>
      </c>
      <c r="J98" s="1508">
        <v>12</v>
      </c>
      <c r="K98" s="1508">
        <v>750000</v>
      </c>
      <c r="L98" s="1508">
        <v>135000</v>
      </c>
      <c r="M98" s="2407">
        <f t="shared" si="18"/>
        <v>9000000</v>
      </c>
      <c r="N98" s="2407">
        <f>IF(J98&lt;I98,J98*L98,IF(J98&gt;=I98,F98))-135000</f>
        <v>1485000</v>
      </c>
      <c r="O98" s="2171">
        <v>9000000</v>
      </c>
      <c r="P98" s="2171">
        <v>1485000</v>
      </c>
      <c r="Q98" s="2155"/>
      <c r="R98" s="2649"/>
      <c r="S98" s="2649"/>
      <c r="T98" s="2155"/>
      <c r="U98" s="2174">
        <f t="shared" si="20"/>
        <v>9000000</v>
      </c>
      <c r="V98" s="1495">
        <f t="shared" si="21"/>
        <v>1485000</v>
      </c>
      <c r="W98" s="1495">
        <f t="shared" si="22"/>
        <v>0</v>
      </c>
      <c r="X98" s="1495">
        <f t="shared" si="23"/>
        <v>0</v>
      </c>
      <c r="Y98" s="1495">
        <f t="shared" si="24"/>
        <v>100</v>
      </c>
      <c r="Z98" s="1495">
        <f t="shared" si="25"/>
        <v>0</v>
      </c>
      <c r="AA98" s="1506">
        <f t="shared" si="26"/>
        <v>0</v>
      </c>
      <c r="AB98" s="2927"/>
      <c r="AC98" s="1504">
        <f t="shared" si="27"/>
        <v>0</v>
      </c>
      <c r="AD98" s="1503">
        <f t="shared" si="28"/>
        <v>0</v>
      </c>
      <c r="AE98" s="1503">
        <f t="shared" si="29"/>
        <v>0</v>
      </c>
      <c r="AF98" s="1502">
        <f t="shared" si="30"/>
        <v>0</v>
      </c>
    </row>
    <row r="99" spans="1:32" s="1474" customFormat="1" ht="23.25" customHeight="1">
      <c r="A99" s="1515">
        <f t="shared" si="31"/>
        <v>32</v>
      </c>
      <c r="B99" s="1513" t="s">
        <v>2158</v>
      </c>
      <c r="C99" s="1514" t="s">
        <v>1985</v>
      </c>
      <c r="D99" s="1514"/>
      <c r="E99" s="1513">
        <v>25000000</v>
      </c>
      <c r="F99" s="1512">
        <f t="shared" si="17"/>
        <v>4500000</v>
      </c>
      <c r="G99" s="2141">
        <v>40672</v>
      </c>
      <c r="H99" s="1511">
        <v>0.18</v>
      </c>
      <c r="I99" s="1508">
        <v>12</v>
      </c>
      <c r="J99" s="1508">
        <v>12</v>
      </c>
      <c r="K99" s="1508">
        <v>2083300</v>
      </c>
      <c r="L99" s="1508">
        <v>375000</v>
      </c>
      <c r="M99" s="2172">
        <f t="shared" si="18"/>
        <v>25000000</v>
      </c>
      <c r="N99" s="2172">
        <f t="shared" si="19"/>
        <v>4500000</v>
      </c>
      <c r="O99" s="2175">
        <v>25000000</v>
      </c>
      <c r="P99" s="2171">
        <v>4500000</v>
      </c>
      <c r="Q99" s="2155"/>
      <c r="R99" s="2649"/>
      <c r="S99" s="2649"/>
      <c r="T99" s="2155"/>
      <c r="U99" s="2174">
        <f t="shared" si="20"/>
        <v>25000000</v>
      </c>
      <c r="V99" s="1495">
        <f t="shared" si="21"/>
        <v>4500000</v>
      </c>
      <c r="W99" s="1495">
        <f t="shared" si="22"/>
        <v>0</v>
      </c>
      <c r="X99" s="1495">
        <f t="shared" si="23"/>
        <v>0</v>
      </c>
      <c r="Y99" s="1495">
        <f t="shared" si="24"/>
        <v>100</v>
      </c>
      <c r="Z99" s="1495">
        <f t="shared" si="25"/>
        <v>0</v>
      </c>
      <c r="AA99" s="1506">
        <f t="shared" si="26"/>
        <v>0</v>
      </c>
      <c r="AB99" s="2927"/>
      <c r="AC99" s="1504">
        <f t="shared" si="27"/>
        <v>0</v>
      </c>
      <c r="AD99" s="1503">
        <f t="shared" si="28"/>
        <v>0</v>
      </c>
      <c r="AE99" s="1503">
        <f t="shared" si="29"/>
        <v>0</v>
      </c>
      <c r="AF99" s="1502">
        <f t="shared" si="30"/>
        <v>0</v>
      </c>
    </row>
    <row r="100" spans="1:32" s="1474" customFormat="1" ht="23.25" customHeight="1">
      <c r="A100" s="1515">
        <f t="shared" si="31"/>
        <v>33</v>
      </c>
      <c r="B100" s="1513" t="s">
        <v>2119</v>
      </c>
      <c r="C100" s="1514" t="s">
        <v>1985</v>
      </c>
      <c r="D100" s="1514"/>
      <c r="E100" s="1513">
        <v>11000000</v>
      </c>
      <c r="F100" s="1512">
        <f t="shared" si="17"/>
        <v>1980000</v>
      </c>
      <c r="G100" s="2141">
        <v>40704</v>
      </c>
      <c r="H100" s="1511">
        <v>0.18</v>
      </c>
      <c r="I100" s="1508">
        <v>12</v>
      </c>
      <c r="J100" s="1508">
        <v>12</v>
      </c>
      <c r="K100" s="1508">
        <v>916700</v>
      </c>
      <c r="L100" s="1508">
        <f t="shared" ref="L100:L106" si="32">F100/I100</f>
        <v>165000</v>
      </c>
      <c r="M100" s="2172">
        <f t="shared" si="18"/>
        <v>11000000</v>
      </c>
      <c r="N100" s="2172">
        <f t="shared" si="19"/>
        <v>1980000</v>
      </c>
      <c r="O100" s="2175">
        <v>11000000</v>
      </c>
      <c r="P100" s="2171">
        <v>1980000</v>
      </c>
      <c r="Q100" s="2155"/>
      <c r="R100" s="2649"/>
      <c r="S100" s="2649"/>
      <c r="T100" s="2155"/>
      <c r="U100" s="2174">
        <f t="shared" si="20"/>
        <v>11000000</v>
      </c>
      <c r="V100" s="1495">
        <f t="shared" si="21"/>
        <v>1980000</v>
      </c>
      <c r="W100" s="1495">
        <f t="shared" si="22"/>
        <v>0</v>
      </c>
      <c r="X100" s="1495">
        <f t="shared" si="23"/>
        <v>0</v>
      </c>
      <c r="Y100" s="1495">
        <f t="shared" si="24"/>
        <v>100</v>
      </c>
      <c r="Z100" s="1495">
        <f t="shared" si="25"/>
        <v>0</v>
      </c>
      <c r="AA100" s="1506">
        <f t="shared" si="26"/>
        <v>0</v>
      </c>
      <c r="AB100" s="2927"/>
      <c r="AC100" s="1504">
        <f t="shared" si="27"/>
        <v>0</v>
      </c>
      <c r="AD100" s="1503">
        <f t="shared" si="28"/>
        <v>0</v>
      </c>
      <c r="AE100" s="1503">
        <f t="shared" si="29"/>
        <v>0</v>
      </c>
      <c r="AF100" s="1502">
        <f t="shared" si="30"/>
        <v>0</v>
      </c>
    </row>
    <row r="101" spans="1:32" s="1474" customFormat="1" ht="23.25" customHeight="1">
      <c r="A101" s="1515">
        <f t="shared" si="31"/>
        <v>34</v>
      </c>
      <c r="B101" s="1513" t="s">
        <v>3</v>
      </c>
      <c r="C101" s="1514" t="s">
        <v>1985</v>
      </c>
      <c r="D101" s="1514"/>
      <c r="E101" s="1513">
        <v>12000000</v>
      </c>
      <c r="F101" s="1512">
        <f t="shared" si="17"/>
        <v>2160000</v>
      </c>
      <c r="G101" s="2141">
        <v>40704</v>
      </c>
      <c r="H101" s="1511">
        <v>0.18</v>
      </c>
      <c r="I101" s="1508">
        <v>12</v>
      </c>
      <c r="J101" s="1508">
        <v>12</v>
      </c>
      <c r="K101" s="1508">
        <f>E101/I101</f>
        <v>1000000</v>
      </c>
      <c r="L101" s="1508">
        <f t="shared" si="32"/>
        <v>180000</v>
      </c>
      <c r="M101" s="2172">
        <f t="shared" si="18"/>
        <v>12000000</v>
      </c>
      <c r="N101" s="2172">
        <f t="shared" si="19"/>
        <v>2160000</v>
      </c>
      <c r="O101" s="2171">
        <v>12000000</v>
      </c>
      <c r="P101" s="2171">
        <v>2160000</v>
      </c>
      <c r="Q101" s="2155"/>
      <c r="R101" s="2649"/>
      <c r="S101" s="2649"/>
      <c r="T101" s="2155"/>
      <c r="U101" s="2174">
        <f t="shared" si="20"/>
        <v>12000000</v>
      </c>
      <c r="V101" s="1495">
        <f t="shared" si="21"/>
        <v>2160000</v>
      </c>
      <c r="W101" s="1495">
        <f t="shared" si="22"/>
        <v>0</v>
      </c>
      <c r="X101" s="1495">
        <f t="shared" si="23"/>
        <v>0</v>
      </c>
      <c r="Y101" s="1495">
        <f t="shared" si="24"/>
        <v>100</v>
      </c>
      <c r="Z101" s="1495">
        <f t="shared" si="25"/>
        <v>0</v>
      </c>
      <c r="AA101" s="1506">
        <f t="shared" si="26"/>
        <v>0</v>
      </c>
      <c r="AB101" s="2927"/>
      <c r="AC101" s="1504">
        <f t="shared" si="27"/>
        <v>0</v>
      </c>
      <c r="AD101" s="1503">
        <f t="shared" si="28"/>
        <v>0</v>
      </c>
      <c r="AE101" s="1503">
        <f t="shared" si="29"/>
        <v>0</v>
      </c>
      <c r="AF101" s="1502">
        <f t="shared" si="30"/>
        <v>0</v>
      </c>
    </row>
    <row r="102" spans="1:32" s="1474" customFormat="1" ht="23.25" customHeight="1">
      <c r="A102" s="1515">
        <f t="shared" si="31"/>
        <v>35</v>
      </c>
      <c r="B102" s="1513" t="s">
        <v>2120</v>
      </c>
      <c r="C102" s="1514" t="s">
        <v>1985</v>
      </c>
      <c r="D102" s="1514"/>
      <c r="E102" s="1513">
        <v>12000000</v>
      </c>
      <c r="F102" s="1512">
        <f t="shared" si="17"/>
        <v>2160000</v>
      </c>
      <c r="G102" s="2141">
        <v>40704</v>
      </c>
      <c r="H102" s="1511">
        <v>0.18</v>
      </c>
      <c r="I102" s="1508">
        <v>12</v>
      </c>
      <c r="J102" s="1508">
        <v>12</v>
      </c>
      <c r="K102" s="1508">
        <f>E102/I102</f>
        <v>1000000</v>
      </c>
      <c r="L102" s="1508">
        <f t="shared" si="32"/>
        <v>180000</v>
      </c>
      <c r="M102" s="2172">
        <f t="shared" si="18"/>
        <v>12000000</v>
      </c>
      <c r="N102" s="2172">
        <f t="shared" si="19"/>
        <v>2160000</v>
      </c>
      <c r="O102" s="2171">
        <v>12000000</v>
      </c>
      <c r="P102" s="2171">
        <v>2160000</v>
      </c>
      <c r="Q102" s="2155"/>
      <c r="R102" s="2649"/>
      <c r="S102" s="2649"/>
      <c r="T102" s="2155"/>
      <c r="U102" s="2174">
        <f t="shared" si="20"/>
        <v>12000000</v>
      </c>
      <c r="V102" s="1495">
        <f t="shared" si="21"/>
        <v>2160000</v>
      </c>
      <c r="W102" s="1495">
        <f t="shared" si="22"/>
        <v>0</v>
      </c>
      <c r="X102" s="1495">
        <f t="shared" si="23"/>
        <v>0</v>
      </c>
      <c r="Y102" s="1495">
        <f t="shared" si="24"/>
        <v>100</v>
      </c>
      <c r="Z102" s="1495">
        <f t="shared" si="25"/>
        <v>0</v>
      </c>
      <c r="AA102" s="1506">
        <f t="shared" si="26"/>
        <v>0</v>
      </c>
      <c r="AB102" s="2927"/>
      <c r="AC102" s="1504">
        <f t="shared" si="27"/>
        <v>0</v>
      </c>
      <c r="AD102" s="1503">
        <f t="shared" si="28"/>
        <v>0</v>
      </c>
      <c r="AE102" s="1503">
        <f t="shared" si="29"/>
        <v>0</v>
      </c>
      <c r="AF102" s="1502">
        <f t="shared" si="30"/>
        <v>0</v>
      </c>
    </row>
    <row r="103" spans="1:32" s="1474" customFormat="1" ht="23.25" customHeight="1">
      <c r="A103" s="1515">
        <v>36</v>
      </c>
      <c r="B103" s="1513" t="s">
        <v>2100</v>
      </c>
      <c r="C103" s="1514" t="s">
        <v>2195</v>
      </c>
      <c r="D103" s="1514"/>
      <c r="E103" s="1513">
        <v>24000000</v>
      </c>
      <c r="F103" s="1512">
        <f t="shared" si="17"/>
        <v>4320000</v>
      </c>
      <c r="G103" s="2141">
        <v>40835</v>
      </c>
      <c r="H103" s="1511">
        <v>0.18</v>
      </c>
      <c r="I103" s="1508">
        <v>12</v>
      </c>
      <c r="J103" s="1508">
        <v>12</v>
      </c>
      <c r="K103" s="1508">
        <f>E103/I103</f>
        <v>2000000</v>
      </c>
      <c r="L103" s="1508">
        <f t="shared" si="32"/>
        <v>360000</v>
      </c>
      <c r="M103" s="2172">
        <f t="shared" si="18"/>
        <v>24000000</v>
      </c>
      <c r="N103" s="2172">
        <f>IF(J103&lt;I103,J103*L103,IF(J103&gt;=I103,F103))-360000</f>
        <v>3960000</v>
      </c>
      <c r="O103" s="2171">
        <v>24000000</v>
      </c>
      <c r="P103" s="2171">
        <v>3960000</v>
      </c>
      <c r="Q103" s="2155"/>
      <c r="R103" s="2649"/>
      <c r="S103" s="2649"/>
      <c r="T103" s="2155"/>
      <c r="U103" s="2174">
        <f t="shared" si="20"/>
        <v>24000000</v>
      </c>
      <c r="V103" s="1495">
        <f t="shared" si="21"/>
        <v>3960000</v>
      </c>
      <c r="W103" s="1495">
        <f t="shared" si="22"/>
        <v>0</v>
      </c>
      <c r="X103" s="1495">
        <f t="shared" si="23"/>
        <v>0</v>
      </c>
      <c r="Y103" s="1495">
        <f t="shared" si="24"/>
        <v>100</v>
      </c>
      <c r="Z103" s="1495">
        <f t="shared" si="25"/>
        <v>0</v>
      </c>
      <c r="AA103" s="1506">
        <f t="shared" si="26"/>
        <v>0</v>
      </c>
      <c r="AB103" s="2927"/>
      <c r="AC103" s="1504">
        <f t="shared" si="27"/>
        <v>0</v>
      </c>
      <c r="AD103" s="1503">
        <f t="shared" si="28"/>
        <v>0</v>
      </c>
      <c r="AE103" s="1503">
        <f t="shared" si="29"/>
        <v>0</v>
      </c>
      <c r="AF103" s="1502">
        <f t="shared" si="30"/>
        <v>0</v>
      </c>
    </row>
    <row r="104" spans="1:32" s="1474" customFormat="1" ht="23.25" customHeight="1">
      <c r="A104" s="2790">
        <v>37</v>
      </c>
      <c r="B104" s="1513" t="s">
        <v>2101</v>
      </c>
      <c r="C104" s="1514" t="s">
        <v>2195</v>
      </c>
      <c r="D104" s="1514"/>
      <c r="E104" s="1513">
        <v>20000000</v>
      </c>
      <c r="F104" s="1512">
        <f t="shared" si="17"/>
        <v>3600000</v>
      </c>
      <c r="G104" s="2141">
        <v>40835</v>
      </c>
      <c r="H104" s="1511">
        <v>0.18</v>
      </c>
      <c r="I104" s="1508">
        <v>12</v>
      </c>
      <c r="J104" s="1508">
        <v>12</v>
      </c>
      <c r="K104" s="1508">
        <v>1666700</v>
      </c>
      <c r="L104" s="1508">
        <f t="shared" si="32"/>
        <v>300000</v>
      </c>
      <c r="M104" s="2172">
        <f t="shared" si="18"/>
        <v>20000000</v>
      </c>
      <c r="N104" s="2172">
        <f>IF(J104&lt;I104,J104*L104,IF(J104&gt;=I104,F104))-300000</f>
        <v>3300000</v>
      </c>
      <c r="O104" s="2171">
        <v>20000000</v>
      </c>
      <c r="P104" s="2171">
        <v>3300000</v>
      </c>
      <c r="Q104" s="2155"/>
      <c r="R104" s="2649"/>
      <c r="S104" s="2649"/>
      <c r="T104" s="2155"/>
      <c r="U104" s="2174">
        <f t="shared" si="20"/>
        <v>20000000</v>
      </c>
      <c r="V104" s="1495">
        <f t="shared" si="21"/>
        <v>3300000</v>
      </c>
      <c r="W104" s="1495">
        <f t="shared" si="22"/>
        <v>0</v>
      </c>
      <c r="X104" s="1495">
        <f t="shared" si="23"/>
        <v>0</v>
      </c>
      <c r="Y104" s="1495">
        <f t="shared" si="24"/>
        <v>100</v>
      </c>
      <c r="Z104" s="1495">
        <f t="shared" si="25"/>
        <v>0</v>
      </c>
      <c r="AA104" s="1506">
        <f t="shared" si="26"/>
        <v>0</v>
      </c>
      <c r="AB104" s="2927"/>
      <c r="AC104" s="1504">
        <f t="shared" si="27"/>
        <v>0</v>
      </c>
      <c r="AD104" s="1503">
        <f t="shared" si="28"/>
        <v>0</v>
      </c>
      <c r="AE104" s="1503">
        <f t="shared" si="29"/>
        <v>0</v>
      </c>
      <c r="AF104" s="1502">
        <f t="shared" si="30"/>
        <v>0</v>
      </c>
    </row>
    <row r="105" spans="1:32" s="1474" customFormat="1" ht="23.25" customHeight="1">
      <c r="A105" s="2790">
        <v>38</v>
      </c>
      <c r="B105" s="1513" t="s">
        <v>2106</v>
      </c>
      <c r="C105" s="1514" t="s">
        <v>2195</v>
      </c>
      <c r="D105" s="1514"/>
      <c r="E105" s="1513">
        <v>7000000</v>
      </c>
      <c r="F105" s="1512">
        <f t="shared" si="17"/>
        <v>1260000</v>
      </c>
      <c r="G105" s="2141">
        <v>40864</v>
      </c>
      <c r="H105" s="1511">
        <v>0.18</v>
      </c>
      <c r="I105" s="1508">
        <v>12</v>
      </c>
      <c r="J105" s="1508">
        <v>12</v>
      </c>
      <c r="K105" s="1508">
        <v>583300</v>
      </c>
      <c r="L105" s="1513">
        <f t="shared" si="32"/>
        <v>105000</v>
      </c>
      <c r="M105" s="2172">
        <f t="shared" si="18"/>
        <v>7000000</v>
      </c>
      <c r="N105" s="2172">
        <f>IF(J105&lt;I105,J105*L105,IF(J105&gt;=I105,F105))-105000</f>
        <v>1155000</v>
      </c>
      <c r="O105" s="2171">
        <v>7000000</v>
      </c>
      <c r="P105" s="2171">
        <v>1155000</v>
      </c>
      <c r="Q105" s="2393"/>
      <c r="R105" s="2653"/>
      <c r="S105" s="2653"/>
      <c r="T105" s="2393"/>
      <c r="U105" s="2174">
        <f t="shared" si="20"/>
        <v>7000000</v>
      </c>
      <c r="V105" s="1495">
        <f t="shared" si="21"/>
        <v>1155000</v>
      </c>
      <c r="W105" s="1495">
        <f t="shared" si="22"/>
        <v>0</v>
      </c>
      <c r="X105" s="1495">
        <f t="shared" si="23"/>
        <v>0</v>
      </c>
      <c r="Y105" s="1495">
        <f t="shared" si="24"/>
        <v>100</v>
      </c>
      <c r="Z105" s="1495">
        <f t="shared" si="25"/>
        <v>0</v>
      </c>
      <c r="AA105" s="1506">
        <f t="shared" si="26"/>
        <v>0</v>
      </c>
      <c r="AB105" s="2927"/>
      <c r="AC105" s="1504">
        <f t="shared" si="27"/>
        <v>0</v>
      </c>
      <c r="AD105" s="1503">
        <f t="shared" si="28"/>
        <v>0</v>
      </c>
      <c r="AE105" s="1503">
        <f t="shared" si="29"/>
        <v>0</v>
      </c>
      <c r="AF105" s="1502">
        <f t="shared" si="30"/>
        <v>0</v>
      </c>
    </row>
    <row r="106" spans="1:32" s="1474" customFormat="1" ht="23.25" customHeight="1">
      <c r="A106" s="2790">
        <v>39</v>
      </c>
      <c r="B106" s="1513" t="s">
        <v>2224</v>
      </c>
      <c r="C106" s="1514" t="s">
        <v>2195</v>
      </c>
      <c r="D106" s="1514"/>
      <c r="E106" s="1513">
        <v>7000000</v>
      </c>
      <c r="F106" s="1512">
        <f t="shared" si="17"/>
        <v>1260000</v>
      </c>
      <c r="G106" s="2141">
        <v>40869</v>
      </c>
      <c r="H106" s="1511">
        <v>0.18</v>
      </c>
      <c r="I106" s="1508">
        <v>12</v>
      </c>
      <c r="J106" s="1508">
        <v>12</v>
      </c>
      <c r="K106" s="1508">
        <v>583300</v>
      </c>
      <c r="L106" s="1513">
        <f t="shared" si="32"/>
        <v>105000</v>
      </c>
      <c r="M106" s="2172">
        <f t="shared" si="18"/>
        <v>7000000</v>
      </c>
      <c r="N106" s="2172">
        <f>IF(J106&lt;I106,J106*L106,IF(J106&gt;=I106,F106))-105000</f>
        <v>1155000</v>
      </c>
      <c r="O106" s="2171">
        <v>7000000</v>
      </c>
      <c r="P106" s="2171">
        <v>1155000</v>
      </c>
      <c r="Q106" s="2393"/>
      <c r="R106" s="2653"/>
      <c r="S106" s="2653"/>
      <c r="T106" s="2393"/>
      <c r="U106" s="2174">
        <f t="shared" si="20"/>
        <v>7000000</v>
      </c>
      <c r="V106" s="1495">
        <f t="shared" si="21"/>
        <v>1155000</v>
      </c>
      <c r="W106" s="1495">
        <f t="shared" si="22"/>
        <v>0</v>
      </c>
      <c r="X106" s="1495">
        <f t="shared" si="23"/>
        <v>0</v>
      </c>
      <c r="Y106" s="1495">
        <f t="shared" si="24"/>
        <v>100</v>
      </c>
      <c r="Z106" s="1495">
        <f t="shared" si="25"/>
        <v>0</v>
      </c>
      <c r="AA106" s="1506">
        <f t="shared" si="26"/>
        <v>0</v>
      </c>
      <c r="AB106" s="2927"/>
      <c r="AC106" s="1504">
        <f t="shared" si="27"/>
        <v>0</v>
      </c>
      <c r="AD106" s="1503">
        <f t="shared" si="28"/>
        <v>0</v>
      </c>
      <c r="AE106" s="1503">
        <f t="shared" si="29"/>
        <v>0</v>
      </c>
      <c r="AF106" s="1502">
        <f t="shared" si="30"/>
        <v>0</v>
      </c>
    </row>
    <row r="107" spans="1:32" s="1474" customFormat="1" ht="23.25" customHeight="1">
      <c r="A107" s="2790">
        <v>40</v>
      </c>
      <c r="B107" s="1513" t="s">
        <v>2103</v>
      </c>
      <c r="C107" s="1514" t="s">
        <v>2195</v>
      </c>
      <c r="D107" s="1514">
        <v>10</v>
      </c>
      <c r="E107" s="1513">
        <v>10000000</v>
      </c>
      <c r="F107" s="1512">
        <f t="shared" si="17"/>
        <v>1800000</v>
      </c>
      <c r="G107" s="2141">
        <v>40913</v>
      </c>
      <c r="H107" s="1511">
        <v>0.18</v>
      </c>
      <c r="I107" s="1508">
        <v>12</v>
      </c>
      <c r="J107" s="1508">
        <v>12</v>
      </c>
      <c r="K107" s="1508">
        <v>833300</v>
      </c>
      <c r="L107" s="1513">
        <v>150000</v>
      </c>
      <c r="M107" s="2710">
        <f t="shared" si="18"/>
        <v>10000000</v>
      </c>
      <c r="N107" s="2172">
        <f>IF(J107&lt;I107,J107*L107,IF(J107&gt;=I107,F107))-105000</f>
        <v>1695000</v>
      </c>
      <c r="O107" s="2710">
        <v>8916400</v>
      </c>
      <c r="P107" s="2710">
        <v>1650000</v>
      </c>
      <c r="Q107" s="2826"/>
      <c r="R107" s="2653"/>
      <c r="S107" s="2653"/>
      <c r="T107" s="2826"/>
      <c r="U107" s="2827">
        <f t="shared" si="20"/>
        <v>8916400</v>
      </c>
      <c r="V107" s="2689">
        <f t="shared" si="21"/>
        <v>1650000</v>
      </c>
      <c r="W107" s="2689">
        <f t="shared" si="22"/>
        <v>0</v>
      </c>
      <c r="X107" s="2689">
        <f t="shared" si="23"/>
        <v>1083600</v>
      </c>
      <c r="Y107" s="2689">
        <f t="shared" si="24"/>
        <v>89.164000000000001</v>
      </c>
      <c r="Z107" s="2689">
        <f t="shared" si="25"/>
        <v>1083600</v>
      </c>
      <c r="AA107" s="2828">
        <f t="shared" si="26"/>
        <v>45000</v>
      </c>
      <c r="AB107" s="2927">
        <v>7</v>
      </c>
      <c r="AC107" s="1504">
        <f t="shared" si="27"/>
        <v>0</v>
      </c>
      <c r="AD107" s="1503">
        <f t="shared" si="28"/>
        <v>0</v>
      </c>
      <c r="AE107" s="1503">
        <f t="shared" si="29"/>
        <v>0</v>
      </c>
      <c r="AF107" s="1502">
        <f t="shared" si="30"/>
        <v>1083600</v>
      </c>
    </row>
    <row r="108" spans="1:32" s="1474" customFormat="1" ht="23.25" customHeight="1">
      <c r="A108" s="2790">
        <v>41</v>
      </c>
      <c r="B108" s="1513" t="s">
        <v>2104</v>
      </c>
      <c r="C108" s="1514" t="s">
        <v>2195</v>
      </c>
      <c r="D108" s="1514">
        <v>15</v>
      </c>
      <c r="E108" s="1513">
        <v>15000000</v>
      </c>
      <c r="F108" s="1512">
        <f t="shared" si="17"/>
        <v>2700000</v>
      </c>
      <c r="G108" s="2141">
        <v>40913</v>
      </c>
      <c r="H108" s="1511">
        <v>0.18</v>
      </c>
      <c r="I108" s="1508">
        <v>12</v>
      </c>
      <c r="J108" s="1508">
        <v>12</v>
      </c>
      <c r="K108" s="1508">
        <f>E108/I108</f>
        <v>1250000</v>
      </c>
      <c r="L108" s="1513">
        <f>F108/I108</f>
        <v>225000</v>
      </c>
      <c r="M108" s="2691">
        <f t="shared" si="18"/>
        <v>15000000</v>
      </c>
      <c r="N108" s="2691">
        <f t="shared" si="19"/>
        <v>2700000</v>
      </c>
      <c r="O108" s="2691">
        <v>8750000</v>
      </c>
      <c r="P108" s="2691">
        <v>1575000</v>
      </c>
      <c r="Q108" s="2829"/>
      <c r="R108" s="2653"/>
      <c r="S108" s="2653"/>
      <c r="T108" s="2829"/>
      <c r="U108" s="2830">
        <f t="shared" si="20"/>
        <v>8750000</v>
      </c>
      <c r="V108" s="2831">
        <f t="shared" si="21"/>
        <v>1575000</v>
      </c>
      <c r="W108" s="2831">
        <f t="shared" si="22"/>
        <v>0</v>
      </c>
      <c r="X108" s="2831">
        <f t="shared" si="23"/>
        <v>6250000</v>
      </c>
      <c r="Y108" s="2831">
        <f t="shared" si="24"/>
        <v>58.333333333333336</v>
      </c>
      <c r="Z108" s="2831">
        <f t="shared" si="25"/>
        <v>6250000</v>
      </c>
      <c r="AA108" s="2832">
        <f t="shared" si="26"/>
        <v>1125000</v>
      </c>
      <c r="AB108" s="2927">
        <v>7</v>
      </c>
      <c r="AC108" s="1504">
        <f t="shared" si="27"/>
        <v>0</v>
      </c>
      <c r="AD108" s="1503">
        <f t="shared" si="28"/>
        <v>0</v>
      </c>
      <c r="AE108" s="1503">
        <f t="shared" si="29"/>
        <v>0</v>
      </c>
      <c r="AF108" s="1502">
        <f t="shared" si="30"/>
        <v>6250000</v>
      </c>
    </row>
    <row r="109" spans="1:32" s="1474" customFormat="1" ht="23.25" customHeight="1">
      <c r="A109" s="2790">
        <v>42</v>
      </c>
      <c r="B109" s="1513" t="s">
        <v>2105</v>
      </c>
      <c r="C109" s="1514" t="s">
        <v>2195</v>
      </c>
      <c r="D109" s="1514"/>
      <c r="E109" s="1513">
        <v>10000000</v>
      </c>
      <c r="F109" s="1512">
        <f t="shared" si="17"/>
        <v>1800000</v>
      </c>
      <c r="G109" s="2141">
        <v>40913</v>
      </c>
      <c r="H109" s="1511">
        <v>0.18</v>
      </c>
      <c r="I109" s="1508">
        <v>12</v>
      </c>
      <c r="J109" s="1508">
        <v>12</v>
      </c>
      <c r="K109" s="1508">
        <v>833300</v>
      </c>
      <c r="L109" s="1513">
        <v>150000</v>
      </c>
      <c r="M109" s="2172">
        <f t="shared" si="18"/>
        <v>10000000</v>
      </c>
      <c r="N109" s="2172">
        <f>IF(J109&lt;I109,J109*L109,IF(J109&gt;=I109,F109))-150000</f>
        <v>1650000</v>
      </c>
      <c r="O109" s="2171">
        <v>10000000</v>
      </c>
      <c r="P109" s="2171">
        <v>1650000</v>
      </c>
      <c r="Q109" s="2393"/>
      <c r="R109" s="2653"/>
      <c r="S109" s="2653"/>
      <c r="T109" s="2393"/>
      <c r="U109" s="2174">
        <f t="shared" si="20"/>
        <v>10000000</v>
      </c>
      <c r="V109" s="1495">
        <f t="shared" si="21"/>
        <v>1650000</v>
      </c>
      <c r="W109" s="1495">
        <f t="shared" si="22"/>
        <v>0</v>
      </c>
      <c r="X109" s="1495">
        <f t="shared" si="23"/>
        <v>0</v>
      </c>
      <c r="Y109" s="1495">
        <f t="shared" si="24"/>
        <v>100</v>
      </c>
      <c r="Z109" s="1495">
        <f t="shared" si="25"/>
        <v>0</v>
      </c>
      <c r="AA109" s="1506">
        <f t="shared" si="26"/>
        <v>0</v>
      </c>
      <c r="AB109" s="2927"/>
      <c r="AC109" s="1504">
        <f t="shared" si="27"/>
        <v>0</v>
      </c>
      <c r="AD109" s="1503">
        <f t="shared" si="28"/>
        <v>0</v>
      </c>
      <c r="AE109" s="1503">
        <f t="shared" si="29"/>
        <v>0</v>
      </c>
      <c r="AF109" s="1502">
        <f t="shared" si="30"/>
        <v>0</v>
      </c>
    </row>
    <row r="110" spans="1:32" s="1474" customFormat="1" ht="23.25" customHeight="1">
      <c r="A110" s="2790">
        <v>43</v>
      </c>
      <c r="B110" s="1513" t="s">
        <v>2236</v>
      </c>
      <c r="C110" s="1514" t="s">
        <v>2195</v>
      </c>
      <c r="D110" s="1514"/>
      <c r="E110" s="1513">
        <v>10000000</v>
      </c>
      <c r="F110" s="1512">
        <f t="shared" si="17"/>
        <v>1800000</v>
      </c>
      <c r="G110" s="2141">
        <v>40913</v>
      </c>
      <c r="H110" s="1511">
        <v>0.18</v>
      </c>
      <c r="I110" s="1508">
        <v>12</v>
      </c>
      <c r="J110" s="1508">
        <v>12</v>
      </c>
      <c r="K110" s="1508">
        <v>833300</v>
      </c>
      <c r="L110" s="1513">
        <v>150000</v>
      </c>
      <c r="M110" s="2172">
        <f t="shared" si="18"/>
        <v>10000000</v>
      </c>
      <c r="N110" s="2172">
        <f>IF(J110&lt;I110,J110*L110,IF(J110&gt;=I110,F110))-300000</f>
        <v>1500000</v>
      </c>
      <c r="O110" s="2171">
        <v>10000000</v>
      </c>
      <c r="P110" s="2171">
        <v>1500000</v>
      </c>
      <c r="Q110" s="2393"/>
      <c r="R110" s="2653"/>
      <c r="S110" s="2653"/>
      <c r="T110" s="2393"/>
      <c r="U110" s="2174">
        <f t="shared" si="20"/>
        <v>10000000</v>
      </c>
      <c r="V110" s="1495">
        <f t="shared" si="21"/>
        <v>1500000</v>
      </c>
      <c r="W110" s="1495">
        <f t="shared" si="22"/>
        <v>0</v>
      </c>
      <c r="X110" s="1495">
        <f t="shared" si="23"/>
        <v>0</v>
      </c>
      <c r="Y110" s="1495">
        <f t="shared" si="24"/>
        <v>100</v>
      </c>
      <c r="Z110" s="1495">
        <f t="shared" si="25"/>
        <v>0</v>
      </c>
      <c r="AA110" s="1506">
        <f t="shared" si="26"/>
        <v>0</v>
      </c>
      <c r="AB110" s="2927"/>
      <c r="AC110" s="1504">
        <f t="shared" si="27"/>
        <v>0</v>
      </c>
      <c r="AD110" s="1503">
        <f t="shared" si="28"/>
        <v>0</v>
      </c>
      <c r="AE110" s="1503">
        <f t="shared" si="29"/>
        <v>0</v>
      </c>
      <c r="AF110" s="1502">
        <f t="shared" si="30"/>
        <v>0</v>
      </c>
    </row>
    <row r="111" spans="1:32" s="1474" customFormat="1" ht="23.25" customHeight="1">
      <c r="A111" s="2790">
        <v>44</v>
      </c>
      <c r="B111" s="1513" t="s">
        <v>2110</v>
      </c>
      <c r="C111" s="1514" t="s">
        <v>2195</v>
      </c>
      <c r="D111" s="1514"/>
      <c r="E111" s="1513">
        <v>6000000</v>
      </c>
      <c r="F111" s="1512">
        <f t="shared" si="17"/>
        <v>1080000</v>
      </c>
      <c r="G111" s="2141">
        <v>40913</v>
      </c>
      <c r="H111" s="1511">
        <v>0.18</v>
      </c>
      <c r="I111" s="1508">
        <v>12</v>
      </c>
      <c r="J111" s="1508">
        <v>12</v>
      </c>
      <c r="K111" s="1508">
        <f>E111/I111</f>
        <v>500000</v>
      </c>
      <c r="L111" s="1513">
        <f>F111/I111</f>
        <v>90000</v>
      </c>
      <c r="M111" s="2172">
        <f t="shared" si="18"/>
        <v>6000000</v>
      </c>
      <c r="N111" s="2172">
        <f>IF(J111&lt;I111,J111*L111,IF(J111&gt;=I111,F111))-90000</f>
        <v>990000</v>
      </c>
      <c r="O111" s="2171">
        <v>6000000</v>
      </c>
      <c r="P111" s="2171">
        <v>990000</v>
      </c>
      <c r="Q111" s="2393"/>
      <c r="R111" s="2653"/>
      <c r="S111" s="2653"/>
      <c r="T111" s="2393"/>
      <c r="U111" s="2174">
        <f t="shared" si="20"/>
        <v>6000000</v>
      </c>
      <c r="V111" s="1495">
        <f t="shared" si="21"/>
        <v>990000</v>
      </c>
      <c r="W111" s="1495">
        <f t="shared" si="22"/>
        <v>0</v>
      </c>
      <c r="X111" s="1495">
        <f t="shared" si="23"/>
        <v>0</v>
      </c>
      <c r="Y111" s="1495">
        <f t="shared" si="24"/>
        <v>100</v>
      </c>
      <c r="Z111" s="1495">
        <f t="shared" si="25"/>
        <v>0</v>
      </c>
      <c r="AA111" s="1506">
        <f t="shared" si="26"/>
        <v>0</v>
      </c>
      <c r="AB111" s="2927"/>
      <c r="AC111" s="1504">
        <f t="shared" si="27"/>
        <v>0</v>
      </c>
      <c r="AD111" s="1503">
        <f t="shared" si="28"/>
        <v>0</v>
      </c>
      <c r="AE111" s="1503">
        <f t="shared" si="29"/>
        <v>0</v>
      </c>
      <c r="AF111" s="1502">
        <f t="shared" si="30"/>
        <v>0</v>
      </c>
    </row>
    <row r="112" spans="1:32" s="1474" customFormat="1" ht="23.25" customHeight="1">
      <c r="A112" s="2790">
        <v>45</v>
      </c>
      <c r="B112" s="1513" t="s">
        <v>2111</v>
      </c>
      <c r="C112" s="1514" t="s">
        <v>2195</v>
      </c>
      <c r="D112" s="1514"/>
      <c r="E112" s="1513">
        <v>12000000</v>
      </c>
      <c r="F112" s="1512">
        <f t="shared" si="17"/>
        <v>2160000</v>
      </c>
      <c r="G112" s="2141">
        <v>40913</v>
      </c>
      <c r="H112" s="1511">
        <v>0.18</v>
      </c>
      <c r="I112" s="1508">
        <v>12</v>
      </c>
      <c r="J112" s="1508">
        <v>12</v>
      </c>
      <c r="K112" s="1508">
        <v>1000000</v>
      </c>
      <c r="L112" s="1513">
        <v>180000</v>
      </c>
      <c r="M112" s="2172">
        <f t="shared" si="18"/>
        <v>12000000</v>
      </c>
      <c r="N112" s="2172">
        <f t="shared" si="19"/>
        <v>2160000</v>
      </c>
      <c r="O112" s="2171">
        <v>12000000</v>
      </c>
      <c r="P112" s="2171">
        <v>2160000</v>
      </c>
      <c r="Q112" s="2393"/>
      <c r="R112" s="2653"/>
      <c r="S112" s="2653"/>
      <c r="T112" s="2393"/>
      <c r="U112" s="2174">
        <f t="shared" si="20"/>
        <v>12000000</v>
      </c>
      <c r="V112" s="1495">
        <f t="shared" si="21"/>
        <v>2160000</v>
      </c>
      <c r="W112" s="1495">
        <f t="shared" si="22"/>
        <v>0</v>
      </c>
      <c r="X112" s="1495">
        <f t="shared" si="23"/>
        <v>0</v>
      </c>
      <c r="Y112" s="1495">
        <f t="shared" si="24"/>
        <v>100</v>
      </c>
      <c r="Z112" s="1495">
        <f t="shared" si="25"/>
        <v>0</v>
      </c>
      <c r="AA112" s="1506">
        <f t="shared" si="26"/>
        <v>0</v>
      </c>
      <c r="AB112" s="2927"/>
      <c r="AC112" s="1504">
        <f t="shared" si="27"/>
        <v>0</v>
      </c>
      <c r="AD112" s="1503">
        <f t="shared" si="28"/>
        <v>0</v>
      </c>
      <c r="AE112" s="1503">
        <f t="shared" si="29"/>
        <v>0</v>
      </c>
      <c r="AF112" s="1502">
        <f t="shared" si="30"/>
        <v>0</v>
      </c>
    </row>
    <row r="113" spans="1:32" s="1474" customFormat="1" ht="23.25" customHeight="1">
      <c r="A113" s="2790">
        <v>46</v>
      </c>
      <c r="B113" s="1513" t="s">
        <v>2112</v>
      </c>
      <c r="C113" s="1514" t="s">
        <v>2195</v>
      </c>
      <c r="D113" s="1514">
        <v>10</v>
      </c>
      <c r="E113" s="1513">
        <v>10000000</v>
      </c>
      <c r="F113" s="1512">
        <f t="shared" si="17"/>
        <v>1800000</v>
      </c>
      <c r="G113" s="2141">
        <v>40913</v>
      </c>
      <c r="H113" s="1511">
        <v>0.18</v>
      </c>
      <c r="I113" s="1508">
        <v>12</v>
      </c>
      <c r="J113" s="1508">
        <v>12</v>
      </c>
      <c r="K113" s="1508">
        <v>833300</v>
      </c>
      <c r="L113" s="1513">
        <v>150000</v>
      </c>
      <c r="M113" s="2172">
        <f t="shared" si="18"/>
        <v>10000000</v>
      </c>
      <c r="N113" s="2172">
        <f t="shared" si="19"/>
        <v>1800000</v>
      </c>
      <c r="O113" s="2171">
        <v>3333200</v>
      </c>
      <c r="P113" s="2171">
        <v>676700</v>
      </c>
      <c r="Q113" s="2393"/>
      <c r="R113" s="2653"/>
      <c r="S113" s="2653"/>
      <c r="T113" s="2393"/>
      <c r="U113" s="2174">
        <f t="shared" si="20"/>
        <v>3333200</v>
      </c>
      <c r="V113" s="1495">
        <f t="shared" si="21"/>
        <v>676700</v>
      </c>
      <c r="W113" s="1495"/>
      <c r="X113" s="1495">
        <f t="shared" si="23"/>
        <v>6666800</v>
      </c>
      <c r="Y113" s="1495">
        <f t="shared" si="24"/>
        <v>33.332000000000001</v>
      </c>
      <c r="Z113" s="1495">
        <f t="shared" si="25"/>
        <v>6666800</v>
      </c>
      <c r="AA113" s="1506">
        <f t="shared" si="26"/>
        <v>1123300</v>
      </c>
      <c r="AB113" s="2927">
        <v>7</v>
      </c>
      <c r="AC113" s="1504">
        <f t="shared" si="27"/>
        <v>0</v>
      </c>
      <c r="AD113" s="1503">
        <f t="shared" si="28"/>
        <v>0</v>
      </c>
      <c r="AE113" s="1503">
        <f t="shared" si="29"/>
        <v>0</v>
      </c>
      <c r="AF113" s="1502">
        <f t="shared" si="30"/>
        <v>6666800</v>
      </c>
    </row>
    <row r="114" spans="1:32" s="1474" customFormat="1" ht="23.25" customHeight="1">
      <c r="A114" s="2790">
        <v>47</v>
      </c>
      <c r="B114" s="1513" t="s">
        <v>2099</v>
      </c>
      <c r="C114" s="1514" t="s">
        <v>2195</v>
      </c>
      <c r="D114" s="1514"/>
      <c r="E114" s="1513">
        <v>18000000</v>
      </c>
      <c r="F114" s="1512">
        <f t="shared" si="17"/>
        <v>3240000</v>
      </c>
      <c r="G114" s="2141">
        <v>40913</v>
      </c>
      <c r="H114" s="1511">
        <v>0.18</v>
      </c>
      <c r="I114" s="1508">
        <v>12</v>
      </c>
      <c r="J114" s="1508">
        <v>12</v>
      </c>
      <c r="K114" s="1508">
        <f>E114/I114</f>
        <v>1500000</v>
      </c>
      <c r="L114" s="1513">
        <f t="shared" ref="L114:L120" si="33">F114/I114</f>
        <v>270000</v>
      </c>
      <c r="M114" s="2172">
        <f t="shared" si="18"/>
        <v>18000000</v>
      </c>
      <c r="N114" s="2172">
        <f t="shared" si="19"/>
        <v>3240000</v>
      </c>
      <c r="O114" s="2171">
        <v>18000000</v>
      </c>
      <c r="P114" s="2171">
        <v>3240000</v>
      </c>
      <c r="Q114" s="2393"/>
      <c r="R114" s="2653"/>
      <c r="S114" s="2653"/>
      <c r="T114" s="2393"/>
      <c r="U114" s="2174">
        <f t="shared" si="20"/>
        <v>18000000</v>
      </c>
      <c r="V114" s="1495">
        <f t="shared" si="21"/>
        <v>3240000</v>
      </c>
      <c r="W114" s="1495"/>
      <c r="X114" s="1495">
        <f t="shared" si="23"/>
        <v>0</v>
      </c>
      <c r="Y114" s="1495">
        <f t="shared" si="24"/>
        <v>100</v>
      </c>
      <c r="Z114" s="1495">
        <f t="shared" si="25"/>
        <v>0</v>
      </c>
      <c r="AA114" s="1506">
        <f t="shared" si="26"/>
        <v>0</v>
      </c>
      <c r="AB114" s="2927"/>
      <c r="AC114" s="1504">
        <f t="shared" si="27"/>
        <v>0</v>
      </c>
      <c r="AD114" s="1503">
        <f t="shared" si="28"/>
        <v>0</v>
      </c>
      <c r="AE114" s="1503">
        <f t="shared" si="29"/>
        <v>0</v>
      </c>
      <c r="AF114" s="1502">
        <f t="shared" si="30"/>
        <v>0</v>
      </c>
    </row>
    <row r="115" spans="1:32" s="1474" customFormat="1" ht="23.25" customHeight="1">
      <c r="A115" s="2790">
        <v>48</v>
      </c>
      <c r="B115" s="1513" t="s">
        <v>2102</v>
      </c>
      <c r="C115" s="1514" t="s">
        <v>2195</v>
      </c>
      <c r="D115" s="1514"/>
      <c r="E115" s="1513">
        <v>14000000</v>
      </c>
      <c r="F115" s="1512">
        <f t="shared" si="17"/>
        <v>2520000</v>
      </c>
      <c r="G115" s="2141">
        <v>40913</v>
      </c>
      <c r="H115" s="1511">
        <v>0.18</v>
      </c>
      <c r="I115" s="1508">
        <v>12</v>
      </c>
      <c r="J115" s="1508">
        <v>12</v>
      </c>
      <c r="K115" s="1508">
        <v>1166700</v>
      </c>
      <c r="L115" s="1513">
        <f t="shared" si="33"/>
        <v>210000</v>
      </c>
      <c r="M115" s="2172">
        <f t="shared" si="18"/>
        <v>14000000</v>
      </c>
      <c r="N115" s="2172">
        <f t="shared" si="19"/>
        <v>2520000</v>
      </c>
      <c r="O115" s="2171">
        <v>14000000</v>
      </c>
      <c r="P115" s="2171">
        <v>2520000</v>
      </c>
      <c r="Q115" s="2393"/>
      <c r="R115" s="2653"/>
      <c r="S115" s="2653"/>
      <c r="T115" s="2393"/>
      <c r="U115" s="2174">
        <f t="shared" si="20"/>
        <v>14000000</v>
      </c>
      <c r="V115" s="1495">
        <f t="shared" si="21"/>
        <v>2520000</v>
      </c>
      <c r="W115" s="1495"/>
      <c r="X115" s="1495">
        <f t="shared" si="23"/>
        <v>0</v>
      </c>
      <c r="Y115" s="1495">
        <f t="shared" si="24"/>
        <v>100</v>
      </c>
      <c r="Z115" s="1495">
        <f t="shared" si="25"/>
        <v>0</v>
      </c>
      <c r="AA115" s="1506">
        <f t="shared" si="26"/>
        <v>0</v>
      </c>
      <c r="AB115" s="2927"/>
      <c r="AC115" s="1504">
        <f t="shared" si="27"/>
        <v>0</v>
      </c>
      <c r="AD115" s="1503">
        <f t="shared" si="28"/>
        <v>0</v>
      </c>
      <c r="AE115" s="1503">
        <f t="shared" si="29"/>
        <v>0</v>
      </c>
      <c r="AF115" s="1502">
        <f t="shared" si="30"/>
        <v>0</v>
      </c>
    </row>
    <row r="116" spans="1:32" s="1474" customFormat="1" ht="23.25" customHeight="1">
      <c r="A116" s="2790">
        <v>49</v>
      </c>
      <c r="B116" s="1513" t="s">
        <v>2098</v>
      </c>
      <c r="C116" s="1514" t="s">
        <v>2195</v>
      </c>
      <c r="D116" s="1514"/>
      <c r="E116" s="1513">
        <v>18000000</v>
      </c>
      <c r="F116" s="1512">
        <f t="shared" si="17"/>
        <v>3240000</v>
      </c>
      <c r="G116" s="2141">
        <v>40913</v>
      </c>
      <c r="H116" s="1511">
        <v>0.18</v>
      </c>
      <c r="I116" s="1508">
        <v>12</v>
      </c>
      <c r="J116" s="1508">
        <v>12</v>
      </c>
      <c r="K116" s="1508">
        <f>E116/I116</f>
        <v>1500000</v>
      </c>
      <c r="L116" s="1513">
        <f t="shared" si="33"/>
        <v>270000</v>
      </c>
      <c r="M116" s="2691">
        <f t="shared" si="18"/>
        <v>18000000</v>
      </c>
      <c r="N116" s="2691">
        <f>IF(J116&lt;I116,J116*L116,IF(J116&gt;=I116,F116))-270000</f>
        <v>2970000</v>
      </c>
      <c r="O116" s="2691">
        <v>18000000</v>
      </c>
      <c r="P116" s="2691">
        <v>2970000</v>
      </c>
      <c r="Q116" s="2829"/>
      <c r="R116" s="2653"/>
      <c r="S116" s="2653"/>
      <c r="T116" s="2829"/>
      <c r="U116" s="2830">
        <f t="shared" si="20"/>
        <v>18000000</v>
      </c>
      <c r="V116" s="2831">
        <f t="shared" si="21"/>
        <v>2970000</v>
      </c>
      <c r="W116" s="2831"/>
      <c r="X116" s="2831">
        <f t="shared" si="23"/>
        <v>0</v>
      </c>
      <c r="Y116" s="2831">
        <f t="shared" si="24"/>
        <v>100</v>
      </c>
      <c r="Z116" s="2831">
        <f t="shared" si="25"/>
        <v>0</v>
      </c>
      <c r="AA116" s="2832">
        <f t="shared" si="26"/>
        <v>0</v>
      </c>
      <c r="AB116" s="2927"/>
      <c r="AC116" s="1504">
        <f t="shared" si="27"/>
        <v>0</v>
      </c>
      <c r="AD116" s="1503">
        <f t="shared" si="28"/>
        <v>0</v>
      </c>
      <c r="AE116" s="1503">
        <f t="shared" si="29"/>
        <v>0</v>
      </c>
      <c r="AF116" s="1502">
        <f t="shared" si="30"/>
        <v>0</v>
      </c>
    </row>
    <row r="117" spans="1:32" s="1474" customFormat="1" ht="23.25" customHeight="1">
      <c r="A117" s="2790">
        <v>50</v>
      </c>
      <c r="B117" s="1513" t="s">
        <v>2114</v>
      </c>
      <c r="C117" s="1514" t="s">
        <v>2195</v>
      </c>
      <c r="D117" s="1514"/>
      <c r="E117" s="1513">
        <v>15000000</v>
      </c>
      <c r="F117" s="1512">
        <f t="shared" si="17"/>
        <v>2700000</v>
      </c>
      <c r="G117" s="2141">
        <v>40913</v>
      </c>
      <c r="H117" s="1511">
        <v>0.18</v>
      </c>
      <c r="I117" s="1508">
        <v>12</v>
      </c>
      <c r="J117" s="1508">
        <v>12</v>
      </c>
      <c r="K117" s="1508">
        <f>E117/I117</f>
        <v>1250000</v>
      </c>
      <c r="L117" s="1513">
        <f t="shared" si="33"/>
        <v>225000</v>
      </c>
      <c r="M117" s="2172">
        <f t="shared" si="18"/>
        <v>15000000</v>
      </c>
      <c r="N117" s="2407">
        <f>IF(J117&lt;I117,J117*L117,IF(J117&gt;=I117,F117))-225000</f>
        <v>2475000</v>
      </c>
      <c r="O117" s="2171">
        <v>15000000</v>
      </c>
      <c r="P117" s="2171">
        <v>2475000</v>
      </c>
      <c r="Q117" s="2393"/>
      <c r="R117" s="2653"/>
      <c r="S117" s="2653"/>
      <c r="T117" s="2393"/>
      <c r="U117" s="2174">
        <f t="shared" si="20"/>
        <v>15000000</v>
      </c>
      <c r="V117" s="1495">
        <f t="shared" si="21"/>
        <v>2475000</v>
      </c>
      <c r="W117" s="1495"/>
      <c r="X117" s="1495">
        <f t="shared" si="23"/>
        <v>0</v>
      </c>
      <c r="Y117" s="1495">
        <f t="shared" si="24"/>
        <v>100</v>
      </c>
      <c r="Z117" s="1495">
        <f t="shared" si="25"/>
        <v>0</v>
      </c>
      <c r="AA117" s="1506">
        <f t="shared" si="26"/>
        <v>0</v>
      </c>
      <c r="AB117" s="2927"/>
      <c r="AC117" s="1504">
        <f t="shared" si="27"/>
        <v>0</v>
      </c>
      <c r="AD117" s="1503">
        <f t="shared" si="28"/>
        <v>0</v>
      </c>
      <c r="AE117" s="1503">
        <f t="shared" si="29"/>
        <v>0</v>
      </c>
      <c r="AF117" s="1502">
        <f t="shared" si="30"/>
        <v>0</v>
      </c>
    </row>
    <row r="118" spans="1:32" s="1474" customFormat="1" ht="23.25" customHeight="1">
      <c r="A118" s="2790">
        <v>51</v>
      </c>
      <c r="B118" s="1513" t="s">
        <v>2247</v>
      </c>
      <c r="C118" s="1514" t="s">
        <v>2248</v>
      </c>
      <c r="D118" s="1514"/>
      <c r="E118" s="1513">
        <v>10000000</v>
      </c>
      <c r="F118" s="1512">
        <f t="shared" si="17"/>
        <v>1800000</v>
      </c>
      <c r="G118" s="2141">
        <v>40941</v>
      </c>
      <c r="H118" s="1511">
        <v>0.18</v>
      </c>
      <c r="I118" s="1508">
        <v>12</v>
      </c>
      <c r="J118" s="1508">
        <v>12</v>
      </c>
      <c r="K118" s="1508">
        <v>833300</v>
      </c>
      <c r="L118" s="1513">
        <f t="shared" si="33"/>
        <v>150000</v>
      </c>
      <c r="M118" s="2172">
        <f t="shared" si="18"/>
        <v>10000000</v>
      </c>
      <c r="N118" s="2407">
        <f>IF(J118&lt;I118,J118*L118,IF(J118&gt;=I118,F118))-150000-150000</f>
        <v>1500000</v>
      </c>
      <c r="O118" s="2171">
        <v>10000000</v>
      </c>
      <c r="P118" s="2171">
        <v>1500000</v>
      </c>
      <c r="Q118" s="2393"/>
      <c r="R118" s="2653"/>
      <c r="S118" s="2653"/>
      <c r="T118" s="2393"/>
      <c r="U118" s="2174">
        <f t="shared" si="20"/>
        <v>10000000</v>
      </c>
      <c r="V118" s="1495">
        <f t="shared" si="21"/>
        <v>1500000</v>
      </c>
      <c r="W118" s="1495"/>
      <c r="X118" s="1495">
        <f t="shared" si="23"/>
        <v>0</v>
      </c>
      <c r="Y118" s="1495">
        <f t="shared" si="24"/>
        <v>100</v>
      </c>
      <c r="Z118" s="1495">
        <f t="shared" si="25"/>
        <v>0</v>
      </c>
      <c r="AA118" s="1506">
        <f t="shared" si="26"/>
        <v>0</v>
      </c>
      <c r="AB118" s="2927"/>
      <c r="AC118" s="1504">
        <f t="shared" si="27"/>
        <v>0</v>
      </c>
      <c r="AD118" s="1503">
        <f t="shared" si="28"/>
        <v>0</v>
      </c>
      <c r="AE118" s="1503">
        <f t="shared" si="29"/>
        <v>0</v>
      </c>
      <c r="AF118" s="1502">
        <f t="shared" si="30"/>
        <v>0</v>
      </c>
    </row>
    <row r="119" spans="1:32" s="1474" customFormat="1" ht="23.25" customHeight="1">
      <c r="A119" s="2790">
        <v>52</v>
      </c>
      <c r="B119" s="1513" t="s">
        <v>2125</v>
      </c>
      <c r="C119" s="1514" t="s">
        <v>2248</v>
      </c>
      <c r="D119" s="1514"/>
      <c r="E119" s="1513">
        <v>15000000</v>
      </c>
      <c r="F119" s="1512">
        <f t="shared" si="17"/>
        <v>2700000</v>
      </c>
      <c r="G119" s="2141">
        <v>40949</v>
      </c>
      <c r="H119" s="1511">
        <v>0.18</v>
      </c>
      <c r="I119" s="1508">
        <v>12</v>
      </c>
      <c r="J119" s="1508">
        <v>12</v>
      </c>
      <c r="K119" s="1508">
        <v>1250000</v>
      </c>
      <c r="L119" s="1513">
        <f t="shared" si="33"/>
        <v>225000</v>
      </c>
      <c r="M119" s="2172">
        <f t="shared" si="18"/>
        <v>15000000</v>
      </c>
      <c r="N119" s="2407">
        <f>IF(J119&lt;I119,J119*L119,IF(J119&gt;=I119,F119))-225000</f>
        <v>2475000</v>
      </c>
      <c r="O119" s="2171">
        <v>15000000</v>
      </c>
      <c r="P119" s="2171">
        <v>2475000</v>
      </c>
      <c r="Q119" s="2393"/>
      <c r="R119" s="2653"/>
      <c r="S119" s="2653"/>
      <c r="T119" s="2393"/>
      <c r="U119" s="2174">
        <f t="shared" si="20"/>
        <v>15000000</v>
      </c>
      <c r="V119" s="1495">
        <f t="shared" si="21"/>
        <v>2475000</v>
      </c>
      <c r="W119" s="1495"/>
      <c r="X119" s="1495">
        <f t="shared" si="23"/>
        <v>0</v>
      </c>
      <c r="Y119" s="1495">
        <f t="shared" si="24"/>
        <v>100</v>
      </c>
      <c r="Z119" s="1495">
        <f t="shared" si="25"/>
        <v>0</v>
      </c>
      <c r="AA119" s="1506">
        <f t="shared" si="26"/>
        <v>0</v>
      </c>
      <c r="AB119" s="2927"/>
      <c r="AC119" s="1504">
        <f t="shared" si="27"/>
        <v>0</v>
      </c>
      <c r="AD119" s="1503">
        <f t="shared" si="28"/>
        <v>0</v>
      </c>
      <c r="AE119" s="1503">
        <f t="shared" si="29"/>
        <v>0</v>
      </c>
      <c r="AF119" s="1502">
        <f t="shared" si="30"/>
        <v>0</v>
      </c>
    </row>
    <row r="120" spans="1:32" s="1474" customFormat="1" ht="23.25" customHeight="1">
      <c r="A120" s="2790">
        <v>53</v>
      </c>
      <c r="B120" s="1513" t="s">
        <v>2126</v>
      </c>
      <c r="C120" s="1514" t="s">
        <v>2248</v>
      </c>
      <c r="D120" s="1514"/>
      <c r="E120" s="1513">
        <v>13000000</v>
      </c>
      <c r="F120" s="1512">
        <f t="shared" si="17"/>
        <v>2340000</v>
      </c>
      <c r="G120" s="2141">
        <v>40949</v>
      </c>
      <c r="H120" s="1511">
        <v>0.18</v>
      </c>
      <c r="I120" s="1508">
        <v>12</v>
      </c>
      <c r="J120" s="1508">
        <v>12</v>
      </c>
      <c r="K120" s="1508">
        <v>1083300</v>
      </c>
      <c r="L120" s="1513">
        <f t="shared" si="33"/>
        <v>195000</v>
      </c>
      <c r="M120" s="2172">
        <f t="shared" si="18"/>
        <v>13000000</v>
      </c>
      <c r="N120" s="2407">
        <f>IF(J120&lt;I120,J120*L120,IF(J120&gt;=I120,F120))-195000</f>
        <v>2145000</v>
      </c>
      <c r="O120" s="2171">
        <v>13000000</v>
      </c>
      <c r="P120" s="2171">
        <v>2145000</v>
      </c>
      <c r="Q120" s="2393"/>
      <c r="R120" s="2653"/>
      <c r="S120" s="2653"/>
      <c r="T120" s="2393"/>
      <c r="U120" s="2174">
        <f t="shared" si="20"/>
        <v>13000000</v>
      </c>
      <c r="V120" s="1495">
        <f t="shared" si="21"/>
        <v>2145000</v>
      </c>
      <c r="W120" s="1495"/>
      <c r="X120" s="1495">
        <f t="shared" si="23"/>
        <v>0</v>
      </c>
      <c r="Y120" s="1495">
        <f t="shared" si="24"/>
        <v>100</v>
      </c>
      <c r="Z120" s="1495">
        <f t="shared" si="25"/>
        <v>0</v>
      </c>
      <c r="AA120" s="1506">
        <f t="shared" si="26"/>
        <v>0</v>
      </c>
      <c r="AB120" s="2927"/>
      <c r="AC120" s="1504">
        <f t="shared" si="27"/>
        <v>0</v>
      </c>
      <c r="AD120" s="1503">
        <f t="shared" si="28"/>
        <v>0</v>
      </c>
      <c r="AE120" s="1503">
        <f t="shared" si="29"/>
        <v>0</v>
      </c>
      <c r="AF120" s="1502">
        <f t="shared" si="30"/>
        <v>0</v>
      </c>
    </row>
    <row r="121" spans="1:32" s="1474" customFormat="1" ht="23.25" customHeight="1">
      <c r="A121" s="2790">
        <v>54</v>
      </c>
      <c r="B121" s="1513" t="s">
        <v>2265</v>
      </c>
      <c r="C121" s="1514" t="s">
        <v>2248</v>
      </c>
      <c r="D121" s="1514"/>
      <c r="E121" s="1513">
        <v>17500000</v>
      </c>
      <c r="F121" s="1512">
        <f t="shared" si="17"/>
        <v>3150000</v>
      </c>
      <c r="G121" s="2141">
        <v>40952</v>
      </c>
      <c r="H121" s="1511">
        <v>0.18</v>
      </c>
      <c r="I121" s="1508">
        <v>12</v>
      </c>
      <c r="J121" s="1508">
        <v>12</v>
      </c>
      <c r="K121" s="1508">
        <v>1458300</v>
      </c>
      <c r="L121" s="1513">
        <f t="shared" ref="L121:L127" si="34">F121/I121</f>
        <v>262500</v>
      </c>
      <c r="M121" s="2691">
        <f t="shared" si="18"/>
        <v>17500000</v>
      </c>
      <c r="N121" s="2691">
        <f t="shared" si="19"/>
        <v>3150000</v>
      </c>
      <c r="O121" s="2691">
        <v>17500000</v>
      </c>
      <c r="P121" s="2691">
        <v>3150000</v>
      </c>
      <c r="Q121" s="2829"/>
      <c r="R121" s="2653"/>
      <c r="S121" s="2653"/>
      <c r="T121" s="2829"/>
      <c r="U121" s="2830">
        <f t="shared" si="20"/>
        <v>17500000</v>
      </c>
      <c r="V121" s="2831">
        <f t="shared" si="21"/>
        <v>3150000</v>
      </c>
      <c r="W121" s="2831">
        <f t="shared" si="22"/>
        <v>0</v>
      </c>
      <c r="X121" s="2831">
        <f t="shared" si="23"/>
        <v>0</v>
      </c>
      <c r="Y121" s="2831">
        <f t="shared" si="24"/>
        <v>100</v>
      </c>
      <c r="Z121" s="2831">
        <f t="shared" si="25"/>
        <v>0</v>
      </c>
      <c r="AA121" s="2832">
        <f t="shared" si="26"/>
        <v>0</v>
      </c>
      <c r="AB121" s="2927"/>
      <c r="AC121" s="1504">
        <f t="shared" si="27"/>
        <v>0</v>
      </c>
      <c r="AD121" s="1503">
        <f t="shared" si="28"/>
        <v>0</v>
      </c>
      <c r="AE121" s="1503">
        <f t="shared" si="29"/>
        <v>0</v>
      </c>
      <c r="AF121" s="1502">
        <f t="shared" si="30"/>
        <v>0</v>
      </c>
    </row>
    <row r="122" spans="1:32" s="1474" customFormat="1" ht="23.25" customHeight="1">
      <c r="A122" s="2790">
        <v>55</v>
      </c>
      <c r="B122" s="1513" t="s">
        <v>2117</v>
      </c>
      <c r="C122" s="1514" t="s">
        <v>2248</v>
      </c>
      <c r="D122" s="1514">
        <v>12</v>
      </c>
      <c r="E122" s="1513">
        <v>18500000</v>
      </c>
      <c r="F122" s="1512">
        <f t="shared" si="17"/>
        <v>3330000</v>
      </c>
      <c r="G122" s="2141">
        <v>40982</v>
      </c>
      <c r="H122" s="1511">
        <v>0.18</v>
      </c>
      <c r="I122" s="1508">
        <v>12</v>
      </c>
      <c r="J122" s="1508">
        <v>12</v>
      </c>
      <c r="K122" s="1508">
        <v>1541700</v>
      </c>
      <c r="L122" s="1513">
        <f t="shared" si="34"/>
        <v>277500</v>
      </c>
      <c r="M122" s="2691">
        <f t="shared" si="18"/>
        <v>18500000</v>
      </c>
      <c r="N122" s="2691">
        <f t="shared" si="19"/>
        <v>3330000</v>
      </c>
      <c r="O122" s="2691">
        <v>10791900</v>
      </c>
      <c r="P122" s="2691">
        <v>2169900</v>
      </c>
      <c r="Q122" s="2829"/>
      <c r="R122" s="2653"/>
      <c r="S122" s="2653"/>
      <c r="T122" s="2829"/>
      <c r="U122" s="2830">
        <f t="shared" si="20"/>
        <v>10791900</v>
      </c>
      <c r="V122" s="2831">
        <f t="shared" si="21"/>
        <v>2169900</v>
      </c>
      <c r="W122" s="2831">
        <f t="shared" si="22"/>
        <v>0</v>
      </c>
      <c r="X122" s="2831">
        <f t="shared" si="23"/>
        <v>7708100</v>
      </c>
      <c r="Y122" s="2831">
        <f t="shared" si="24"/>
        <v>58.334594594594591</v>
      </c>
      <c r="Z122" s="2831">
        <f t="shared" si="25"/>
        <v>7708100</v>
      </c>
      <c r="AA122" s="2832">
        <f t="shared" si="26"/>
        <v>1160100</v>
      </c>
      <c r="AB122" s="2927">
        <v>7</v>
      </c>
      <c r="AC122" s="1504">
        <f t="shared" si="27"/>
        <v>0</v>
      </c>
      <c r="AD122" s="1503">
        <f t="shared" si="28"/>
        <v>0</v>
      </c>
      <c r="AE122" s="1503">
        <f t="shared" si="29"/>
        <v>0</v>
      </c>
      <c r="AF122" s="1502">
        <f t="shared" si="30"/>
        <v>7708100</v>
      </c>
    </row>
    <row r="123" spans="1:32" s="1474" customFormat="1" ht="23.25" customHeight="1">
      <c r="A123" s="2790">
        <v>56</v>
      </c>
      <c r="B123" s="1513" t="s">
        <v>2078</v>
      </c>
      <c r="C123" s="1514" t="s">
        <v>2248</v>
      </c>
      <c r="D123" s="1514"/>
      <c r="E123" s="1513">
        <v>12500000</v>
      </c>
      <c r="F123" s="1512">
        <f t="shared" si="17"/>
        <v>2250000</v>
      </c>
      <c r="G123" s="2141">
        <v>40989</v>
      </c>
      <c r="H123" s="1511">
        <v>0.18</v>
      </c>
      <c r="I123" s="1508">
        <v>12</v>
      </c>
      <c r="J123" s="1508">
        <v>12</v>
      </c>
      <c r="K123" s="1508">
        <v>1041700</v>
      </c>
      <c r="L123" s="1513">
        <f t="shared" si="34"/>
        <v>187500</v>
      </c>
      <c r="M123" s="2172">
        <f t="shared" si="18"/>
        <v>12500000</v>
      </c>
      <c r="N123" s="2172">
        <f t="shared" si="19"/>
        <v>2250000</v>
      </c>
      <c r="O123" s="2171">
        <v>12500000</v>
      </c>
      <c r="P123" s="2171">
        <v>2250000</v>
      </c>
      <c r="Q123" s="2393"/>
      <c r="R123" s="2653"/>
      <c r="S123" s="2653"/>
      <c r="T123" s="2393"/>
      <c r="U123" s="2174">
        <f t="shared" si="20"/>
        <v>12500000</v>
      </c>
      <c r="V123" s="1495">
        <f t="shared" si="21"/>
        <v>2250000</v>
      </c>
      <c r="W123" s="1495">
        <f t="shared" si="22"/>
        <v>0</v>
      </c>
      <c r="X123" s="1495">
        <f t="shared" si="23"/>
        <v>0</v>
      </c>
      <c r="Y123" s="1495">
        <f t="shared" si="24"/>
        <v>100</v>
      </c>
      <c r="Z123" s="1495">
        <f t="shared" si="25"/>
        <v>0</v>
      </c>
      <c r="AA123" s="1506">
        <f t="shared" si="26"/>
        <v>0</v>
      </c>
      <c r="AB123" s="2927"/>
      <c r="AC123" s="1504">
        <f t="shared" si="27"/>
        <v>0</v>
      </c>
      <c r="AD123" s="1503">
        <f t="shared" si="28"/>
        <v>0</v>
      </c>
      <c r="AE123" s="1503">
        <f t="shared" si="29"/>
        <v>0</v>
      </c>
      <c r="AF123" s="1502">
        <f t="shared" si="30"/>
        <v>0</v>
      </c>
    </row>
    <row r="124" spans="1:32" s="1474" customFormat="1" ht="23.25" customHeight="1">
      <c r="A124" s="2790">
        <v>57</v>
      </c>
      <c r="B124" s="1513" t="s">
        <v>2116</v>
      </c>
      <c r="C124" s="1514" t="s">
        <v>2248</v>
      </c>
      <c r="D124" s="1514"/>
      <c r="E124" s="1513">
        <v>17500000</v>
      </c>
      <c r="F124" s="1512">
        <f t="shared" si="17"/>
        <v>3150000</v>
      </c>
      <c r="G124" s="2141">
        <v>40989</v>
      </c>
      <c r="H124" s="1511">
        <v>0.18</v>
      </c>
      <c r="I124" s="1508">
        <v>12</v>
      </c>
      <c r="J124" s="1508">
        <v>12</v>
      </c>
      <c r="K124" s="1508">
        <v>1458300</v>
      </c>
      <c r="L124" s="1513">
        <f t="shared" si="34"/>
        <v>262500</v>
      </c>
      <c r="M124" s="2172">
        <f t="shared" si="18"/>
        <v>17500000</v>
      </c>
      <c r="N124" s="2172">
        <f t="shared" si="19"/>
        <v>3150000</v>
      </c>
      <c r="O124" s="2171">
        <v>17500000</v>
      </c>
      <c r="P124" s="2171">
        <v>3150000</v>
      </c>
      <c r="Q124" s="2393"/>
      <c r="R124" s="2653"/>
      <c r="S124" s="2653"/>
      <c r="T124" s="2393"/>
      <c r="U124" s="2174">
        <f t="shared" si="20"/>
        <v>17500000</v>
      </c>
      <c r="V124" s="1495">
        <f t="shared" si="21"/>
        <v>3150000</v>
      </c>
      <c r="W124" s="1495">
        <f t="shared" si="22"/>
        <v>0</v>
      </c>
      <c r="X124" s="1495">
        <f t="shared" si="23"/>
        <v>0</v>
      </c>
      <c r="Y124" s="1495">
        <f t="shared" si="24"/>
        <v>100</v>
      </c>
      <c r="Z124" s="1495">
        <f t="shared" si="25"/>
        <v>0</v>
      </c>
      <c r="AA124" s="1506">
        <f t="shared" si="26"/>
        <v>0</v>
      </c>
      <c r="AB124" s="2927"/>
      <c r="AC124" s="1504">
        <f t="shared" si="27"/>
        <v>0</v>
      </c>
      <c r="AD124" s="1503">
        <f t="shared" si="28"/>
        <v>0</v>
      </c>
      <c r="AE124" s="1503">
        <f t="shared" si="29"/>
        <v>0</v>
      </c>
      <c r="AF124" s="1502">
        <f t="shared" si="30"/>
        <v>0</v>
      </c>
    </row>
    <row r="125" spans="1:32" s="1474" customFormat="1" ht="23.25" customHeight="1">
      <c r="A125" s="2790">
        <v>58</v>
      </c>
      <c r="B125" s="1513" t="s">
        <v>1991</v>
      </c>
      <c r="C125" s="1514" t="s">
        <v>2248</v>
      </c>
      <c r="D125" s="1514"/>
      <c r="E125" s="1513">
        <v>10000000</v>
      </c>
      <c r="F125" s="1512">
        <f t="shared" si="17"/>
        <v>1800000</v>
      </c>
      <c r="G125" s="2141">
        <v>41012</v>
      </c>
      <c r="H125" s="1511">
        <v>0.18</v>
      </c>
      <c r="I125" s="1508">
        <v>12</v>
      </c>
      <c r="J125" s="1508">
        <v>12</v>
      </c>
      <c r="K125" s="1508">
        <v>833300</v>
      </c>
      <c r="L125" s="1513">
        <f t="shared" si="34"/>
        <v>150000</v>
      </c>
      <c r="M125" s="2172">
        <f t="shared" si="18"/>
        <v>10000000</v>
      </c>
      <c r="N125" s="2172">
        <f t="shared" si="19"/>
        <v>1800000</v>
      </c>
      <c r="O125" s="2171">
        <v>10000000</v>
      </c>
      <c r="P125" s="2171">
        <v>1800000</v>
      </c>
      <c r="Q125" s="2171"/>
      <c r="R125" s="2653"/>
      <c r="S125" s="2653"/>
      <c r="T125" s="2393"/>
      <c r="U125" s="2174">
        <f t="shared" si="20"/>
        <v>10000000</v>
      </c>
      <c r="V125" s="1495">
        <f t="shared" si="21"/>
        <v>1800000</v>
      </c>
      <c r="W125" s="1495">
        <f t="shared" si="22"/>
        <v>0</v>
      </c>
      <c r="X125" s="1495">
        <f t="shared" si="23"/>
        <v>0</v>
      </c>
      <c r="Y125" s="1495">
        <f t="shared" si="24"/>
        <v>100</v>
      </c>
      <c r="Z125" s="1495">
        <f t="shared" si="25"/>
        <v>0</v>
      </c>
      <c r="AA125" s="1506">
        <f t="shared" si="26"/>
        <v>0</v>
      </c>
      <c r="AB125" s="2927"/>
      <c r="AC125" s="1504">
        <f t="shared" si="27"/>
        <v>0</v>
      </c>
      <c r="AD125" s="1503">
        <f t="shared" si="28"/>
        <v>0</v>
      </c>
      <c r="AE125" s="1503">
        <f t="shared" si="29"/>
        <v>0</v>
      </c>
      <c r="AF125" s="1502">
        <f t="shared" si="30"/>
        <v>0</v>
      </c>
    </row>
    <row r="126" spans="1:32" s="1474" customFormat="1" ht="23.25" customHeight="1">
      <c r="A126" s="2790">
        <v>59</v>
      </c>
      <c r="B126" s="1513" t="s">
        <v>2118</v>
      </c>
      <c r="C126" s="1514" t="s">
        <v>2248</v>
      </c>
      <c r="D126" s="1514"/>
      <c r="E126" s="1513">
        <v>12500000</v>
      </c>
      <c r="F126" s="1512">
        <f t="shared" si="17"/>
        <v>2250000</v>
      </c>
      <c r="G126" s="2141">
        <v>41012</v>
      </c>
      <c r="H126" s="1511">
        <v>0.18</v>
      </c>
      <c r="I126" s="1508">
        <v>12</v>
      </c>
      <c r="J126" s="1508">
        <v>12</v>
      </c>
      <c r="K126" s="1508">
        <v>1041700</v>
      </c>
      <c r="L126" s="1513">
        <f t="shared" si="34"/>
        <v>187500</v>
      </c>
      <c r="M126" s="2172">
        <f t="shared" si="18"/>
        <v>12500000</v>
      </c>
      <c r="N126" s="2407">
        <f>IF(J126&lt;I126,J126*L126,IF(J126&gt;=I126,F126))-187500</f>
        <v>2062500</v>
      </c>
      <c r="O126" s="2171">
        <v>12500000</v>
      </c>
      <c r="P126" s="2171">
        <v>2062500</v>
      </c>
      <c r="Q126" s="2171"/>
      <c r="R126" s="2653"/>
      <c r="S126" s="2653"/>
      <c r="T126" s="2393"/>
      <c r="U126" s="2174">
        <f t="shared" si="20"/>
        <v>12500000</v>
      </c>
      <c r="V126" s="1495">
        <f t="shared" si="21"/>
        <v>2062500</v>
      </c>
      <c r="W126" s="1495">
        <f t="shared" si="22"/>
        <v>0</v>
      </c>
      <c r="X126" s="1495">
        <f t="shared" si="23"/>
        <v>0</v>
      </c>
      <c r="Y126" s="1495">
        <f t="shared" si="24"/>
        <v>100</v>
      </c>
      <c r="Z126" s="1495">
        <f t="shared" si="25"/>
        <v>0</v>
      </c>
      <c r="AA126" s="1506">
        <f t="shared" si="26"/>
        <v>0</v>
      </c>
      <c r="AB126" s="2927"/>
      <c r="AC126" s="1504">
        <f t="shared" si="27"/>
        <v>0</v>
      </c>
      <c r="AD126" s="1503">
        <f t="shared" si="28"/>
        <v>0</v>
      </c>
      <c r="AE126" s="1503">
        <f t="shared" si="29"/>
        <v>0</v>
      </c>
      <c r="AF126" s="1502">
        <f t="shared" si="30"/>
        <v>0</v>
      </c>
    </row>
    <row r="127" spans="1:32" s="1474" customFormat="1" ht="23.25" customHeight="1">
      <c r="A127" s="2790">
        <v>60</v>
      </c>
      <c r="B127" s="1513" t="s">
        <v>2266</v>
      </c>
      <c r="C127" s="1514" t="s">
        <v>2248</v>
      </c>
      <c r="D127" s="1514">
        <v>10</v>
      </c>
      <c r="E127" s="1513">
        <v>18500000</v>
      </c>
      <c r="F127" s="1512">
        <f t="shared" si="17"/>
        <v>3330000</v>
      </c>
      <c r="G127" s="2141">
        <v>41012</v>
      </c>
      <c r="H127" s="1511">
        <v>0.18</v>
      </c>
      <c r="I127" s="1508">
        <v>12</v>
      </c>
      <c r="J127" s="1508">
        <v>12</v>
      </c>
      <c r="K127" s="1508">
        <v>1541700</v>
      </c>
      <c r="L127" s="1513">
        <f t="shared" si="34"/>
        <v>277500</v>
      </c>
      <c r="M127" s="2172">
        <f t="shared" si="18"/>
        <v>18500000</v>
      </c>
      <c r="N127" s="2172">
        <f t="shared" si="19"/>
        <v>3330000</v>
      </c>
      <c r="O127" s="2171">
        <v>10779300</v>
      </c>
      <c r="P127" s="2171">
        <v>2142500</v>
      </c>
      <c r="Q127" s="2171"/>
      <c r="R127" s="2852"/>
      <c r="S127" s="2852"/>
      <c r="T127" s="2393"/>
      <c r="U127" s="2174">
        <f t="shared" si="20"/>
        <v>10779300</v>
      </c>
      <c r="V127" s="1495">
        <f t="shared" si="21"/>
        <v>2142500</v>
      </c>
      <c r="W127" s="1495">
        <f t="shared" si="22"/>
        <v>0</v>
      </c>
      <c r="X127" s="1495">
        <f t="shared" si="23"/>
        <v>7720700</v>
      </c>
      <c r="Y127" s="1495">
        <f t="shared" si="24"/>
        <v>58.266486486486492</v>
      </c>
      <c r="Z127" s="1495">
        <f t="shared" si="25"/>
        <v>7720700</v>
      </c>
      <c r="AA127" s="1506">
        <f t="shared" si="26"/>
        <v>1187500</v>
      </c>
      <c r="AB127" s="2927">
        <v>7</v>
      </c>
      <c r="AC127" s="1504">
        <f t="shared" si="27"/>
        <v>0</v>
      </c>
      <c r="AD127" s="1503">
        <f t="shared" si="28"/>
        <v>0</v>
      </c>
      <c r="AE127" s="1503">
        <f t="shared" si="29"/>
        <v>0</v>
      </c>
      <c r="AF127" s="1502">
        <f t="shared" si="30"/>
        <v>7720700</v>
      </c>
    </row>
    <row r="128" spans="1:32" s="1474" customFormat="1" ht="23.25" customHeight="1">
      <c r="A128" s="2790">
        <v>61</v>
      </c>
      <c r="B128" s="1513" t="s">
        <v>2113</v>
      </c>
      <c r="C128" s="1514" t="s">
        <v>2248</v>
      </c>
      <c r="D128" s="1514"/>
      <c r="E128" s="1513">
        <v>25000000</v>
      </c>
      <c r="F128" s="1512">
        <f t="shared" si="17"/>
        <v>4500000</v>
      </c>
      <c r="G128" s="2141">
        <v>41038</v>
      </c>
      <c r="H128" s="1511">
        <v>0.18</v>
      </c>
      <c r="I128" s="1508">
        <v>12</v>
      </c>
      <c r="J128" s="1508">
        <v>12</v>
      </c>
      <c r="K128" s="1508">
        <v>2083300</v>
      </c>
      <c r="L128" s="1513">
        <v>375000</v>
      </c>
      <c r="M128" s="2172">
        <f t="shared" si="18"/>
        <v>25000000</v>
      </c>
      <c r="N128" s="2407">
        <f>IF(J128&lt;I128,J128*L128,IF(J128&gt;=I128,F128))-375000</f>
        <v>4125000</v>
      </c>
      <c r="O128" s="2171">
        <v>25000000</v>
      </c>
      <c r="P128" s="2171">
        <v>4125000</v>
      </c>
      <c r="Q128" s="2171"/>
      <c r="R128" s="2653"/>
      <c r="S128" s="2653"/>
      <c r="T128" s="2393"/>
      <c r="U128" s="2174">
        <f t="shared" si="20"/>
        <v>25000000</v>
      </c>
      <c r="V128" s="1495">
        <f t="shared" si="21"/>
        <v>4125000</v>
      </c>
      <c r="W128" s="1495">
        <f t="shared" si="22"/>
        <v>0</v>
      </c>
      <c r="X128" s="1495">
        <f t="shared" si="23"/>
        <v>0</v>
      </c>
      <c r="Y128" s="1495">
        <f t="shared" si="24"/>
        <v>100</v>
      </c>
      <c r="Z128" s="1495">
        <f t="shared" si="25"/>
        <v>0</v>
      </c>
      <c r="AA128" s="1506">
        <f t="shared" si="26"/>
        <v>0</v>
      </c>
      <c r="AB128" s="2927"/>
      <c r="AC128" s="1504">
        <f t="shared" si="27"/>
        <v>0</v>
      </c>
      <c r="AD128" s="1503">
        <f t="shared" si="28"/>
        <v>0</v>
      </c>
      <c r="AE128" s="1503">
        <f t="shared" si="29"/>
        <v>0</v>
      </c>
      <c r="AF128" s="1502">
        <f t="shared" si="30"/>
        <v>0</v>
      </c>
    </row>
    <row r="129" spans="1:32" s="1474" customFormat="1" ht="23.25" customHeight="1">
      <c r="A129" s="2790">
        <v>62</v>
      </c>
      <c r="B129" s="1513" t="s">
        <v>2119</v>
      </c>
      <c r="C129" s="1514" t="s">
        <v>2277</v>
      </c>
      <c r="D129" s="1514"/>
      <c r="E129" s="1513">
        <v>14000000</v>
      </c>
      <c r="F129" s="1512">
        <f t="shared" si="17"/>
        <v>2520000</v>
      </c>
      <c r="G129" s="2141">
        <v>41074</v>
      </c>
      <c r="H129" s="1511">
        <v>0.18</v>
      </c>
      <c r="I129" s="1508">
        <v>12</v>
      </c>
      <c r="J129" s="1508">
        <v>12</v>
      </c>
      <c r="K129" s="1508">
        <v>1166700</v>
      </c>
      <c r="L129" s="1513">
        <v>210000</v>
      </c>
      <c r="M129" s="2172">
        <f t="shared" si="18"/>
        <v>14000000</v>
      </c>
      <c r="N129" s="2407">
        <f>IF(J129&lt;I129,J129*L129,IF(J129&gt;=I129,F129))-210000-210000</f>
        <v>2100000</v>
      </c>
      <c r="O129" s="2171">
        <v>14000000</v>
      </c>
      <c r="P129" s="2171">
        <v>2100000</v>
      </c>
      <c r="Q129" s="2171"/>
      <c r="R129" s="2653"/>
      <c r="S129" s="2653"/>
      <c r="T129" s="2393"/>
      <c r="U129" s="2174">
        <f t="shared" si="20"/>
        <v>14000000</v>
      </c>
      <c r="V129" s="1495">
        <f t="shared" si="21"/>
        <v>2100000</v>
      </c>
      <c r="W129" s="1495">
        <f t="shared" si="22"/>
        <v>0</v>
      </c>
      <c r="X129" s="1495">
        <f t="shared" si="23"/>
        <v>0</v>
      </c>
      <c r="Y129" s="1495">
        <f t="shared" si="24"/>
        <v>100</v>
      </c>
      <c r="Z129" s="1495">
        <f t="shared" si="25"/>
        <v>0</v>
      </c>
      <c r="AA129" s="1506">
        <f t="shared" si="26"/>
        <v>0</v>
      </c>
      <c r="AB129" s="2927"/>
      <c r="AC129" s="1504">
        <f t="shared" si="27"/>
        <v>0</v>
      </c>
      <c r="AD129" s="1503">
        <f t="shared" si="28"/>
        <v>0</v>
      </c>
      <c r="AE129" s="1503">
        <f t="shared" si="29"/>
        <v>0</v>
      </c>
      <c r="AF129" s="1502">
        <f t="shared" si="30"/>
        <v>0</v>
      </c>
    </row>
    <row r="130" spans="1:32" s="1474" customFormat="1" ht="23.25" customHeight="1">
      <c r="A130" s="2790">
        <v>63</v>
      </c>
      <c r="B130" s="1513" t="s">
        <v>2281</v>
      </c>
      <c r="C130" s="1514" t="s">
        <v>2277</v>
      </c>
      <c r="D130" s="1514"/>
      <c r="E130" s="1513">
        <v>16000000</v>
      </c>
      <c r="F130" s="1512">
        <f t="shared" si="17"/>
        <v>2880000</v>
      </c>
      <c r="G130" s="2141">
        <v>41074</v>
      </c>
      <c r="H130" s="1511">
        <v>0.18</v>
      </c>
      <c r="I130" s="1508">
        <v>12</v>
      </c>
      <c r="J130" s="1508">
        <v>12</v>
      </c>
      <c r="K130" s="1508">
        <v>1333300</v>
      </c>
      <c r="L130" s="1513">
        <v>240000</v>
      </c>
      <c r="M130" s="2172">
        <f t="shared" si="18"/>
        <v>16000000</v>
      </c>
      <c r="N130" s="2172">
        <f t="shared" si="19"/>
        <v>2880000</v>
      </c>
      <c r="O130" s="2171">
        <v>16000000</v>
      </c>
      <c r="P130" s="2171">
        <v>2880000</v>
      </c>
      <c r="Q130" s="2171"/>
      <c r="R130" s="2653"/>
      <c r="S130" s="2653"/>
      <c r="T130" s="2393"/>
      <c r="U130" s="2174">
        <f t="shared" si="20"/>
        <v>16000000</v>
      </c>
      <c r="V130" s="1495">
        <f t="shared" si="21"/>
        <v>2880000</v>
      </c>
      <c r="W130" s="1495">
        <f t="shared" si="22"/>
        <v>0</v>
      </c>
      <c r="X130" s="1495">
        <f t="shared" si="23"/>
        <v>0</v>
      </c>
      <c r="Y130" s="1495">
        <f t="shared" si="24"/>
        <v>100</v>
      </c>
      <c r="Z130" s="1495">
        <f t="shared" si="25"/>
        <v>0</v>
      </c>
      <c r="AA130" s="1506">
        <f t="shared" si="26"/>
        <v>0</v>
      </c>
      <c r="AB130" s="2927"/>
      <c r="AC130" s="1504">
        <f t="shared" si="27"/>
        <v>0</v>
      </c>
      <c r="AD130" s="1503">
        <f t="shared" si="28"/>
        <v>0</v>
      </c>
      <c r="AE130" s="1503">
        <f t="shared" si="29"/>
        <v>0</v>
      </c>
      <c r="AF130" s="1502">
        <f t="shared" si="30"/>
        <v>0</v>
      </c>
    </row>
    <row r="131" spans="1:32" s="1474" customFormat="1" ht="23.25" customHeight="1">
      <c r="A131" s="2790">
        <v>64</v>
      </c>
      <c r="B131" s="1513" t="s">
        <v>2120</v>
      </c>
      <c r="C131" s="1514" t="s">
        <v>2277</v>
      </c>
      <c r="D131" s="1514"/>
      <c r="E131" s="1513">
        <v>16000000</v>
      </c>
      <c r="F131" s="1512">
        <f t="shared" si="17"/>
        <v>2880000</v>
      </c>
      <c r="G131" s="2141">
        <v>41074</v>
      </c>
      <c r="H131" s="1511">
        <v>0.18</v>
      </c>
      <c r="I131" s="1508">
        <v>12</v>
      </c>
      <c r="J131" s="1508">
        <v>12</v>
      </c>
      <c r="K131" s="1508">
        <v>1333300</v>
      </c>
      <c r="L131" s="1513">
        <v>240000</v>
      </c>
      <c r="M131" s="2172">
        <f t="shared" si="18"/>
        <v>16000000</v>
      </c>
      <c r="N131" s="2172">
        <f t="shared" si="19"/>
        <v>2880000</v>
      </c>
      <c r="O131" s="2171">
        <v>16000000</v>
      </c>
      <c r="P131" s="2171">
        <v>2880000</v>
      </c>
      <c r="Q131" s="2171"/>
      <c r="R131" s="2653"/>
      <c r="S131" s="2653"/>
      <c r="T131" s="2393"/>
      <c r="U131" s="2174">
        <f t="shared" si="20"/>
        <v>16000000</v>
      </c>
      <c r="V131" s="1495">
        <f t="shared" si="21"/>
        <v>2880000</v>
      </c>
      <c r="W131" s="1495">
        <f t="shared" si="22"/>
        <v>0</v>
      </c>
      <c r="X131" s="1495">
        <f t="shared" si="23"/>
        <v>0</v>
      </c>
      <c r="Y131" s="1495">
        <f t="shared" si="24"/>
        <v>100</v>
      </c>
      <c r="Z131" s="1495">
        <f t="shared" si="25"/>
        <v>0</v>
      </c>
      <c r="AA131" s="1506">
        <f t="shared" si="26"/>
        <v>0</v>
      </c>
      <c r="AB131" s="2927"/>
      <c r="AC131" s="1504">
        <f t="shared" si="27"/>
        <v>0</v>
      </c>
      <c r="AD131" s="1503">
        <f t="shared" si="28"/>
        <v>0</v>
      </c>
      <c r="AE131" s="1503">
        <f t="shared" si="29"/>
        <v>0</v>
      </c>
      <c r="AF131" s="1502">
        <f t="shared" si="30"/>
        <v>0</v>
      </c>
    </row>
    <row r="132" spans="1:32" s="1474" customFormat="1" ht="23.25" customHeight="1">
      <c r="A132" s="2790">
        <v>65</v>
      </c>
      <c r="B132" s="1513" t="s">
        <v>2282</v>
      </c>
      <c r="C132" s="1514" t="s">
        <v>2277</v>
      </c>
      <c r="D132" s="1514"/>
      <c r="E132" s="1513">
        <v>7000000</v>
      </c>
      <c r="F132" s="1512">
        <f t="shared" si="17"/>
        <v>1260000</v>
      </c>
      <c r="G132" s="2141">
        <v>41074</v>
      </c>
      <c r="H132" s="1511">
        <v>0.18</v>
      </c>
      <c r="I132" s="1508">
        <v>12</v>
      </c>
      <c r="J132" s="1508">
        <v>12</v>
      </c>
      <c r="K132" s="1508">
        <v>583300</v>
      </c>
      <c r="L132" s="1513">
        <v>105000</v>
      </c>
      <c r="M132" s="2172">
        <f t="shared" si="18"/>
        <v>7000000</v>
      </c>
      <c r="N132" s="2172">
        <f t="shared" si="19"/>
        <v>1260000</v>
      </c>
      <c r="O132" s="2171">
        <v>7000000</v>
      </c>
      <c r="P132" s="2171">
        <v>1260000</v>
      </c>
      <c r="Q132" s="2171"/>
      <c r="R132" s="2653"/>
      <c r="S132" s="2653"/>
      <c r="T132" s="2393"/>
      <c r="U132" s="2174">
        <f t="shared" si="20"/>
        <v>7000000</v>
      </c>
      <c r="V132" s="1495">
        <f t="shared" si="21"/>
        <v>1260000</v>
      </c>
      <c r="W132" s="1495">
        <f t="shared" si="22"/>
        <v>0</v>
      </c>
      <c r="X132" s="1495">
        <f t="shared" si="23"/>
        <v>0</v>
      </c>
      <c r="Y132" s="1495">
        <f t="shared" si="24"/>
        <v>100</v>
      </c>
      <c r="Z132" s="1495">
        <f t="shared" si="25"/>
        <v>0</v>
      </c>
      <c r="AA132" s="1506">
        <f t="shared" si="26"/>
        <v>0</v>
      </c>
      <c r="AB132" s="2927"/>
      <c r="AC132" s="1504">
        <f t="shared" si="27"/>
        <v>0</v>
      </c>
      <c r="AD132" s="1503">
        <f t="shared" si="28"/>
        <v>0</v>
      </c>
      <c r="AE132" s="1503">
        <f t="shared" si="29"/>
        <v>0</v>
      </c>
      <c r="AF132" s="1502">
        <f t="shared" si="30"/>
        <v>0</v>
      </c>
    </row>
    <row r="133" spans="1:32" s="1474" customFormat="1" ht="23.25" customHeight="1">
      <c r="A133" s="2790">
        <v>66</v>
      </c>
      <c r="B133" s="1513" t="s">
        <v>2313</v>
      </c>
      <c r="C133" s="1514" t="s">
        <v>2312</v>
      </c>
      <c r="D133" s="1514"/>
      <c r="E133" s="1513">
        <v>6000000</v>
      </c>
      <c r="F133" s="1512">
        <f t="shared" si="17"/>
        <v>1080000</v>
      </c>
      <c r="G133" s="2141">
        <v>41158</v>
      </c>
      <c r="H133" s="1511">
        <v>0.18</v>
      </c>
      <c r="I133" s="1508">
        <v>12</v>
      </c>
      <c r="J133" s="1508">
        <v>12</v>
      </c>
      <c r="K133" s="1508">
        <f>E133/I133</f>
        <v>500000</v>
      </c>
      <c r="L133" s="1513">
        <f>F133/I133</f>
        <v>90000</v>
      </c>
      <c r="M133" s="2172">
        <f t="shared" si="18"/>
        <v>6000000</v>
      </c>
      <c r="N133" s="2407">
        <f>IF(J133&lt;I133,J133*L133,IF(J133&gt;=I133,F133))-180000</f>
        <v>900000</v>
      </c>
      <c r="O133" s="2171">
        <v>6000000</v>
      </c>
      <c r="P133" s="2171">
        <v>900000</v>
      </c>
      <c r="Q133" s="2171"/>
      <c r="R133" s="2653"/>
      <c r="S133" s="2653"/>
      <c r="T133" s="2393"/>
      <c r="U133" s="2174">
        <f t="shared" si="20"/>
        <v>6000000</v>
      </c>
      <c r="V133" s="1495">
        <f t="shared" si="21"/>
        <v>900000</v>
      </c>
      <c r="W133" s="1495">
        <f t="shared" si="22"/>
        <v>0</v>
      </c>
      <c r="X133" s="1495">
        <f t="shared" si="23"/>
        <v>0</v>
      </c>
      <c r="Y133" s="1495">
        <f t="shared" si="24"/>
        <v>100</v>
      </c>
      <c r="Z133" s="1495">
        <f t="shared" si="25"/>
        <v>0</v>
      </c>
      <c r="AA133" s="1506">
        <f t="shared" si="26"/>
        <v>0</v>
      </c>
      <c r="AB133" s="2927"/>
      <c r="AC133" s="1504">
        <f t="shared" si="27"/>
        <v>0</v>
      </c>
      <c r="AD133" s="1503">
        <f t="shared" si="28"/>
        <v>0</v>
      </c>
      <c r="AE133" s="1503">
        <f t="shared" si="29"/>
        <v>0</v>
      </c>
      <c r="AF133" s="1502">
        <f t="shared" si="30"/>
        <v>0</v>
      </c>
    </row>
    <row r="134" spans="1:32" s="1474" customFormat="1" ht="23.25" customHeight="1">
      <c r="A134" s="2790">
        <v>67</v>
      </c>
      <c r="B134" s="1513" t="s">
        <v>2315</v>
      </c>
      <c r="C134" s="1514" t="s">
        <v>2312</v>
      </c>
      <c r="D134" s="1514"/>
      <c r="E134" s="1513">
        <v>6000000</v>
      </c>
      <c r="F134" s="1512">
        <f t="shared" si="17"/>
        <v>1080000</v>
      </c>
      <c r="G134" s="2141">
        <v>41173</v>
      </c>
      <c r="H134" s="1511">
        <v>0.18</v>
      </c>
      <c r="I134" s="1508">
        <v>12</v>
      </c>
      <c r="J134" s="1508">
        <v>12</v>
      </c>
      <c r="K134" s="1508">
        <f>E134/I134</f>
        <v>500000</v>
      </c>
      <c r="L134" s="1513">
        <f t="shared" ref="L134:L208" si="35">F134/I134</f>
        <v>90000</v>
      </c>
      <c r="M134" s="2172">
        <f t="shared" si="18"/>
        <v>6000000</v>
      </c>
      <c r="N134" s="2407">
        <f>IF(J134&lt;I134,J134*L134,IF(J134&gt;=I134,F134))-180000</f>
        <v>900000</v>
      </c>
      <c r="O134" s="2171">
        <v>6000000</v>
      </c>
      <c r="P134" s="2171">
        <v>900000</v>
      </c>
      <c r="Q134" s="2171"/>
      <c r="R134" s="2653"/>
      <c r="S134" s="2653"/>
      <c r="T134" s="2393"/>
      <c r="U134" s="2174">
        <f t="shared" si="20"/>
        <v>6000000</v>
      </c>
      <c r="V134" s="1495">
        <f t="shared" si="21"/>
        <v>900000</v>
      </c>
      <c r="W134" s="1495">
        <f t="shared" si="22"/>
        <v>0</v>
      </c>
      <c r="X134" s="1495">
        <f t="shared" si="23"/>
        <v>0</v>
      </c>
      <c r="Y134" s="1495">
        <f t="shared" si="24"/>
        <v>100</v>
      </c>
      <c r="Z134" s="1495">
        <f t="shared" si="25"/>
        <v>0</v>
      </c>
      <c r="AA134" s="1506">
        <f t="shared" si="26"/>
        <v>0</v>
      </c>
      <c r="AB134" s="2927"/>
      <c r="AC134" s="1504">
        <f t="shared" si="27"/>
        <v>0</v>
      </c>
      <c r="AD134" s="1503">
        <f t="shared" si="28"/>
        <v>0</v>
      </c>
      <c r="AE134" s="1503">
        <f t="shared" si="29"/>
        <v>0</v>
      </c>
      <c r="AF134" s="1502">
        <f t="shared" si="30"/>
        <v>0</v>
      </c>
    </row>
    <row r="135" spans="1:32" s="1474" customFormat="1" ht="23.25" customHeight="1">
      <c r="A135" s="2790">
        <v>68</v>
      </c>
      <c r="B135" s="1513" t="s">
        <v>2100</v>
      </c>
      <c r="C135" s="1514" t="s">
        <v>2312</v>
      </c>
      <c r="D135" s="1514"/>
      <c r="E135" s="1513">
        <v>30000000</v>
      </c>
      <c r="F135" s="1512">
        <f t="shared" si="17"/>
        <v>5400000</v>
      </c>
      <c r="G135" s="2141">
        <v>41186</v>
      </c>
      <c r="H135" s="1511">
        <v>0.18</v>
      </c>
      <c r="I135" s="1508">
        <v>12</v>
      </c>
      <c r="J135" s="1508">
        <v>12</v>
      </c>
      <c r="K135" s="1508">
        <f>E135/I135</f>
        <v>2500000</v>
      </c>
      <c r="L135" s="1513">
        <f t="shared" si="35"/>
        <v>450000</v>
      </c>
      <c r="M135" s="2172">
        <f t="shared" si="18"/>
        <v>30000000</v>
      </c>
      <c r="N135" s="2407">
        <f>IF(J135&lt;I135,J135*L135,IF(J135&gt;=I135,F135))-450000</f>
        <v>4950000</v>
      </c>
      <c r="O135" s="2171">
        <v>30000000</v>
      </c>
      <c r="P135" s="2171">
        <v>4950000</v>
      </c>
      <c r="Q135" s="2171"/>
      <c r="R135" s="2653"/>
      <c r="S135" s="2653"/>
      <c r="T135" s="2393"/>
      <c r="U135" s="2174">
        <f t="shared" si="20"/>
        <v>30000000</v>
      </c>
      <c r="V135" s="1495">
        <f t="shared" si="21"/>
        <v>4950000</v>
      </c>
      <c r="W135" s="1495">
        <f t="shared" si="22"/>
        <v>0</v>
      </c>
      <c r="X135" s="1495">
        <f t="shared" si="23"/>
        <v>0</v>
      </c>
      <c r="Y135" s="1495">
        <f t="shared" si="24"/>
        <v>100</v>
      </c>
      <c r="Z135" s="1495">
        <f t="shared" si="25"/>
        <v>0</v>
      </c>
      <c r="AA135" s="1506">
        <f t="shared" si="26"/>
        <v>0</v>
      </c>
      <c r="AB135" s="2927"/>
      <c r="AC135" s="1504">
        <f t="shared" si="27"/>
        <v>0</v>
      </c>
      <c r="AD135" s="1503">
        <f t="shared" si="28"/>
        <v>0</v>
      </c>
      <c r="AE135" s="1503">
        <f t="shared" si="29"/>
        <v>0</v>
      </c>
      <c r="AF135" s="1502">
        <f t="shared" si="30"/>
        <v>0</v>
      </c>
    </row>
    <row r="136" spans="1:32" s="1474" customFormat="1" ht="23.25" customHeight="1">
      <c r="A136" s="2790">
        <v>69</v>
      </c>
      <c r="B136" s="1513" t="s">
        <v>2101</v>
      </c>
      <c r="C136" s="1514" t="s">
        <v>2312</v>
      </c>
      <c r="D136" s="1514"/>
      <c r="E136" s="1513">
        <v>25000000</v>
      </c>
      <c r="F136" s="1512">
        <f t="shared" si="17"/>
        <v>4500000</v>
      </c>
      <c r="G136" s="2141">
        <v>41186</v>
      </c>
      <c r="H136" s="1511">
        <v>0.18</v>
      </c>
      <c r="I136" s="1508">
        <v>12</v>
      </c>
      <c r="J136" s="1508">
        <v>12</v>
      </c>
      <c r="K136" s="1508">
        <v>2083300</v>
      </c>
      <c r="L136" s="1513">
        <f t="shared" si="35"/>
        <v>375000</v>
      </c>
      <c r="M136" s="2172">
        <f t="shared" si="18"/>
        <v>25000000</v>
      </c>
      <c r="N136" s="2407">
        <f>IF(J136&lt;I136,J136*L136,IF(J136&gt;=I136,F136))-375000</f>
        <v>4125000</v>
      </c>
      <c r="O136" s="2171">
        <v>25000000</v>
      </c>
      <c r="P136" s="2171">
        <v>4125000</v>
      </c>
      <c r="Q136" s="2171"/>
      <c r="R136" s="2653"/>
      <c r="S136" s="2653"/>
      <c r="T136" s="2393"/>
      <c r="U136" s="2174">
        <f t="shared" si="20"/>
        <v>25000000</v>
      </c>
      <c r="V136" s="1495">
        <f t="shared" si="21"/>
        <v>4125000</v>
      </c>
      <c r="W136" s="1495">
        <f t="shared" si="22"/>
        <v>0</v>
      </c>
      <c r="X136" s="1495">
        <f t="shared" si="23"/>
        <v>0</v>
      </c>
      <c r="Y136" s="1495">
        <f t="shared" si="24"/>
        <v>100</v>
      </c>
      <c r="Z136" s="1495">
        <f t="shared" si="25"/>
        <v>0</v>
      </c>
      <c r="AA136" s="1506">
        <f t="shared" si="26"/>
        <v>0</v>
      </c>
      <c r="AB136" s="2927"/>
      <c r="AC136" s="1504">
        <f t="shared" si="27"/>
        <v>0</v>
      </c>
      <c r="AD136" s="1503">
        <f t="shared" si="28"/>
        <v>0</v>
      </c>
      <c r="AE136" s="1503">
        <f t="shared" si="29"/>
        <v>0</v>
      </c>
      <c r="AF136" s="1502">
        <f t="shared" si="30"/>
        <v>0</v>
      </c>
    </row>
    <row r="137" spans="1:32" s="1474" customFormat="1" ht="23.25" customHeight="1">
      <c r="A137" s="2790">
        <v>70</v>
      </c>
      <c r="B137" s="1513" t="s">
        <v>2224</v>
      </c>
      <c r="C137" s="1514" t="s">
        <v>2312</v>
      </c>
      <c r="D137" s="1514"/>
      <c r="E137" s="1513">
        <v>10000000</v>
      </c>
      <c r="F137" s="1512">
        <f t="shared" si="17"/>
        <v>1800000</v>
      </c>
      <c r="G137" s="2141">
        <v>41200</v>
      </c>
      <c r="H137" s="1511">
        <v>0.18</v>
      </c>
      <c r="I137" s="1508">
        <v>12</v>
      </c>
      <c r="J137" s="1508">
        <v>12</v>
      </c>
      <c r="K137" s="1508">
        <v>833300</v>
      </c>
      <c r="L137" s="1513">
        <f t="shared" si="35"/>
        <v>150000</v>
      </c>
      <c r="M137" s="2172">
        <f t="shared" si="18"/>
        <v>10000000</v>
      </c>
      <c r="N137" s="2172">
        <f t="shared" si="19"/>
        <v>1800000</v>
      </c>
      <c r="O137" s="2171">
        <v>10000000</v>
      </c>
      <c r="P137" s="2171">
        <v>1800000</v>
      </c>
      <c r="Q137" s="2171"/>
      <c r="R137" s="2653"/>
      <c r="S137" s="2653"/>
      <c r="T137" s="2393"/>
      <c r="U137" s="2174">
        <f t="shared" si="20"/>
        <v>10000000</v>
      </c>
      <c r="V137" s="1495">
        <f t="shared" si="21"/>
        <v>1800000</v>
      </c>
      <c r="W137" s="1495">
        <f t="shared" si="22"/>
        <v>0</v>
      </c>
      <c r="X137" s="1495">
        <f t="shared" si="23"/>
        <v>0</v>
      </c>
      <c r="Y137" s="1495">
        <f t="shared" si="24"/>
        <v>100</v>
      </c>
      <c r="Z137" s="1495">
        <f t="shared" si="25"/>
        <v>0</v>
      </c>
      <c r="AA137" s="1506">
        <f t="shared" si="26"/>
        <v>0</v>
      </c>
      <c r="AB137" s="2927"/>
      <c r="AC137" s="1504">
        <f t="shared" si="27"/>
        <v>0</v>
      </c>
      <c r="AD137" s="1503">
        <f t="shared" si="28"/>
        <v>0</v>
      </c>
      <c r="AE137" s="1503">
        <f t="shared" si="29"/>
        <v>0</v>
      </c>
      <c r="AF137" s="1502">
        <f t="shared" si="30"/>
        <v>0</v>
      </c>
    </row>
    <row r="138" spans="1:32" s="1474" customFormat="1" ht="23.25" customHeight="1">
      <c r="A138" s="2790">
        <v>71</v>
      </c>
      <c r="B138" s="1513" t="s">
        <v>2106</v>
      </c>
      <c r="C138" s="1514" t="s">
        <v>2312</v>
      </c>
      <c r="D138" s="1514"/>
      <c r="E138" s="1513">
        <v>10000000</v>
      </c>
      <c r="F138" s="1512">
        <f t="shared" si="17"/>
        <v>1800000</v>
      </c>
      <c r="G138" s="2141">
        <v>41205</v>
      </c>
      <c r="H138" s="1511">
        <v>0.18</v>
      </c>
      <c r="I138" s="1508">
        <v>12</v>
      </c>
      <c r="J138" s="1508">
        <v>12</v>
      </c>
      <c r="K138" s="1508">
        <v>833300</v>
      </c>
      <c r="L138" s="1513">
        <f t="shared" si="35"/>
        <v>150000</v>
      </c>
      <c r="M138" s="2172">
        <f t="shared" si="18"/>
        <v>10000000</v>
      </c>
      <c r="N138" s="2407">
        <f>IF(J138&lt;I138,J138*L138,IF(J138&gt;=I138,F138))-150000</f>
        <v>1650000</v>
      </c>
      <c r="O138" s="2171">
        <v>10000000</v>
      </c>
      <c r="P138" s="2171">
        <v>1650000</v>
      </c>
      <c r="Q138" s="2171"/>
      <c r="R138" s="2653"/>
      <c r="S138" s="2653"/>
      <c r="T138" s="2393"/>
      <c r="U138" s="2174">
        <f t="shared" si="20"/>
        <v>10000000</v>
      </c>
      <c r="V138" s="1495">
        <f t="shared" si="21"/>
        <v>1650000</v>
      </c>
      <c r="W138" s="1495">
        <f t="shared" si="22"/>
        <v>0</v>
      </c>
      <c r="X138" s="1495">
        <f t="shared" si="23"/>
        <v>0</v>
      </c>
      <c r="Y138" s="1495">
        <f t="shared" si="24"/>
        <v>100</v>
      </c>
      <c r="Z138" s="1495">
        <f t="shared" si="25"/>
        <v>0</v>
      </c>
      <c r="AA138" s="1506">
        <f t="shared" si="26"/>
        <v>0</v>
      </c>
      <c r="AB138" s="2927"/>
      <c r="AC138" s="1504">
        <f t="shared" si="27"/>
        <v>0</v>
      </c>
      <c r="AD138" s="1503">
        <f t="shared" si="28"/>
        <v>0</v>
      </c>
      <c r="AE138" s="1503">
        <f t="shared" si="29"/>
        <v>0</v>
      </c>
      <c r="AF138" s="1502">
        <f t="shared" si="30"/>
        <v>0</v>
      </c>
    </row>
    <row r="139" spans="1:32" s="1474" customFormat="1" ht="23.25" customHeight="1">
      <c r="A139" s="2790">
        <v>72</v>
      </c>
      <c r="B139" s="1513" t="s">
        <v>1971</v>
      </c>
      <c r="C139" s="1514" t="s">
        <v>2340</v>
      </c>
      <c r="D139" s="1514"/>
      <c r="E139" s="1513">
        <v>10000000</v>
      </c>
      <c r="F139" s="1512">
        <f t="shared" si="17"/>
        <v>1800000</v>
      </c>
      <c r="G139" s="2141">
        <v>41247</v>
      </c>
      <c r="H139" s="1511">
        <v>0.18</v>
      </c>
      <c r="I139" s="1508">
        <v>12</v>
      </c>
      <c r="J139" s="1508">
        <v>12</v>
      </c>
      <c r="K139" s="1508">
        <v>833300</v>
      </c>
      <c r="L139" s="1513">
        <f t="shared" si="35"/>
        <v>150000</v>
      </c>
      <c r="M139" s="2172">
        <f t="shared" si="18"/>
        <v>10000000</v>
      </c>
      <c r="N139" s="2172">
        <f t="shared" si="19"/>
        <v>1800000</v>
      </c>
      <c r="O139" s="2171">
        <v>10000000</v>
      </c>
      <c r="P139" s="2171">
        <v>1800000</v>
      </c>
      <c r="Q139" s="2171"/>
      <c r="R139" s="2653"/>
      <c r="S139" s="2653"/>
      <c r="T139" s="2393"/>
      <c r="U139" s="2174">
        <f t="shared" si="20"/>
        <v>10000000</v>
      </c>
      <c r="V139" s="1495">
        <f t="shared" si="21"/>
        <v>1800000</v>
      </c>
      <c r="W139" s="1495">
        <f t="shared" si="22"/>
        <v>0</v>
      </c>
      <c r="X139" s="1495">
        <f t="shared" si="23"/>
        <v>0</v>
      </c>
      <c r="Y139" s="1495">
        <f t="shared" si="24"/>
        <v>100</v>
      </c>
      <c r="Z139" s="1495">
        <f t="shared" si="25"/>
        <v>0</v>
      </c>
      <c r="AA139" s="1506">
        <f t="shared" si="26"/>
        <v>0</v>
      </c>
      <c r="AB139" s="2927"/>
      <c r="AC139" s="1504">
        <f t="shared" si="27"/>
        <v>0</v>
      </c>
      <c r="AD139" s="1503">
        <f t="shared" si="28"/>
        <v>0</v>
      </c>
      <c r="AE139" s="1503">
        <f t="shared" si="29"/>
        <v>0</v>
      </c>
      <c r="AF139" s="1502">
        <f t="shared" si="30"/>
        <v>0</v>
      </c>
    </row>
    <row r="140" spans="1:32" s="1474" customFormat="1" ht="23.25" customHeight="1">
      <c r="A140" s="2790">
        <v>73</v>
      </c>
      <c r="B140" s="1513" t="s">
        <v>2341</v>
      </c>
      <c r="C140" s="1514" t="s">
        <v>2340</v>
      </c>
      <c r="D140" s="1514"/>
      <c r="E140" s="1513">
        <v>15000000</v>
      </c>
      <c r="F140" s="1512">
        <f t="shared" si="17"/>
        <v>2700000</v>
      </c>
      <c r="G140" s="2141">
        <v>41247</v>
      </c>
      <c r="H140" s="1511">
        <v>0.18</v>
      </c>
      <c r="I140" s="1508">
        <v>12</v>
      </c>
      <c r="J140" s="1508">
        <v>12</v>
      </c>
      <c r="K140" s="1508">
        <v>1250000</v>
      </c>
      <c r="L140" s="1513">
        <f t="shared" si="35"/>
        <v>225000</v>
      </c>
      <c r="M140" s="2172">
        <f t="shared" si="18"/>
        <v>15000000</v>
      </c>
      <c r="N140" s="2407">
        <f>IF(J140&lt;I140,J140*L140,IF(J140&gt;=I140,F140))-225000</f>
        <v>2475000</v>
      </c>
      <c r="O140" s="2171">
        <v>15000000</v>
      </c>
      <c r="P140" s="2171">
        <v>2475000</v>
      </c>
      <c r="Q140" s="2171"/>
      <c r="R140" s="2653"/>
      <c r="S140" s="2653"/>
      <c r="T140" s="2393"/>
      <c r="U140" s="2174">
        <f t="shared" si="20"/>
        <v>15000000</v>
      </c>
      <c r="V140" s="1495">
        <f t="shared" si="21"/>
        <v>2475000</v>
      </c>
      <c r="W140" s="1495">
        <f t="shared" si="22"/>
        <v>0</v>
      </c>
      <c r="X140" s="1495">
        <f t="shared" si="23"/>
        <v>0</v>
      </c>
      <c r="Y140" s="1495">
        <f t="shared" si="24"/>
        <v>100</v>
      </c>
      <c r="Z140" s="1495">
        <f t="shared" si="25"/>
        <v>0</v>
      </c>
      <c r="AA140" s="1506">
        <f t="shared" si="26"/>
        <v>0</v>
      </c>
      <c r="AB140" s="2927"/>
      <c r="AC140" s="1504">
        <f t="shared" si="27"/>
        <v>0</v>
      </c>
      <c r="AD140" s="1503">
        <f t="shared" si="28"/>
        <v>0</v>
      </c>
      <c r="AE140" s="1503">
        <f t="shared" si="29"/>
        <v>0</v>
      </c>
      <c r="AF140" s="1502">
        <f t="shared" si="30"/>
        <v>0</v>
      </c>
    </row>
    <row r="141" spans="1:32" s="1474" customFormat="1" ht="23.25" customHeight="1">
      <c r="A141" s="2790">
        <v>74</v>
      </c>
      <c r="B141" s="1513" t="s">
        <v>2110</v>
      </c>
      <c r="C141" s="1514" t="s">
        <v>2340</v>
      </c>
      <c r="D141" s="1514"/>
      <c r="E141" s="1513">
        <v>9000000</v>
      </c>
      <c r="F141" s="1512">
        <f t="shared" si="17"/>
        <v>1620000</v>
      </c>
      <c r="G141" s="2141">
        <v>41247</v>
      </c>
      <c r="H141" s="1511">
        <v>0.18</v>
      </c>
      <c r="I141" s="1508">
        <v>12</v>
      </c>
      <c r="J141" s="1508">
        <v>12</v>
      </c>
      <c r="K141" s="1508">
        <f t="shared" ref="K141:K146" si="36">E141/I141</f>
        <v>750000</v>
      </c>
      <c r="L141" s="1513">
        <f t="shared" si="35"/>
        <v>135000</v>
      </c>
      <c r="M141" s="2172">
        <f t="shared" si="18"/>
        <v>9000000</v>
      </c>
      <c r="N141" s="2407">
        <f>IF(J141&lt;I141,J141*L141,IF(J141&gt;=I141,F141))-135000</f>
        <v>1485000</v>
      </c>
      <c r="O141" s="2171">
        <v>9000000</v>
      </c>
      <c r="P141" s="2171">
        <v>1485000</v>
      </c>
      <c r="Q141" s="2171"/>
      <c r="R141" s="2653"/>
      <c r="S141" s="2653"/>
      <c r="T141" s="2393"/>
      <c r="U141" s="2174">
        <f t="shared" si="20"/>
        <v>9000000</v>
      </c>
      <c r="V141" s="1495">
        <f t="shared" si="21"/>
        <v>1485000</v>
      </c>
      <c r="W141" s="1495">
        <f t="shared" si="22"/>
        <v>0</v>
      </c>
      <c r="X141" s="1495">
        <f t="shared" si="23"/>
        <v>0</v>
      </c>
      <c r="Y141" s="1495">
        <f t="shared" si="24"/>
        <v>100</v>
      </c>
      <c r="Z141" s="1495">
        <f t="shared" si="25"/>
        <v>0</v>
      </c>
      <c r="AA141" s="1506">
        <f t="shared" si="26"/>
        <v>0</v>
      </c>
      <c r="AB141" s="2927"/>
      <c r="AC141" s="1504">
        <f t="shared" si="27"/>
        <v>0</v>
      </c>
      <c r="AD141" s="1503">
        <f t="shared" si="28"/>
        <v>0</v>
      </c>
      <c r="AE141" s="1503">
        <f t="shared" si="29"/>
        <v>0</v>
      </c>
      <c r="AF141" s="1502">
        <f t="shared" si="30"/>
        <v>0</v>
      </c>
    </row>
    <row r="142" spans="1:32" s="1474" customFormat="1" ht="23.25" customHeight="1">
      <c r="A142" s="2790">
        <v>75</v>
      </c>
      <c r="B142" s="1513" t="s">
        <v>2236</v>
      </c>
      <c r="C142" s="1514" t="s">
        <v>2340</v>
      </c>
      <c r="D142" s="1514">
        <v>12</v>
      </c>
      <c r="E142" s="1513">
        <v>15000000</v>
      </c>
      <c r="F142" s="1512">
        <f t="shared" si="17"/>
        <v>2700000</v>
      </c>
      <c r="G142" s="2141">
        <v>41247</v>
      </c>
      <c r="H142" s="1511">
        <v>0.18</v>
      </c>
      <c r="I142" s="1508">
        <v>12</v>
      </c>
      <c r="J142" s="1508">
        <v>12</v>
      </c>
      <c r="K142" s="1508">
        <f t="shared" si="36"/>
        <v>1250000</v>
      </c>
      <c r="L142" s="1513">
        <f t="shared" si="35"/>
        <v>225000</v>
      </c>
      <c r="M142" s="2172">
        <f t="shared" si="18"/>
        <v>15000000</v>
      </c>
      <c r="N142" s="2172">
        <f t="shared" si="19"/>
        <v>2700000</v>
      </c>
      <c r="O142" s="2171">
        <v>15000000</v>
      </c>
      <c r="P142" s="2171">
        <v>2700000</v>
      </c>
      <c r="Q142" s="2171"/>
      <c r="R142" s="2653"/>
      <c r="S142" s="2653"/>
      <c r="T142" s="2393"/>
      <c r="U142" s="2174">
        <f t="shared" si="20"/>
        <v>15000000</v>
      </c>
      <c r="V142" s="1495">
        <f t="shared" si="21"/>
        <v>2700000</v>
      </c>
      <c r="W142" s="1495">
        <f t="shared" si="22"/>
        <v>0</v>
      </c>
      <c r="X142" s="1495">
        <f t="shared" si="23"/>
        <v>0</v>
      </c>
      <c r="Y142" s="1495">
        <f t="shared" si="24"/>
        <v>100</v>
      </c>
      <c r="Z142" s="1495">
        <f t="shared" si="25"/>
        <v>0</v>
      </c>
      <c r="AA142" s="1506">
        <f t="shared" si="26"/>
        <v>0</v>
      </c>
      <c r="AB142" s="2927"/>
      <c r="AC142" s="1504">
        <f t="shared" si="27"/>
        <v>0</v>
      </c>
      <c r="AD142" s="1503">
        <f t="shared" si="28"/>
        <v>0</v>
      </c>
      <c r="AE142" s="1503">
        <f t="shared" si="29"/>
        <v>0</v>
      </c>
      <c r="AF142" s="1502">
        <f t="shared" si="30"/>
        <v>0</v>
      </c>
    </row>
    <row r="143" spans="1:32" s="1474" customFormat="1" ht="23.25" customHeight="1">
      <c r="A143" s="2790">
        <v>76</v>
      </c>
      <c r="B143" s="1513" t="s">
        <v>2114</v>
      </c>
      <c r="C143" s="1514" t="s">
        <v>2340</v>
      </c>
      <c r="D143" s="1514"/>
      <c r="E143" s="1513">
        <v>18000000</v>
      </c>
      <c r="F143" s="1512">
        <f t="shared" si="17"/>
        <v>3240000</v>
      </c>
      <c r="G143" s="2141">
        <v>41257</v>
      </c>
      <c r="H143" s="1511">
        <v>0.18</v>
      </c>
      <c r="I143" s="1508">
        <v>12</v>
      </c>
      <c r="J143" s="1508">
        <v>12</v>
      </c>
      <c r="K143" s="1508">
        <f t="shared" si="36"/>
        <v>1500000</v>
      </c>
      <c r="L143" s="1513">
        <f t="shared" si="35"/>
        <v>270000</v>
      </c>
      <c r="M143" s="2172">
        <f t="shared" si="18"/>
        <v>18000000</v>
      </c>
      <c r="N143" s="2407">
        <f>IF(J143&lt;I143,J143*L143,IF(J143&gt;=I143,F143))-270000</f>
        <v>2970000</v>
      </c>
      <c r="O143" s="2171">
        <v>18000000</v>
      </c>
      <c r="P143" s="2171">
        <v>2970000</v>
      </c>
      <c r="Q143" s="2171"/>
      <c r="R143" s="2653"/>
      <c r="S143" s="2653"/>
      <c r="T143" s="2393"/>
      <c r="U143" s="2174">
        <f t="shared" si="20"/>
        <v>18000000</v>
      </c>
      <c r="V143" s="1495">
        <f t="shared" si="21"/>
        <v>2970000</v>
      </c>
      <c r="W143" s="1495">
        <f t="shared" si="22"/>
        <v>0</v>
      </c>
      <c r="X143" s="1495">
        <f t="shared" si="23"/>
        <v>0</v>
      </c>
      <c r="Y143" s="1495">
        <f t="shared" si="24"/>
        <v>100</v>
      </c>
      <c r="Z143" s="1495">
        <f t="shared" si="25"/>
        <v>0</v>
      </c>
      <c r="AA143" s="1506">
        <f t="shared" si="26"/>
        <v>0</v>
      </c>
      <c r="AB143" s="2927"/>
      <c r="AC143" s="1504">
        <f t="shared" si="27"/>
        <v>0</v>
      </c>
      <c r="AD143" s="1503">
        <f t="shared" si="28"/>
        <v>0</v>
      </c>
      <c r="AE143" s="1503">
        <f t="shared" si="29"/>
        <v>0</v>
      </c>
      <c r="AF143" s="1502">
        <f t="shared" si="30"/>
        <v>0</v>
      </c>
    </row>
    <row r="144" spans="1:32" s="1474" customFormat="1" ht="23.25" customHeight="1">
      <c r="A144" s="2790">
        <v>77</v>
      </c>
      <c r="B144" s="1513" t="s">
        <v>2124</v>
      </c>
      <c r="C144" s="1514" t="s">
        <v>2340</v>
      </c>
      <c r="D144" s="1514">
        <v>12</v>
      </c>
      <c r="E144" s="1513">
        <v>15000000</v>
      </c>
      <c r="F144" s="1512">
        <f t="shared" si="17"/>
        <v>2700000</v>
      </c>
      <c r="G144" s="2141">
        <v>41262</v>
      </c>
      <c r="H144" s="1511">
        <v>0.18</v>
      </c>
      <c r="I144" s="1508">
        <v>12</v>
      </c>
      <c r="J144" s="1508">
        <v>12</v>
      </c>
      <c r="K144" s="1508">
        <f t="shared" si="36"/>
        <v>1250000</v>
      </c>
      <c r="L144" s="1513">
        <f t="shared" si="35"/>
        <v>225000</v>
      </c>
      <c r="M144" s="2172">
        <f t="shared" si="18"/>
        <v>15000000</v>
      </c>
      <c r="N144" s="2172">
        <f t="shared" si="19"/>
        <v>2700000</v>
      </c>
      <c r="O144" s="2171">
        <v>15000000</v>
      </c>
      <c r="P144" s="2171">
        <v>2700000</v>
      </c>
      <c r="Q144" s="2171"/>
      <c r="R144" s="2653"/>
      <c r="S144" s="2653"/>
      <c r="T144" s="2393"/>
      <c r="U144" s="2174">
        <f t="shared" si="20"/>
        <v>15000000</v>
      </c>
      <c r="V144" s="1495">
        <f t="shared" si="21"/>
        <v>2700000</v>
      </c>
      <c r="W144" s="1495">
        <f t="shared" si="22"/>
        <v>0</v>
      </c>
      <c r="X144" s="1495">
        <f t="shared" si="23"/>
        <v>0</v>
      </c>
      <c r="Y144" s="1495">
        <f t="shared" si="24"/>
        <v>100</v>
      </c>
      <c r="Z144" s="1495">
        <f t="shared" si="25"/>
        <v>0</v>
      </c>
      <c r="AA144" s="1506">
        <f t="shared" si="26"/>
        <v>0</v>
      </c>
      <c r="AB144" s="2927"/>
      <c r="AC144" s="1504">
        <f t="shared" si="27"/>
        <v>0</v>
      </c>
      <c r="AD144" s="1503">
        <f t="shared" si="28"/>
        <v>0</v>
      </c>
      <c r="AE144" s="1503">
        <f t="shared" si="29"/>
        <v>0</v>
      </c>
      <c r="AF144" s="1502">
        <f t="shared" si="30"/>
        <v>0</v>
      </c>
    </row>
    <row r="145" spans="1:32" s="1474" customFormat="1" ht="23.25" customHeight="1">
      <c r="A145" s="2790">
        <v>78</v>
      </c>
      <c r="B145" s="1513" t="s">
        <v>2099</v>
      </c>
      <c r="C145" s="1514" t="s">
        <v>2340</v>
      </c>
      <c r="D145" s="1514"/>
      <c r="E145" s="1513">
        <v>24000000</v>
      </c>
      <c r="F145" s="1512">
        <f t="shared" si="17"/>
        <v>4320000</v>
      </c>
      <c r="G145" s="2141">
        <v>41289</v>
      </c>
      <c r="H145" s="1511">
        <v>0.18</v>
      </c>
      <c r="I145" s="1508">
        <v>12</v>
      </c>
      <c r="J145" s="1508">
        <v>12</v>
      </c>
      <c r="K145" s="1508">
        <f t="shared" si="36"/>
        <v>2000000</v>
      </c>
      <c r="L145" s="1513">
        <f t="shared" si="35"/>
        <v>360000</v>
      </c>
      <c r="M145" s="2172">
        <f t="shared" si="18"/>
        <v>24000000</v>
      </c>
      <c r="N145" s="2407">
        <f>IF(J145&lt;I145,J145*L145,IF(J145&gt;=I145,F145))-720000</f>
        <v>3600000</v>
      </c>
      <c r="O145" s="2171">
        <v>24000000</v>
      </c>
      <c r="P145" s="2171">
        <v>3600000</v>
      </c>
      <c r="Q145" s="2171"/>
      <c r="R145" s="2653"/>
      <c r="S145" s="2653"/>
      <c r="T145" s="2393"/>
      <c r="U145" s="2174">
        <f t="shared" si="20"/>
        <v>24000000</v>
      </c>
      <c r="V145" s="1495">
        <f t="shared" si="21"/>
        <v>3600000</v>
      </c>
      <c r="W145" s="1495">
        <f t="shared" si="22"/>
        <v>0</v>
      </c>
      <c r="X145" s="1495">
        <f t="shared" si="23"/>
        <v>0</v>
      </c>
      <c r="Y145" s="1495">
        <f t="shared" si="24"/>
        <v>100</v>
      </c>
      <c r="Z145" s="1495">
        <f t="shared" si="25"/>
        <v>0</v>
      </c>
      <c r="AA145" s="1506">
        <f t="shared" si="26"/>
        <v>0</v>
      </c>
      <c r="AB145" s="2927"/>
      <c r="AC145" s="1504">
        <f t="shared" ref="AC145:AC251" si="37">IF(AND(AB145&gt;0,AB145&lt;=2),X145,0)</f>
        <v>0</v>
      </c>
      <c r="AD145" s="1503">
        <f t="shared" ref="AD145:AD251" si="38">IF(AND(AB145&gt;=3,AB145&lt;=4),X145,0)</f>
        <v>0</v>
      </c>
      <c r="AE145" s="1503">
        <f t="shared" ref="AE145:AE183" si="39">IF(AND(AB145&gt;=5,AB145&lt;=6),X145,0)</f>
        <v>0</v>
      </c>
      <c r="AF145" s="1502">
        <f t="shared" ref="AF145:AF183" si="40">IF(AB145&gt;6,X145,0)</f>
        <v>0</v>
      </c>
    </row>
    <row r="146" spans="1:32" s="1474" customFormat="1" ht="23.25" customHeight="1">
      <c r="A146" s="2790">
        <v>79</v>
      </c>
      <c r="B146" s="1513" t="s">
        <v>2353</v>
      </c>
      <c r="C146" s="1514" t="s">
        <v>2340</v>
      </c>
      <c r="D146" s="1514">
        <v>12</v>
      </c>
      <c r="E146" s="1513">
        <v>18000000</v>
      </c>
      <c r="F146" s="1512">
        <f t="shared" si="17"/>
        <v>3240000</v>
      </c>
      <c r="G146" s="2141">
        <v>41289</v>
      </c>
      <c r="H146" s="1511">
        <v>0.18</v>
      </c>
      <c r="I146" s="1508">
        <v>12</v>
      </c>
      <c r="J146" s="1508">
        <v>12</v>
      </c>
      <c r="K146" s="1508">
        <f t="shared" si="36"/>
        <v>1500000</v>
      </c>
      <c r="L146" s="1513">
        <f t="shared" si="35"/>
        <v>270000</v>
      </c>
      <c r="M146" s="2172">
        <f t="shared" si="18"/>
        <v>18000000</v>
      </c>
      <c r="N146" s="2407">
        <f>IF(J146&lt;I146,J146*L146,IF(J146&gt;=I146,F146))-540000</f>
        <v>2700000</v>
      </c>
      <c r="O146" s="2171">
        <v>18000000</v>
      </c>
      <c r="P146" s="2171">
        <v>2700000</v>
      </c>
      <c r="Q146" s="2171"/>
      <c r="R146" s="2653"/>
      <c r="S146" s="2653"/>
      <c r="T146" s="2393"/>
      <c r="U146" s="2174">
        <f t="shared" si="20"/>
        <v>18000000</v>
      </c>
      <c r="V146" s="1495">
        <f t="shared" si="21"/>
        <v>2700000</v>
      </c>
      <c r="W146" s="1495">
        <f t="shared" si="22"/>
        <v>0</v>
      </c>
      <c r="X146" s="1495">
        <f t="shared" si="23"/>
        <v>0</v>
      </c>
      <c r="Y146" s="1495">
        <f t="shared" si="24"/>
        <v>100</v>
      </c>
      <c r="Z146" s="1495">
        <f t="shared" si="25"/>
        <v>0</v>
      </c>
      <c r="AA146" s="1506">
        <f t="shared" si="26"/>
        <v>0</v>
      </c>
      <c r="AB146" s="2927"/>
      <c r="AC146" s="1504">
        <f t="shared" si="37"/>
        <v>0</v>
      </c>
      <c r="AD146" s="1503">
        <f t="shared" si="38"/>
        <v>0</v>
      </c>
      <c r="AE146" s="1503">
        <f t="shared" si="39"/>
        <v>0</v>
      </c>
      <c r="AF146" s="1502">
        <f t="shared" si="40"/>
        <v>0</v>
      </c>
    </row>
    <row r="147" spans="1:32" s="1474" customFormat="1" ht="23.25" customHeight="1">
      <c r="A147" s="2790">
        <v>80</v>
      </c>
      <c r="B147" s="1513" t="s">
        <v>2125</v>
      </c>
      <c r="C147" s="1514" t="s">
        <v>2340</v>
      </c>
      <c r="D147" s="1514">
        <v>12</v>
      </c>
      <c r="E147" s="1513">
        <v>20000000</v>
      </c>
      <c r="F147" s="1512">
        <f t="shared" si="17"/>
        <v>3600000</v>
      </c>
      <c r="G147" s="2141">
        <v>41317</v>
      </c>
      <c r="H147" s="1511">
        <v>0.18</v>
      </c>
      <c r="I147" s="1508">
        <v>12</v>
      </c>
      <c r="J147" s="1508">
        <v>12</v>
      </c>
      <c r="K147" s="1508">
        <v>1666700</v>
      </c>
      <c r="L147" s="1513">
        <f t="shared" si="35"/>
        <v>300000</v>
      </c>
      <c r="M147" s="2172">
        <f t="shared" si="18"/>
        <v>20000000</v>
      </c>
      <c r="N147" s="2407">
        <f>IF(J147&lt;I147,J147*L147,IF(J147&gt;=I147,F147))-300000</f>
        <v>3300000</v>
      </c>
      <c r="O147" s="2171">
        <v>20000000</v>
      </c>
      <c r="P147" s="2171">
        <v>3300000</v>
      </c>
      <c r="Q147" s="2171"/>
      <c r="R147" s="2653"/>
      <c r="S147" s="2653"/>
      <c r="T147" s="2393"/>
      <c r="U147" s="2174">
        <f t="shared" si="20"/>
        <v>20000000</v>
      </c>
      <c r="V147" s="1495">
        <f t="shared" si="21"/>
        <v>3300000</v>
      </c>
      <c r="W147" s="1495">
        <f t="shared" si="22"/>
        <v>0</v>
      </c>
      <c r="X147" s="1495">
        <f t="shared" si="23"/>
        <v>0</v>
      </c>
      <c r="Y147" s="1495">
        <f t="shared" si="24"/>
        <v>100</v>
      </c>
      <c r="Z147" s="1495">
        <f t="shared" si="25"/>
        <v>0</v>
      </c>
      <c r="AA147" s="1506">
        <f t="shared" si="26"/>
        <v>0</v>
      </c>
      <c r="AB147" s="2927"/>
      <c r="AC147" s="1504">
        <f t="shared" si="37"/>
        <v>0</v>
      </c>
      <c r="AD147" s="1503">
        <f t="shared" si="38"/>
        <v>0</v>
      </c>
      <c r="AE147" s="1503">
        <f t="shared" si="39"/>
        <v>0</v>
      </c>
      <c r="AF147" s="1502">
        <f t="shared" si="40"/>
        <v>0</v>
      </c>
    </row>
    <row r="148" spans="1:32" s="1474" customFormat="1" ht="23.25" customHeight="1">
      <c r="A148" s="2790">
        <v>81</v>
      </c>
      <c r="B148" s="1513" t="s">
        <v>2126</v>
      </c>
      <c r="C148" s="1514" t="s">
        <v>2340</v>
      </c>
      <c r="D148" s="1514">
        <v>12</v>
      </c>
      <c r="E148" s="1513">
        <v>17000000</v>
      </c>
      <c r="F148" s="1512">
        <f t="shared" si="17"/>
        <v>3060000</v>
      </c>
      <c r="G148" s="2141">
        <v>41317</v>
      </c>
      <c r="H148" s="1511">
        <v>0.18</v>
      </c>
      <c r="I148" s="1508">
        <v>12</v>
      </c>
      <c r="J148" s="1508">
        <v>12</v>
      </c>
      <c r="K148" s="1508">
        <v>1416700</v>
      </c>
      <c r="L148" s="1513">
        <f t="shared" si="35"/>
        <v>255000</v>
      </c>
      <c r="M148" s="2172">
        <f t="shared" si="18"/>
        <v>17000000</v>
      </c>
      <c r="N148" s="2407">
        <f>IF(J148&lt;I148,J148*L148,IF(J148&gt;=I148,F148))-255000</f>
        <v>2805000</v>
      </c>
      <c r="O148" s="2171">
        <v>17000000</v>
      </c>
      <c r="P148" s="2171">
        <v>2805000</v>
      </c>
      <c r="Q148" s="2171"/>
      <c r="R148" s="2653"/>
      <c r="S148" s="2653"/>
      <c r="T148" s="2393"/>
      <c r="U148" s="2174">
        <f t="shared" si="20"/>
        <v>17000000</v>
      </c>
      <c r="V148" s="1495">
        <f t="shared" si="21"/>
        <v>2805000</v>
      </c>
      <c r="W148" s="1495">
        <f t="shared" si="22"/>
        <v>0</v>
      </c>
      <c r="X148" s="1495">
        <f t="shared" si="23"/>
        <v>0</v>
      </c>
      <c r="Y148" s="1495">
        <f t="shared" si="24"/>
        <v>100</v>
      </c>
      <c r="Z148" s="1495">
        <f t="shared" si="25"/>
        <v>0</v>
      </c>
      <c r="AA148" s="1506">
        <f t="shared" si="26"/>
        <v>0</v>
      </c>
      <c r="AB148" s="2927"/>
      <c r="AC148" s="1504">
        <f t="shared" si="37"/>
        <v>0</v>
      </c>
      <c r="AD148" s="1503">
        <f t="shared" si="38"/>
        <v>0</v>
      </c>
      <c r="AE148" s="1503">
        <f t="shared" si="39"/>
        <v>0</v>
      </c>
      <c r="AF148" s="1502">
        <f t="shared" si="40"/>
        <v>0</v>
      </c>
    </row>
    <row r="149" spans="1:32" s="1474" customFormat="1" ht="23.25" customHeight="1">
      <c r="A149" s="2790">
        <v>82</v>
      </c>
      <c r="B149" s="1513" t="s">
        <v>2078</v>
      </c>
      <c r="C149" s="1514" t="s">
        <v>2377</v>
      </c>
      <c r="D149" s="1514">
        <v>10</v>
      </c>
      <c r="E149" s="1513">
        <v>16000000</v>
      </c>
      <c r="F149" s="1512">
        <f t="shared" si="17"/>
        <v>2880000</v>
      </c>
      <c r="G149" s="2141">
        <v>41344</v>
      </c>
      <c r="H149" s="1511">
        <v>0.18</v>
      </c>
      <c r="I149" s="1508">
        <v>12</v>
      </c>
      <c r="J149" s="1508">
        <v>12</v>
      </c>
      <c r="K149" s="1508">
        <v>1333300</v>
      </c>
      <c r="L149" s="1513">
        <f t="shared" si="35"/>
        <v>240000</v>
      </c>
      <c r="M149" s="2172">
        <f t="shared" si="18"/>
        <v>16000000</v>
      </c>
      <c r="N149" s="2407">
        <f>IF(J149&lt;I149,J149*L149,IF(J149&gt;=I149,F149))-240000</f>
        <v>2640000</v>
      </c>
      <c r="O149" s="2171">
        <v>16000000</v>
      </c>
      <c r="P149" s="2171">
        <v>2640000</v>
      </c>
      <c r="Q149" s="2171"/>
      <c r="R149" s="2653"/>
      <c r="S149" s="2653"/>
      <c r="T149" s="2393"/>
      <c r="U149" s="2174">
        <f t="shared" si="20"/>
        <v>16000000</v>
      </c>
      <c r="V149" s="1495">
        <f t="shared" si="21"/>
        <v>2640000</v>
      </c>
      <c r="W149" s="1495">
        <f t="shared" si="22"/>
        <v>0</v>
      </c>
      <c r="X149" s="1495">
        <f t="shared" si="23"/>
        <v>0</v>
      </c>
      <c r="Y149" s="1495">
        <f t="shared" si="24"/>
        <v>100</v>
      </c>
      <c r="Z149" s="1495">
        <f t="shared" si="25"/>
        <v>0</v>
      </c>
      <c r="AA149" s="1506">
        <f t="shared" si="26"/>
        <v>0</v>
      </c>
      <c r="AB149" s="2927"/>
      <c r="AC149" s="1504">
        <f t="shared" si="37"/>
        <v>0</v>
      </c>
      <c r="AD149" s="1503">
        <f t="shared" si="38"/>
        <v>0</v>
      </c>
      <c r="AE149" s="1503">
        <f t="shared" si="39"/>
        <v>0</v>
      </c>
      <c r="AF149" s="1502">
        <f t="shared" si="40"/>
        <v>0</v>
      </c>
    </row>
    <row r="150" spans="1:32" s="1474" customFormat="1" ht="23.25" customHeight="1">
      <c r="A150" s="2790">
        <v>83</v>
      </c>
      <c r="B150" s="1513" t="s">
        <v>2116</v>
      </c>
      <c r="C150" s="1514" t="s">
        <v>2377</v>
      </c>
      <c r="D150" s="1514">
        <v>15</v>
      </c>
      <c r="E150" s="1513">
        <v>22500000</v>
      </c>
      <c r="F150" s="1512">
        <f t="shared" si="17"/>
        <v>4050000</v>
      </c>
      <c r="G150" s="2141">
        <v>41344</v>
      </c>
      <c r="H150" s="1511">
        <v>0.18</v>
      </c>
      <c r="I150" s="1508">
        <v>12</v>
      </c>
      <c r="J150" s="1508">
        <v>12</v>
      </c>
      <c r="K150" s="1508">
        <f>E150/I150</f>
        <v>1875000</v>
      </c>
      <c r="L150" s="1513">
        <f t="shared" si="35"/>
        <v>337500</v>
      </c>
      <c r="M150" s="2172">
        <f t="shared" si="18"/>
        <v>22500000</v>
      </c>
      <c r="N150" s="2172">
        <f t="shared" si="19"/>
        <v>4050000</v>
      </c>
      <c r="O150" s="2171">
        <v>22500000</v>
      </c>
      <c r="P150" s="2171">
        <v>4050000</v>
      </c>
      <c r="Q150" s="2171"/>
      <c r="R150" s="2653"/>
      <c r="S150" s="2653"/>
      <c r="T150" s="2393"/>
      <c r="U150" s="2174">
        <f t="shared" si="20"/>
        <v>22500000</v>
      </c>
      <c r="V150" s="1495">
        <f t="shared" si="21"/>
        <v>4050000</v>
      </c>
      <c r="W150" s="1495">
        <f t="shared" si="22"/>
        <v>0</v>
      </c>
      <c r="X150" s="1495">
        <f t="shared" si="23"/>
        <v>0</v>
      </c>
      <c r="Y150" s="1495">
        <f t="shared" si="24"/>
        <v>100</v>
      </c>
      <c r="Z150" s="1495">
        <f t="shared" si="25"/>
        <v>0</v>
      </c>
      <c r="AA150" s="1506">
        <f t="shared" si="26"/>
        <v>0</v>
      </c>
      <c r="AB150" s="2927"/>
      <c r="AC150" s="1504">
        <f t="shared" si="37"/>
        <v>0</v>
      </c>
      <c r="AD150" s="1503">
        <f t="shared" si="38"/>
        <v>0</v>
      </c>
      <c r="AE150" s="1503">
        <f t="shared" si="39"/>
        <v>0</v>
      </c>
      <c r="AF150" s="1502">
        <f t="shared" si="40"/>
        <v>0</v>
      </c>
    </row>
    <row r="151" spans="1:32" s="1474" customFormat="1" ht="23.25" customHeight="1">
      <c r="A151" s="2790">
        <v>84</v>
      </c>
      <c r="B151" s="1513" t="s">
        <v>2118</v>
      </c>
      <c r="C151" s="1514" t="s">
        <v>2377</v>
      </c>
      <c r="D151" s="1514">
        <v>10</v>
      </c>
      <c r="E151" s="1513">
        <v>16000000</v>
      </c>
      <c r="F151" s="1512">
        <f t="shared" si="17"/>
        <v>2880000</v>
      </c>
      <c r="G151" s="2141">
        <v>41353</v>
      </c>
      <c r="H151" s="1511">
        <v>0.18</v>
      </c>
      <c r="I151" s="1508">
        <v>12</v>
      </c>
      <c r="J151" s="1508">
        <v>12</v>
      </c>
      <c r="K151" s="1508">
        <v>1333300</v>
      </c>
      <c r="L151" s="1513">
        <f t="shared" si="35"/>
        <v>240000</v>
      </c>
      <c r="M151" s="2172">
        <f t="shared" si="18"/>
        <v>16000000</v>
      </c>
      <c r="N151" s="2172">
        <f t="shared" si="19"/>
        <v>2880000</v>
      </c>
      <c r="O151" s="2171">
        <v>16000000</v>
      </c>
      <c r="P151" s="2171">
        <v>2880000</v>
      </c>
      <c r="Q151" s="2171"/>
      <c r="R151" s="2653"/>
      <c r="S151" s="2653"/>
      <c r="T151" s="2393"/>
      <c r="U151" s="2174">
        <f t="shared" si="20"/>
        <v>16000000</v>
      </c>
      <c r="V151" s="1495">
        <f t="shared" si="21"/>
        <v>2880000</v>
      </c>
      <c r="W151" s="1495">
        <f t="shared" si="22"/>
        <v>0</v>
      </c>
      <c r="X151" s="1495">
        <f t="shared" si="23"/>
        <v>0</v>
      </c>
      <c r="Y151" s="1495">
        <f t="shared" si="24"/>
        <v>100</v>
      </c>
      <c r="Z151" s="1495">
        <f t="shared" si="25"/>
        <v>0</v>
      </c>
      <c r="AA151" s="1506">
        <f t="shared" si="26"/>
        <v>0</v>
      </c>
      <c r="AB151" s="2927"/>
      <c r="AC151" s="1504">
        <f t="shared" si="37"/>
        <v>0</v>
      </c>
      <c r="AD151" s="1503">
        <f t="shared" si="38"/>
        <v>0</v>
      </c>
      <c r="AE151" s="1503">
        <f t="shared" si="39"/>
        <v>0</v>
      </c>
      <c r="AF151" s="1502">
        <f t="shared" si="40"/>
        <v>0</v>
      </c>
    </row>
    <row r="152" spans="1:32" s="1474" customFormat="1" ht="23.25" customHeight="1">
      <c r="A152" s="2790">
        <v>85</v>
      </c>
      <c r="B152" s="1513" t="s">
        <v>2102</v>
      </c>
      <c r="C152" s="1514" t="s">
        <v>2377</v>
      </c>
      <c r="D152" s="1514">
        <v>10</v>
      </c>
      <c r="E152" s="1513">
        <v>16000000</v>
      </c>
      <c r="F152" s="1512">
        <f t="shared" si="17"/>
        <v>2880000</v>
      </c>
      <c r="G152" s="2141">
        <v>41355</v>
      </c>
      <c r="H152" s="1511">
        <v>0.18</v>
      </c>
      <c r="I152" s="1508">
        <v>12</v>
      </c>
      <c r="J152" s="1508">
        <v>12</v>
      </c>
      <c r="K152" s="1508">
        <v>1333300</v>
      </c>
      <c r="L152" s="1513">
        <f t="shared" si="35"/>
        <v>240000</v>
      </c>
      <c r="M152" s="2172">
        <f t="shared" si="18"/>
        <v>16000000</v>
      </c>
      <c r="N152" s="2172">
        <f t="shared" si="19"/>
        <v>2880000</v>
      </c>
      <c r="O152" s="2171">
        <v>16000000</v>
      </c>
      <c r="P152" s="2171">
        <v>2880000</v>
      </c>
      <c r="Q152" s="2171"/>
      <c r="R152" s="2653"/>
      <c r="S152" s="2653"/>
      <c r="T152" s="2393"/>
      <c r="U152" s="2174">
        <f t="shared" si="20"/>
        <v>16000000</v>
      </c>
      <c r="V152" s="1495">
        <f t="shared" si="21"/>
        <v>2880000</v>
      </c>
      <c r="W152" s="1495">
        <f t="shared" si="22"/>
        <v>0</v>
      </c>
      <c r="X152" s="1495">
        <f t="shared" si="23"/>
        <v>0</v>
      </c>
      <c r="Y152" s="1495">
        <f t="shared" si="24"/>
        <v>100</v>
      </c>
      <c r="Z152" s="1495">
        <f t="shared" si="25"/>
        <v>0</v>
      </c>
      <c r="AA152" s="1506">
        <f t="shared" si="26"/>
        <v>0</v>
      </c>
      <c r="AB152" s="2927"/>
      <c r="AC152" s="1504">
        <f t="shared" si="37"/>
        <v>0</v>
      </c>
      <c r="AD152" s="1503">
        <f t="shared" si="38"/>
        <v>0</v>
      </c>
      <c r="AE152" s="1503">
        <f t="shared" si="39"/>
        <v>0</v>
      </c>
      <c r="AF152" s="1502">
        <f t="shared" si="40"/>
        <v>0</v>
      </c>
    </row>
    <row r="153" spans="1:32" s="1474" customFormat="1" ht="23.25" customHeight="1">
      <c r="A153" s="2790">
        <v>86</v>
      </c>
      <c r="B153" s="1513" t="s">
        <v>2113</v>
      </c>
      <c r="C153" s="1514" t="s">
        <v>2377</v>
      </c>
      <c r="D153" s="1514">
        <v>10</v>
      </c>
      <c r="E153" s="1513">
        <v>30000000</v>
      </c>
      <c r="F153" s="1512">
        <f t="shared" si="17"/>
        <v>5400000</v>
      </c>
      <c r="G153" s="2141">
        <v>41372</v>
      </c>
      <c r="H153" s="1511">
        <v>0.18</v>
      </c>
      <c r="I153" s="1508">
        <v>12</v>
      </c>
      <c r="J153" s="1508">
        <v>12</v>
      </c>
      <c r="K153" s="1508">
        <f>E153/I153</f>
        <v>2500000</v>
      </c>
      <c r="L153" s="1513">
        <f t="shared" si="35"/>
        <v>450000</v>
      </c>
      <c r="M153" s="2172">
        <f t="shared" si="18"/>
        <v>30000000</v>
      </c>
      <c r="N153" s="2172">
        <f t="shared" si="19"/>
        <v>5400000</v>
      </c>
      <c r="O153" s="2171">
        <v>30000000</v>
      </c>
      <c r="P153" s="2171">
        <v>5400000</v>
      </c>
      <c r="Q153" s="2171"/>
      <c r="R153" s="2653"/>
      <c r="S153" s="2653"/>
      <c r="T153" s="2393"/>
      <c r="U153" s="2174">
        <f t="shared" si="20"/>
        <v>30000000</v>
      </c>
      <c r="V153" s="1495">
        <f t="shared" si="21"/>
        <v>5400000</v>
      </c>
      <c r="W153" s="1495">
        <f t="shared" si="22"/>
        <v>0</v>
      </c>
      <c r="X153" s="1495">
        <f t="shared" si="23"/>
        <v>0</v>
      </c>
      <c r="Y153" s="1495">
        <f t="shared" si="24"/>
        <v>100</v>
      </c>
      <c r="Z153" s="1495">
        <f t="shared" si="25"/>
        <v>0</v>
      </c>
      <c r="AA153" s="1506">
        <f t="shared" si="26"/>
        <v>0</v>
      </c>
      <c r="AB153" s="2927"/>
      <c r="AC153" s="1504">
        <f t="shared" si="37"/>
        <v>0</v>
      </c>
      <c r="AD153" s="1503">
        <f t="shared" si="38"/>
        <v>0</v>
      </c>
      <c r="AE153" s="1503">
        <f t="shared" si="39"/>
        <v>0</v>
      </c>
      <c r="AF153" s="1502">
        <f t="shared" si="40"/>
        <v>0</v>
      </c>
    </row>
    <row r="154" spans="1:32" s="1474" customFormat="1" ht="23.25" customHeight="1">
      <c r="A154" s="2790">
        <v>87</v>
      </c>
      <c r="B154" s="1513" t="s">
        <v>1991</v>
      </c>
      <c r="C154" s="1514" t="s">
        <v>2377</v>
      </c>
      <c r="D154" s="1514">
        <v>10</v>
      </c>
      <c r="E154" s="1513">
        <v>10000000</v>
      </c>
      <c r="F154" s="1512">
        <f t="shared" si="17"/>
        <v>1800000</v>
      </c>
      <c r="G154" s="2141">
        <v>41375</v>
      </c>
      <c r="H154" s="1511">
        <v>0.18</v>
      </c>
      <c r="I154" s="1508">
        <v>12</v>
      </c>
      <c r="J154" s="1508">
        <v>12</v>
      </c>
      <c r="K154" s="1508">
        <v>833300</v>
      </c>
      <c r="L154" s="1513">
        <f t="shared" si="35"/>
        <v>150000</v>
      </c>
      <c r="M154" s="2172">
        <f t="shared" si="18"/>
        <v>10000000</v>
      </c>
      <c r="N154" s="2172">
        <f t="shared" si="19"/>
        <v>1800000</v>
      </c>
      <c r="O154" s="2171">
        <v>10000000</v>
      </c>
      <c r="P154" s="2171">
        <v>1800000</v>
      </c>
      <c r="Q154" s="2171"/>
      <c r="R154" s="2653"/>
      <c r="S154" s="2653"/>
      <c r="T154" s="2393"/>
      <c r="U154" s="2174">
        <f t="shared" si="20"/>
        <v>10000000</v>
      </c>
      <c r="V154" s="1495">
        <f t="shared" si="21"/>
        <v>1800000</v>
      </c>
      <c r="W154" s="1495">
        <f t="shared" si="22"/>
        <v>0</v>
      </c>
      <c r="X154" s="1495">
        <f t="shared" si="23"/>
        <v>0</v>
      </c>
      <c r="Y154" s="1495">
        <f t="shared" si="24"/>
        <v>100</v>
      </c>
      <c r="Z154" s="1495">
        <f t="shared" si="25"/>
        <v>0</v>
      </c>
      <c r="AA154" s="1506">
        <f t="shared" si="26"/>
        <v>0</v>
      </c>
      <c r="AB154" s="2927"/>
      <c r="AC154" s="1504">
        <f t="shared" si="37"/>
        <v>0</v>
      </c>
      <c r="AD154" s="1503">
        <f t="shared" si="38"/>
        <v>0</v>
      </c>
      <c r="AE154" s="1503">
        <f t="shared" si="39"/>
        <v>0</v>
      </c>
      <c r="AF154" s="1502">
        <f t="shared" si="40"/>
        <v>0</v>
      </c>
    </row>
    <row r="155" spans="1:32" s="1474" customFormat="1" ht="23.25" customHeight="1">
      <c r="A155" s="2790">
        <v>88</v>
      </c>
      <c r="B155" s="1513" t="s">
        <v>2389</v>
      </c>
      <c r="C155" s="1514" t="s">
        <v>2387</v>
      </c>
      <c r="D155" s="1514">
        <v>10</v>
      </c>
      <c r="E155" s="1513">
        <v>12000000</v>
      </c>
      <c r="F155" s="1512">
        <f t="shared" si="17"/>
        <v>2160000</v>
      </c>
      <c r="G155" s="2141">
        <v>41375</v>
      </c>
      <c r="H155" s="1511">
        <v>0.18</v>
      </c>
      <c r="I155" s="1508">
        <v>12</v>
      </c>
      <c r="J155" s="1508">
        <v>12</v>
      </c>
      <c r="K155" s="1508">
        <f t="shared" ref="K155:K169" si="41">E155/I155</f>
        <v>1000000</v>
      </c>
      <c r="L155" s="1513">
        <f t="shared" si="35"/>
        <v>180000</v>
      </c>
      <c r="M155" s="2172">
        <f t="shared" si="18"/>
        <v>12000000</v>
      </c>
      <c r="N155" s="2172">
        <f>IF(J155&lt;I155,J155*L155,IF(J155&gt;=I155,F155))-540000</f>
        <v>1620000</v>
      </c>
      <c r="O155" s="2171">
        <v>12000000</v>
      </c>
      <c r="P155" s="2171">
        <v>1620000</v>
      </c>
      <c r="Q155" s="2171"/>
      <c r="R155" s="2653"/>
      <c r="S155" s="2653"/>
      <c r="T155" s="2393"/>
      <c r="U155" s="2174">
        <f t="shared" si="20"/>
        <v>12000000</v>
      </c>
      <c r="V155" s="1495">
        <f t="shared" si="21"/>
        <v>1620000</v>
      </c>
      <c r="W155" s="1495">
        <f t="shared" si="22"/>
        <v>0</v>
      </c>
      <c r="X155" s="1495">
        <f t="shared" si="23"/>
        <v>0</v>
      </c>
      <c r="Y155" s="1495">
        <f t="shared" si="24"/>
        <v>100</v>
      </c>
      <c r="Z155" s="1495">
        <f t="shared" si="25"/>
        <v>0</v>
      </c>
      <c r="AA155" s="1506">
        <f t="shared" si="26"/>
        <v>0</v>
      </c>
      <c r="AB155" s="2927"/>
      <c r="AC155" s="1504">
        <f t="shared" si="37"/>
        <v>0</v>
      </c>
      <c r="AD155" s="1503">
        <f t="shared" si="38"/>
        <v>0</v>
      </c>
      <c r="AE155" s="1503">
        <f t="shared" si="39"/>
        <v>0</v>
      </c>
      <c r="AF155" s="1502">
        <f t="shared" si="40"/>
        <v>0</v>
      </c>
    </row>
    <row r="156" spans="1:32" s="1474" customFormat="1" ht="23.25" customHeight="1">
      <c r="A156" s="2790">
        <v>89</v>
      </c>
      <c r="B156" s="1513" t="s">
        <v>2065</v>
      </c>
      <c r="C156" s="1514" t="s">
        <v>2377</v>
      </c>
      <c r="D156" s="1514">
        <v>10</v>
      </c>
      <c r="E156" s="1513">
        <v>20000000</v>
      </c>
      <c r="F156" s="1512">
        <f t="shared" si="17"/>
        <v>3600000</v>
      </c>
      <c r="G156" s="2141">
        <v>41376</v>
      </c>
      <c r="H156" s="1511">
        <v>0.18</v>
      </c>
      <c r="I156" s="1508">
        <v>12</v>
      </c>
      <c r="J156" s="1508">
        <v>12</v>
      </c>
      <c r="K156" s="1508">
        <v>1666700</v>
      </c>
      <c r="L156" s="1513">
        <f t="shared" si="35"/>
        <v>300000</v>
      </c>
      <c r="M156" s="2172">
        <f t="shared" si="18"/>
        <v>20000000</v>
      </c>
      <c r="N156" s="2172">
        <f t="shared" si="19"/>
        <v>3600000</v>
      </c>
      <c r="O156" s="2171">
        <v>20000000</v>
      </c>
      <c r="P156" s="2171">
        <v>3600000</v>
      </c>
      <c r="Q156" s="2171"/>
      <c r="R156" s="2653"/>
      <c r="S156" s="2653"/>
      <c r="T156" s="2393"/>
      <c r="U156" s="2174">
        <f t="shared" si="20"/>
        <v>20000000</v>
      </c>
      <c r="V156" s="1495">
        <f t="shared" si="21"/>
        <v>3600000</v>
      </c>
      <c r="W156" s="1495">
        <f t="shared" si="22"/>
        <v>0</v>
      </c>
      <c r="X156" s="1495">
        <f t="shared" si="23"/>
        <v>0</v>
      </c>
      <c r="Y156" s="1495">
        <f t="shared" si="24"/>
        <v>100</v>
      </c>
      <c r="Z156" s="1495">
        <f t="shared" si="25"/>
        <v>0</v>
      </c>
      <c r="AA156" s="1506">
        <f t="shared" si="26"/>
        <v>0</v>
      </c>
      <c r="AB156" s="2927"/>
      <c r="AC156" s="1504">
        <f t="shared" si="37"/>
        <v>0</v>
      </c>
      <c r="AD156" s="1503">
        <f t="shared" si="38"/>
        <v>0</v>
      </c>
      <c r="AE156" s="1503">
        <f t="shared" si="39"/>
        <v>0</v>
      </c>
      <c r="AF156" s="1502">
        <f t="shared" si="40"/>
        <v>0</v>
      </c>
    </row>
    <row r="157" spans="1:32" s="1474" customFormat="1" ht="23.25" customHeight="1">
      <c r="A157" s="2790">
        <v>90</v>
      </c>
      <c r="B157" s="1513" t="s">
        <v>2066</v>
      </c>
      <c r="C157" s="1514" t="s">
        <v>2377</v>
      </c>
      <c r="D157" s="1514">
        <v>10</v>
      </c>
      <c r="E157" s="1513">
        <v>20000000</v>
      </c>
      <c r="F157" s="1512">
        <f t="shared" si="17"/>
        <v>3600000</v>
      </c>
      <c r="G157" s="2141">
        <v>41376</v>
      </c>
      <c r="H157" s="1511">
        <v>0.18</v>
      </c>
      <c r="I157" s="1508">
        <v>12</v>
      </c>
      <c r="J157" s="1508">
        <v>12</v>
      </c>
      <c r="K157" s="1508">
        <v>1666700</v>
      </c>
      <c r="L157" s="1513">
        <f t="shared" si="35"/>
        <v>300000</v>
      </c>
      <c r="M157" s="2172">
        <f t="shared" si="18"/>
        <v>20000000</v>
      </c>
      <c r="N157" s="2172">
        <f t="shared" si="19"/>
        <v>3600000</v>
      </c>
      <c r="O157" s="2171">
        <v>20000000</v>
      </c>
      <c r="P157" s="2171">
        <v>3600000</v>
      </c>
      <c r="Q157" s="2171"/>
      <c r="R157" s="2653"/>
      <c r="S157" s="2653"/>
      <c r="T157" s="2393"/>
      <c r="U157" s="2174">
        <f t="shared" si="20"/>
        <v>20000000</v>
      </c>
      <c r="V157" s="1495">
        <f t="shared" si="21"/>
        <v>3600000</v>
      </c>
      <c r="W157" s="1495">
        <f t="shared" si="22"/>
        <v>0</v>
      </c>
      <c r="X157" s="1495">
        <f t="shared" si="23"/>
        <v>0</v>
      </c>
      <c r="Y157" s="1495">
        <f t="shared" si="24"/>
        <v>100</v>
      </c>
      <c r="Z157" s="1495">
        <f t="shared" si="25"/>
        <v>0</v>
      </c>
      <c r="AA157" s="1506">
        <f t="shared" si="26"/>
        <v>0</v>
      </c>
      <c r="AB157" s="2927">
        <v>1</v>
      </c>
      <c r="AC157" s="1504">
        <f t="shared" si="37"/>
        <v>0</v>
      </c>
      <c r="AD157" s="1503">
        <f t="shared" si="38"/>
        <v>0</v>
      </c>
      <c r="AE157" s="1503">
        <f t="shared" si="39"/>
        <v>0</v>
      </c>
      <c r="AF157" s="1502">
        <f t="shared" si="40"/>
        <v>0</v>
      </c>
    </row>
    <row r="158" spans="1:32" s="1474" customFormat="1" ht="23.25" customHeight="1">
      <c r="A158" s="2790">
        <v>91</v>
      </c>
      <c r="B158" s="1513" t="s">
        <v>2119</v>
      </c>
      <c r="C158" s="1514" t="s">
        <v>2377</v>
      </c>
      <c r="D158" s="1514">
        <v>10</v>
      </c>
      <c r="E158" s="1513">
        <v>20000000</v>
      </c>
      <c r="F158" s="1512">
        <f t="shared" si="17"/>
        <v>3600000</v>
      </c>
      <c r="G158" s="2141">
        <v>41379</v>
      </c>
      <c r="H158" s="1511">
        <v>0.18</v>
      </c>
      <c r="I158" s="1508">
        <v>12</v>
      </c>
      <c r="J158" s="1508">
        <v>12</v>
      </c>
      <c r="K158" s="1508">
        <v>1666700</v>
      </c>
      <c r="L158" s="1513">
        <f t="shared" si="35"/>
        <v>300000</v>
      </c>
      <c r="M158" s="2172">
        <f t="shared" si="18"/>
        <v>20000000</v>
      </c>
      <c r="N158" s="2172">
        <f t="shared" si="19"/>
        <v>3600000</v>
      </c>
      <c r="O158" s="2171">
        <v>20000000</v>
      </c>
      <c r="P158" s="2171">
        <v>3600000</v>
      </c>
      <c r="Q158" s="2171"/>
      <c r="R158" s="2653"/>
      <c r="S158" s="2653"/>
      <c r="T158" s="2393"/>
      <c r="U158" s="2174">
        <f t="shared" si="20"/>
        <v>20000000</v>
      </c>
      <c r="V158" s="1495">
        <f t="shared" si="21"/>
        <v>3600000</v>
      </c>
      <c r="W158" s="1495">
        <f t="shared" si="22"/>
        <v>0</v>
      </c>
      <c r="X158" s="1495">
        <f t="shared" si="23"/>
        <v>0</v>
      </c>
      <c r="Y158" s="1495">
        <f t="shared" si="24"/>
        <v>100</v>
      </c>
      <c r="Z158" s="1495">
        <f t="shared" si="25"/>
        <v>0</v>
      </c>
      <c r="AA158" s="1506">
        <f t="shared" si="26"/>
        <v>0</v>
      </c>
      <c r="AB158" s="2927"/>
      <c r="AC158" s="1504">
        <f t="shared" si="37"/>
        <v>0</v>
      </c>
      <c r="AD158" s="1503">
        <f t="shared" si="38"/>
        <v>0</v>
      </c>
      <c r="AE158" s="1503">
        <f t="shared" si="39"/>
        <v>0</v>
      </c>
      <c r="AF158" s="1502">
        <f t="shared" si="40"/>
        <v>0</v>
      </c>
    </row>
    <row r="159" spans="1:32" s="1474" customFormat="1" ht="23.25" customHeight="1">
      <c r="A159" s="2790">
        <v>92</v>
      </c>
      <c r="B159" s="1513" t="s">
        <v>2281</v>
      </c>
      <c r="C159" s="1514" t="s">
        <v>2377</v>
      </c>
      <c r="D159" s="1514">
        <v>10</v>
      </c>
      <c r="E159" s="1513">
        <v>22000000</v>
      </c>
      <c r="F159" s="1512">
        <f t="shared" si="17"/>
        <v>3960000</v>
      </c>
      <c r="G159" s="2141">
        <v>41437</v>
      </c>
      <c r="H159" s="1511">
        <v>0.18</v>
      </c>
      <c r="I159" s="1508">
        <v>12</v>
      </c>
      <c r="J159" s="1508">
        <v>12</v>
      </c>
      <c r="K159" s="1508">
        <v>1833300</v>
      </c>
      <c r="L159" s="1513">
        <f t="shared" si="35"/>
        <v>330000</v>
      </c>
      <c r="M159" s="2172">
        <f t="shared" si="18"/>
        <v>22000000</v>
      </c>
      <c r="N159" s="2172">
        <f t="shared" si="19"/>
        <v>3960000</v>
      </c>
      <c r="O159" s="2171">
        <v>22000000</v>
      </c>
      <c r="P159" s="2171">
        <v>3960000</v>
      </c>
      <c r="Q159" s="2171"/>
      <c r="R159" s="2653"/>
      <c r="S159" s="2653"/>
      <c r="T159" s="2393"/>
      <c r="U159" s="2174">
        <f t="shared" si="20"/>
        <v>22000000</v>
      </c>
      <c r="V159" s="1495">
        <f t="shared" si="21"/>
        <v>3960000</v>
      </c>
      <c r="W159" s="1495">
        <f t="shared" si="22"/>
        <v>0</v>
      </c>
      <c r="X159" s="1495">
        <f t="shared" si="23"/>
        <v>0</v>
      </c>
      <c r="Y159" s="1495">
        <f t="shared" si="24"/>
        <v>100</v>
      </c>
      <c r="Z159" s="1495">
        <f t="shared" si="25"/>
        <v>0</v>
      </c>
      <c r="AA159" s="1506">
        <f t="shared" si="26"/>
        <v>0</v>
      </c>
      <c r="AB159" s="2927"/>
      <c r="AC159" s="1504">
        <f t="shared" si="37"/>
        <v>0</v>
      </c>
      <c r="AD159" s="1503">
        <f t="shared" si="38"/>
        <v>0</v>
      </c>
      <c r="AE159" s="1503">
        <f t="shared" si="39"/>
        <v>0</v>
      </c>
      <c r="AF159" s="1502">
        <f t="shared" si="40"/>
        <v>0</v>
      </c>
    </row>
    <row r="160" spans="1:32" s="1474" customFormat="1" ht="23.25" customHeight="1">
      <c r="A160" s="2790">
        <v>93</v>
      </c>
      <c r="B160" s="1513" t="s">
        <v>2120</v>
      </c>
      <c r="C160" s="1514" t="s">
        <v>2387</v>
      </c>
      <c r="D160" s="1514">
        <v>10</v>
      </c>
      <c r="E160" s="1513">
        <v>20000000</v>
      </c>
      <c r="F160" s="1512">
        <f t="shared" si="17"/>
        <v>3600000</v>
      </c>
      <c r="G160" s="2141">
        <v>41437</v>
      </c>
      <c r="H160" s="1511">
        <v>0.18</v>
      </c>
      <c r="I160" s="1508">
        <v>12</v>
      </c>
      <c r="J160" s="1508">
        <v>12</v>
      </c>
      <c r="K160" s="1508">
        <v>1666700</v>
      </c>
      <c r="L160" s="1513">
        <f t="shared" si="35"/>
        <v>300000</v>
      </c>
      <c r="M160" s="2172">
        <f t="shared" si="18"/>
        <v>20000000</v>
      </c>
      <c r="N160" s="2172">
        <f t="shared" si="19"/>
        <v>3600000</v>
      </c>
      <c r="O160" s="2171">
        <v>20000000</v>
      </c>
      <c r="P160" s="2171">
        <v>3600000</v>
      </c>
      <c r="Q160" s="2171"/>
      <c r="R160" s="2653"/>
      <c r="S160" s="2653"/>
      <c r="T160" s="2393"/>
      <c r="U160" s="2174">
        <f t="shared" si="20"/>
        <v>20000000</v>
      </c>
      <c r="V160" s="1495">
        <f t="shared" si="21"/>
        <v>3600000</v>
      </c>
      <c r="W160" s="1495">
        <f t="shared" si="22"/>
        <v>0</v>
      </c>
      <c r="X160" s="1495">
        <f t="shared" si="23"/>
        <v>0</v>
      </c>
      <c r="Y160" s="1495">
        <f t="shared" si="24"/>
        <v>100</v>
      </c>
      <c r="Z160" s="1495">
        <f t="shared" si="25"/>
        <v>0</v>
      </c>
      <c r="AA160" s="1506">
        <f t="shared" si="26"/>
        <v>0</v>
      </c>
      <c r="AB160" s="2927"/>
      <c r="AC160" s="1504">
        <f t="shared" si="37"/>
        <v>0</v>
      </c>
      <c r="AD160" s="1503">
        <f t="shared" si="38"/>
        <v>0</v>
      </c>
      <c r="AE160" s="1503">
        <f t="shared" si="39"/>
        <v>0</v>
      </c>
      <c r="AF160" s="1502">
        <f t="shared" si="40"/>
        <v>0</v>
      </c>
    </row>
    <row r="161" spans="1:32" s="1474" customFormat="1" ht="23.25" customHeight="1">
      <c r="A161" s="2790">
        <v>94</v>
      </c>
      <c r="B161" s="1513" t="s">
        <v>2282</v>
      </c>
      <c r="C161" s="1514" t="s">
        <v>2377</v>
      </c>
      <c r="D161" s="1514">
        <v>10</v>
      </c>
      <c r="E161" s="1513">
        <v>10500000</v>
      </c>
      <c r="F161" s="1512">
        <f t="shared" si="17"/>
        <v>1890000</v>
      </c>
      <c r="G161" s="2141">
        <v>41444</v>
      </c>
      <c r="H161" s="1511">
        <v>0.18</v>
      </c>
      <c r="I161" s="1508">
        <v>12</v>
      </c>
      <c r="J161" s="1508">
        <v>12</v>
      </c>
      <c r="K161" s="1508">
        <f t="shared" si="41"/>
        <v>875000</v>
      </c>
      <c r="L161" s="1513">
        <f t="shared" si="35"/>
        <v>157500</v>
      </c>
      <c r="M161" s="2172">
        <f t="shared" si="18"/>
        <v>10500000</v>
      </c>
      <c r="N161" s="2172">
        <f t="shared" si="19"/>
        <v>1890000</v>
      </c>
      <c r="O161" s="2171">
        <v>10500000</v>
      </c>
      <c r="P161" s="2171">
        <v>1890000</v>
      </c>
      <c r="Q161" s="2171"/>
      <c r="R161" s="2653"/>
      <c r="S161" s="2653"/>
      <c r="T161" s="2393"/>
      <c r="U161" s="2174">
        <f t="shared" si="20"/>
        <v>10500000</v>
      </c>
      <c r="V161" s="1495">
        <f t="shared" si="21"/>
        <v>1890000</v>
      </c>
      <c r="W161" s="1495">
        <f t="shared" si="22"/>
        <v>0</v>
      </c>
      <c r="X161" s="1495">
        <f t="shared" si="23"/>
        <v>0</v>
      </c>
      <c r="Y161" s="1495">
        <f t="shared" si="24"/>
        <v>100</v>
      </c>
      <c r="Z161" s="1495">
        <f t="shared" si="25"/>
        <v>0</v>
      </c>
      <c r="AA161" s="1506">
        <f t="shared" si="26"/>
        <v>0</v>
      </c>
      <c r="AB161" s="2927"/>
      <c r="AC161" s="1504">
        <f t="shared" si="37"/>
        <v>0</v>
      </c>
      <c r="AD161" s="1503">
        <f t="shared" si="38"/>
        <v>0</v>
      </c>
      <c r="AE161" s="1503">
        <f t="shared" si="39"/>
        <v>0</v>
      </c>
      <c r="AF161" s="1502">
        <f t="shared" si="40"/>
        <v>0</v>
      </c>
    </row>
    <row r="162" spans="1:32" s="1474" customFormat="1" ht="23.25" customHeight="1">
      <c r="A162" s="3206">
        <v>95</v>
      </c>
      <c r="B162" s="1513" t="s">
        <v>2329</v>
      </c>
      <c r="C162" s="1514" t="s">
        <v>2411</v>
      </c>
      <c r="D162" s="1514">
        <v>10</v>
      </c>
      <c r="E162" s="1513">
        <v>15000000</v>
      </c>
      <c r="F162" s="1512">
        <f t="shared" si="17"/>
        <v>2700000</v>
      </c>
      <c r="G162" s="2141">
        <v>41460</v>
      </c>
      <c r="H162" s="1511">
        <v>0.18</v>
      </c>
      <c r="I162" s="1508">
        <v>12</v>
      </c>
      <c r="J162" s="1508">
        <v>12</v>
      </c>
      <c r="K162" s="1508">
        <f t="shared" si="41"/>
        <v>1250000</v>
      </c>
      <c r="L162" s="1513">
        <f t="shared" si="35"/>
        <v>225000</v>
      </c>
      <c r="M162" s="2172">
        <f t="shared" si="18"/>
        <v>15000000</v>
      </c>
      <c r="N162" s="2172">
        <f>IF(J162&lt;I162,J162*L162,IF(J162&gt;=I162,F162))-450000</f>
        <v>2250000</v>
      </c>
      <c r="O162" s="2171">
        <v>15000000</v>
      </c>
      <c r="P162" s="2171">
        <v>2250000</v>
      </c>
      <c r="Q162" s="2171"/>
      <c r="R162" s="2653"/>
      <c r="S162" s="2653"/>
      <c r="T162" s="2393"/>
      <c r="U162" s="2174">
        <f t="shared" si="20"/>
        <v>15000000</v>
      </c>
      <c r="V162" s="1495">
        <f t="shared" si="21"/>
        <v>2250000</v>
      </c>
      <c r="W162" s="1495">
        <f t="shared" si="22"/>
        <v>0</v>
      </c>
      <c r="X162" s="1495">
        <f t="shared" si="23"/>
        <v>0</v>
      </c>
      <c r="Y162" s="1495">
        <f t="shared" si="24"/>
        <v>100</v>
      </c>
      <c r="Z162" s="1495">
        <f t="shared" si="25"/>
        <v>0</v>
      </c>
      <c r="AA162" s="1506">
        <f t="shared" si="26"/>
        <v>0</v>
      </c>
      <c r="AB162" s="2927"/>
      <c r="AC162" s="1504">
        <f t="shared" si="37"/>
        <v>0</v>
      </c>
      <c r="AD162" s="1503">
        <f t="shared" si="38"/>
        <v>0</v>
      </c>
      <c r="AE162" s="1503">
        <f t="shared" si="39"/>
        <v>0</v>
      </c>
      <c r="AF162" s="1502">
        <f t="shared" si="40"/>
        <v>0</v>
      </c>
    </row>
    <row r="163" spans="1:32" s="1474" customFormat="1" ht="23.25" customHeight="1">
      <c r="A163" s="3206">
        <v>96</v>
      </c>
      <c r="B163" s="1513" t="s">
        <v>2420</v>
      </c>
      <c r="C163" s="1514" t="s">
        <v>2411</v>
      </c>
      <c r="D163" s="1514">
        <v>10</v>
      </c>
      <c r="E163" s="1513">
        <v>8000000</v>
      </c>
      <c r="F163" s="1512">
        <f t="shared" si="17"/>
        <v>1440000</v>
      </c>
      <c r="G163" s="2141">
        <v>41465</v>
      </c>
      <c r="H163" s="1511">
        <v>0.18</v>
      </c>
      <c r="I163" s="1508">
        <v>12</v>
      </c>
      <c r="J163" s="1508">
        <v>12</v>
      </c>
      <c r="K163" s="1508">
        <v>666700</v>
      </c>
      <c r="L163" s="1513">
        <f t="shared" si="35"/>
        <v>120000</v>
      </c>
      <c r="M163" s="2172">
        <f t="shared" si="18"/>
        <v>8000000</v>
      </c>
      <c r="N163" s="2172">
        <f t="shared" si="19"/>
        <v>1440000</v>
      </c>
      <c r="O163" s="2171">
        <v>8000000</v>
      </c>
      <c r="P163" s="2171">
        <v>1440000</v>
      </c>
      <c r="Q163" s="2171"/>
      <c r="R163" s="2653"/>
      <c r="S163" s="2653"/>
      <c r="T163" s="2393"/>
      <c r="U163" s="2174">
        <f t="shared" si="20"/>
        <v>8000000</v>
      </c>
      <c r="V163" s="1495">
        <f t="shared" si="21"/>
        <v>1440000</v>
      </c>
      <c r="W163" s="1495">
        <f t="shared" si="22"/>
        <v>0</v>
      </c>
      <c r="X163" s="1495">
        <f t="shared" si="23"/>
        <v>0</v>
      </c>
      <c r="Y163" s="1495">
        <f t="shared" si="24"/>
        <v>100</v>
      </c>
      <c r="Z163" s="1495">
        <f t="shared" si="25"/>
        <v>0</v>
      </c>
      <c r="AA163" s="1506">
        <f t="shared" si="26"/>
        <v>0</v>
      </c>
      <c r="AB163" s="2927"/>
      <c r="AC163" s="1504">
        <f t="shared" si="37"/>
        <v>0</v>
      </c>
      <c r="AD163" s="1503">
        <f t="shared" si="38"/>
        <v>0</v>
      </c>
      <c r="AE163" s="1503">
        <f t="shared" si="39"/>
        <v>0</v>
      </c>
      <c r="AF163" s="1502">
        <f t="shared" si="40"/>
        <v>0</v>
      </c>
    </row>
    <row r="164" spans="1:32" s="1474" customFormat="1" ht="23.25" customHeight="1">
      <c r="A164" s="3206">
        <v>97</v>
      </c>
      <c r="B164" s="1513" t="s">
        <v>2421</v>
      </c>
      <c r="C164" s="1514" t="s">
        <v>2411</v>
      </c>
      <c r="D164" s="1514">
        <v>10</v>
      </c>
      <c r="E164" s="1513">
        <v>6000000</v>
      </c>
      <c r="F164" s="1512">
        <f t="shared" si="17"/>
        <v>1080000</v>
      </c>
      <c r="G164" s="2141">
        <v>41465</v>
      </c>
      <c r="H164" s="1511">
        <v>0.18</v>
      </c>
      <c r="I164" s="1508">
        <v>12</v>
      </c>
      <c r="J164" s="1508">
        <v>12</v>
      </c>
      <c r="K164" s="1508">
        <f t="shared" si="41"/>
        <v>500000</v>
      </c>
      <c r="L164" s="1513">
        <f t="shared" si="35"/>
        <v>90000</v>
      </c>
      <c r="M164" s="2172">
        <f t="shared" si="18"/>
        <v>6000000</v>
      </c>
      <c r="N164" s="2172">
        <f t="shared" si="19"/>
        <v>1080000</v>
      </c>
      <c r="O164" s="2171">
        <v>6000000</v>
      </c>
      <c r="P164" s="2171">
        <v>1080000</v>
      </c>
      <c r="Q164" s="2171"/>
      <c r="R164" s="2653"/>
      <c r="S164" s="2653"/>
      <c r="T164" s="2393"/>
      <c r="U164" s="2174">
        <f t="shared" si="20"/>
        <v>6000000</v>
      </c>
      <c r="V164" s="1495">
        <f t="shared" si="21"/>
        <v>1080000</v>
      </c>
      <c r="W164" s="1495">
        <f t="shared" si="22"/>
        <v>0</v>
      </c>
      <c r="X164" s="1495">
        <f t="shared" si="23"/>
        <v>0</v>
      </c>
      <c r="Y164" s="1495">
        <f t="shared" si="24"/>
        <v>100</v>
      </c>
      <c r="Z164" s="1495">
        <f t="shared" si="25"/>
        <v>0</v>
      </c>
      <c r="AA164" s="1506">
        <f t="shared" si="26"/>
        <v>0</v>
      </c>
      <c r="AB164" s="2927"/>
      <c r="AC164" s="1504">
        <f t="shared" si="37"/>
        <v>0</v>
      </c>
      <c r="AD164" s="1503">
        <f t="shared" si="38"/>
        <v>0</v>
      </c>
      <c r="AE164" s="1503">
        <f t="shared" si="39"/>
        <v>0</v>
      </c>
      <c r="AF164" s="1502">
        <f t="shared" si="40"/>
        <v>0</v>
      </c>
    </row>
    <row r="165" spans="1:32" s="1474" customFormat="1" ht="23.25" customHeight="1">
      <c r="A165" s="3206">
        <v>98</v>
      </c>
      <c r="B165" s="1513" t="s">
        <v>2422</v>
      </c>
      <c r="C165" s="1514" t="s">
        <v>2411</v>
      </c>
      <c r="D165" s="1514">
        <v>10</v>
      </c>
      <c r="E165" s="1513">
        <v>6000000</v>
      </c>
      <c r="F165" s="1512">
        <f t="shared" si="17"/>
        <v>1080000</v>
      </c>
      <c r="G165" s="2141">
        <v>41465</v>
      </c>
      <c r="H165" s="1511">
        <v>0.18</v>
      </c>
      <c r="I165" s="1508">
        <v>12</v>
      </c>
      <c r="J165" s="1508">
        <v>12</v>
      </c>
      <c r="K165" s="1508">
        <f t="shared" si="41"/>
        <v>500000</v>
      </c>
      <c r="L165" s="1513">
        <f t="shared" si="35"/>
        <v>90000</v>
      </c>
      <c r="M165" s="2172">
        <f t="shared" si="18"/>
        <v>6000000</v>
      </c>
      <c r="N165" s="2172">
        <f t="shared" si="19"/>
        <v>1080000</v>
      </c>
      <c r="O165" s="2171">
        <v>6000000</v>
      </c>
      <c r="P165" s="2171">
        <v>1080000</v>
      </c>
      <c r="Q165" s="2171"/>
      <c r="R165" s="2653"/>
      <c r="S165" s="2653"/>
      <c r="T165" s="2393"/>
      <c r="U165" s="2174">
        <f t="shared" si="20"/>
        <v>6000000</v>
      </c>
      <c r="V165" s="1495">
        <f t="shared" si="21"/>
        <v>1080000</v>
      </c>
      <c r="W165" s="1495">
        <f t="shared" si="22"/>
        <v>0</v>
      </c>
      <c r="X165" s="1495">
        <f t="shared" si="23"/>
        <v>0</v>
      </c>
      <c r="Y165" s="1495">
        <f t="shared" si="24"/>
        <v>100</v>
      </c>
      <c r="Z165" s="1495">
        <f t="shared" si="25"/>
        <v>0</v>
      </c>
      <c r="AA165" s="1506">
        <f t="shared" si="26"/>
        <v>0</v>
      </c>
      <c r="AB165" s="2927"/>
      <c r="AC165" s="1504">
        <f t="shared" si="37"/>
        <v>0</v>
      </c>
      <c r="AD165" s="1503">
        <f t="shared" si="38"/>
        <v>0</v>
      </c>
      <c r="AE165" s="1503">
        <f t="shared" si="39"/>
        <v>0</v>
      </c>
      <c r="AF165" s="1502">
        <f t="shared" si="40"/>
        <v>0</v>
      </c>
    </row>
    <row r="166" spans="1:32" s="1474" customFormat="1" ht="23.25" customHeight="1">
      <c r="A166" s="3206">
        <v>99</v>
      </c>
      <c r="B166" s="1513" t="s">
        <v>2433</v>
      </c>
      <c r="C166" s="1514" t="s">
        <v>2411</v>
      </c>
      <c r="D166" s="1514">
        <v>10</v>
      </c>
      <c r="E166" s="1513">
        <v>6000000</v>
      </c>
      <c r="F166" s="1512">
        <f t="shared" si="17"/>
        <v>1080000</v>
      </c>
      <c r="G166" s="2141">
        <v>41465</v>
      </c>
      <c r="H166" s="1511">
        <v>0.18</v>
      </c>
      <c r="I166" s="1508">
        <v>12</v>
      </c>
      <c r="J166" s="1508">
        <v>12</v>
      </c>
      <c r="K166" s="1508">
        <f t="shared" si="41"/>
        <v>500000</v>
      </c>
      <c r="L166" s="1513">
        <f t="shared" si="35"/>
        <v>90000</v>
      </c>
      <c r="M166" s="2172">
        <f t="shared" si="18"/>
        <v>6000000</v>
      </c>
      <c r="N166" s="2172">
        <f t="shared" si="19"/>
        <v>1080000</v>
      </c>
      <c r="O166" s="2171">
        <v>6000000</v>
      </c>
      <c r="P166" s="2171">
        <v>1080000</v>
      </c>
      <c r="Q166" s="2171"/>
      <c r="R166" s="2653"/>
      <c r="S166" s="2653"/>
      <c r="T166" s="2393"/>
      <c r="U166" s="2174">
        <f t="shared" si="20"/>
        <v>6000000</v>
      </c>
      <c r="V166" s="1495">
        <f t="shared" si="21"/>
        <v>1080000</v>
      </c>
      <c r="W166" s="1495">
        <f t="shared" si="22"/>
        <v>0</v>
      </c>
      <c r="X166" s="1495">
        <f t="shared" si="23"/>
        <v>0</v>
      </c>
      <c r="Y166" s="1495">
        <f t="shared" si="24"/>
        <v>100</v>
      </c>
      <c r="Z166" s="1495">
        <f t="shared" si="25"/>
        <v>0</v>
      </c>
      <c r="AA166" s="1506">
        <f t="shared" si="26"/>
        <v>0</v>
      </c>
      <c r="AB166" s="2927"/>
      <c r="AC166" s="1504">
        <f t="shared" si="37"/>
        <v>0</v>
      </c>
      <c r="AD166" s="1503">
        <f t="shared" si="38"/>
        <v>0</v>
      </c>
      <c r="AE166" s="1503">
        <f t="shared" si="39"/>
        <v>0</v>
      </c>
      <c r="AF166" s="1502">
        <f t="shared" si="40"/>
        <v>0</v>
      </c>
    </row>
    <row r="167" spans="1:32" s="1474" customFormat="1" ht="23.25" customHeight="1">
      <c r="A167" s="3206">
        <v>100</v>
      </c>
      <c r="B167" s="1513" t="s">
        <v>2423</v>
      </c>
      <c r="C167" s="1514" t="s">
        <v>2411</v>
      </c>
      <c r="D167" s="1514">
        <v>10</v>
      </c>
      <c r="E167" s="1513">
        <v>6000000</v>
      </c>
      <c r="F167" s="1512">
        <f t="shared" si="17"/>
        <v>1080000</v>
      </c>
      <c r="G167" s="2141">
        <v>41465</v>
      </c>
      <c r="H167" s="1511">
        <v>0.18</v>
      </c>
      <c r="I167" s="1508">
        <v>12</v>
      </c>
      <c r="J167" s="1508">
        <v>12</v>
      </c>
      <c r="K167" s="1508">
        <f t="shared" si="41"/>
        <v>500000</v>
      </c>
      <c r="L167" s="1513">
        <f t="shared" si="35"/>
        <v>90000</v>
      </c>
      <c r="M167" s="2172">
        <f t="shared" si="18"/>
        <v>6000000</v>
      </c>
      <c r="N167" s="2172">
        <f>IF(J167&lt;I167,J167*L167,IF(J167&gt;=I167,F167))-90000</f>
        <v>990000</v>
      </c>
      <c r="O167" s="2171">
        <v>6000000</v>
      </c>
      <c r="P167" s="2171">
        <v>990000</v>
      </c>
      <c r="Q167" s="2171"/>
      <c r="R167" s="2653"/>
      <c r="S167" s="2653"/>
      <c r="T167" s="2393"/>
      <c r="U167" s="2174">
        <f t="shared" si="20"/>
        <v>6000000</v>
      </c>
      <c r="V167" s="1495">
        <f t="shared" si="21"/>
        <v>990000</v>
      </c>
      <c r="W167" s="1495">
        <f t="shared" si="22"/>
        <v>0</v>
      </c>
      <c r="X167" s="1495">
        <f t="shared" si="23"/>
        <v>0</v>
      </c>
      <c r="Y167" s="1495">
        <f t="shared" si="24"/>
        <v>100</v>
      </c>
      <c r="Z167" s="1495">
        <f t="shared" si="25"/>
        <v>0</v>
      </c>
      <c r="AA167" s="1506">
        <f t="shared" si="26"/>
        <v>0</v>
      </c>
      <c r="AB167" s="2927"/>
      <c r="AC167" s="1504">
        <f t="shared" si="37"/>
        <v>0</v>
      </c>
      <c r="AD167" s="1503">
        <f t="shared" si="38"/>
        <v>0</v>
      </c>
      <c r="AE167" s="1503">
        <f t="shared" si="39"/>
        <v>0</v>
      </c>
      <c r="AF167" s="1502">
        <f t="shared" si="40"/>
        <v>0</v>
      </c>
    </row>
    <row r="168" spans="1:32" s="1474" customFormat="1" ht="23.25" customHeight="1">
      <c r="A168" s="3206">
        <v>101</v>
      </c>
      <c r="B168" s="1513" t="s">
        <v>2434</v>
      </c>
      <c r="C168" s="1514" t="s">
        <v>2411</v>
      </c>
      <c r="D168" s="1514">
        <v>10</v>
      </c>
      <c r="E168" s="1513">
        <v>7000000</v>
      </c>
      <c r="F168" s="1512">
        <f t="shared" si="17"/>
        <v>1260000</v>
      </c>
      <c r="G168" s="2141">
        <v>41465</v>
      </c>
      <c r="H168" s="1511">
        <v>0.18</v>
      </c>
      <c r="I168" s="1508">
        <v>12</v>
      </c>
      <c r="J168" s="1508">
        <v>12</v>
      </c>
      <c r="K168" s="1508">
        <v>583300</v>
      </c>
      <c r="L168" s="1513">
        <f t="shared" si="35"/>
        <v>105000</v>
      </c>
      <c r="M168" s="2172">
        <f t="shared" si="18"/>
        <v>7000000</v>
      </c>
      <c r="N168" s="2172">
        <f>IF(J168&lt;I168,J168*L168,IF(J168&gt;=I168,F168))-105000</f>
        <v>1155000</v>
      </c>
      <c r="O168" s="2171">
        <v>7000000</v>
      </c>
      <c r="P168" s="2171">
        <v>1155000</v>
      </c>
      <c r="Q168" s="2171"/>
      <c r="R168" s="2653"/>
      <c r="S168" s="2653"/>
      <c r="T168" s="2393"/>
      <c r="U168" s="2174">
        <f t="shared" si="20"/>
        <v>7000000</v>
      </c>
      <c r="V168" s="1495">
        <f t="shared" si="21"/>
        <v>1155000</v>
      </c>
      <c r="W168" s="1495">
        <f t="shared" si="22"/>
        <v>0</v>
      </c>
      <c r="X168" s="1495">
        <f t="shared" si="23"/>
        <v>0</v>
      </c>
      <c r="Y168" s="1495">
        <f t="shared" si="24"/>
        <v>100</v>
      </c>
      <c r="Z168" s="1495">
        <f t="shared" si="25"/>
        <v>0</v>
      </c>
      <c r="AA168" s="1506">
        <f t="shared" si="26"/>
        <v>0</v>
      </c>
      <c r="AB168" s="2927"/>
      <c r="AC168" s="1504">
        <f t="shared" si="37"/>
        <v>0</v>
      </c>
      <c r="AD168" s="1503">
        <f t="shared" si="38"/>
        <v>0</v>
      </c>
      <c r="AE168" s="1503">
        <f t="shared" si="39"/>
        <v>0</v>
      </c>
      <c r="AF168" s="1502">
        <f t="shared" si="40"/>
        <v>0</v>
      </c>
    </row>
    <row r="169" spans="1:32" s="1474" customFormat="1" ht="23.25" customHeight="1">
      <c r="A169" s="3206">
        <v>102</v>
      </c>
      <c r="B169" s="1513" t="s">
        <v>2313</v>
      </c>
      <c r="C169" s="1514" t="s">
        <v>2411</v>
      </c>
      <c r="D169" s="1514">
        <v>10</v>
      </c>
      <c r="E169" s="1513">
        <v>12000000</v>
      </c>
      <c r="F169" s="1512">
        <f t="shared" si="17"/>
        <v>2160000</v>
      </c>
      <c r="G169" s="2141">
        <v>41472</v>
      </c>
      <c r="H169" s="1511">
        <v>0.18</v>
      </c>
      <c r="I169" s="1508">
        <v>12</v>
      </c>
      <c r="J169" s="1508">
        <v>12</v>
      </c>
      <c r="K169" s="1508">
        <f t="shared" si="41"/>
        <v>1000000</v>
      </c>
      <c r="L169" s="1513">
        <f t="shared" si="35"/>
        <v>180000</v>
      </c>
      <c r="M169" s="2172">
        <f t="shared" si="18"/>
        <v>12000000</v>
      </c>
      <c r="N169" s="2172">
        <f>IF(J169&lt;I169,J169*L169,IF(J169&gt;=I169,F169))-180000</f>
        <v>1980000</v>
      </c>
      <c r="O169" s="2171">
        <v>12000000</v>
      </c>
      <c r="P169" s="2171">
        <v>1980000</v>
      </c>
      <c r="Q169" s="2171"/>
      <c r="R169" s="2653"/>
      <c r="S169" s="2653"/>
      <c r="T169" s="2393"/>
      <c r="U169" s="2174">
        <f t="shared" si="20"/>
        <v>12000000</v>
      </c>
      <c r="V169" s="1495">
        <f t="shared" si="21"/>
        <v>1980000</v>
      </c>
      <c r="W169" s="1495">
        <f t="shared" si="22"/>
        <v>0</v>
      </c>
      <c r="X169" s="1495">
        <f t="shared" si="23"/>
        <v>0</v>
      </c>
      <c r="Y169" s="1495">
        <f t="shared" si="24"/>
        <v>100</v>
      </c>
      <c r="Z169" s="1495">
        <f t="shared" si="25"/>
        <v>0</v>
      </c>
      <c r="AA169" s="1506">
        <f t="shared" si="26"/>
        <v>0</v>
      </c>
      <c r="AB169" s="2927"/>
      <c r="AC169" s="1504">
        <f t="shared" si="37"/>
        <v>0</v>
      </c>
      <c r="AD169" s="1503">
        <f t="shared" si="38"/>
        <v>0</v>
      </c>
      <c r="AE169" s="1503">
        <f t="shared" si="39"/>
        <v>0</v>
      </c>
      <c r="AF169" s="1502">
        <f t="shared" si="40"/>
        <v>0</v>
      </c>
    </row>
    <row r="170" spans="1:32" s="1474" customFormat="1" ht="23.25" customHeight="1">
      <c r="A170" s="3206">
        <v>103</v>
      </c>
      <c r="B170" s="1513" t="s">
        <v>2315</v>
      </c>
      <c r="C170" s="1514" t="s">
        <v>2411</v>
      </c>
      <c r="D170" s="1514">
        <v>10</v>
      </c>
      <c r="E170" s="1513">
        <v>10000000</v>
      </c>
      <c r="F170" s="1512">
        <f t="shared" si="17"/>
        <v>1800000</v>
      </c>
      <c r="G170" s="2141">
        <v>41487</v>
      </c>
      <c r="H170" s="1511">
        <v>0.18</v>
      </c>
      <c r="I170" s="1508">
        <v>12</v>
      </c>
      <c r="J170" s="1508">
        <v>12</v>
      </c>
      <c r="K170" s="1508">
        <v>833300</v>
      </c>
      <c r="L170" s="1513">
        <f t="shared" si="35"/>
        <v>150000</v>
      </c>
      <c r="M170" s="2172">
        <f t="shared" si="18"/>
        <v>10000000</v>
      </c>
      <c r="N170" s="2172">
        <f t="shared" si="19"/>
        <v>1800000</v>
      </c>
      <c r="O170" s="2171">
        <v>10000000</v>
      </c>
      <c r="P170" s="2171">
        <v>1800000</v>
      </c>
      <c r="Q170" s="2171"/>
      <c r="R170" s="2653"/>
      <c r="S170" s="2653"/>
      <c r="T170" s="2393"/>
      <c r="U170" s="2174">
        <f t="shared" si="20"/>
        <v>10000000</v>
      </c>
      <c r="V170" s="1495">
        <f t="shared" si="21"/>
        <v>1800000</v>
      </c>
      <c r="W170" s="1495">
        <f t="shared" si="22"/>
        <v>0</v>
      </c>
      <c r="X170" s="1495">
        <f t="shared" si="23"/>
        <v>0</v>
      </c>
      <c r="Y170" s="1495">
        <f t="shared" si="24"/>
        <v>100</v>
      </c>
      <c r="Z170" s="1495">
        <f t="shared" si="25"/>
        <v>0</v>
      </c>
      <c r="AA170" s="1506">
        <f t="shared" si="26"/>
        <v>0</v>
      </c>
      <c r="AB170" s="2927"/>
      <c r="AC170" s="1504">
        <f t="shared" si="37"/>
        <v>0</v>
      </c>
      <c r="AD170" s="1503">
        <f t="shared" si="38"/>
        <v>0</v>
      </c>
      <c r="AE170" s="1503">
        <f t="shared" si="39"/>
        <v>0</v>
      </c>
      <c r="AF170" s="1502">
        <f t="shared" si="40"/>
        <v>0</v>
      </c>
    </row>
    <row r="171" spans="1:32" s="1474" customFormat="1" ht="23.25" customHeight="1">
      <c r="A171" s="3206">
        <v>104</v>
      </c>
      <c r="B171" s="1513" t="s">
        <v>2132</v>
      </c>
      <c r="C171" s="1514" t="s">
        <v>2411</v>
      </c>
      <c r="D171" s="1514">
        <v>10</v>
      </c>
      <c r="E171" s="1513">
        <v>10000000</v>
      </c>
      <c r="F171" s="1512">
        <f t="shared" si="17"/>
        <v>1800000</v>
      </c>
      <c r="G171" s="2141">
        <v>41529</v>
      </c>
      <c r="H171" s="1511">
        <v>0.18</v>
      </c>
      <c r="I171" s="1508">
        <v>12</v>
      </c>
      <c r="J171" s="1508">
        <v>12</v>
      </c>
      <c r="K171" s="1508">
        <v>833300</v>
      </c>
      <c r="L171" s="1513">
        <f t="shared" si="35"/>
        <v>150000</v>
      </c>
      <c r="M171" s="2172">
        <f t="shared" si="18"/>
        <v>10000000</v>
      </c>
      <c r="N171" s="2172">
        <f>IF(J171&lt;I171,J171*L171,IF(J171&gt;=I171,F171))-150000</f>
        <v>1650000</v>
      </c>
      <c r="O171" s="2171">
        <v>10000000</v>
      </c>
      <c r="P171" s="2171">
        <v>1650000</v>
      </c>
      <c r="Q171" s="2171"/>
      <c r="R171" s="2653"/>
      <c r="S171" s="2653"/>
      <c r="T171" s="2393"/>
      <c r="U171" s="2174">
        <f t="shared" si="20"/>
        <v>10000000</v>
      </c>
      <c r="V171" s="1495">
        <f t="shared" si="21"/>
        <v>1650000</v>
      </c>
      <c r="W171" s="1495">
        <f t="shared" si="22"/>
        <v>0</v>
      </c>
      <c r="X171" s="1495">
        <f t="shared" si="23"/>
        <v>0</v>
      </c>
      <c r="Y171" s="1495">
        <f t="shared" si="24"/>
        <v>100</v>
      </c>
      <c r="Z171" s="1495">
        <f t="shared" si="25"/>
        <v>0</v>
      </c>
      <c r="AA171" s="1506">
        <f t="shared" si="26"/>
        <v>0</v>
      </c>
      <c r="AB171" s="2927"/>
      <c r="AC171" s="1504">
        <f t="shared" si="37"/>
        <v>0</v>
      </c>
      <c r="AD171" s="1503">
        <f t="shared" si="38"/>
        <v>0</v>
      </c>
      <c r="AE171" s="1503">
        <f t="shared" si="39"/>
        <v>0</v>
      </c>
      <c r="AF171" s="1502">
        <f t="shared" si="40"/>
        <v>0</v>
      </c>
    </row>
    <row r="172" spans="1:32" s="1474" customFormat="1" ht="23.25" customHeight="1">
      <c r="A172" s="3206">
        <v>105</v>
      </c>
      <c r="B172" s="1513" t="s">
        <v>2100</v>
      </c>
      <c r="C172" s="1514" t="s">
        <v>2411</v>
      </c>
      <c r="D172" s="1514">
        <v>10</v>
      </c>
      <c r="E172" s="1513">
        <v>40000000</v>
      </c>
      <c r="F172" s="1512">
        <f t="shared" si="17"/>
        <v>7200000</v>
      </c>
      <c r="G172" s="2141">
        <v>41529</v>
      </c>
      <c r="H172" s="1511">
        <v>0.18</v>
      </c>
      <c r="I172" s="1508">
        <v>12</v>
      </c>
      <c r="J172" s="1508">
        <v>12</v>
      </c>
      <c r="K172" s="1508">
        <f>E172/I172</f>
        <v>3333333.3333333335</v>
      </c>
      <c r="L172" s="1513">
        <f t="shared" si="35"/>
        <v>600000</v>
      </c>
      <c r="M172" s="2172">
        <f t="shared" si="18"/>
        <v>40000000</v>
      </c>
      <c r="N172" s="2172">
        <f t="shared" si="19"/>
        <v>7200000</v>
      </c>
      <c r="O172" s="2171">
        <v>21549900</v>
      </c>
      <c r="P172" s="2171">
        <v>4200000</v>
      </c>
      <c r="Q172" s="2171"/>
      <c r="R172" s="2653"/>
      <c r="S172" s="2653"/>
      <c r="T172" s="2393"/>
      <c r="U172" s="2174">
        <f t="shared" si="20"/>
        <v>21549900</v>
      </c>
      <c r="V172" s="1495">
        <f t="shared" si="21"/>
        <v>4200000</v>
      </c>
      <c r="W172" s="1495">
        <f t="shared" si="22"/>
        <v>0</v>
      </c>
      <c r="X172" s="1495">
        <f t="shared" si="23"/>
        <v>18450100</v>
      </c>
      <c r="Y172" s="1495">
        <f t="shared" si="24"/>
        <v>53.874750000000006</v>
      </c>
      <c r="Z172" s="1495">
        <f t="shared" si="25"/>
        <v>18450100</v>
      </c>
      <c r="AA172" s="1506">
        <f t="shared" si="26"/>
        <v>3000000</v>
      </c>
      <c r="AB172" s="2927">
        <v>6</v>
      </c>
      <c r="AC172" s="1504">
        <f t="shared" si="37"/>
        <v>0</v>
      </c>
      <c r="AD172" s="1503">
        <f t="shared" si="38"/>
        <v>0</v>
      </c>
      <c r="AE172" s="1503">
        <f t="shared" si="39"/>
        <v>18450100</v>
      </c>
      <c r="AF172" s="1502">
        <f t="shared" si="40"/>
        <v>0</v>
      </c>
    </row>
    <row r="173" spans="1:32" s="1474" customFormat="1" ht="23.25" customHeight="1">
      <c r="A173" s="3206">
        <v>106</v>
      </c>
      <c r="B173" s="1513" t="s">
        <v>2101</v>
      </c>
      <c r="C173" s="1514" t="s">
        <v>2411</v>
      </c>
      <c r="D173" s="1514">
        <v>10</v>
      </c>
      <c r="E173" s="1513">
        <v>30000000</v>
      </c>
      <c r="F173" s="1512">
        <f t="shared" si="17"/>
        <v>5400000</v>
      </c>
      <c r="G173" s="2141">
        <v>41529</v>
      </c>
      <c r="H173" s="1511">
        <v>0.18</v>
      </c>
      <c r="I173" s="1508">
        <v>12</v>
      </c>
      <c r="J173" s="1508">
        <v>12</v>
      </c>
      <c r="K173" s="1508">
        <f>E173/I173</f>
        <v>2500000</v>
      </c>
      <c r="L173" s="1513">
        <f t="shared" si="35"/>
        <v>450000</v>
      </c>
      <c r="M173" s="2172">
        <f t="shared" si="18"/>
        <v>30000000</v>
      </c>
      <c r="N173" s="2172">
        <f t="shared" si="19"/>
        <v>5400000</v>
      </c>
      <c r="O173" s="2171">
        <v>11550000</v>
      </c>
      <c r="P173" s="2171">
        <v>2250000</v>
      </c>
      <c r="Q173" s="2171"/>
      <c r="R173" s="2653"/>
      <c r="S173" s="2653"/>
      <c r="T173" s="2393"/>
      <c r="U173" s="2174">
        <f t="shared" si="20"/>
        <v>11550000</v>
      </c>
      <c r="V173" s="1495">
        <f t="shared" si="21"/>
        <v>2250000</v>
      </c>
      <c r="W173" s="1495">
        <f t="shared" si="22"/>
        <v>0</v>
      </c>
      <c r="X173" s="1495">
        <f t="shared" si="23"/>
        <v>18450000</v>
      </c>
      <c r="Y173" s="1495">
        <f t="shared" si="24"/>
        <v>38.5</v>
      </c>
      <c r="Z173" s="1495">
        <f t="shared" si="25"/>
        <v>18450000</v>
      </c>
      <c r="AA173" s="1506">
        <f t="shared" si="26"/>
        <v>3150000</v>
      </c>
      <c r="AB173" s="2927">
        <v>6</v>
      </c>
      <c r="AC173" s="1504">
        <f t="shared" si="37"/>
        <v>0</v>
      </c>
      <c r="AD173" s="1503">
        <f t="shared" si="38"/>
        <v>0</v>
      </c>
      <c r="AE173" s="1503">
        <f t="shared" si="39"/>
        <v>18450000</v>
      </c>
      <c r="AF173" s="1502">
        <f t="shared" si="40"/>
        <v>0</v>
      </c>
    </row>
    <row r="174" spans="1:32" s="1474" customFormat="1" ht="23.25" customHeight="1">
      <c r="A174" s="2790">
        <v>107</v>
      </c>
      <c r="B174" s="1513" t="s">
        <v>2328</v>
      </c>
      <c r="C174" s="1514" t="s">
        <v>2411</v>
      </c>
      <c r="D174" s="1514">
        <v>10</v>
      </c>
      <c r="E174" s="1513">
        <v>10000000</v>
      </c>
      <c r="F174" s="1512">
        <f t="shared" si="17"/>
        <v>1800000</v>
      </c>
      <c r="G174" s="2141">
        <v>41549</v>
      </c>
      <c r="H174" s="1511">
        <v>0.18</v>
      </c>
      <c r="I174" s="1508">
        <v>12</v>
      </c>
      <c r="J174" s="1508">
        <v>12</v>
      </c>
      <c r="K174" s="1508">
        <v>833300</v>
      </c>
      <c r="L174" s="1513">
        <f t="shared" si="35"/>
        <v>150000</v>
      </c>
      <c r="M174" s="2172">
        <f t="shared" si="18"/>
        <v>10000000</v>
      </c>
      <c r="N174" s="2172">
        <f t="shared" si="19"/>
        <v>1800000</v>
      </c>
      <c r="O174" s="2171">
        <v>10000000</v>
      </c>
      <c r="P174" s="2171">
        <v>1800000</v>
      </c>
      <c r="Q174" s="2171"/>
      <c r="R174" s="2653"/>
      <c r="S174" s="2653"/>
      <c r="T174" s="2393"/>
      <c r="U174" s="2174">
        <f t="shared" si="20"/>
        <v>10000000</v>
      </c>
      <c r="V174" s="1495">
        <f t="shared" si="21"/>
        <v>1800000</v>
      </c>
      <c r="W174" s="1495">
        <f t="shared" si="22"/>
        <v>0</v>
      </c>
      <c r="X174" s="1495">
        <f t="shared" si="23"/>
        <v>0</v>
      </c>
      <c r="Y174" s="1495">
        <f t="shared" si="24"/>
        <v>100</v>
      </c>
      <c r="Z174" s="1495">
        <f t="shared" si="25"/>
        <v>0</v>
      </c>
      <c r="AA174" s="1506">
        <f t="shared" si="26"/>
        <v>0</v>
      </c>
      <c r="AB174" s="2927"/>
      <c r="AC174" s="1504">
        <f t="shared" si="37"/>
        <v>0</v>
      </c>
      <c r="AD174" s="1503">
        <f t="shared" si="38"/>
        <v>0</v>
      </c>
      <c r="AE174" s="1503">
        <f t="shared" si="39"/>
        <v>0</v>
      </c>
      <c r="AF174" s="1502">
        <f t="shared" si="40"/>
        <v>0</v>
      </c>
    </row>
    <row r="175" spans="1:32" s="1474" customFormat="1" ht="23.25" customHeight="1">
      <c r="A175" s="2790">
        <v>108</v>
      </c>
      <c r="B175" s="1513" t="s">
        <v>2106</v>
      </c>
      <c r="C175" s="1514" t="s">
        <v>2411</v>
      </c>
      <c r="D175" s="1514">
        <v>10</v>
      </c>
      <c r="E175" s="1513">
        <v>14000000</v>
      </c>
      <c r="F175" s="1512">
        <f t="shared" si="17"/>
        <v>2520000</v>
      </c>
      <c r="G175" s="2141">
        <v>41555</v>
      </c>
      <c r="H175" s="1511">
        <v>0.18</v>
      </c>
      <c r="I175" s="1508">
        <v>12</v>
      </c>
      <c r="J175" s="1508">
        <v>12</v>
      </c>
      <c r="K175" s="1508">
        <v>1166700</v>
      </c>
      <c r="L175" s="1513">
        <f t="shared" si="35"/>
        <v>210000</v>
      </c>
      <c r="M175" s="2172">
        <f t="shared" si="18"/>
        <v>14000000</v>
      </c>
      <c r="N175" s="2172">
        <f t="shared" si="19"/>
        <v>2520000</v>
      </c>
      <c r="O175" s="2171">
        <v>1166700</v>
      </c>
      <c r="P175" s="2171">
        <v>210000</v>
      </c>
      <c r="Q175" s="2171"/>
      <c r="R175" s="2653"/>
      <c r="S175" s="2653"/>
      <c r="T175" s="2393"/>
      <c r="U175" s="2174">
        <f t="shared" si="20"/>
        <v>1166700</v>
      </c>
      <c r="V175" s="1495">
        <f t="shared" si="21"/>
        <v>210000</v>
      </c>
      <c r="W175" s="1495">
        <f t="shared" si="22"/>
        <v>0</v>
      </c>
      <c r="X175" s="1495">
        <f t="shared" si="23"/>
        <v>12833300</v>
      </c>
      <c r="Y175" s="1495">
        <f t="shared" si="24"/>
        <v>8.3335714285714282</v>
      </c>
      <c r="Z175" s="1495">
        <f t="shared" si="25"/>
        <v>12833300</v>
      </c>
      <c r="AA175" s="1506">
        <f t="shared" si="26"/>
        <v>2310000</v>
      </c>
      <c r="AB175" s="2927">
        <v>6</v>
      </c>
      <c r="AC175" s="1504">
        <f t="shared" si="37"/>
        <v>0</v>
      </c>
      <c r="AD175" s="1503">
        <f t="shared" si="38"/>
        <v>0</v>
      </c>
      <c r="AE175" s="1503">
        <f t="shared" si="39"/>
        <v>12833300</v>
      </c>
      <c r="AF175" s="1502">
        <f t="shared" si="40"/>
        <v>0</v>
      </c>
    </row>
    <row r="176" spans="1:32" s="1474" customFormat="1" ht="23.25" customHeight="1">
      <c r="A176" s="2790">
        <v>109</v>
      </c>
      <c r="B176" s="1513" t="s">
        <v>1954</v>
      </c>
      <c r="C176" s="1514" t="s">
        <v>2465</v>
      </c>
      <c r="D176" s="1514">
        <v>10</v>
      </c>
      <c r="E176" s="1513">
        <v>6000000</v>
      </c>
      <c r="F176" s="1512">
        <f t="shared" si="17"/>
        <v>1080000</v>
      </c>
      <c r="G176" s="2141">
        <v>41557</v>
      </c>
      <c r="H176" s="1511">
        <v>0.18</v>
      </c>
      <c r="I176" s="1508">
        <v>12</v>
      </c>
      <c r="J176" s="1508">
        <v>12</v>
      </c>
      <c r="K176" s="1508">
        <f t="shared" ref="K176:K194" si="42">E176/I176</f>
        <v>500000</v>
      </c>
      <c r="L176" s="1513">
        <f t="shared" si="35"/>
        <v>90000</v>
      </c>
      <c r="M176" s="2172">
        <f t="shared" si="18"/>
        <v>6000000</v>
      </c>
      <c r="N176" s="2172">
        <f t="shared" si="19"/>
        <v>1080000</v>
      </c>
      <c r="O176" s="2171">
        <v>6000000</v>
      </c>
      <c r="P176" s="2171">
        <v>1080000</v>
      </c>
      <c r="Q176" s="2171"/>
      <c r="R176" s="2653"/>
      <c r="S176" s="2653"/>
      <c r="T176" s="2393"/>
      <c r="U176" s="2174">
        <f t="shared" si="20"/>
        <v>6000000</v>
      </c>
      <c r="V176" s="1495">
        <f t="shared" si="21"/>
        <v>1080000</v>
      </c>
      <c r="W176" s="1495">
        <f t="shared" si="22"/>
        <v>0</v>
      </c>
      <c r="X176" s="1495">
        <f t="shared" si="23"/>
        <v>0</v>
      </c>
      <c r="Y176" s="1495">
        <f t="shared" si="24"/>
        <v>100</v>
      </c>
      <c r="Z176" s="1495">
        <f t="shared" si="25"/>
        <v>0</v>
      </c>
      <c r="AA176" s="1506">
        <f t="shared" si="26"/>
        <v>0</v>
      </c>
      <c r="AB176" s="2927"/>
      <c r="AC176" s="1504">
        <f t="shared" si="37"/>
        <v>0</v>
      </c>
      <c r="AD176" s="1503">
        <f t="shared" si="38"/>
        <v>0</v>
      </c>
      <c r="AE176" s="1503">
        <f t="shared" si="39"/>
        <v>0</v>
      </c>
      <c r="AF176" s="1502">
        <f t="shared" si="40"/>
        <v>0</v>
      </c>
    </row>
    <row r="177" spans="1:32" s="1474" customFormat="1" ht="23.25" customHeight="1">
      <c r="A177" s="2790">
        <v>110</v>
      </c>
      <c r="B177" s="1513" t="s">
        <v>1897</v>
      </c>
      <c r="C177" s="1514" t="s">
        <v>2465</v>
      </c>
      <c r="D177" s="1514">
        <v>10</v>
      </c>
      <c r="E177" s="1513">
        <v>6000000</v>
      </c>
      <c r="F177" s="1512">
        <f t="shared" si="17"/>
        <v>1080000</v>
      </c>
      <c r="G177" s="2141">
        <v>41557</v>
      </c>
      <c r="H177" s="1511">
        <v>0.18</v>
      </c>
      <c r="I177" s="1508">
        <v>12</v>
      </c>
      <c r="J177" s="1508">
        <v>12</v>
      </c>
      <c r="K177" s="1508">
        <f t="shared" si="42"/>
        <v>500000</v>
      </c>
      <c r="L177" s="1513">
        <f t="shared" si="35"/>
        <v>90000</v>
      </c>
      <c r="M177" s="2172">
        <f t="shared" si="18"/>
        <v>6000000</v>
      </c>
      <c r="N177" s="2407">
        <f>IF(J177&lt;I177,J177*L177,IF(J177&gt;=I177,F177))-90000</f>
        <v>990000</v>
      </c>
      <c r="O177" s="2171">
        <v>6000000</v>
      </c>
      <c r="P177" s="2171">
        <v>990000</v>
      </c>
      <c r="Q177" s="2171"/>
      <c r="R177" s="2653"/>
      <c r="S177" s="2653"/>
      <c r="T177" s="2393"/>
      <c r="U177" s="2174">
        <f t="shared" si="20"/>
        <v>6000000</v>
      </c>
      <c r="V177" s="1495">
        <f t="shared" si="21"/>
        <v>990000</v>
      </c>
      <c r="W177" s="1495">
        <f t="shared" si="22"/>
        <v>0</v>
      </c>
      <c r="X177" s="1495">
        <f t="shared" si="23"/>
        <v>0</v>
      </c>
      <c r="Y177" s="1495">
        <f t="shared" si="24"/>
        <v>100</v>
      </c>
      <c r="Z177" s="1495">
        <f t="shared" si="25"/>
        <v>0</v>
      </c>
      <c r="AA177" s="1506">
        <f t="shared" si="26"/>
        <v>0</v>
      </c>
      <c r="AB177" s="2927"/>
      <c r="AC177" s="1504">
        <f t="shared" si="37"/>
        <v>0</v>
      </c>
      <c r="AD177" s="1503">
        <f t="shared" si="38"/>
        <v>0</v>
      </c>
      <c r="AE177" s="1503">
        <f t="shared" si="39"/>
        <v>0</v>
      </c>
      <c r="AF177" s="1502">
        <f t="shared" si="40"/>
        <v>0</v>
      </c>
    </row>
    <row r="178" spans="1:32" s="1474" customFormat="1" ht="23.25" customHeight="1">
      <c r="A178" s="2790">
        <v>111</v>
      </c>
      <c r="B178" s="1513" t="s">
        <v>2466</v>
      </c>
      <c r="C178" s="1514" t="s">
        <v>2465</v>
      </c>
      <c r="D178" s="1514">
        <v>10</v>
      </c>
      <c r="E178" s="1513">
        <v>6000000</v>
      </c>
      <c r="F178" s="1512">
        <f t="shared" si="17"/>
        <v>1080000</v>
      </c>
      <c r="G178" s="2141">
        <v>41557</v>
      </c>
      <c r="H178" s="1511">
        <v>0.18</v>
      </c>
      <c r="I178" s="1508">
        <v>12</v>
      </c>
      <c r="J178" s="1508">
        <v>12</v>
      </c>
      <c r="K178" s="1508">
        <f t="shared" si="42"/>
        <v>500000</v>
      </c>
      <c r="L178" s="1513">
        <f t="shared" si="35"/>
        <v>90000</v>
      </c>
      <c r="M178" s="2172">
        <f t="shared" si="18"/>
        <v>6000000</v>
      </c>
      <c r="N178" s="2407">
        <f>IF(J178&lt;I178,J178*L178,IF(J178&gt;=I178,F178))-90000</f>
        <v>990000</v>
      </c>
      <c r="O178" s="2171">
        <v>6000000</v>
      </c>
      <c r="P178" s="2171">
        <v>990000</v>
      </c>
      <c r="Q178" s="2171"/>
      <c r="R178" s="2653"/>
      <c r="S178" s="2653"/>
      <c r="T178" s="2393"/>
      <c r="U178" s="2174">
        <f t="shared" si="20"/>
        <v>6000000</v>
      </c>
      <c r="V178" s="1495">
        <f t="shared" si="21"/>
        <v>990000</v>
      </c>
      <c r="W178" s="1495">
        <f t="shared" si="22"/>
        <v>0</v>
      </c>
      <c r="X178" s="1495">
        <f t="shared" si="23"/>
        <v>0</v>
      </c>
      <c r="Y178" s="1495">
        <f t="shared" si="24"/>
        <v>100</v>
      </c>
      <c r="Z178" s="1495">
        <f t="shared" si="25"/>
        <v>0</v>
      </c>
      <c r="AA178" s="1506">
        <f t="shared" si="26"/>
        <v>0</v>
      </c>
      <c r="AB178" s="2927"/>
      <c r="AC178" s="1504">
        <f t="shared" si="37"/>
        <v>0</v>
      </c>
      <c r="AD178" s="1503">
        <f t="shared" si="38"/>
        <v>0</v>
      </c>
      <c r="AE178" s="1503">
        <f t="shared" si="39"/>
        <v>0</v>
      </c>
      <c r="AF178" s="1502">
        <f t="shared" si="40"/>
        <v>0</v>
      </c>
    </row>
    <row r="179" spans="1:32" s="1474" customFormat="1" ht="23.25" customHeight="1">
      <c r="A179" s="2790">
        <v>112</v>
      </c>
      <c r="B179" s="1513" t="s">
        <v>2110</v>
      </c>
      <c r="C179" s="1514" t="s">
        <v>2465</v>
      </c>
      <c r="D179" s="1514">
        <v>10</v>
      </c>
      <c r="E179" s="1513">
        <v>12000000</v>
      </c>
      <c r="F179" s="1512">
        <f t="shared" si="17"/>
        <v>2160000</v>
      </c>
      <c r="G179" s="2141">
        <v>41590</v>
      </c>
      <c r="H179" s="1511">
        <v>0.18</v>
      </c>
      <c r="I179" s="1508">
        <v>12</v>
      </c>
      <c r="J179" s="1508">
        <v>12</v>
      </c>
      <c r="K179" s="1508">
        <f t="shared" si="42"/>
        <v>1000000</v>
      </c>
      <c r="L179" s="1513">
        <f t="shared" si="35"/>
        <v>180000</v>
      </c>
      <c r="M179" s="2172">
        <f t="shared" si="18"/>
        <v>12000000</v>
      </c>
      <c r="N179" s="2172">
        <f t="shared" si="19"/>
        <v>2160000</v>
      </c>
      <c r="O179" s="2171">
        <v>12000000</v>
      </c>
      <c r="P179" s="2171">
        <v>2160000</v>
      </c>
      <c r="Q179" s="2171"/>
      <c r="R179" s="2653"/>
      <c r="S179" s="2653"/>
      <c r="T179" s="2393"/>
      <c r="U179" s="2174">
        <f t="shared" si="20"/>
        <v>12000000</v>
      </c>
      <c r="V179" s="1495">
        <f t="shared" si="21"/>
        <v>2160000</v>
      </c>
      <c r="W179" s="1495">
        <f t="shared" si="22"/>
        <v>0</v>
      </c>
      <c r="X179" s="1495">
        <f t="shared" si="23"/>
        <v>0</v>
      </c>
      <c r="Y179" s="1495">
        <f t="shared" si="24"/>
        <v>100</v>
      </c>
      <c r="Z179" s="1495">
        <f t="shared" si="25"/>
        <v>0</v>
      </c>
      <c r="AA179" s="1506">
        <f t="shared" si="26"/>
        <v>0</v>
      </c>
      <c r="AB179" s="2927"/>
      <c r="AC179" s="1504">
        <f t="shared" si="37"/>
        <v>0</v>
      </c>
      <c r="AD179" s="1503">
        <f t="shared" si="38"/>
        <v>0</v>
      </c>
      <c r="AE179" s="1503">
        <f t="shared" si="39"/>
        <v>0</v>
      </c>
      <c r="AF179" s="1502">
        <f t="shared" si="40"/>
        <v>0</v>
      </c>
    </row>
    <row r="180" spans="1:32" s="1474" customFormat="1" ht="23.25" customHeight="1">
      <c r="A180" s="2790">
        <v>113</v>
      </c>
      <c r="B180" s="1513" t="s">
        <v>2105</v>
      </c>
      <c r="C180" s="1514" t="s">
        <v>2465</v>
      </c>
      <c r="D180" s="1514">
        <v>10</v>
      </c>
      <c r="E180" s="1513">
        <v>20000000</v>
      </c>
      <c r="F180" s="1512">
        <f t="shared" si="17"/>
        <v>3600000</v>
      </c>
      <c r="G180" s="2141">
        <v>41590</v>
      </c>
      <c r="H180" s="1511">
        <v>0.18</v>
      </c>
      <c r="I180" s="1508">
        <v>12</v>
      </c>
      <c r="J180" s="1508">
        <v>12</v>
      </c>
      <c r="K180" s="1508">
        <v>1666700</v>
      </c>
      <c r="L180" s="1513">
        <f t="shared" si="35"/>
        <v>300000</v>
      </c>
      <c r="M180" s="2172">
        <f t="shared" si="18"/>
        <v>20000000</v>
      </c>
      <c r="N180" s="2172">
        <f t="shared" si="19"/>
        <v>3600000</v>
      </c>
      <c r="O180" s="2171">
        <v>20000000</v>
      </c>
      <c r="P180" s="2171">
        <v>3600000</v>
      </c>
      <c r="Q180" s="2171"/>
      <c r="R180" s="2653"/>
      <c r="S180" s="2653"/>
      <c r="T180" s="2393"/>
      <c r="U180" s="2174">
        <f t="shared" si="20"/>
        <v>20000000</v>
      </c>
      <c r="V180" s="1495">
        <f t="shared" si="21"/>
        <v>3600000</v>
      </c>
      <c r="W180" s="1495">
        <f t="shared" si="22"/>
        <v>0</v>
      </c>
      <c r="X180" s="1495">
        <f t="shared" si="23"/>
        <v>0</v>
      </c>
      <c r="Y180" s="1495">
        <f t="shared" si="24"/>
        <v>100</v>
      </c>
      <c r="Z180" s="1495">
        <f t="shared" si="25"/>
        <v>0</v>
      </c>
      <c r="AA180" s="1506">
        <f t="shared" si="26"/>
        <v>0</v>
      </c>
      <c r="AB180" s="2927"/>
      <c r="AC180" s="1504">
        <f t="shared" si="37"/>
        <v>0</v>
      </c>
      <c r="AD180" s="1503">
        <f t="shared" si="38"/>
        <v>0</v>
      </c>
      <c r="AE180" s="1503">
        <f t="shared" si="39"/>
        <v>0</v>
      </c>
      <c r="AF180" s="1502">
        <f t="shared" si="40"/>
        <v>0</v>
      </c>
    </row>
    <row r="181" spans="1:32" s="1474" customFormat="1" ht="23.25" customHeight="1">
      <c r="A181" s="2790">
        <v>114</v>
      </c>
      <c r="B181" s="1513" t="s">
        <v>2114</v>
      </c>
      <c r="C181" s="1514" t="s">
        <v>2465</v>
      </c>
      <c r="D181" s="1514">
        <v>10</v>
      </c>
      <c r="E181" s="1513">
        <v>25000000</v>
      </c>
      <c r="F181" s="1512">
        <f t="shared" si="17"/>
        <v>4500000</v>
      </c>
      <c r="G181" s="2141">
        <v>41596</v>
      </c>
      <c r="H181" s="1511">
        <v>0.18</v>
      </c>
      <c r="I181" s="1508">
        <v>12</v>
      </c>
      <c r="J181" s="1508">
        <v>12</v>
      </c>
      <c r="K181" s="1508">
        <v>2083300</v>
      </c>
      <c r="L181" s="1513">
        <f t="shared" si="35"/>
        <v>375000</v>
      </c>
      <c r="M181" s="2172">
        <f t="shared" si="18"/>
        <v>25000000</v>
      </c>
      <c r="N181" s="2407">
        <f>IF(J181&lt;I181,J181*L181,IF(J181&gt;=I181,F181))-375000</f>
        <v>4125000</v>
      </c>
      <c r="O181" s="2171">
        <v>25000000</v>
      </c>
      <c r="P181" s="2171">
        <v>4125000</v>
      </c>
      <c r="Q181" s="2171"/>
      <c r="R181" s="2653"/>
      <c r="S181" s="2653"/>
      <c r="T181" s="2393"/>
      <c r="U181" s="2174">
        <f t="shared" si="20"/>
        <v>25000000</v>
      </c>
      <c r="V181" s="1495">
        <f t="shared" si="21"/>
        <v>4125000</v>
      </c>
      <c r="W181" s="1495">
        <f t="shared" si="22"/>
        <v>0</v>
      </c>
      <c r="X181" s="1495">
        <f t="shared" si="23"/>
        <v>0</v>
      </c>
      <c r="Y181" s="1495">
        <f t="shared" si="24"/>
        <v>100</v>
      </c>
      <c r="Z181" s="1495">
        <f t="shared" si="25"/>
        <v>0</v>
      </c>
      <c r="AA181" s="1506">
        <f t="shared" si="26"/>
        <v>0</v>
      </c>
      <c r="AB181" s="2927"/>
      <c r="AC181" s="1504">
        <f t="shared" si="37"/>
        <v>0</v>
      </c>
      <c r="AD181" s="1503">
        <f t="shared" si="38"/>
        <v>0</v>
      </c>
      <c r="AE181" s="1503">
        <f t="shared" si="39"/>
        <v>0</v>
      </c>
      <c r="AF181" s="1502">
        <f t="shared" si="40"/>
        <v>0</v>
      </c>
    </row>
    <row r="182" spans="1:32" s="1474" customFormat="1" ht="23.25" customHeight="1">
      <c r="A182" s="2790">
        <v>115</v>
      </c>
      <c r="B182" s="1513" t="s">
        <v>2099</v>
      </c>
      <c r="C182" s="1514" t="s">
        <v>2465</v>
      </c>
      <c r="D182" s="1514">
        <v>10</v>
      </c>
      <c r="E182" s="1513">
        <v>30000000</v>
      </c>
      <c r="F182" s="1512">
        <f t="shared" si="17"/>
        <v>5400000</v>
      </c>
      <c r="G182" s="2141"/>
      <c r="H182" s="1511">
        <v>0.18</v>
      </c>
      <c r="I182" s="1508">
        <v>12</v>
      </c>
      <c r="J182" s="1508">
        <v>12</v>
      </c>
      <c r="K182" s="1508">
        <f t="shared" si="42"/>
        <v>2500000</v>
      </c>
      <c r="L182" s="1513">
        <f t="shared" si="35"/>
        <v>450000</v>
      </c>
      <c r="M182" s="2172">
        <f t="shared" si="18"/>
        <v>30000000</v>
      </c>
      <c r="N182" s="2407">
        <f>IF(J182&lt;I182,J182*L182,IF(J182&gt;=I182,F182))-450000</f>
        <v>4950000</v>
      </c>
      <c r="O182" s="2171">
        <v>30000000</v>
      </c>
      <c r="P182" s="2171">
        <v>4950000</v>
      </c>
      <c r="Q182" s="2171"/>
      <c r="R182" s="2653"/>
      <c r="S182" s="2653"/>
      <c r="T182" s="2393"/>
      <c r="U182" s="2174">
        <f t="shared" si="20"/>
        <v>30000000</v>
      </c>
      <c r="V182" s="1495">
        <f t="shared" si="21"/>
        <v>4950000</v>
      </c>
      <c r="W182" s="1495">
        <f t="shared" si="22"/>
        <v>0</v>
      </c>
      <c r="X182" s="1495">
        <f t="shared" si="23"/>
        <v>0</v>
      </c>
      <c r="Y182" s="1495">
        <f t="shared" si="24"/>
        <v>100</v>
      </c>
      <c r="Z182" s="1495">
        <f t="shared" si="25"/>
        <v>0</v>
      </c>
      <c r="AA182" s="1506">
        <f t="shared" si="26"/>
        <v>0</v>
      </c>
      <c r="AB182" s="2927"/>
      <c r="AC182" s="1504">
        <f t="shared" si="37"/>
        <v>0</v>
      </c>
      <c r="AD182" s="1503">
        <f t="shared" si="38"/>
        <v>0</v>
      </c>
      <c r="AE182" s="1503">
        <f t="shared" si="39"/>
        <v>0</v>
      </c>
      <c r="AF182" s="1502">
        <f t="shared" si="40"/>
        <v>0</v>
      </c>
    </row>
    <row r="183" spans="1:32" s="1474" customFormat="1" ht="23.25" customHeight="1">
      <c r="A183" s="2790">
        <v>116</v>
      </c>
      <c r="B183" s="1513" t="s">
        <v>2353</v>
      </c>
      <c r="C183" s="1514" t="s">
        <v>2465</v>
      </c>
      <c r="D183" s="1514">
        <v>10</v>
      </c>
      <c r="E183" s="1513">
        <v>22000000</v>
      </c>
      <c r="F183" s="1512">
        <f t="shared" si="17"/>
        <v>3960000</v>
      </c>
      <c r="G183" s="2141"/>
      <c r="H183" s="1511">
        <v>0.18</v>
      </c>
      <c r="I183" s="1508">
        <v>12</v>
      </c>
      <c r="J183" s="1508">
        <v>12</v>
      </c>
      <c r="K183" s="1508">
        <v>1833300</v>
      </c>
      <c r="L183" s="1513">
        <f t="shared" si="35"/>
        <v>330000</v>
      </c>
      <c r="M183" s="2172">
        <f t="shared" si="18"/>
        <v>22000000</v>
      </c>
      <c r="N183" s="2407">
        <f>IF(J183&lt;I183,J183*L183,IF(J183&gt;=I183,F183))-330000</f>
        <v>3630000</v>
      </c>
      <c r="O183" s="2171">
        <v>22000000</v>
      </c>
      <c r="P183" s="2171">
        <v>3630000</v>
      </c>
      <c r="Q183" s="2171"/>
      <c r="R183" s="2653"/>
      <c r="S183" s="2653"/>
      <c r="T183" s="2393"/>
      <c r="U183" s="2174">
        <f t="shared" si="20"/>
        <v>22000000</v>
      </c>
      <c r="V183" s="1495">
        <f t="shared" si="21"/>
        <v>3630000</v>
      </c>
      <c r="W183" s="1495">
        <f t="shared" si="22"/>
        <v>0</v>
      </c>
      <c r="X183" s="1495">
        <f t="shared" si="23"/>
        <v>0</v>
      </c>
      <c r="Y183" s="1495">
        <f t="shared" si="24"/>
        <v>100</v>
      </c>
      <c r="Z183" s="1495">
        <f t="shared" si="25"/>
        <v>0</v>
      </c>
      <c r="AA183" s="1506">
        <f t="shared" si="26"/>
        <v>0</v>
      </c>
      <c r="AB183" s="2927"/>
      <c r="AC183" s="1504">
        <f t="shared" si="37"/>
        <v>0</v>
      </c>
      <c r="AD183" s="1503">
        <f t="shared" si="38"/>
        <v>0</v>
      </c>
      <c r="AE183" s="1503">
        <f t="shared" si="39"/>
        <v>0</v>
      </c>
      <c r="AF183" s="1502">
        <f t="shared" si="40"/>
        <v>0</v>
      </c>
    </row>
    <row r="184" spans="1:32" s="1474" customFormat="1" ht="23.25" customHeight="1">
      <c r="A184" s="2790">
        <v>117</v>
      </c>
      <c r="B184" s="1513" t="s">
        <v>2125</v>
      </c>
      <c r="C184" s="1514" t="s">
        <v>2496</v>
      </c>
      <c r="D184" s="1514">
        <v>12</v>
      </c>
      <c r="E184" s="1513">
        <v>30000000</v>
      </c>
      <c r="F184" s="1512">
        <f t="shared" si="17"/>
        <v>5400000</v>
      </c>
      <c r="G184" s="2141">
        <v>41682</v>
      </c>
      <c r="H184" s="1511">
        <v>0.18</v>
      </c>
      <c r="I184" s="1508">
        <v>12</v>
      </c>
      <c r="J184" s="1508">
        <v>12</v>
      </c>
      <c r="K184" s="1508">
        <f t="shared" si="42"/>
        <v>2500000</v>
      </c>
      <c r="L184" s="1513">
        <f t="shared" si="35"/>
        <v>450000</v>
      </c>
      <c r="M184" s="2172">
        <f t="shared" si="18"/>
        <v>30000000</v>
      </c>
      <c r="N184" s="2407">
        <f>IF(J184&lt;I184,J184*L184,IF(J184&gt;=I184,F184))-450000</f>
        <v>4950000</v>
      </c>
      <c r="O184" s="2171">
        <v>30000000</v>
      </c>
      <c r="P184" s="2171">
        <v>4950000</v>
      </c>
      <c r="Q184" s="2171"/>
      <c r="R184" s="2653"/>
      <c r="S184" s="2653"/>
      <c r="T184" s="2393"/>
      <c r="U184" s="2174">
        <f t="shared" si="20"/>
        <v>30000000</v>
      </c>
      <c r="V184" s="1495">
        <f t="shared" si="21"/>
        <v>4950000</v>
      </c>
      <c r="W184" s="1495">
        <f t="shared" si="22"/>
        <v>0</v>
      </c>
      <c r="X184" s="1495">
        <f t="shared" si="23"/>
        <v>0</v>
      </c>
      <c r="Y184" s="1495">
        <f t="shared" si="24"/>
        <v>100</v>
      </c>
      <c r="Z184" s="1495">
        <f t="shared" si="25"/>
        <v>0</v>
      </c>
      <c r="AA184" s="1506">
        <f t="shared" si="26"/>
        <v>0</v>
      </c>
      <c r="AB184" s="2927"/>
      <c r="AC184" s="1504">
        <f t="shared" si="37"/>
        <v>0</v>
      </c>
      <c r="AD184" s="1503">
        <f t="shared" si="38"/>
        <v>0</v>
      </c>
      <c r="AE184" s="1503"/>
      <c r="AF184" s="1502"/>
    </row>
    <row r="185" spans="1:32" s="1474" customFormat="1" ht="23.25" customHeight="1">
      <c r="A185" s="2790">
        <v>118</v>
      </c>
      <c r="B185" s="1513" t="s">
        <v>2126</v>
      </c>
      <c r="C185" s="1514" t="s">
        <v>2496</v>
      </c>
      <c r="D185" s="1514">
        <v>12</v>
      </c>
      <c r="E185" s="1513">
        <v>24000000</v>
      </c>
      <c r="F185" s="1512">
        <f t="shared" si="17"/>
        <v>4320000</v>
      </c>
      <c r="G185" s="2141">
        <v>41682</v>
      </c>
      <c r="H185" s="1511">
        <v>0.18</v>
      </c>
      <c r="I185" s="1508">
        <v>12</v>
      </c>
      <c r="J185" s="1508">
        <v>12</v>
      </c>
      <c r="K185" s="1508">
        <f t="shared" si="42"/>
        <v>2000000</v>
      </c>
      <c r="L185" s="1513">
        <f t="shared" si="35"/>
        <v>360000</v>
      </c>
      <c r="M185" s="2172">
        <f t="shared" si="18"/>
        <v>24000000</v>
      </c>
      <c r="N185" s="2407">
        <f>IF(J185&lt;I185,J185*L185,IF(J185&gt;=I185,F185))-360000</f>
        <v>3960000</v>
      </c>
      <c r="O185" s="2171">
        <v>24000000</v>
      </c>
      <c r="P185" s="2171">
        <v>3960000</v>
      </c>
      <c r="Q185" s="2171"/>
      <c r="R185" s="2653"/>
      <c r="S185" s="2653"/>
      <c r="T185" s="2393"/>
      <c r="U185" s="2174">
        <f t="shared" si="20"/>
        <v>24000000</v>
      </c>
      <c r="V185" s="1495">
        <f t="shared" si="21"/>
        <v>3960000</v>
      </c>
      <c r="W185" s="1495">
        <f t="shared" si="22"/>
        <v>0</v>
      </c>
      <c r="X185" s="1495">
        <f t="shared" si="23"/>
        <v>0</v>
      </c>
      <c r="Y185" s="1495">
        <f t="shared" si="24"/>
        <v>100</v>
      </c>
      <c r="Z185" s="1495">
        <f t="shared" si="25"/>
        <v>0</v>
      </c>
      <c r="AA185" s="1506">
        <f t="shared" si="26"/>
        <v>0</v>
      </c>
      <c r="AB185" s="2927"/>
      <c r="AC185" s="1504">
        <f t="shared" si="37"/>
        <v>0</v>
      </c>
      <c r="AD185" s="1503">
        <f t="shared" si="38"/>
        <v>0</v>
      </c>
      <c r="AE185" s="1503"/>
      <c r="AF185" s="1502"/>
    </row>
    <row r="186" spans="1:32" s="1474" customFormat="1" ht="23.25" customHeight="1">
      <c r="A186" s="2790">
        <v>119</v>
      </c>
      <c r="B186" s="1513" t="s">
        <v>2389</v>
      </c>
      <c r="C186" s="1514" t="s">
        <v>2496</v>
      </c>
      <c r="D186" s="1514">
        <v>10</v>
      </c>
      <c r="E186" s="1513">
        <v>20400000</v>
      </c>
      <c r="F186" s="1512">
        <f t="shared" si="17"/>
        <v>3672000</v>
      </c>
      <c r="G186" s="2141">
        <v>41682</v>
      </c>
      <c r="H186" s="1511">
        <v>0.18</v>
      </c>
      <c r="I186" s="1508">
        <v>12</v>
      </c>
      <c r="J186" s="1508">
        <v>12</v>
      </c>
      <c r="K186" s="1508">
        <f t="shared" si="42"/>
        <v>1700000</v>
      </c>
      <c r="L186" s="1513">
        <f t="shared" si="35"/>
        <v>306000</v>
      </c>
      <c r="M186" s="2172">
        <f t="shared" si="18"/>
        <v>20400000</v>
      </c>
      <c r="N186" s="2407">
        <f>IF(J186&lt;I186,J186*L186,IF(J186&gt;=I186,F186))-306000</f>
        <v>3366000</v>
      </c>
      <c r="O186" s="2171">
        <v>20400000</v>
      </c>
      <c r="P186" s="2171">
        <v>3366000</v>
      </c>
      <c r="Q186" s="2171"/>
      <c r="R186" s="2653"/>
      <c r="S186" s="2653"/>
      <c r="T186" s="2393"/>
      <c r="U186" s="2174">
        <f t="shared" si="20"/>
        <v>20400000</v>
      </c>
      <c r="V186" s="1495">
        <f t="shared" si="21"/>
        <v>3366000</v>
      </c>
      <c r="W186" s="1495">
        <f t="shared" si="22"/>
        <v>0</v>
      </c>
      <c r="X186" s="1495">
        <f t="shared" si="23"/>
        <v>0</v>
      </c>
      <c r="Y186" s="1495">
        <f t="shared" si="24"/>
        <v>100</v>
      </c>
      <c r="Z186" s="1495">
        <f t="shared" si="25"/>
        <v>0</v>
      </c>
      <c r="AA186" s="1506">
        <f t="shared" si="26"/>
        <v>0</v>
      </c>
      <c r="AB186" s="2927"/>
      <c r="AC186" s="1504">
        <f t="shared" si="37"/>
        <v>0</v>
      </c>
      <c r="AD186" s="1503">
        <f t="shared" si="38"/>
        <v>0</v>
      </c>
      <c r="AE186" s="1503"/>
      <c r="AF186" s="1502"/>
    </row>
    <row r="187" spans="1:32" s="1474" customFormat="1" ht="23.25" customHeight="1">
      <c r="A187" s="2790">
        <v>120</v>
      </c>
      <c r="B187" s="1513" t="s">
        <v>2078</v>
      </c>
      <c r="C187" s="1514" t="s">
        <v>2496</v>
      </c>
      <c r="D187" s="1514">
        <v>10</v>
      </c>
      <c r="E187" s="1513">
        <v>21000000</v>
      </c>
      <c r="F187" s="1512">
        <f t="shared" si="17"/>
        <v>3780000</v>
      </c>
      <c r="G187" s="2141">
        <v>41689</v>
      </c>
      <c r="H187" s="1511">
        <v>0.18</v>
      </c>
      <c r="I187" s="1508">
        <v>12</v>
      </c>
      <c r="J187" s="1508">
        <v>12</v>
      </c>
      <c r="K187" s="1508">
        <f t="shared" si="42"/>
        <v>1750000</v>
      </c>
      <c r="L187" s="1513">
        <f t="shared" si="35"/>
        <v>315000</v>
      </c>
      <c r="M187" s="2172">
        <f t="shared" si="18"/>
        <v>21000000</v>
      </c>
      <c r="N187" s="2172">
        <f t="shared" si="19"/>
        <v>3780000</v>
      </c>
      <c r="O187" s="2171">
        <v>21000000</v>
      </c>
      <c r="P187" s="2171">
        <v>3780000</v>
      </c>
      <c r="Q187" s="2171"/>
      <c r="R187" s="2653"/>
      <c r="S187" s="2653"/>
      <c r="T187" s="2393"/>
      <c r="U187" s="2174">
        <f t="shared" si="20"/>
        <v>21000000</v>
      </c>
      <c r="V187" s="1495">
        <f t="shared" si="21"/>
        <v>3780000</v>
      </c>
      <c r="W187" s="1495">
        <f t="shared" si="22"/>
        <v>0</v>
      </c>
      <c r="X187" s="1495">
        <f t="shared" si="23"/>
        <v>0</v>
      </c>
      <c r="Y187" s="1495">
        <f t="shared" si="24"/>
        <v>100</v>
      </c>
      <c r="Z187" s="1495">
        <f t="shared" si="25"/>
        <v>0</v>
      </c>
      <c r="AA187" s="1506">
        <f t="shared" si="26"/>
        <v>0</v>
      </c>
      <c r="AB187" s="2927"/>
      <c r="AC187" s="1504">
        <f t="shared" si="37"/>
        <v>0</v>
      </c>
      <c r="AD187" s="1503">
        <f t="shared" si="38"/>
        <v>0</v>
      </c>
      <c r="AE187" s="1503"/>
      <c r="AF187" s="1502"/>
    </row>
    <row r="188" spans="1:32" s="1474" customFormat="1" ht="23.25" customHeight="1">
      <c r="A188" s="2790">
        <v>121</v>
      </c>
      <c r="B188" s="1513" t="s">
        <v>2118</v>
      </c>
      <c r="C188" s="1514" t="s">
        <v>2496</v>
      </c>
      <c r="D188" s="1514">
        <v>10</v>
      </c>
      <c r="E188" s="1513">
        <v>20000000</v>
      </c>
      <c r="F188" s="1512">
        <f t="shared" si="17"/>
        <v>3600000</v>
      </c>
      <c r="G188" s="2141">
        <v>41710</v>
      </c>
      <c r="H188" s="1511">
        <v>0.18</v>
      </c>
      <c r="I188" s="1508">
        <v>12</v>
      </c>
      <c r="J188" s="1508">
        <v>12</v>
      </c>
      <c r="K188" s="1508">
        <v>1666700</v>
      </c>
      <c r="L188" s="1513">
        <f t="shared" si="35"/>
        <v>300000</v>
      </c>
      <c r="M188" s="2172">
        <f t="shared" si="18"/>
        <v>20000000</v>
      </c>
      <c r="N188" s="2172">
        <f t="shared" si="19"/>
        <v>3600000</v>
      </c>
      <c r="O188" s="2171">
        <v>20000000</v>
      </c>
      <c r="P188" s="2171">
        <v>3600000</v>
      </c>
      <c r="Q188" s="2171"/>
      <c r="R188" s="2653"/>
      <c r="S188" s="2653"/>
      <c r="T188" s="2393"/>
      <c r="U188" s="2174">
        <f t="shared" si="20"/>
        <v>20000000</v>
      </c>
      <c r="V188" s="1495">
        <f t="shared" si="21"/>
        <v>3600000</v>
      </c>
      <c r="W188" s="1495">
        <f t="shared" si="22"/>
        <v>0</v>
      </c>
      <c r="X188" s="1495">
        <f t="shared" si="23"/>
        <v>0</v>
      </c>
      <c r="Y188" s="1495">
        <f t="shared" si="24"/>
        <v>100</v>
      </c>
      <c r="Z188" s="1495">
        <f t="shared" si="25"/>
        <v>0</v>
      </c>
      <c r="AA188" s="1506">
        <f t="shared" si="26"/>
        <v>0</v>
      </c>
      <c r="AB188" s="2927"/>
      <c r="AC188" s="1504">
        <f t="shared" si="37"/>
        <v>0</v>
      </c>
      <c r="AD188" s="1503">
        <f t="shared" si="38"/>
        <v>0</v>
      </c>
      <c r="AE188" s="1503"/>
      <c r="AF188" s="1502"/>
    </row>
    <row r="189" spans="1:32" s="1474" customFormat="1" ht="23.25" customHeight="1">
      <c r="A189" s="2790">
        <v>122</v>
      </c>
      <c r="B189" s="1513" t="s">
        <v>2102</v>
      </c>
      <c r="C189" s="1514" t="s">
        <v>2496</v>
      </c>
      <c r="D189" s="1514">
        <v>10</v>
      </c>
      <c r="E189" s="1513">
        <v>20000000</v>
      </c>
      <c r="F189" s="1512">
        <f t="shared" si="17"/>
        <v>3600000</v>
      </c>
      <c r="G189" s="2141">
        <v>41712</v>
      </c>
      <c r="H189" s="1511">
        <v>0.18</v>
      </c>
      <c r="I189" s="1508">
        <v>12</v>
      </c>
      <c r="J189" s="1508">
        <v>12</v>
      </c>
      <c r="K189" s="1508">
        <v>1666700</v>
      </c>
      <c r="L189" s="1513">
        <f t="shared" si="35"/>
        <v>300000</v>
      </c>
      <c r="M189" s="2172">
        <f t="shared" si="18"/>
        <v>20000000</v>
      </c>
      <c r="N189" s="2172">
        <f t="shared" si="19"/>
        <v>3600000</v>
      </c>
      <c r="O189" s="2171">
        <v>20000000</v>
      </c>
      <c r="P189" s="2171">
        <v>3600000</v>
      </c>
      <c r="Q189" s="2171"/>
      <c r="R189" s="2653"/>
      <c r="S189" s="2653"/>
      <c r="T189" s="2393"/>
      <c r="U189" s="2174">
        <f t="shared" si="20"/>
        <v>20000000</v>
      </c>
      <c r="V189" s="1495">
        <f t="shared" si="21"/>
        <v>3600000</v>
      </c>
      <c r="W189" s="1495">
        <f t="shared" si="22"/>
        <v>0</v>
      </c>
      <c r="X189" s="1495">
        <f t="shared" si="23"/>
        <v>0</v>
      </c>
      <c r="Y189" s="1495">
        <f t="shared" si="24"/>
        <v>100</v>
      </c>
      <c r="Z189" s="1495">
        <f t="shared" si="25"/>
        <v>0</v>
      </c>
      <c r="AA189" s="1506">
        <f t="shared" si="26"/>
        <v>0</v>
      </c>
      <c r="AB189" s="2927"/>
      <c r="AC189" s="1504">
        <f t="shared" si="37"/>
        <v>0</v>
      </c>
      <c r="AD189" s="1503">
        <f t="shared" si="38"/>
        <v>0</v>
      </c>
      <c r="AE189" s="1503"/>
      <c r="AF189" s="1502"/>
    </row>
    <row r="190" spans="1:32" s="1474" customFormat="1" ht="23.25" customHeight="1">
      <c r="A190" s="2790">
        <v>123</v>
      </c>
      <c r="B190" s="1513" t="s">
        <v>2116</v>
      </c>
      <c r="C190" s="1514" t="s">
        <v>2496</v>
      </c>
      <c r="D190" s="1514">
        <v>10</v>
      </c>
      <c r="E190" s="1513">
        <v>30000000</v>
      </c>
      <c r="F190" s="1512">
        <f t="shared" si="17"/>
        <v>5400000</v>
      </c>
      <c r="G190" s="2141">
        <v>41712</v>
      </c>
      <c r="H190" s="1511">
        <v>0.18</v>
      </c>
      <c r="I190" s="1508">
        <v>12</v>
      </c>
      <c r="J190" s="1508">
        <v>12</v>
      </c>
      <c r="K190" s="1508">
        <f t="shared" si="42"/>
        <v>2500000</v>
      </c>
      <c r="L190" s="1513">
        <f t="shared" si="35"/>
        <v>450000</v>
      </c>
      <c r="M190" s="2172">
        <f t="shared" si="18"/>
        <v>30000000</v>
      </c>
      <c r="N190" s="2172">
        <f t="shared" si="19"/>
        <v>5400000</v>
      </c>
      <c r="O190" s="2171">
        <v>30000000</v>
      </c>
      <c r="P190" s="2171">
        <v>5400000</v>
      </c>
      <c r="Q190" s="2171"/>
      <c r="R190" s="2653"/>
      <c r="S190" s="2653"/>
      <c r="T190" s="2393"/>
      <c r="U190" s="2174">
        <f t="shared" si="20"/>
        <v>30000000</v>
      </c>
      <c r="V190" s="1495">
        <f t="shared" si="21"/>
        <v>5400000</v>
      </c>
      <c r="W190" s="1495">
        <f t="shared" si="22"/>
        <v>0</v>
      </c>
      <c r="X190" s="1495">
        <f t="shared" si="23"/>
        <v>0</v>
      </c>
      <c r="Y190" s="1495">
        <f t="shared" si="24"/>
        <v>100</v>
      </c>
      <c r="Z190" s="1495">
        <f t="shared" si="25"/>
        <v>0</v>
      </c>
      <c r="AA190" s="1506">
        <f t="shared" si="26"/>
        <v>0</v>
      </c>
      <c r="AB190" s="2927"/>
      <c r="AC190" s="1504">
        <f t="shared" si="37"/>
        <v>0</v>
      </c>
      <c r="AD190" s="1503">
        <f t="shared" si="38"/>
        <v>0</v>
      </c>
      <c r="AE190" s="1503"/>
      <c r="AF190" s="1502"/>
    </row>
    <row r="191" spans="1:32" s="2849" customFormat="1" ht="23.25" customHeight="1">
      <c r="A191" s="3211">
        <v>124</v>
      </c>
      <c r="B191" s="2684" t="s">
        <v>2113</v>
      </c>
      <c r="C191" s="2685" t="s">
        <v>2537</v>
      </c>
      <c r="D191" s="2685">
        <v>10</v>
      </c>
      <c r="E191" s="2684">
        <v>32000000</v>
      </c>
      <c r="F191" s="2684">
        <f t="shared" si="17"/>
        <v>5760000</v>
      </c>
      <c r="G191" s="2686">
        <v>41736</v>
      </c>
      <c r="H191" s="2687">
        <v>0.18</v>
      </c>
      <c r="I191" s="2688">
        <v>12</v>
      </c>
      <c r="J191" s="2688">
        <v>12</v>
      </c>
      <c r="K191" s="2688">
        <v>2666700</v>
      </c>
      <c r="L191" s="2684">
        <f t="shared" si="35"/>
        <v>480000</v>
      </c>
      <c r="M191" s="2710">
        <f t="shared" si="18"/>
        <v>32000000</v>
      </c>
      <c r="N191" s="2710">
        <f t="shared" si="19"/>
        <v>5760000</v>
      </c>
      <c r="O191" s="2710">
        <v>26457600</v>
      </c>
      <c r="P191" s="2710">
        <v>4800000</v>
      </c>
      <c r="Q191" s="2710"/>
      <c r="R191" s="2852"/>
      <c r="S191" s="2852"/>
      <c r="T191" s="2826"/>
      <c r="U191" s="2827">
        <f t="shared" si="20"/>
        <v>26457600</v>
      </c>
      <c r="V191" s="2689">
        <f t="shared" si="21"/>
        <v>4800000</v>
      </c>
      <c r="W191" s="2689">
        <f t="shared" si="22"/>
        <v>0</v>
      </c>
      <c r="X191" s="2689">
        <f t="shared" si="23"/>
        <v>5542400</v>
      </c>
      <c r="Y191" s="2689">
        <f t="shared" si="24"/>
        <v>82.679999999999993</v>
      </c>
      <c r="Z191" s="2689">
        <f t="shared" si="25"/>
        <v>5542400</v>
      </c>
      <c r="AA191" s="2828">
        <f t="shared" si="26"/>
        <v>960000</v>
      </c>
      <c r="AB191" s="3212">
        <v>6</v>
      </c>
      <c r="AC191" s="2846">
        <f t="shared" si="37"/>
        <v>0</v>
      </c>
      <c r="AD191" s="2847">
        <f t="shared" si="38"/>
        <v>0</v>
      </c>
      <c r="AE191" s="2847"/>
      <c r="AF191" s="2848"/>
    </row>
    <row r="192" spans="1:32" s="1474" customFormat="1" ht="23.25" customHeight="1">
      <c r="A192" s="2790">
        <v>125</v>
      </c>
      <c r="B192" s="1513" t="s">
        <v>2543</v>
      </c>
      <c r="C192" s="1514" t="s">
        <v>2537</v>
      </c>
      <c r="D192" s="1514">
        <v>10</v>
      </c>
      <c r="E192" s="1513">
        <v>18000000</v>
      </c>
      <c r="F192" s="1512">
        <f t="shared" si="17"/>
        <v>3240000</v>
      </c>
      <c r="G192" s="2141">
        <v>41750</v>
      </c>
      <c r="H192" s="1511">
        <v>0.18</v>
      </c>
      <c r="I192" s="1508">
        <v>12</v>
      </c>
      <c r="J192" s="1508">
        <v>12</v>
      </c>
      <c r="K192" s="1508">
        <f t="shared" si="42"/>
        <v>1500000</v>
      </c>
      <c r="L192" s="1513">
        <f t="shared" si="35"/>
        <v>270000</v>
      </c>
      <c r="M192" s="2172">
        <f t="shared" si="18"/>
        <v>18000000</v>
      </c>
      <c r="N192" s="2172">
        <f t="shared" si="19"/>
        <v>3240000</v>
      </c>
      <c r="O192" s="2171">
        <v>18000000</v>
      </c>
      <c r="P192" s="2171">
        <v>3240000</v>
      </c>
      <c r="Q192" s="2171"/>
      <c r="R192" s="2708"/>
      <c r="S192" s="2708"/>
      <c r="T192" s="2393"/>
      <c r="U192" s="2174">
        <f t="shared" si="20"/>
        <v>18000000</v>
      </c>
      <c r="V192" s="1495">
        <f t="shared" si="21"/>
        <v>3240000</v>
      </c>
      <c r="W192" s="1495">
        <f t="shared" si="22"/>
        <v>0</v>
      </c>
      <c r="X192" s="1495">
        <f t="shared" si="23"/>
        <v>0</v>
      </c>
      <c r="Y192" s="1495">
        <f t="shared" si="24"/>
        <v>100</v>
      </c>
      <c r="Z192" s="1495">
        <f t="shared" si="25"/>
        <v>0</v>
      </c>
      <c r="AA192" s="1506">
        <f t="shared" si="26"/>
        <v>0</v>
      </c>
      <c r="AB192" s="2927"/>
      <c r="AC192" s="1504">
        <f t="shared" si="37"/>
        <v>0</v>
      </c>
      <c r="AD192" s="1503">
        <f t="shared" si="38"/>
        <v>0</v>
      </c>
      <c r="AE192" s="1503"/>
      <c r="AF192" s="1502"/>
    </row>
    <row r="193" spans="1:32" s="1474" customFormat="1" ht="23.25" customHeight="1">
      <c r="A193" s="2790">
        <v>126</v>
      </c>
      <c r="B193" s="1513" t="s">
        <v>2119</v>
      </c>
      <c r="C193" s="1514" t="s">
        <v>2537</v>
      </c>
      <c r="D193" s="1514">
        <v>10</v>
      </c>
      <c r="E193" s="1513">
        <v>21000000</v>
      </c>
      <c r="F193" s="1512">
        <f t="shared" si="17"/>
        <v>3780000</v>
      </c>
      <c r="G193" s="2141">
        <v>41750</v>
      </c>
      <c r="H193" s="1511">
        <v>0.18</v>
      </c>
      <c r="I193" s="1508">
        <v>12</v>
      </c>
      <c r="J193" s="1508">
        <v>12</v>
      </c>
      <c r="K193" s="1508">
        <f t="shared" si="42"/>
        <v>1750000</v>
      </c>
      <c r="L193" s="1513">
        <f t="shared" si="35"/>
        <v>315000</v>
      </c>
      <c r="M193" s="2172">
        <f t="shared" si="18"/>
        <v>21000000</v>
      </c>
      <c r="N193" s="2172">
        <f t="shared" si="19"/>
        <v>3780000</v>
      </c>
      <c r="O193" s="2171">
        <v>21000000</v>
      </c>
      <c r="P193" s="2171">
        <v>3780000</v>
      </c>
      <c r="Q193" s="2171"/>
      <c r="R193" s="2708"/>
      <c r="S193" s="2708"/>
      <c r="T193" s="2393"/>
      <c r="U193" s="2174">
        <f t="shared" si="20"/>
        <v>21000000</v>
      </c>
      <c r="V193" s="1495">
        <f t="shared" si="21"/>
        <v>3780000</v>
      </c>
      <c r="W193" s="1495">
        <f t="shared" si="22"/>
        <v>0</v>
      </c>
      <c r="X193" s="1495">
        <f t="shared" si="23"/>
        <v>0</v>
      </c>
      <c r="Y193" s="1495">
        <f t="shared" si="24"/>
        <v>100</v>
      </c>
      <c r="Z193" s="1495">
        <f t="shared" si="25"/>
        <v>0</v>
      </c>
      <c r="AA193" s="1506">
        <f t="shared" si="26"/>
        <v>0</v>
      </c>
      <c r="AB193" s="2927"/>
      <c r="AC193" s="1504">
        <f t="shared" si="37"/>
        <v>0</v>
      </c>
      <c r="AD193" s="1503">
        <f t="shared" si="38"/>
        <v>0</v>
      </c>
      <c r="AE193" s="1503"/>
      <c r="AF193" s="1502"/>
    </row>
    <row r="194" spans="1:32" s="2849" customFormat="1" ht="23.25" customHeight="1">
      <c r="A194" s="3211">
        <v>127</v>
      </c>
      <c r="B194" s="2684" t="s">
        <v>2329</v>
      </c>
      <c r="C194" s="2685" t="s">
        <v>2537</v>
      </c>
      <c r="D194" s="2685">
        <v>8</v>
      </c>
      <c r="E194" s="2684">
        <v>22500000</v>
      </c>
      <c r="F194" s="2684">
        <f t="shared" si="17"/>
        <v>4050000</v>
      </c>
      <c r="G194" s="2686">
        <v>41801</v>
      </c>
      <c r="H194" s="2687">
        <v>0.18</v>
      </c>
      <c r="I194" s="2688">
        <v>12</v>
      </c>
      <c r="J194" s="2688">
        <v>12</v>
      </c>
      <c r="K194" s="2688">
        <f t="shared" si="42"/>
        <v>1875000</v>
      </c>
      <c r="L194" s="2684">
        <f t="shared" si="35"/>
        <v>337500</v>
      </c>
      <c r="M194" s="2710">
        <f t="shared" si="18"/>
        <v>22500000</v>
      </c>
      <c r="N194" s="2710">
        <f t="shared" si="19"/>
        <v>4050000</v>
      </c>
      <c r="O194" s="2710">
        <v>16662500</v>
      </c>
      <c r="P194" s="2710">
        <v>3037500</v>
      </c>
      <c r="Q194" s="2710"/>
      <c r="R194" s="2852"/>
      <c r="S194" s="2852"/>
      <c r="T194" s="2826"/>
      <c r="U194" s="2827">
        <f t="shared" si="20"/>
        <v>16662500</v>
      </c>
      <c r="V194" s="2689">
        <f t="shared" si="21"/>
        <v>3037500</v>
      </c>
      <c r="W194" s="2689">
        <f t="shared" si="22"/>
        <v>0</v>
      </c>
      <c r="X194" s="2689">
        <f t="shared" si="23"/>
        <v>5837500</v>
      </c>
      <c r="Y194" s="2689">
        <f t="shared" si="24"/>
        <v>74.055555555555557</v>
      </c>
      <c r="Z194" s="2689">
        <f t="shared" si="25"/>
        <v>5837500</v>
      </c>
      <c r="AA194" s="2828">
        <f t="shared" si="26"/>
        <v>1012500</v>
      </c>
      <c r="AB194" s="3212">
        <v>6</v>
      </c>
      <c r="AC194" s="2846">
        <f t="shared" si="37"/>
        <v>0</v>
      </c>
      <c r="AD194" s="2847">
        <f t="shared" si="38"/>
        <v>0</v>
      </c>
      <c r="AE194" s="2847"/>
      <c r="AF194" s="2848"/>
    </row>
    <row r="195" spans="1:32" s="1474" customFormat="1" ht="23.25" customHeight="1">
      <c r="A195" s="2790">
        <v>128</v>
      </c>
      <c r="B195" s="1513" t="s">
        <v>2281</v>
      </c>
      <c r="C195" s="1514" t="s">
        <v>2537</v>
      </c>
      <c r="D195" s="1514">
        <v>10</v>
      </c>
      <c r="E195" s="1513">
        <v>28000000</v>
      </c>
      <c r="F195" s="1512">
        <f t="shared" si="17"/>
        <v>5040000</v>
      </c>
      <c r="G195" s="2141">
        <v>41801</v>
      </c>
      <c r="H195" s="1511">
        <v>0.18</v>
      </c>
      <c r="I195" s="1508">
        <v>12</v>
      </c>
      <c r="J195" s="1508">
        <v>12</v>
      </c>
      <c r="K195" s="1508">
        <v>2333300</v>
      </c>
      <c r="L195" s="1513">
        <f t="shared" si="35"/>
        <v>420000</v>
      </c>
      <c r="M195" s="2172">
        <f t="shared" si="18"/>
        <v>28000000</v>
      </c>
      <c r="N195" s="2407">
        <f>IF(J195&lt;I195,J195*L195,IF(J195&gt;=I195,F195))-420000</f>
        <v>4620000</v>
      </c>
      <c r="O195" s="2171">
        <v>28000000</v>
      </c>
      <c r="P195" s="2171">
        <v>4620000</v>
      </c>
      <c r="Q195" s="2171"/>
      <c r="R195" s="2708"/>
      <c r="S195" s="2708"/>
      <c r="T195" s="2393"/>
      <c r="U195" s="2174">
        <f t="shared" si="20"/>
        <v>28000000</v>
      </c>
      <c r="V195" s="1495">
        <f t="shared" si="21"/>
        <v>4620000</v>
      </c>
      <c r="W195" s="1495">
        <f t="shared" si="22"/>
        <v>0</v>
      </c>
      <c r="X195" s="1495">
        <f t="shared" si="23"/>
        <v>0</v>
      </c>
      <c r="Y195" s="1495">
        <f t="shared" si="24"/>
        <v>100</v>
      </c>
      <c r="Z195" s="1495">
        <f t="shared" si="25"/>
        <v>0</v>
      </c>
      <c r="AA195" s="1506">
        <f t="shared" si="26"/>
        <v>0</v>
      </c>
      <c r="AB195" s="2927"/>
      <c r="AC195" s="1504">
        <f t="shared" si="37"/>
        <v>0</v>
      </c>
      <c r="AD195" s="1503">
        <f t="shared" si="38"/>
        <v>0</v>
      </c>
      <c r="AE195" s="1503"/>
      <c r="AF195" s="1502"/>
    </row>
    <row r="196" spans="1:32" s="1474" customFormat="1" ht="23.25" customHeight="1">
      <c r="A196" s="2790">
        <v>129</v>
      </c>
      <c r="B196" s="1513" t="s">
        <v>2120</v>
      </c>
      <c r="C196" s="1514" t="s">
        <v>2537</v>
      </c>
      <c r="D196" s="1514">
        <v>10</v>
      </c>
      <c r="E196" s="1513">
        <v>28000000</v>
      </c>
      <c r="F196" s="1512">
        <f t="shared" si="17"/>
        <v>5040000</v>
      </c>
      <c r="G196" s="2141">
        <v>41801</v>
      </c>
      <c r="H196" s="1511">
        <v>0.18</v>
      </c>
      <c r="I196" s="1508">
        <v>12</v>
      </c>
      <c r="J196" s="1508">
        <v>12</v>
      </c>
      <c r="K196" s="1508">
        <v>2333300</v>
      </c>
      <c r="L196" s="1513">
        <f t="shared" si="35"/>
        <v>420000</v>
      </c>
      <c r="M196" s="2172">
        <f t="shared" si="18"/>
        <v>28000000</v>
      </c>
      <c r="N196" s="2407">
        <f>IF(J196&lt;I196,J196*L196,IF(J196&gt;=I196,F196))-420000</f>
        <v>4620000</v>
      </c>
      <c r="O196" s="2171">
        <v>28000000</v>
      </c>
      <c r="P196" s="2171">
        <v>4620000</v>
      </c>
      <c r="Q196" s="2171"/>
      <c r="R196" s="2708"/>
      <c r="S196" s="2708"/>
      <c r="T196" s="2393"/>
      <c r="U196" s="2174">
        <f t="shared" si="20"/>
        <v>28000000</v>
      </c>
      <c r="V196" s="1495">
        <f t="shared" si="21"/>
        <v>4620000</v>
      </c>
      <c r="W196" s="1495">
        <f t="shared" si="22"/>
        <v>0</v>
      </c>
      <c r="X196" s="1495">
        <f t="shared" si="23"/>
        <v>0</v>
      </c>
      <c r="Y196" s="1495">
        <f t="shared" si="24"/>
        <v>100</v>
      </c>
      <c r="Z196" s="1495">
        <f t="shared" si="25"/>
        <v>0</v>
      </c>
      <c r="AA196" s="1506">
        <f t="shared" si="26"/>
        <v>0</v>
      </c>
      <c r="AB196" s="2927"/>
      <c r="AC196" s="1504">
        <f t="shared" si="37"/>
        <v>0</v>
      </c>
      <c r="AD196" s="1503">
        <f t="shared" si="38"/>
        <v>0</v>
      </c>
      <c r="AE196" s="1503"/>
      <c r="AF196" s="1502"/>
    </row>
    <row r="197" spans="1:32" s="1474" customFormat="1" ht="23.25" customHeight="1">
      <c r="A197" s="2790">
        <v>130</v>
      </c>
      <c r="B197" s="1513" t="s">
        <v>2282</v>
      </c>
      <c r="C197" s="1514" t="s">
        <v>2537</v>
      </c>
      <c r="D197" s="1514">
        <v>10</v>
      </c>
      <c r="E197" s="1513">
        <v>14000000</v>
      </c>
      <c r="F197" s="1512">
        <f t="shared" si="17"/>
        <v>2520000</v>
      </c>
      <c r="G197" s="2141">
        <v>41808</v>
      </c>
      <c r="H197" s="1511">
        <v>0.18</v>
      </c>
      <c r="I197" s="1508">
        <v>12</v>
      </c>
      <c r="J197" s="1508">
        <v>12</v>
      </c>
      <c r="K197" s="1508">
        <v>1166700</v>
      </c>
      <c r="L197" s="1513">
        <f t="shared" si="35"/>
        <v>210000</v>
      </c>
      <c r="M197" s="2172">
        <f t="shared" si="18"/>
        <v>14000000</v>
      </c>
      <c r="N197" s="2172">
        <f t="shared" si="19"/>
        <v>2520000</v>
      </c>
      <c r="O197" s="2171">
        <v>14000000</v>
      </c>
      <c r="P197" s="2171">
        <v>2520000</v>
      </c>
      <c r="Q197" s="2171"/>
      <c r="R197" s="2708"/>
      <c r="S197" s="2708"/>
      <c r="T197" s="2393"/>
      <c r="U197" s="2174">
        <f t="shared" si="20"/>
        <v>14000000</v>
      </c>
      <c r="V197" s="1495">
        <f t="shared" si="21"/>
        <v>2520000</v>
      </c>
      <c r="W197" s="1495">
        <f t="shared" si="22"/>
        <v>0</v>
      </c>
      <c r="X197" s="1495">
        <f t="shared" si="23"/>
        <v>0</v>
      </c>
      <c r="Y197" s="1495">
        <f t="shared" si="24"/>
        <v>100</v>
      </c>
      <c r="Z197" s="1495">
        <f t="shared" si="25"/>
        <v>0</v>
      </c>
      <c r="AA197" s="1506">
        <f t="shared" si="26"/>
        <v>0</v>
      </c>
      <c r="AB197" s="2927"/>
      <c r="AC197" s="1504">
        <f t="shared" si="37"/>
        <v>0</v>
      </c>
      <c r="AD197" s="1503">
        <f t="shared" si="38"/>
        <v>0</v>
      </c>
      <c r="AE197" s="1503"/>
      <c r="AF197" s="1502"/>
    </row>
    <row r="198" spans="1:32" s="3182" customFormat="1" ht="23.25" customHeight="1">
      <c r="A198" s="2790">
        <v>131</v>
      </c>
      <c r="B198" s="1513" t="s">
        <v>2434</v>
      </c>
      <c r="C198" s="1514" t="s">
        <v>2563</v>
      </c>
      <c r="D198" s="1514">
        <v>10</v>
      </c>
      <c r="E198" s="1513">
        <v>10500000</v>
      </c>
      <c r="F198" s="1513">
        <f t="shared" si="17"/>
        <v>1890000</v>
      </c>
      <c r="G198" s="3184">
        <v>41834</v>
      </c>
      <c r="H198" s="3185">
        <v>0.18</v>
      </c>
      <c r="I198" s="1509">
        <v>12</v>
      </c>
      <c r="J198" s="1509">
        <v>12</v>
      </c>
      <c r="K198" s="1509">
        <f>E198/I198</f>
        <v>875000</v>
      </c>
      <c r="L198" s="1513">
        <f t="shared" si="35"/>
        <v>157500</v>
      </c>
      <c r="M198" s="2171">
        <f t="shared" si="18"/>
        <v>10500000</v>
      </c>
      <c r="N198" s="2171">
        <f>IF(J198&lt;I198,J198*L198,IF(J198&gt;=I198,F198))-1*L198</f>
        <v>1732500</v>
      </c>
      <c r="O198" s="2171">
        <v>10500000</v>
      </c>
      <c r="P198" s="2171">
        <v>1732500</v>
      </c>
      <c r="Q198" s="2171"/>
      <c r="R198" s="2708"/>
      <c r="S198" s="2708"/>
      <c r="T198" s="3204"/>
      <c r="U198" s="3205">
        <f t="shared" si="20"/>
        <v>10500000</v>
      </c>
      <c r="V198" s="2176">
        <f t="shared" si="21"/>
        <v>1732500</v>
      </c>
      <c r="W198" s="2176">
        <f t="shared" si="22"/>
        <v>0</v>
      </c>
      <c r="X198" s="2176">
        <f t="shared" si="23"/>
        <v>0</v>
      </c>
      <c r="Y198" s="2176">
        <f t="shared" si="24"/>
        <v>100</v>
      </c>
      <c r="Z198" s="2176">
        <f t="shared" si="25"/>
        <v>0</v>
      </c>
      <c r="AA198" s="3178">
        <f t="shared" si="26"/>
        <v>0</v>
      </c>
      <c r="AB198" s="2927"/>
      <c r="AC198" s="3179">
        <f t="shared" si="37"/>
        <v>0</v>
      </c>
      <c r="AD198" s="3180">
        <f t="shared" si="38"/>
        <v>0</v>
      </c>
      <c r="AE198" s="3180"/>
      <c r="AF198" s="3181"/>
    </row>
    <row r="199" spans="1:32" s="3182" customFormat="1" ht="23.25" customHeight="1">
      <c r="A199" s="2790">
        <v>132</v>
      </c>
      <c r="B199" s="1513" t="s">
        <v>2567</v>
      </c>
      <c r="C199" s="1514" t="s">
        <v>2563</v>
      </c>
      <c r="D199" s="1514">
        <v>10</v>
      </c>
      <c r="E199" s="1513">
        <v>10500000</v>
      </c>
      <c r="F199" s="1513">
        <f t="shared" si="17"/>
        <v>1890000</v>
      </c>
      <c r="G199" s="3184">
        <v>41834</v>
      </c>
      <c r="H199" s="3185">
        <v>0.18</v>
      </c>
      <c r="I199" s="1509">
        <v>12</v>
      </c>
      <c r="J199" s="1509">
        <v>12</v>
      </c>
      <c r="K199" s="1509">
        <f>E199/I199</f>
        <v>875000</v>
      </c>
      <c r="L199" s="1513">
        <f t="shared" si="35"/>
        <v>157500</v>
      </c>
      <c r="M199" s="2171">
        <f t="shared" si="18"/>
        <v>10500000</v>
      </c>
      <c r="N199" s="2171">
        <f t="shared" ref="N199:N204" si="43">IF(J199&lt;I199,J199*L199,IF(J199&gt;=I199,F199))-1*L199</f>
        <v>1732500</v>
      </c>
      <c r="O199" s="2171">
        <v>10500000</v>
      </c>
      <c r="P199" s="2171">
        <v>1732500</v>
      </c>
      <c r="Q199" s="2171"/>
      <c r="R199" s="2708"/>
      <c r="S199" s="2708"/>
      <c r="T199" s="3204"/>
      <c r="U199" s="3205">
        <f t="shared" si="20"/>
        <v>10500000</v>
      </c>
      <c r="V199" s="2176">
        <f t="shared" si="21"/>
        <v>1732500</v>
      </c>
      <c r="W199" s="2176">
        <f t="shared" si="22"/>
        <v>0</v>
      </c>
      <c r="X199" s="2176">
        <f t="shared" si="23"/>
        <v>0</v>
      </c>
      <c r="Y199" s="2176">
        <f t="shared" si="24"/>
        <v>100</v>
      </c>
      <c r="Z199" s="2176">
        <f t="shared" si="25"/>
        <v>0</v>
      </c>
      <c r="AA199" s="3178">
        <f t="shared" si="26"/>
        <v>0</v>
      </c>
      <c r="AB199" s="2927"/>
      <c r="AC199" s="3179">
        <f t="shared" si="37"/>
        <v>0</v>
      </c>
      <c r="AD199" s="3180">
        <f t="shared" si="38"/>
        <v>0</v>
      </c>
      <c r="AE199" s="3180"/>
      <c r="AF199" s="3181"/>
    </row>
    <row r="200" spans="1:32" s="3182" customFormat="1" ht="23.25" customHeight="1">
      <c r="A200" s="2790">
        <v>133</v>
      </c>
      <c r="B200" s="1513" t="s">
        <v>2568</v>
      </c>
      <c r="C200" s="1514" t="s">
        <v>2563</v>
      </c>
      <c r="D200" s="1514">
        <v>7</v>
      </c>
      <c r="E200" s="1513">
        <v>12000000</v>
      </c>
      <c r="F200" s="1513">
        <f t="shared" si="17"/>
        <v>2160000</v>
      </c>
      <c r="G200" s="3184">
        <v>41834</v>
      </c>
      <c r="H200" s="3185">
        <v>0.18</v>
      </c>
      <c r="I200" s="1509">
        <v>12</v>
      </c>
      <c r="J200" s="1509">
        <v>12</v>
      </c>
      <c r="K200" s="1509">
        <f>E200/I200</f>
        <v>1000000</v>
      </c>
      <c r="L200" s="1513">
        <f t="shared" si="35"/>
        <v>180000</v>
      </c>
      <c r="M200" s="2171">
        <f t="shared" si="18"/>
        <v>12000000</v>
      </c>
      <c r="N200" s="2171">
        <f t="shared" si="43"/>
        <v>1980000</v>
      </c>
      <c r="O200" s="2171">
        <v>12000000</v>
      </c>
      <c r="P200" s="2171">
        <v>1980000</v>
      </c>
      <c r="Q200" s="2171"/>
      <c r="R200" s="2708"/>
      <c r="S200" s="2708"/>
      <c r="T200" s="3204"/>
      <c r="U200" s="3205">
        <f t="shared" si="20"/>
        <v>12000000</v>
      </c>
      <c r="V200" s="2176">
        <f t="shared" si="21"/>
        <v>1980000</v>
      </c>
      <c r="W200" s="2176">
        <f t="shared" si="22"/>
        <v>0</v>
      </c>
      <c r="X200" s="2176">
        <f t="shared" si="23"/>
        <v>0</v>
      </c>
      <c r="Y200" s="2176">
        <f t="shared" si="24"/>
        <v>100</v>
      </c>
      <c r="Z200" s="2176">
        <f t="shared" si="25"/>
        <v>0</v>
      </c>
      <c r="AA200" s="3178">
        <f t="shared" si="26"/>
        <v>0</v>
      </c>
      <c r="AB200" s="2927"/>
      <c r="AC200" s="3179">
        <f t="shared" si="37"/>
        <v>0</v>
      </c>
      <c r="AD200" s="3180">
        <f t="shared" si="38"/>
        <v>0</v>
      </c>
      <c r="AE200" s="3180"/>
      <c r="AF200" s="3181"/>
    </row>
    <row r="201" spans="1:32" s="3182" customFormat="1" ht="23.25" customHeight="1">
      <c r="A201" s="2790">
        <v>134</v>
      </c>
      <c r="B201" s="1513" t="s">
        <v>2421</v>
      </c>
      <c r="C201" s="1514" t="s">
        <v>2563</v>
      </c>
      <c r="D201" s="1514">
        <v>7</v>
      </c>
      <c r="E201" s="1513">
        <v>10500000</v>
      </c>
      <c r="F201" s="1513">
        <f t="shared" si="17"/>
        <v>1890000</v>
      </c>
      <c r="G201" s="3184">
        <v>41834</v>
      </c>
      <c r="H201" s="3185">
        <v>0.18</v>
      </c>
      <c r="I201" s="1509">
        <v>12</v>
      </c>
      <c r="J201" s="1509">
        <v>12</v>
      </c>
      <c r="K201" s="1509">
        <f>E201/I201</f>
        <v>875000</v>
      </c>
      <c r="L201" s="1513">
        <f t="shared" si="35"/>
        <v>157500</v>
      </c>
      <c r="M201" s="2171">
        <f t="shared" si="18"/>
        <v>10500000</v>
      </c>
      <c r="N201" s="2171">
        <f t="shared" si="43"/>
        <v>1732500</v>
      </c>
      <c r="O201" s="2171">
        <v>10500000</v>
      </c>
      <c r="P201" s="2171">
        <v>1732500</v>
      </c>
      <c r="Q201" s="2171"/>
      <c r="R201" s="2708"/>
      <c r="S201" s="2708"/>
      <c r="T201" s="3204"/>
      <c r="U201" s="3205">
        <f t="shared" si="20"/>
        <v>10500000</v>
      </c>
      <c r="V201" s="2176">
        <f t="shared" si="21"/>
        <v>1732500</v>
      </c>
      <c r="W201" s="2176">
        <f t="shared" si="22"/>
        <v>0</v>
      </c>
      <c r="X201" s="2176">
        <f t="shared" si="23"/>
        <v>0</v>
      </c>
      <c r="Y201" s="2176">
        <f t="shared" si="24"/>
        <v>100</v>
      </c>
      <c r="Z201" s="2176">
        <f t="shared" si="25"/>
        <v>0</v>
      </c>
      <c r="AA201" s="3178">
        <f t="shared" si="26"/>
        <v>0</v>
      </c>
      <c r="AB201" s="2927"/>
      <c r="AC201" s="3179">
        <f t="shared" si="37"/>
        <v>0</v>
      </c>
      <c r="AD201" s="3180">
        <f t="shared" si="38"/>
        <v>0</v>
      </c>
      <c r="AE201" s="3180"/>
      <c r="AF201" s="3181"/>
    </row>
    <row r="202" spans="1:32" s="3182" customFormat="1" ht="23.25" customHeight="1">
      <c r="A202" s="2790">
        <v>135</v>
      </c>
      <c r="B202" s="1513" t="s">
        <v>2569</v>
      </c>
      <c r="C202" s="1514" t="s">
        <v>2563</v>
      </c>
      <c r="D202" s="1514">
        <v>7</v>
      </c>
      <c r="E202" s="1513">
        <v>10500000</v>
      </c>
      <c r="F202" s="1513">
        <f t="shared" si="17"/>
        <v>1890000</v>
      </c>
      <c r="G202" s="3184">
        <v>41834</v>
      </c>
      <c r="H202" s="3185">
        <v>0.18</v>
      </c>
      <c r="I202" s="1509">
        <v>12</v>
      </c>
      <c r="J202" s="1509">
        <v>12</v>
      </c>
      <c r="K202" s="1509">
        <f>E202/I202</f>
        <v>875000</v>
      </c>
      <c r="L202" s="1513">
        <f t="shared" si="35"/>
        <v>157500</v>
      </c>
      <c r="M202" s="2171">
        <f t="shared" si="18"/>
        <v>10500000</v>
      </c>
      <c r="N202" s="2171">
        <f t="shared" si="43"/>
        <v>1732500</v>
      </c>
      <c r="O202" s="2171">
        <f>9625000+875000</f>
        <v>10500000</v>
      </c>
      <c r="P202" s="2171">
        <v>1732500</v>
      </c>
      <c r="Q202" s="2171"/>
      <c r="R202" s="2708"/>
      <c r="S202" s="2708"/>
      <c r="T202" s="3204"/>
      <c r="U202" s="3205">
        <f t="shared" si="20"/>
        <v>10500000</v>
      </c>
      <c r="V202" s="2176">
        <f t="shared" si="21"/>
        <v>1732500</v>
      </c>
      <c r="W202" s="2176">
        <f t="shared" si="22"/>
        <v>0</v>
      </c>
      <c r="X202" s="2176">
        <f t="shared" si="23"/>
        <v>0</v>
      </c>
      <c r="Y202" s="2176">
        <f t="shared" si="24"/>
        <v>100</v>
      </c>
      <c r="Z202" s="2176">
        <f t="shared" si="25"/>
        <v>0</v>
      </c>
      <c r="AA202" s="3178">
        <f t="shared" si="26"/>
        <v>0</v>
      </c>
      <c r="AB202" s="2927"/>
      <c r="AC202" s="3179">
        <f t="shared" si="37"/>
        <v>0</v>
      </c>
      <c r="AD202" s="3180">
        <f t="shared" si="38"/>
        <v>0</v>
      </c>
      <c r="AE202" s="3180"/>
      <c r="AF202" s="3181"/>
    </row>
    <row r="203" spans="1:32" s="3182" customFormat="1" ht="23.25" customHeight="1">
      <c r="A203" s="2790">
        <v>136</v>
      </c>
      <c r="B203" s="1513" t="s">
        <v>2313</v>
      </c>
      <c r="C203" s="1514" t="s">
        <v>2572</v>
      </c>
      <c r="D203" s="1514">
        <v>7</v>
      </c>
      <c r="E203" s="1513">
        <v>17500000</v>
      </c>
      <c r="F203" s="1513">
        <f t="shared" si="17"/>
        <v>3150000</v>
      </c>
      <c r="G203" s="3184">
        <v>41705</v>
      </c>
      <c r="H203" s="3185">
        <v>0.18</v>
      </c>
      <c r="I203" s="1509">
        <v>12</v>
      </c>
      <c r="J203" s="1509">
        <v>12</v>
      </c>
      <c r="K203" s="1509">
        <v>1458300</v>
      </c>
      <c r="L203" s="1513">
        <f t="shared" si="35"/>
        <v>262500</v>
      </c>
      <c r="M203" s="2171">
        <f t="shared" si="18"/>
        <v>17500000</v>
      </c>
      <c r="N203" s="2171">
        <f>IF(J203&lt;I203,J203*L203,IF(J203&gt;=I203,F203))-2*L203</f>
        <v>2625000</v>
      </c>
      <c r="O203" s="2171">
        <f>18375000-875000</f>
        <v>17500000</v>
      </c>
      <c r="P203" s="2171">
        <v>2625000</v>
      </c>
      <c r="Q203" s="2171"/>
      <c r="R203" s="2708"/>
      <c r="S203" s="2708"/>
      <c r="T203" s="3204"/>
      <c r="U203" s="3205">
        <f t="shared" si="20"/>
        <v>17500000</v>
      </c>
      <c r="V203" s="2176">
        <f t="shared" si="21"/>
        <v>2625000</v>
      </c>
      <c r="W203" s="2176">
        <f t="shared" si="22"/>
        <v>0</v>
      </c>
      <c r="X203" s="2176">
        <f t="shared" si="23"/>
        <v>0</v>
      </c>
      <c r="Y203" s="2176">
        <f t="shared" si="24"/>
        <v>100</v>
      </c>
      <c r="Z203" s="2176">
        <f t="shared" si="25"/>
        <v>0</v>
      </c>
      <c r="AA203" s="3178">
        <f t="shared" si="26"/>
        <v>0</v>
      </c>
      <c r="AB203" s="2927"/>
      <c r="AC203" s="3179">
        <f t="shared" si="37"/>
        <v>0</v>
      </c>
      <c r="AD203" s="3180">
        <f t="shared" si="38"/>
        <v>0</v>
      </c>
      <c r="AE203" s="3180"/>
      <c r="AF203" s="3181"/>
    </row>
    <row r="204" spans="1:32" s="3182" customFormat="1" ht="23.25" customHeight="1">
      <c r="A204" s="2790">
        <v>137</v>
      </c>
      <c r="B204" s="1513" t="s">
        <v>2132</v>
      </c>
      <c r="C204" s="1514" t="s">
        <v>2563</v>
      </c>
      <c r="D204" s="1514">
        <v>10</v>
      </c>
      <c r="E204" s="1513">
        <v>14000000</v>
      </c>
      <c r="F204" s="1513">
        <f t="shared" si="17"/>
        <v>2520000</v>
      </c>
      <c r="G204" s="3184">
        <v>41863</v>
      </c>
      <c r="H204" s="3185">
        <v>0.18</v>
      </c>
      <c r="I204" s="1509">
        <v>12</v>
      </c>
      <c r="J204" s="1509">
        <v>12</v>
      </c>
      <c r="K204" s="1509">
        <v>1166700</v>
      </c>
      <c r="L204" s="1513">
        <f t="shared" si="35"/>
        <v>210000</v>
      </c>
      <c r="M204" s="2171">
        <f t="shared" si="18"/>
        <v>14000000</v>
      </c>
      <c r="N204" s="2171">
        <f t="shared" si="43"/>
        <v>2310000</v>
      </c>
      <c r="O204" s="2171">
        <v>14000000</v>
      </c>
      <c r="P204" s="2171">
        <v>2310000</v>
      </c>
      <c r="Q204" s="2171"/>
      <c r="R204" s="2708"/>
      <c r="S204" s="2708"/>
      <c r="T204" s="3204"/>
      <c r="U204" s="3205">
        <f t="shared" si="20"/>
        <v>14000000</v>
      </c>
      <c r="V204" s="2176">
        <f t="shared" si="21"/>
        <v>2310000</v>
      </c>
      <c r="W204" s="2176">
        <f t="shared" si="22"/>
        <v>0</v>
      </c>
      <c r="X204" s="2176">
        <f t="shared" si="23"/>
        <v>0</v>
      </c>
      <c r="Y204" s="2176">
        <f t="shared" si="24"/>
        <v>100</v>
      </c>
      <c r="Z204" s="2176">
        <f t="shared" si="25"/>
        <v>0</v>
      </c>
      <c r="AA204" s="3178">
        <f t="shared" si="26"/>
        <v>0</v>
      </c>
      <c r="AB204" s="2927"/>
      <c r="AC204" s="3179">
        <f t="shared" si="37"/>
        <v>0</v>
      </c>
      <c r="AD204" s="3180">
        <f t="shared" si="38"/>
        <v>0</v>
      </c>
      <c r="AE204" s="3180"/>
      <c r="AF204" s="3181"/>
    </row>
    <row r="205" spans="1:32" s="1474" customFormat="1" ht="23.25" customHeight="1">
      <c r="A205" s="2790">
        <v>138</v>
      </c>
      <c r="B205" s="1513" t="s">
        <v>2250</v>
      </c>
      <c r="C205" s="1514" t="s">
        <v>2582</v>
      </c>
      <c r="D205" s="1514">
        <v>10</v>
      </c>
      <c r="E205" s="1513">
        <v>10000000</v>
      </c>
      <c r="F205" s="1512">
        <f t="shared" si="17"/>
        <v>1800000</v>
      </c>
      <c r="G205" s="2141">
        <v>41901</v>
      </c>
      <c r="H205" s="1511">
        <v>0.18</v>
      </c>
      <c r="I205" s="1508">
        <v>12</v>
      </c>
      <c r="J205" s="1508">
        <v>12</v>
      </c>
      <c r="K205" s="1508">
        <v>833300</v>
      </c>
      <c r="L205" s="1513">
        <f t="shared" si="35"/>
        <v>150000</v>
      </c>
      <c r="M205" s="2172">
        <f t="shared" si="18"/>
        <v>10000000</v>
      </c>
      <c r="N205" s="2172">
        <f t="shared" si="19"/>
        <v>1800000</v>
      </c>
      <c r="O205" s="2171">
        <v>7849700</v>
      </c>
      <c r="P205" s="2171">
        <v>1516700</v>
      </c>
      <c r="Q205" s="2171"/>
      <c r="R205" s="2708"/>
      <c r="S205" s="2708"/>
      <c r="T205" s="2393"/>
      <c r="U205" s="2174">
        <f t="shared" si="20"/>
        <v>7849700</v>
      </c>
      <c r="V205" s="1495">
        <f t="shared" si="21"/>
        <v>1516700</v>
      </c>
      <c r="W205" s="1495">
        <f t="shared" si="22"/>
        <v>0</v>
      </c>
      <c r="X205" s="1495">
        <f t="shared" si="23"/>
        <v>2150300</v>
      </c>
      <c r="Y205" s="1495">
        <f t="shared" si="24"/>
        <v>78.497</v>
      </c>
      <c r="Z205" s="1495">
        <f t="shared" si="25"/>
        <v>2150300</v>
      </c>
      <c r="AA205" s="1506">
        <f t="shared" si="26"/>
        <v>283300</v>
      </c>
      <c r="AB205" s="2927">
        <v>2</v>
      </c>
      <c r="AC205" s="1504">
        <f t="shared" si="37"/>
        <v>2150300</v>
      </c>
      <c r="AD205" s="1503">
        <f t="shared" si="38"/>
        <v>0</v>
      </c>
      <c r="AE205" s="1503"/>
      <c r="AF205" s="1502"/>
    </row>
    <row r="206" spans="1:32" s="1474" customFormat="1" ht="23.25" customHeight="1">
      <c r="A206" s="2790">
        <v>139</v>
      </c>
      <c r="B206" s="1513" t="s">
        <v>2466</v>
      </c>
      <c r="C206" s="1514" t="s">
        <v>2582</v>
      </c>
      <c r="D206" s="1514">
        <v>10</v>
      </c>
      <c r="E206" s="1513">
        <v>12000000</v>
      </c>
      <c r="F206" s="1512">
        <f t="shared" si="17"/>
        <v>2160000</v>
      </c>
      <c r="G206" s="2141">
        <v>41901</v>
      </c>
      <c r="H206" s="1511">
        <v>0.18</v>
      </c>
      <c r="I206" s="1508">
        <v>12</v>
      </c>
      <c r="J206" s="1508">
        <v>12</v>
      </c>
      <c r="K206" s="1508">
        <f>E206/I206</f>
        <v>1000000</v>
      </c>
      <c r="L206" s="1513">
        <f t="shared" si="35"/>
        <v>180000</v>
      </c>
      <c r="M206" s="2172">
        <f t="shared" si="18"/>
        <v>12000000</v>
      </c>
      <c r="N206" s="2172">
        <f t="shared" si="19"/>
        <v>2160000</v>
      </c>
      <c r="O206" s="2171">
        <v>12000000</v>
      </c>
      <c r="P206" s="2171">
        <v>2160000</v>
      </c>
      <c r="Q206" s="2171"/>
      <c r="R206" s="2708"/>
      <c r="S206" s="2708"/>
      <c r="T206" s="2393"/>
      <c r="U206" s="2174">
        <f t="shared" si="20"/>
        <v>12000000</v>
      </c>
      <c r="V206" s="1495">
        <f t="shared" si="21"/>
        <v>2160000</v>
      </c>
      <c r="W206" s="1495">
        <f t="shared" si="22"/>
        <v>0</v>
      </c>
      <c r="X206" s="1495">
        <f t="shared" si="23"/>
        <v>0</v>
      </c>
      <c r="Y206" s="1495">
        <f t="shared" si="24"/>
        <v>100</v>
      </c>
      <c r="Z206" s="1495">
        <f t="shared" si="25"/>
        <v>0</v>
      </c>
      <c r="AA206" s="1506">
        <f t="shared" si="26"/>
        <v>0</v>
      </c>
      <c r="AB206" s="2927"/>
      <c r="AC206" s="1504">
        <f t="shared" si="37"/>
        <v>0</v>
      </c>
      <c r="AD206" s="1503">
        <f t="shared" si="38"/>
        <v>0</v>
      </c>
      <c r="AE206" s="1503"/>
      <c r="AF206" s="1502"/>
    </row>
    <row r="207" spans="1:32" s="1474" customFormat="1" ht="23.25" customHeight="1">
      <c r="A207" s="2790">
        <v>140</v>
      </c>
      <c r="B207" s="1513" t="s">
        <v>2315</v>
      </c>
      <c r="C207" s="1514" t="s">
        <v>2582</v>
      </c>
      <c r="D207" s="1514">
        <v>10</v>
      </c>
      <c r="E207" s="1513">
        <v>14000000</v>
      </c>
      <c r="F207" s="1512">
        <f t="shared" si="17"/>
        <v>2520000</v>
      </c>
      <c r="G207" s="2141">
        <v>41901</v>
      </c>
      <c r="H207" s="1511">
        <v>0.18</v>
      </c>
      <c r="I207" s="1508">
        <v>12</v>
      </c>
      <c r="J207" s="1508">
        <v>12</v>
      </c>
      <c r="K207" s="1508">
        <v>1166700</v>
      </c>
      <c r="L207" s="1513">
        <f t="shared" si="35"/>
        <v>210000</v>
      </c>
      <c r="M207" s="2172">
        <f t="shared" si="18"/>
        <v>14000000</v>
      </c>
      <c r="N207" s="2172">
        <f t="shared" si="19"/>
        <v>2520000</v>
      </c>
      <c r="O207" s="2171">
        <v>4666800</v>
      </c>
      <c r="P207" s="2171">
        <v>840000</v>
      </c>
      <c r="Q207" s="2171"/>
      <c r="R207" s="2708"/>
      <c r="S207" s="2708"/>
      <c r="T207" s="2393"/>
      <c r="U207" s="2174">
        <f t="shared" si="20"/>
        <v>4666800</v>
      </c>
      <c r="V207" s="1495">
        <f t="shared" si="21"/>
        <v>840000</v>
      </c>
      <c r="W207" s="1495">
        <f t="shared" si="22"/>
        <v>0</v>
      </c>
      <c r="X207" s="1495">
        <f t="shared" si="23"/>
        <v>9333200</v>
      </c>
      <c r="Y207" s="1495">
        <f t="shared" si="24"/>
        <v>33.334285714285713</v>
      </c>
      <c r="Z207" s="1495">
        <f t="shared" si="25"/>
        <v>9333200</v>
      </c>
      <c r="AA207" s="1506">
        <f t="shared" si="26"/>
        <v>1680000</v>
      </c>
      <c r="AB207" s="2927">
        <v>2</v>
      </c>
      <c r="AC207" s="1504">
        <f t="shared" si="37"/>
        <v>9333200</v>
      </c>
      <c r="AD207" s="1503">
        <f t="shared" si="38"/>
        <v>0</v>
      </c>
      <c r="AE207" s="1503"/>
      <c r="AF207" s="1502"/>
    </row>
    <row r="208" spans="1:32" s="1474" customFormat="1" ht="23.25" customHeight="1">
      <c r="A208" s="2790">
        <v>141</v>
      </c>
      <c r="B208" s="1513" t="s">
        <v>2328</v>
      </c>
      <c r="C208" s="1514" t="s">
        <v>2582</v>
      </c>
      <c r="D208" s="1514">
        <v>10</v>
      </c>
      <c r="E208" s="1513">
        <v>15000000</v>
      </c>
      <c r="F208" s="1512">
        <f t="shared" si="17"/>
        <v>2700000</v>
      </c>
      <c r="G208" s="3175" t="s">
        <v>2586</v>
      </c>
      <c r="H208" s="1511">
        <v>0.18</v>
      </c>
      <c r="I208" s="1508">
        <v>12</v>
      </c>
      <c r="J208" s="1508">
        <v>12</v>
      </c>
      <c r="K208" s="1508">
        <f t="shared" ref="K208:K217" si="44">E208/I208</f>
        <v>1250000</v>
      </c>
      <c r="L208" s="1513">
        <f t="shared" si="35"/>
        <v>225000</v>
      </c>
      <c r="M208" s="2172">
        <f t="shared" si="18"/>
        <v>15000000</v>
      </c>
      <c r="N208" s="2172">
        <f t="shared" si="19"/>
        <v>2700000</v>
      </c>
      <c r="O208" s="2171">
        <v>12800000</v>
      </c>
      <c r="P208" s="2171">
        <v>2475000</v>
      </c>
      <c r="Q208" s="2171"/>
      <c r="R208" s="3010"/>
      <c r="S208" s="3010"/>
      <c r="T208" s="2393"/>
      <c r="U208" s="2174">
        <f t="shared" si="20"/>
        <v>12800000</v>
      </c>
      <c r="V208" s="1495">
        <f t="shared" si="21"/>
        <v>2475000</v>
      </c>
      <c r="W208" s="1495">
        <f t="shared" si="22"/>
        <v>0</v>
      </c>
      <c r="X208" s="1495">
        <f t="shared" si="23"/>
        <v>2200000</v>
      </c>
      <c r="Y208" s="1495">
        <f t="shared" si="24"/>
        <v>85.333333333333343</v>
      </c>
      <c r="Z208" s="1495">
        <f t="shared" si="25"/>
        <v>2200000</v>
      </c>
      <c r="AA208" s="1506">
        <f t="shared" si="26"/>
        <v>225000</v>
      </c>
      <c r="AB208" s="2927">
        <v>2</v>
      </c>
      <c r="AC208" s="1504">
        <f t="shared" si="37"/>
        <v>2200000</v>
      </c>
      <c r="AD208" s="1503">
        <f t="shared" si="38"/>
        <v>0</v>
      </c>
      <c r="AE208" s="1503"/>
      <c r="AF208" s="1502"/>
    </row>
    <row r="209" spans="1:32" s="1474" customFormat="1" ht="23.25" customHeight="1">
      <c r="A209" s="2790">
        <v>142</v>
      </c>
      <c r="B209" s="1513" t="s">
        <v>2585</v>
      </c>
      <c r="C209" s="1514" t="s">
        <v>2582</v>
      </c>
      <c r="D209" s="1514">
        <v>10</v>
      </c>
      <c r="E209" s="1513">
        <v>7000000</v>
      </c>
      <c r="F209" s="1512">
        <f t="shared" si="17"/>
        <v>1260000</v>
      </c>
      <c r="G209" s="3175" t="s">
        <v>2586</v>
      </c>
      <c r="H209" s="1511">
        <v>0.18</v>
      </c>
      <c r="I209" s="1508">
        <v>12</v>
      </c>
      <c r="J209" s="1508">
        <v>12</v>
      </c>
      <c r="K209" s="1508">
        <v>583300</v>
      </c>
      <c r="L209" s="1513">
        <f t="shared" ref="L209:L228" si="45">F209/I209</f>
        <v>105000</v>
      </c>
      <c r="M209" s="2172">
        <f t="shared" si="18"/>
        <v>7000000</v>
      </c>
      <c r="N209" s="2172">
        <f t="shared" si="19"/>
        <v>1260000</v>
      </c>
      <c r="O209" s="2171">
        <v>7000000</v>
      </c>
      <c r="P209" s="2171">
        <v>1260000</v>
      </c>
      <c r="Q209" s="2171"/>
      <c r="R209" s="2708"/>
      <c r="S209" s="2708"/>
      <c r="T209" s="2393"/>
      <c r="U209" s="2174">
        <f t="shared" si="20"/>
        <v>7000000</v>
      </c>
      <c r="V209" s="1495">
        <f t="shared" si="21"/>
        <v>1260000</v>
      </c>
      <c r="W209" s="1495">
        <f t="shared" si="22"/>
        <v>0</v>
      </c>
      <c r="X209" s="1495">
        <f t="shared" si="23"/>
        <v>0</v>
      </c>
      <c r="Y209" s="1495">
        <f t="shared" si="24"/>
        <v>100</v>
      </c>
      <c r="Z209" s="1495">
        <f t="shared" si="25"/>
        <v>0</v>
      </c>
      <c r="AA209" s="1506">
        <f t="shared" si="26"/>
        <v>0</v>
      </c>
      <c r="AB209" s="2927"/>
      <c r="AC209" s="1504">
        <f t="shared" si="37"/>
        <v>0</v>
      </c>
      <c r="AD209" s="1503">
        <f t="shared" si="38"/>
        <v>0</v>
      </c>
      <c r="AE209" s="1503"/>
      <c r="AF209" s="1502"/>
    </row>
    <row r="210" spans="1:32" s="1474" customFormat="1" ht="23.25" customHeight="1">
      <c r="A210" s="2790">
        <v>143</v>
      </c>
      <c r="B210" s="1513" t="s">
        <v>2114</v>
      </c>
      <c r="C210" s="1514" t="s">
        <v>2582</v>
      </c>
      <c r="D210" s="1514">
        <v>12</v>
      </c>
      <c r="E210" s="1513">
        <v>30000000</v>
      </c>
      <c r="F210" s="1512">
        <f t="shared" si="17"/>
        <v>5400000</v>
      </c>
      <c r="G210" s="3175" t="s">
        <v>2586</v>
      </c>
      <c r="H210" s="1511">
        <v>0.18</v>
      </c>
      <c r="I210" s="1508">
        <v>12</v>
      </c>
      <c r="J210" s="1508">
        <v>12</v>
      </c>
      <c r="K210" s="1508">
        <f t="shared" si="44"/>
        <v>2500000</v>
      </c>
      <c r="L210" s="1513">
        <f t="shared" si="45"/>
        <v>450000</v>
      </c>
      <c r="M210" s="2172">
        <f t="shared" si="18"/>
        <v>30000000</v>
      </c>
      <c r="N210" s="2172">
        <f>IF(J210&lt;I210,J210*L210,IF(J210&gt;=I210,F210))-1*L210</f>
        <v>4950000</v>
      </c>
      <c r="O210" s="2171">
        <v>30000000</v>
      </c>
      <c r="P210" s="2171">
        <v>4950000</v>
      </c>
      <c r="Q210" s="2171"/>
      <c r="R210" s="2708"/>
      <c r="S210" s="2708"/>
      <c r="T210" s="2393"/>
      <c r="U210" s="2174">
        <f t="shared" si="20"/>
        <v>30000000</v>
      </c>
      <c r="V210" s="1495">
        <f t="shared" si="21"/>
        <v>4950000</v>
      </c>
      <c r="W210" s="1495">
        <f t="shared" si="22"/>
        <v>0</v>
      </c>
      <c r="X210" s="1495">
        <f t="shared" si="23"/>
        <v>0</v>
      </c>
      <c r="Y210" s="1495">
        <f t="shared" si="24"/>
        <v>100</v>
      </c>
      <c r="Z210" s="1495">
        <f t="shared" si="25"/>
        <v>0</v>
      </c>
      <c r="AA210" s="1506">
        <f t="shared" si="26"/>
        <v>0</v>
      </c>
      <c r="AB210" s="2927"/>
      <c r="AC210" s="1504">
        <f t="shared" si="37"/>
        <v>0</v>
      </c>
      <c r="AD210" s="1503">
        <f t="shared" si="38"/>
        <v>0</v>
      </c>
      <c r="AE210" s="1503"/>
      <c r="AF210" s="1502"/>
    </row>
    <row r="211" spans="1:32" s="1474" customFormat="1" ht="23.25" customHeight="1">
      <c r="A211" s="2790">
        <v>144</v>
      </c>
      <c r="B211" s="1513" t="s">
        <v>2105</v>
      </c>
      <c r="C211" s="1514" t="s">
        <v>2582</v>
      </c>
      <c r="D211" s="1514">
        <v>12</v>
      </c>
      <c r="E211" s="1513">
        <v>25000000</v>
      </c>
      <c r="F211" s="1512">
        <f t="shared" si="17"/>
        <v>4500000</v>
      </c>
      <c r="G211" s="3175">
        <v>41923</v>
      </c>
      <c r="H211" s="1511">
        <v>0.18</v>
      </c>
      <c r="I211" s="1508">
        <v>12</v>
      </c>
      <c r="J211" s="1508">
        <v>12</v>
      </c>
      <c r="K211" s="1508">
        <v>2083300</v>
      </c>
      <c r="L211" s="1513">
        <f t="shared" si="45"/>
        <v>375000</v>
      </c>
      <c r="M211" s="2172">
        <f t="shared" si="18"/>
        <v>25000000</v>
      </c>
      <c r="N211" s="2172">
        <f t="shared" si="19"/>
        <v>4500000</v>
      </c>
      <c r="O211" s="2171">
        <v>25000000</v>
      </c>
      <c r="P211" s="2171">
        <v>4500000</v>
      </c>
      <c r="Q211" s="2171"/>
      <c r="R211" s="2708"/>
      <c r="S211" s="2708"/>
      <c r="T211" s="2393"/>
      <c r="U211" s="2174">
        <f t="shared" si="20"/>
        <v>25000000</v>
      </c>
      <c r="V211" s="1495">
        <f t="shared" si="21"/>
        <v>4500000</v>
      </c>
      <c r="W211" s="1495">
        <f t="shared" si="22"/>
        <v>0</v>
      </c>
      <c r="X211" s="1495">
        <f t="shared" si="23"/>
        <v>0</v>
      </c>
      <c r="Y211" s="1495">
        <f t="shared" si="24"/>
        <v>100</v>
      </c>
      <c r="Z211" s="1495">
        <f t="shared" si="25"/>
        <v>0</v>
      </c>
      <c r="AA211" s="1506">
        <f t="shared" si="26"/>
        <v>0</v>
      </c>
      <c r="AB211" s="2927"/>
      <c r="AC211" s="1504">
        <f t="shared" si="37"/>
        <v>0</v>
      </c>
      <c r="AD211" s="1503">
        <f t="shared" si="38"/>
        <v>0</v>
      </c>
      <c r="AE211" s="1503"/>
      <c r="AF211" s="1502"/>
    </row>
    <row r="212" spans="1:32" s="1474" customFormat="1" ht="23.25" customHeight="1">
      <c r="A212" s="2790">
        <v>145</v>
      </c>
      <c r="B212" s="1513" t="s">
        <v>2110</v>
      </c>
      <c r="C212" s="1514" t="s">
        <v>2582</v>
      </c>
      <c r="D212" s="1514">
        <v>10</v>
      </c>
      <c r="E212" s="1513">
        <v>15000000</v>
      </c>
      <c r="F212" s="1512">
        <f t="shared" si="17"/>
        <v>2700000</v>
      </c>
      <c r="G212" s="3175">
        <v>41923</v>
      </c>
      <c r="H212" s="1511">
        <v>0.18</v>
      </c>
      <c r="I212" s="1508">
        <v>12</v>
      </c>
      <c r="J212" s="1508">
        <v>12</v>
      </c>
      <c r="K212" s="1508">
        <f t="shared" si="44"/>
        <v>1250000</v>
      </c>
      <c r="L212" s="1513">
        <f t="shared" si="45"/>
        <v>225000</v>
      </c>
      <c r="M212" s="2172">
        <f t="shared" si="18"/>
        <v>15000000</v>
      </c>
      <c r="N212" s="2172">
        <f t="shared" si="19"/>
        <v>2700000</v>
      </c>
      <c r="O212" s="2171">
        <v>15000000</v>
      </c>
      <c r="P212" s="2171">
        <v>2700000</v>
      </c>
      <c r="Q212" s="2171"/>
      <c r="R212" s="2708"/>
      <c r="S212" s="2708"/>
      <c r="T212" s="2393"/>
      <c r="U212" s="2174">
        <f t="shared" si="20"/>
        <v>15000000</v>
      </c>
      <c r="V212" s="1495">
        <f t="shared" si="21"/>
        <v>2700000</v>
      </c>
      <c r="W212" s="1495">
        <f t="shared" si="22"/>
        <v>0</v>
      </c>
      <c r="X212" s="1495">
        <f t="shared" si="23"/>
        <v>0</v>
      </c>
      <c r="Y212" s="1495">
        <f t="shared" si="24"/>
        <v>100</v>
      </c>
      <c r="Z212" s="1495">
        <f t="shared" si="25"/>
        <v>0</v>
      </c>
      <c r="AA212" s="1506">
        <f t="shared" si="26"/>
        <v>0</v>
      </c>
      <c r="AB212" s="2927"/>
      <c r="AC212" s="1504">
        <f t="shared" si="37"/>
        <v>0</v>
      </c>
      <c r="AD212" s="1503">
        <f t="shared" si="38"/>
        <v>0</v>
      </c>
      <c r="AE212" s="1503"/>
      <c r="AF212" s="1502"/>
    </row>
    <row r="213" spans="1:32" s="1474" customFormat="1" ht="23.25" customHeight="1">
      <c r="A213" s="2790">
        <v>146</v>
      </c>
      <c r="B213" s="1513" t="s">
        <v>2099</v>
      </c>
      <c r="C213" s="1514" t="s">
        <v>2582</v>
      </c>
      <c r="D213" s="1514">
        <v>12</v>
      </c>
      <c r="E213" s="1513">
        <v>30000000</v>
      </c>
      <c r="F213" s="1512">
        <f t="shared" si="17"/>
        <v>5400000</v>
      </c>
      <c r="G213" s="3175" t="s">
        <v>2608</v>
      </c>
      <c r="H213" s="1511">
        <v>0.18</v>
      </c>
      <c r="I213" s="1508">
        <v>12</v>
      </c>
      <c r="J213" s="1508">
        <v>12</v>
      </c>
      <c r="K213" s="1508">
        <f t="shared" si="44"/>
        <v>2500000</v>
      </c>
      <c r="L213" s="1513">
        <f t="shared" si="45"/>
        <v>450000</v>
      </c>
      <c r="M213" s="2172">
        <f t="shared" si="18"/>
        <v>30000000</v>
      </c>
      <c r="N213" s="2172">
        <f t="shared" ref="N213:N218" si="46">IF(J213&lt;I213,J213*L213,IF(J213&gt;=I213,F213))-1*L213</f>
        <v>4950000</v>
      </c>
      <c r="O213" s="2171">
        <v>30000000</v>
      </c>
      <c r="P213" s="2171">
        <v>4950000</v>
      </c>
      <c r="Q213" s="2171"/>
      <c r="R213" s="2708"/>
      <c r="S213" s="2708"/>
      <c r="T213" s="2393"/>
      <c r="U213" s="2174">
        <f t="shared" si="20"/>
        <v>30000000</v>
      </c>
      <c r="V213" s="1495">
        <f t="shared" si="21"/>
        <v>4950000</v>
      </c>
      <c r="W213" s="1495">
        <f t="shared" si="22"/>
        <v>0</v>
      </c>
      <c r="X213" s="1495">
        <f t="shared" si="23"/>
        <v>0</v>
      </c>
      <c r="Y213" s="1495">
        <f t="shared" si="24"/>
        <v>100</v>
      </c>
      <c r="Z213" s="1495">
        <f t="shared" si="25"/>
        <v>0</v>
      </c>
      <c r="AA213" s="1506">
        <f t="shared" si="26"/>
        <v>0</v>
      </c>
      <c r="AB213" s="2927"/>
      <c r="AC213" s="1504">
        <f t="shared" si="37"/>
        <v>0</v>
      </c>
      <c r="AD213" s="1503">
        <f t="shared" si="38"/>
        <v>0</v>
      </c>
      <c r="AE213" s="1503"/>
      <c r="AF213" s="1502"/>
    </row>
    <row r="214" spans="1:32" s="1474" customFormat="1" ht="23.25" customHeight="1">
      <c r="A214" s="2790">
        <v>147</v>
      </c>
      <c r="B214" s="1513" t="s">
        <v>2607</v>
      </c>
      <c r="C214" s="1514" t="s">
        <v>2582</v>
      </c>
      <c r="D214" s="1514">
        <v>12</v>
      </c>
      <c r="E214" s="1513">
        <v>30000000</v>
      </c>
      <c r="F214" s="1512">
        <f t="shared" si="17"/>
        <v>5400000</v>
      </c>
      <c r="G214" s="3175" t="s">
        <v>2608</v>
      </c>
      <c r="H214" s="1511">
        <v>0.18</v>
      </c>
      <c r="I214" s="1508">
        <v>12</v>
      </c>
      <c r="J214" s="1508">
        <v>12</v>
      </c>
      <c r="K214" s="1508">
        <f t="shared" si="44"/>
        <v>2500000</v>
      </c>
      <c r="L214" s="1513">
        <f t="shared" si="45"/>
        <v>450000</v>
      </c>
      <c r="M214" s="2172">
        <f t="shared" si="18"/>
        <v>30000000</v>
      </c>
      <c r="N214" s="2172">
        <f t="shared" si="46"/>
        <v>4950000</v>
      </c>
      <c r="O214" s="2171">
        <v>30000000</v>
      </c>
      <c r="P214" s="2171">
        <v>4950000</v>
      </c>
      <c r="Q214" s="2171"/>
      <c r="R214" s="2708"/>
      <c r="S214" s="2708"/>
      <c r="T214" s="2393"/>
      <c r="U214" s="2174">
        <f t="shared" si="20"/>
        <v>30000000</v>
      </c>
      <c r="V214" s="1495">
        <f t="shared" si="21"/>
        <v>4950000</v>
      </c>
      <c r="W214" s="1495">
        <f t="shared" si="22"/>
        <v>0</v>
      </c>
      <c r="X214" s="1495">
        <f t="shared" si="23"/>
        <v>0</v>
      </c>
      <c r="Y214" s="1495">
        <f t="shared" si="24"/>
        <v>100</v>
      </c>
      <c r="Z214" s="1495">
        <f t="shared" si="25"/>
        <v>0</v>
      </c>
      <c r="AA214" s="1506">
        <f t="shared" si="26"/>
        <v>0</v>
      </c>
      <c r="AB214" s="2927"/>
      <c r="AC214" s="1504">
        <f t="shared" si="37"/>
        <v>0</v>
      </c>
      <c r="AD214" s="1503">
        <f t="shared" si="38"/>
        <v>0</v>
      </c>
      <c r="AE214" s="1503"/>
      <c r="AF214" s="1502"/>
    </row>
    <row r="215" spans="1:32" s="1474" customFormat="1" ht="23.25" customHeight="1">
      <c r="A215" s="3207">
        <v>148</v>
      </c>
      <c r="B215" s="1513" t="s">
        <v>1956</v>
      </c>
      <c r="C215" s="1514" t="s">
        <v>2615</v>
      </c>
      <c r="D215" s="1514">
        <v>10</v>
      </c>
      <c r="E215" s="1513">
        <v>10000000</v>
      </c>
      <c r="F215" s="1512">
        <f t="shared" si="17"/>
        <v>1800000</v>
      </c>
      <c r="G215" s="2141">
        <v>41991</v>
      </c>
      <c r="H215" s="1511">
        <v>0.18</v>
      </c>
      <c r="I215" s="1508">
        <v>12</v>
      </c>
      <c r="J215" s="1508">
        <v>12</v>
      </c>
      <c r="K215" s="1508">
        <v>833300</v>
      </c>
      <c r="L215" s="1513">
        <f t="shared" si="45"/>
        <v>150000</v>
      </c>
      <c r="M215" s="2172">
        <f t="shared" si="18"/>
        <v>10000000</v>
      </c>
      <c r="N215" s="2172">
        <f t="shared" si="46"/>
        <v>1650000</v>
      </c>
      <c r="O215" s="2171">
        <v>10000000</v>
      </c>
      <c r="P215" s="2171">
        <v>1650000</v>
      </c>
      <c r="Q215" s="2171"/>
      <c r="R215" s="2708"/>
      <c r="S215" s="2708"/>
      <c r="T215" s="2393"/>
      <c r="U215" s="2174">
        <f t="shared" si="20"/>
        <v>10000000</v>
      </c>
      <c r="V215" s="1495">
        <f t="shared" si="21"/>
        <v>1650000</v>
      </c>
      <c r="W215" s="1495">
        <f t="shared" si="22"/>
        <v>0</v>
      </c>
      <c r="X215" s="1495">
        <f t="shared" si="23"/>
        <v>0</v>
      </c>
      <c r="Y215" s="1495">
        <f t="shared" si="24"/>
        <v>100</v>
      </c>
      <c r="Z215" s="1495">
        <f t="shared" si="25"/>
        <v>0</v>
      </c>
      <c r="AA215" s="1506">
        <f t="shared" si="26"/>
        <v>0</v>
      </c>
      <c r="AB215" s="2927"/>
      <c r="AC215" s="1504">
        <f t="shared" si="37"/>
        <v>0</v>
      </c>
      <c r="AD215" s="1503">
        <f t="shared" si="38"/>
        <v>0</v>
      </c>
      <c r="AE215" s="1503"/>
      <c r="AF215" s="1502"/>
    </row>
    <row r="216" spans="1:32" s="1474" customFormat="1" ht="23.25" customHeight="1">
      <c r="A216" s="3207">
        <v>149</v>
      </c>
      <c r="B216" s="1513" t="s">
        <v>2115</v>
      </c>
      <c r="C216" s="1514" t="s">
        <v>2615</v>
      </c>
      <c r="D216" s="1514">
        <v>10</v>
      </c>
      <c r="E216" s="1513">
        <v>35000000</v>
      </c>
      <c r="F216" s="1512">
        <f t="shared" si="17"/>
        <v>6300000</v>
      </c>
      <c r="G216" s="2141">
        <v>42048</v>
      </c>
      <c r="H216" s="1511">
        <v>0.18</v>
      </c>
      <c r="I216" s="1508">
        <v>12</v>
      </c>
      <c r="J216" s="1508">
        <v>12</v>
      </c>
      <c r="K216" s="1508">
        <v>2916700</v>
      </c>
      <c r="L216" s="1513">
        <f t="shared" si="45"/>
        <v>525000</v>
      </c>
      <c r="M216" s="2172">
        <f t="shared" si="18"/>
        <v>35000000</v>
      </c>
      <c r="N216" s="2172">
        <f t="shared" si="46"/>
        <v>5775000</v>
      </c>
      <c r="O216" s="2171">
        <v>35000000</v>
      </c>
      <c r="P216" s="2171">
        <v>5775000</v>
      </c>
      <c r="Q216" s="2171"/>
      <c r="R216" s="2708"/>
      <c r="S216" s="2708"/>
      <c r="T216" s="2393"/>
      <c r="U216" s="2174">
        <f t="shared" si="20"/>
        <v>35000000</v>
      </c>
      <c r="V216" s="1495">
        <f t="shared" si="21"/>
        <v>5775000</v>
      </c>
      <c r="W216" s="1495">
        <f t="shared" si="22"/>
        <v>0</v>
      </c>
      <c r="X216" s="1495">
        <f t="shared" si="23"/>
        <v>0</v>
      </c>
      <c r="Y216" s="1495">
        <f t="shared" si="24"/>
        <v>100</v>
      </c>
      <c r="Z216" s="1495">
        <f t="shared" si="25"/>
        <v>0</v>
      </c>
      <c r="AA216" s="1506">
        <f t="shared" si="26"/>
        <v>0</v>
      </c>
      <c r="AB216" s="2927"/>
      <c r="AC216" s="1504">
        <f t="shared" si="37"/>
        <v>0</v>
      </c>
      <c r="AD216" s="1503">
        <f t="shared" si="38"/>
        <v>0</v>
      </c>
      <c r="AE216" s="1503"/>
      <c r="AF216" s="1502"/>
    </row>
    <row r="217" spans="1:32" s="1474" customFormat="1" ht="23.25" customHeight="1">
      <c r="A217" s="3207">
        <v>150</v>
      </c>
      <c r="B217" s="1513" t="s">
        <v>2126</v>
      </c>
      <c r="C217" s="1514" t="s">
        <v>2615</v>
      </c>
      <c r="D217" s="1514">
        <v>10</v>
      </c>
      <c r="E217" s="1513">
        <v>30000000</v>
      </c>
      <c r="F217" s="1512">
        <f t="shared" si="17"/>
        <v>5400000</v>
      </c>
      <c r="G217" s="2141">
        <v>42048</v>
      </c>
      <c r="H217" s="1511">
        <v>0.18</v>
      </c>
      <c r="I217" s="1508">
        <v>12</v>
      </c>
      <c r="J217" s="1508">
        <v>12</v>
      </c>
      <c r="K217" s="1508">
        <f t="shared" si="44"/>
        <v>2500000</v>
      </c>
      <c r="L217" s="1513">
        <f t="shared" si="45"/>
        <v>450000</v>
      </c>
      <c r="M217" s="2172">
        <f t="shared" si="18"/>
        <v>30000000</v>
      </c>
      <c r="N217" s="2172">
        <f t="shared" si="46"/>
        <v>4950000</v>
      </c>
      <c r="O217" s="2171">
        <v>30000000</v>
      </c>
      <c r="P217" s="2171">
        <v>4950000</v>
      </c>
      <c r="Q217" s="2171"/>
      <c r="R217" s="2708"/>
      <c r="S217" s="2708"/>
      <c r="T217" s="2393"/>
      <c r="U217" s="2174">
        <f t="shared" si="20"/>
        <v>30000000</v>
      </c>
      <c r="V217" s="1495">
        <f t="shared" si="21"/>
        <v>4950000</v>
      </c>
      <c r="W217" s="1495">
        <f t="shared" si="22"/>
        <v>0</v>
      </c>
      <c r="X217" s="1495">
        <f t="shared" si="23"/>
        <v>0</v>
      </c>
      <c r="Y217" s="1495">
        <f t="shared" si="24"/>
        <v>100</v>
      </c>
      <c r="Z217" s="1495">
        <f t="shared" si="25"/>
        <v>0</v>
      </c>
      <c r="AA217" s="1506">
        <f t="shared" si="26"/>
        <v>0</v>
      </c>
      <c r="AB217" s="2927"/>
      <c r="AC217" s="1504">
        <f t="shared" si="37"/>
        <v>0</v>
      </c>
      <c r="AD217" s="1503">
        <f t="shared" si="38"/>
        <v>0</v>
      </c>
      <c r="AE217" s="1503"/>
      <c r="AF217" s="1502"/>
    </row>
    <row r="218" spans="1:32" s="1474" customFormat="1" ht="23.25" customHeight="1">
      <c r="A218" s="3207">
        <v>151</v>
      </c>
      <c r="B218" s="1513" t="s">
        <v>2389</v>
      </c>
      <c r="C218" s="1514" t="s">
        <v>2615</v>
      </c>
      <c r="D218" s="1514">
        <v>10</v>
      </c>
      <c r="E218" s="1513">
        <v>25000000</v>
      </c>
      <c r="F218" s="1512">
        <f t="shared" si="17"/>
        <v>4500000</v>
      </c>
      <c r="G218" s="2141">
        <v>42048</v>
      </c>
      <c r="H218" s="1511">
        <v>0.18</v>
      </c>
      <c r="I218" s="1508">
        <v>12</v>
      </c>
      <c r="J218" s="1508">
        <v>12</v>
      </c>
      <c r="K218" s="1508">
        <v>2083300</v>
      </c>
      <c r="L218" s="1513">
        <f t="shared" si="45"/>
        <v>375000</v>
      </c>
      <c r="M218" s="2172">
        <f t="shared" si="18"/>
        <v>25000000</v>
      </c>
      <c r="N218" s="2172">
        <f t="shared" si="46"/>
        <v>4125000</v>
      </c>
      <c r="O218" s="2171">
        <v>25000000</v>
      </c>
      <c r="P218" s="2171">
        <v>4125000</v>
      </c>
      <c r="Q218" s="2171"/>
      <c r="R218" s="2708"/>
      <c r="S218" s="2708"/>
      <c r="T218" s="2393"/>
      <c r="U218" s="2174">
        <f t="shared" si="20"/>
        <v>25000000</v>
      </c>
      <c r="V218" s="1495">
        <f t="shared" si="21"/>
        <v>4125000</v>
      </c>
      <c r="W218" s="1495">
        <f t="shared" si="22"/>
        <v>0</v>
      </c>
      <c r="X218" s="1495">
        <f t="shared" si="23"/>
        <v>0</v>
      </c>
      <c r="Y218" s="1495">
        <f t="shared" si="24"/>
        <v>100</v>
      </c>
      <c r="Z218" s="1495">
        <f t="shared" si="25"/>
        <v>0</v>
      </c>
      <c r="AA218" s="1506">
        <f t="shared" si="26"/>
        <v>0</v>
      </c>
      <c r="AB218" s="2927"/>
      <c r="AC218" s="1504">
        <f t="shared" si="37"/>
        <v>0</v>
      </c>
      <c r="AD218" s="1503">
        <f t="shared" si="38"/>
        <v>0</v>
      </c>
      <c r="AE218" s="1503"/>
      <c r="AF218" s="1502"/>
    </row>
    <row r="219" spans="1:32" s="2849" customFormat="1" ht="23.25" customHeight="1">
      <c r="A219" s="3213">
        <v>152</v>
      </c>
      <c r="B219" s="2684" t="s">
        <v>2078</v>
      </c>
      <c r="C219" s="2685" t="s">
        <v>2615</v>
      </c>
      <c r="D219" s="2685">
        <v>12</v>
      </c>
      <c r="E219" s="2684">
        <v>26000000</v>
      </c>
      <c r="F219" s="2684">
        <f t="shared" si="17"/>
        <v>4680000</v>
      </c>
      <c r="G219" s="2686">
        <v>42080</v>
      </c>
      <c r="H219" s="2687">
        <v>0.18</v>
      </c>
      <c r="I219" s="2688">
        <v>12</v>
      </c>
      <c r="J219" s="2688">
        <v>11</v>
      </c>
      <c r="K219" s="2688">
        <v>2166700</v>
      </c>
      <c r="L219" s="2684">
        <f t="shared" si="45"/>
        <v>390000</v>
      </c>
      <c r="M219" s="2710">
        <f t="shared" si="18"/>
        <v>23833700</v>
      </c>
      <c r="N219" s="2710">
        <f t="shared" si="19"/>
        <v>4290000</v>
      </c>
      <c r="O219" s="2710">
        <v>12443400</v>
      </c>
      <c r="P219" s="2710">
        <v>2340000</v>
      </c>
      <c r="Q219" s="2710"/>
      <c r="R219" s="2852"/>
      <c r="S219" s="2852"/>
      <c r="T219" s="2826"/>
      <c r="U219" s="2827">
        <f t="shared" si="20"/>
        <v>12443400</v>
      </c>
      <c r="V219" s="2689">
        <f t="shared" si="21"/>
        <v>2340000</v>
      </c>
      <c r="W219" s="2689">
        <f t="shared" si="22"/>
        <v>0</v>
      </c>
      <c r="X219" s="2689">
        <f t="shared" si="23"/>
        <v>13556600</v>
      </c>
      <c r="Y219" s="2689">
        <f t="shared" si="24"/>
        <v>52.209266710582071</v>
      </c>
      <c r="Z219" s="2689">
        <f t="shared" si="25"/>
        <v>11390300</v>
      </c>
      <c r="AA219" s="2828">
        <f t="shared" si="26"/>
        <v>1950000</v>
      </c>
      <c r="AB219" s="3212">
        <v>2</v>
      </c>
      <c r="AC219" s="2846">
        <f t="shared" si="37"/>
        <v>13556600</v>
      </c>
      <c r="AD219" s="2847">
        <f t="shared" si="38"/>
        <v>0</v>
      </c>
      <c r="AE219" s="2847"/>
      <c r="AF219" s="2848"/>
    </row>
    <row r="220" spans="1:32" s="1474" customFormat="1" ht="23.25" customHeight="1">
      <c r="A220" s="3207">
        <v>153</v>
      </c>
      <c r="B220" s="1513" t="s">
        <v>2116</v>
      </c>
      <c r="C220" s="1514" t="s">
        <v>2615</v>
      </c>
      <c r="D220" s="1514">
        <v>12</v>
      </c>
      <c r="E220" s="1513">
        <v>35000000</v>
      </c>
      <c r="F220" s="1512">
        <f t="shared" si="17"/>
        <v>6300000</v>
      </c>
      <c r="G220" s="2141">
        <v>42080</v>
      </c>
      <c r="H220" s="1511">
        <v>0.18</v>
      </c>
      <c r="I220" s="1508">
        <v>12</v>
      </c>
      <c r="J220" s="1508">
        <v>12</v>
      </c>
      <c r="K220" s="1508">
        <v>2916700</v>
      </c>
      <c r="L220" s="1513">
        <f t="shared" si="45"/>
        <v>525000</v>
      </c>
      <c r="M220" s="2172">
        <f t="shared" si="18"/>
        <v>35000000</v>
      </c>
      <c r="N220" s="2172">
        <f>IF(J220&lt;I220,J220*L220,IF(J220&gt;=I220,F220))*1-L220</f>
        <v>5775000</v>
      </c>
      <c r="O220" s="2171">
        <v>29167000</v>
      </c>
      <c r="P220" s="2171">
        <v>5250000</v>
      </c>
      <c r="Q220" s="2171"/>
      <c r="R220" s="3010">
        <f>2916700+2916300</f>
        <v>5833000</v>
      </c>
      <c r="S220" s="3010">
        <v>525000</v>
      </c>
      <c r="T220" s="2393"/>
      <c r="U220" s="2174">
        <f t="shared" si="20"/>
        <v>35000000</v>
      </c>
      <c r="V220" s="1495">
        <f t="shared" si="21"/>
        <v>5775000</v>
      </c>
      <c r="W220" s="1495">
        <f t="shared" si="22"/>
        <v>0</v>
      </c>
      <c r="X220" s="1495">
        <f t="shared" si="23"/>
        <v>0</v>
      </c>
      <c r="Y220" s="1495">
        <f t="shared" si="24"/>
        <v>100</v>
      </c>
      <c r="Z220" s="1495">
        <f t="shared" si="25"/>
        <v>0</v>
      </c>
      <c r="AA220" s="1506">
        <f t="shared" si="26"/>
        <v>0</v>
      </c>
      <c r="AB220" s="2927"/>
      <c r="AC220" s="1504">
        <f t="shared" si="37"/>
        <v>0</v>
      </c>
      <c r="AD220" s="1503">
        <f t="shared" si="38"/>
        <v>0</v>
      </c>
      <c r="AE220" s="1503"/>
      <c r="AF220" s="1502"/>
    </row>
    <row r="221" spans="1:32" s="1474" customFormat="1" ht="23.25" customHeight="1">
      <c r="A221" s="2790">
        <v>154</v>
      </c>
      <c r="B221" s="1513" t="s">
        <v>2102</v>
      </c>
      <c r="C221" s="1514" t="s">
        <v>2615</v>
      </c>
      <c r="D221" s="1514">
        <v>12</v>
      </c>
      <c r="E221" s="1513">
        <v>25000000</v>
      </c>
      <c r="F221" s="1512">
        <f t="shared" si="17"/>
        <v>4500000</v>
      </c>
      <c r="G221" s="2141">
        <v>42082</v>
      </c>
      <c r="H221" s="1511">
        <v>0.18</v>
      </c>
      <c r="I221" s="1508">
        <v>12</v>
      </c>
      <c r="J221" s="1508">
        <v>11</v>
      </c>
      <c r="K221" s="1508">
        <v>2083300</v>
      </c>
      <c r="L221" s="1513">
        <f t="shared" si="45"/>
        <v>375000</v>
      </c>
      <c r="M221" s="2172">
        <f t="shared" si="18"/>
        <v>22916300</v>
      </c>
      <c r="N221" s="2172">
        <f t="shared" si="19"/>
        <v>4125000</v>
      </c>
      <c r="O221" s="2171">
        <v>17791400</v>
      </c>
      <c r="P221" s="2171">
        <v>3375000</v>
      </c>
      <c r="Q221" s="2171"/>
      <c r="R221" s="3010"/>
      <c r="S221" s="3010"/>
      <c r="T221" s="2393"/>
      <c r="U221" s="2174">
        <f t="shared" si="20"/>
        <v>17791400</v>
      </c>
      <c r="V221" s="1495">
        <f t="shared" si="21"/>
        <v>3375000</v>
      </c>
      <c r="W221" s="1495">
        <f t="shared" si="22"/>
        <v>0</v>
      </c>
      <c r="X221" s="1495">
        <f t="shared" si="23"/>
        <v>7208600</v>
      </c>
      <c r="Y221" s="1495">
        <f t="shared" si="24"/>
        <v>77.636442183074934</v>
      </c>
      <c r="Z221" s="1495">
        <f t="shared" si="25"/>
        <v>5124900</v>
      </c>
      <c r="AA221" s="1506">
        <f t="shared" si="26"/>
        <v>750000</v>
      </c>
      <c r="AB221" s="2927">
        <v>2</v>
      </c>
      <c r="AC221" s="1504">
        <f t="shared" si="37"/>
        <v>7208600</v>
      </c>
      <c r="AD221" s="1503">
        <f t="shared" si="38"/>
        <v>0</v>
      </c>
      <c r="AE221" s="1503"/>
      <c r="AF221" s="1502"/>
    </row>
    <row r="222" spans="1:32" s="1474" customFormat="1" ht="23.25" customHeight="1">
      <c r="A222" s="2790">
        <v>155</v>
      </c>
      <c r="B222" s="1513" t="s">
        <v>2118</v>
      </c>
      <c r="C222" s="1514" t="s">
        <v>2615</v>
      </c>
      <c r="D222" s="1514">
        <v>12</v>
      </c>
      <c r="E222" s="1513">
        <v>25000000</v>
      </c>
      <c r="F222" s="1512">
        <f t="shared" si="17"/>
        <v>4500000</v>
      </c>
      <c r="G222" s="2141">
        <v>42082</v>
      </c>
      <c r="H222" s="1511">
        <v>0.18</v>
      </c>
      <c r="I222" s="1508">
        <v>12</v>
      </c>
      <c r="J222" s="1508">
        <v>11</v>
      </c>
      <c r="K222" s="1508">
        <v>2083300</v>
      </c>
      <c r="L222" s="1513">
        <f t="shared" si="45"/>
        <v>375000</v>
      </c>
      <c r="M222" s="2172">
        <f t="shared" si="18"/>
        <v>22916300</v>
      </c>
      <c r="N222" s="2172">
        <f t="shared" si="19"/>
        <v>4125000</v>
      </c>
      <c r="O222" s="2171">
        <v>20833000</v>
      </c>
      <c r="P222" s="2171">
        <v>3750000</v>
      </c>
      <c r="Q222" s="2171"/>
      <c r="R222" s="3010">
        <v>2083300</v>
      </c>
      <c r="S222" s="3010">
        <v>375000</v>
      </c>
      <c r="T222" s="2393"/>
      <c r="U222" s="2174">
        <f t="shared" si="20"/>
        <v>22916300</v>
      </c>
      <c r="V222" s="1495">
        <f t="shared" si="21"/>
        <v>4125000</v>
      </c>
      <c r="W222" s="1495">
        <f t="shared" si="22"/>
        <v>0</v>
      </c>
      <c r="X222" s="1495">
        <f t="shared" si="23"/>
        <v>2083700</v>
      </c>
      <c r="Y222" s="1495">
        <f t="shared" si="24"/>
        <v>100</v>
      </c>
      <c r="Z222" s="1495">
        <f t="shared" si="25"/>
        <v>0</v>
      </c>
      <c r="AA222" s="1506">
        <f t="shared" si="26"/>
        <v>0</v>
      </c>
      <c r="AB222" s="2927"/>
      <c r="AC222" s="1504">
        <f t="shared" si="37"/>
        <v>0</v>
      </c>
      <c r="AD222" s="1503">
        <f t="shared" si="38"/>
        <v>0</v>
      </c>
      <c r="AE222" s="1503"/>
      <c r="AF222" s="1502"/>
    </row>
    <row r="223" spans="1:32" s="1474" customFormat="1" ht="23.25" customHeight="1">
      <c r="A223" s="2790">
        <v>156</v>
      </c>
      <c r="B223" s="1513" t="s">
        <v>2119</v>
      </c>
      <c r="C223" s="1514" t="s">
        <v>2615</v>
      </c>
      <c r="D223" s="1514">
        <v>12</v>
      </c>
      <c r="E223" s="1513">
        <v>21000000</v>
      </c>
      <c r="F223" s="1512">
        <f t="shared" si="17"/>
        <v>3780000</v>
      </c>
      <c r="G223" s="2141">
        <v>42138</v>
      </c>
      <c r="H223" s="1511">
        <v>0.18</v>
      </c>
      <c r="I223" s="1508">
        <v>12</v>
      </c>
      <c r="J223" s="1508">
        <v>9</v>
      </c>
      <c r="K223" s="1508">
        <f>E223/I223</f>
        <v>1750000</v>
      </c>
      <c r="L223" s="1513">
        <f t="shared" si="45"/>
        <v>315000</v>
      </c>
      <c r="M223" s="2172">
        <f t="shared" si="18"/>
        <v>15750000</v>
      </c>
      <c r="N223" s="2172">
        <f t="shared" si="19"/>
        <v>2835000</v>
      </c>
      <c r="O223" s="2171">
        <v>12250000</v>
      </c>
      <c r="P223" s="2171">
        <v>2205000</v>
      </c>
      <c r="Q223" s="2171"/>
      <c r="R223" s="3010">
        <v>1750000</v>
      </c>
      <c r="S223" s="3010">
        <v>315000</v>
      </c>
      <c r="T223" s="2393"/>
      <c r="U223" s="2174">
        <f t="shared" si="20"/>
        <v>14000000</v>
      </c>
      <c r="V223" s="1495">
        <f t="shared" si="21"/>
        <v>2520000</v>
      </c>
      <c r="W223" s="1495">
        <f t="shared" si="22"/>
        <v>0</v>
      </c>
      <c r="X223" s="1495">
        <f t="shared" si="23"/>
        <v>7000000</v>
      </c>
      <c r="Y223" s="1495">
        <f t="shared" si="24"/>
        <v>88.888888888888886</v>
      </c>
      <c r="Z223" s="1495">
        <f t="shared" si="25"/>
        <v>1750000</v>
      </c>
      <c r="AA223" s="1506">
        <f t="shared" si="26"/>
        <v>315000</v>
      </c>
      <c r="AB223" s="2927"/>
      <c r="AC223" s="1504">
        <f t="shared" si="37"/>
        <v>0</v>
      </c>
      <c r="AD223" s="1503">
        <f t="shared" si="38"/>
        <v>0</v>
      </c>
      <c r="AE223" s="1503"/>
      <c r="AF223" s="1502"/>
    </row>
    <row r="224" spans="1:32" s="1474" customFormat="1" ht="23.25" customHeight="1">
      <c r="A224" s="2790">
        <v>157</v>
      </c>
      <c r="B224" s="1513" t="s">
        <v>2666</v>
      </c>
      <c r="C224" s="1514" t="s">
        <v>2615</v>
      </c>
      <c r="D224" s="1514">
        <v>10</v>
      </c>
      <c r="E224" s="1513">
        <v>20000000</v>
      </c>
      <c r="F224" s="1512">
        <f t="shared" si="17"/>
        <v>3600000</v>
      </c>
      <c r="G224" s="2141">
        <v>42138</v>
      </c>
      <c r="H224" s="1511">
        <v>0.18</v>
      </c>
      <c r="I224" s="1508">
        <v>12</v>
      </c>
      <c r="J224" s="1508">
        <v>9</v>
      </c>
      <c r="K224" s="1508">
        <v>1666700</v>
      </c>
      <c r="L224" s="1513">
        <f t="shared" si="45"/>
        <v>300000</v>
      </c>
      <c r="M224" s="2172">
        <f t="shared" si="18"/>
        <v>15000300</v>
      </c>
      <c r="N224" s="2172">
        <f t="shared" si="19"/>
        <v>2700000</v>
      </c>
      <c r="O224" s="2171">
        <v>8783700</v>
      </c>
      <c r="P224" s="2171">
        <v>1800000</v>
      </c>
      <c r="Q224" s="2171"/>
      <c r="R224" s="3010"/>
      <c r="S224" s="3010"/>
      <c r="T224" s="2393"/>
      <c r="U224" s="2174">
        <f t="shared" si="20"/>
        <v>8783700</v>
      </c>
      <c r="V224" s="1495">
        <f t="shared" si="21"/>
        <v>1800000</v>
      </c>
      <c r="W224" s="1495">
        <f t="shared" si="22"/>
        <v>0</v>
      </c>
      <c r="X224" s="1495">
        <f t="shared" si="23"/>
        <v>11216300</v>
      </c>
      <c r="Y224" s="1495">
        <f t="shared" si="24"/>
        <v>58.55682886342273</v>
      </c>
      <c r="Z224" s="1495">
        <f t="shared" si="25"/>
        <v>6216600</v>
      </c>
      <c r="AA224" s="1506">
        <f t="shared" si="26"/>
        <v>900000</v>
      </c>
      <c r="AB224" s="2927">
        <v>2</v>
      </c>
      <c r="AC224" s="1504">
        <f t="shared" si="37"/>
        <v>11216300</v>
      </c>
      <c r="AD224" s="1503">
        <f t="shared" si="38"/>
        <v>0</v>
      </c>
      <c r="AE224" s="1503"/>
      <c r="AF224" s="1502"/>
    </row>
    <row r="225" spans="1:32" s="1474" customFormat="1" ht="23.25" customHeight="1">
      <c r="A225" s="2790">
        <v>158</v>
      </c>
      <c r="B225" s="1513" t="s">
        <v>2313</v>
      </c>
      <c r="C225" s="1514" t="s">
        <v>2658</v>
      </c>
      <c r="D225" s="1514">
        <v>10</v>
      </c>
      <c r="E225" s="1513">
        <v>22000000</v>
      </c>
      <c r="F225" s="1512">
        <f t="shared" si="17"/>
        <v>3960000</v>
      </c>
      <c r="G225" s="2141">
        <v>42145</v>
      </c>
      <c r="H225" s="1511">
        <v>0.18</v>
      </c>
      <c r="I225" s="1508">
        <v>12</v>
      </c>
      <c r="J225" s="1508">
        <v>9</v>
      </c>
      <c r="K225" s="1508">
        <v>1833300</v>
      </c>
      <c r="L225" s="1513">
        <f t="shared" si="45"/>
        <v>330000</v>
      </c>
      <c r="M225" s="2172">
        <f t="shared" si="18"/>
        <v>16499700</v>
      </c>
      <c r="N225" s="2172">
        <f t="shared" si="19"/>
        <v>2970000</v>
      </c>
      <c r="O225" s="2171">
        <v>14666400</v>
      </c>
      <c r="P225" s="2171">
        <v>2640000</v>
      </c>
      <c r="Q225" s="2171"/>
      <c r="R225" s="3010"/>
      <c r="S225" s="3010"/>
      <c r="T225" s="2393"/>
      <c r="U225" s="2174">
        <f t="shared" si="20"/>
        <v>14666400</v>
      </c>
      <c r="V225" s="1495">
        <f t="shared" si="21"/>
        <v>2640000</v>
      </c>
      <c r="W225" s="1495">
        <f t="shared" si="22"/>
        <v>0</v>
      </c>
      <c r="X225" s="1495">
        <f t="shared" si="23"/>
        <v>7333600</v>
      </c>
      <c r="Y225" s="1495">
        <f t="shared" si="24"/>
        <v>88.888888888888886</v>
      </c>
      <c r="Z225" s="1495">
        <f t="shared" si="25"/>
        <v>1833300</v>
      </c>
      <c r="AA225" s="1506">
        <f t="shared" si="26"/>
        <v>330000</v>
      </c>
      <c r="AB225" s="2927"/>
      <c r="AC225" s="1504">
        <f t="shared" si="37"/>
        <v>0</v>
      </c>
      <c r="AD225" s="1503">
        <f t="shared" si="38"/>
        <v>0</v>
      </c>
      <c r="AE225" s="1503"/>
      <c r="AF225" s="1502"/>
    </row>
    <row r="226" spans="1:32" s="1474" customFormat="1" ht="23.25" customHeight="1">
      <c r="A226" s="2790">
        <v>159</v>
      </c>
      <c r="B226" s="1513" t="s">
        <v>3</v>
      </c>
      <c r="C226" s="1514" t="s">
        <v>2658</v>
      </c>
      <c r="D226" s="1514">
        <v>10</v>
      </c>
      <c r="E226" s="1513">
        <v>28000000</v>
      </c>
      <c r="F226" s="1512">
        <f t="shared" si="17"/>
        <v>5040000</v>
      </c>
      <c r="G226" s="2141">
        <v>42344</v>
      </c>
      <c r="H226" s="1511">
        <v>0.18</v>
      </c>
      <c r="I226" s="1508">
        <v>12</v>
      </c>
      <c r="J226" s="1508">
        <v>8</v>
      </c>
      <c r="K226" s="1508">
        <v>2333300</v>
      </c>
      <c r="L226" s="1513">
        <f t="shared" si="45"/>
        <v>420000</v>
      </c>
      <c r="M226" s="2172">
        <f t="shared" si="18"/>
        <v>18666400</v>
      </c>
      <c r="N226" s="2172">
        <f t="shared" si="19"/>
        <v>3360000</v>
      </c>
      <c r="O226" s="2171">
        <v>16333100</v>
      </c>
      <c r="P226" s="2171">
        <v>2940000</v>
      </c>
      <c r="Q226" s="2171"/>
      <c r="R226" s="3010">
        <v>2333300</v>
      </c>
      <c r="S226" s="3010">
        <v>420000</v>
      </c>
      <c r="T226" s="2393"/>
      <c r="U226" s="2174">
        <f t="shared" si="20"/>
        <v>18666400</v>
      </c>
      <c r="V226" s="1495">
        <f t="shared" si="21"/>
        <v>3360000</v>
      </c>
      <c r="W226" s="1495">
        <f t="shared" si="22"/>
        <v>0</v>
      </c>
      <c r="X226" s="1495">
        <f t="shared" si="23"/>
        <v>9333600</v>
      </c>
      <c r="Y226" s="1495">
        <f t="shared" si="24"/>
        <v>100</v>
      </c>
      <c r="Z226" s="1495">
        <f t="shared" si="25"/>
        <v>0</v>
      </c>
      <c r="AA226" s="1506">
        <f t="shared" si="26"/>
        <v>0</v>
      </c>
      <c r="AB226" s="2927"/>
      <c r="AC226" s="1504">
        <f t="shared" si="37"/>
        <v>0</v>
      </c>
      <c r="AD226" s="1503">
        <f t="shared" si="38"/>
        <v>0</v>
      </c>
      <c r="AE226" s="1503"/>
      <c r="AF226" s="1502"/>
    </row>
    <row r="227" spans="1:32" s="1474" customFormat="1" ht="23.25" customHeight="1">
      <c r="A227" s="2790">
        <v>160</v>
      </c>
      <c r="B227" s="1513" t="s">
        <v>2120</v>
      </c>
      <c r="C227" s="1514" t="s">
        <v>2658</v>
      </c>
      <c r="D227" s="1514">
        <v>10</v>
      </c>
      <c r="E227" s="1513">
        <v>32000000</v>
      </c>
      <c r="F227" s="1512">
        <f t="shared" si="17"/>
        <v>5760000</v>
      </c>
      <c r="G227" s="2141">
        <v>42344</v>
      </c>
      <c r="H227" s="1511">
        <v>0.18</v>
      </c>
      <c r="I227" s="1508">
        <v>12</v>
      </c>
      <c r="J227" s="1508">
        <v>8</v>
      </c>
      <c r="K227" s="1508">
        <v>2666700</v>
      </c>
      <c r="L227" s="1513">
        <f t="shared" si="45"/>
        <v>480000</v>
      </c>
      <c r="M227" s="2172">
        <f t="shared" si="18"/>
        <v>21333600</v>
      </c>
      <c r="N227" s="2172">
        <f t="shared" si="19"/>
        <v>3840000</v>
      </c>
      <c r="O227" s="2171">
        <v>18666900</v>
      </c>
      <c r="P227" s="2171">
        <v>3360000</v>
      </c>
      <c r="Q227" s="2171"/>
      <c r="R227" s="3010">
        <v>2666700</v>
      </c>
      <c r="S227" s="3010">
        <v>480000</v>
      </c>
      <c r="T227" s="2393"/>
      <c r="U227" s="2174">
        <f t="shared" si="20"/>
        <v>21333600</v>
      </c>
      <c r="V227" s="1495">
        <f t="shared" si="21"/>
        <v>3840000</v>
      </c>
      <c r="W227" s="1495">
        <f t="shared" si="22"/>
        <v>0</v>
      </c>
      <c r="X227" s="1495">
        <f t="shared" si="23"/>
        <v>10666400</v>
      </c>
      <c r="Y227" s="1495">
        <f t="shared" si="24"/>
        <v>100</v>
      </c>
      <c r="Z227" s="1495">
        <f t="shared" si="25"/>
        <v>0</v>
      </c>
      <c r="AA227" s="1506">
        <f t="shared" si="26"/>
        <v>0</v>
      </c>
      <c r="AB227" s="2927"/>
      <c r="AC227" s="1504">
        <f t="shared" si="37"/>
        <v>0</v>
      </c>
      <c r="AD227" s="1503">
        <f t="shared" si="38"/>
        <v>0</v>
      </c>
      <c r="AE227" s="1503"/>
      <c r="AF227" s="1502"/>
    </row>
    <row r="228" spans="1:32" s="1474" customFormat="1" ht="23.25" customHeight="1">
      <c r="A228" s="2790">
        <v>161</v>
      </c>
      <c r="B228" s="1513" t="s">
        <v>2681</v>
      </c>
      <c r="C228" s="1514" t="s">
        <v>2670</v>
      </c>
      <c r="D228" s="1514">
        <v>10</v>
      </c>
      <c r="E228" s="1513">
        <v>14000000</v>
      </c>
      <c r="F228" s="1512">
        <f t="shared" si="17"/>
        <v>2520000</v>
      </c>
      <c r="G228" s="2141">
        <v>42011</v>
      </c>
      <c r="H228" s="1511">
        <v>0.18</v>
      </c>
      <c r="I228" s="1508">
        <v>12</v>
      </c>
      <c r="J228" s="1508">
        <v>7</v>
      </c>
      <c r="K228" s="1508">
        <f>ROUND(E228/I228,-2)</f>
        <v>1166700</v>
      </c>
      <c r="L228" s="1513">
        <f t="shared" si="45"/>
        <v>210000</v>
      </c>
      <c r="M228" s="2172">
        <f t="shared" si="18"/>
        <v>8166900</v>
      </c>
      <c r="N228" s="2172">
        <f t="shared" si="19"/>
        <v>1470000</v>
      </c>
      <c r="O228" s="2171">
        <v>7000200</v>
      </c>
      <c r="P228" s="2171">
        <v>1260000</v>
      </c>
      <c r="Q228" s="2171"/>
      <c r="R228" s="3010">
        <v>1166700</v>
      </c>
      <c r="S228" s="3010">
        <v>210000</v>
      </c>
      <c r="T228" s="2393"/>
      <c r="U228" s="2174">
        <f t="shared" si="20"/>
        <v>8166900</v>
      </c>
      <c r="V228" s="1495">
        <f t="shared" si="21"/>
        <v>1470000</v>
      </c>
      <c r="W228" s="1495">
        <f t="shared" si="22"/>
        <v>0</v>
      </c>
      <c r="X228" s="1495">
        <f t="shared" si="23"/>
        <v>5833100</v>
      </c>
      <c r="Y228" s="1495">
        <f t="shared" si="24"/>
        <v>100</v>
      </c>
      <c r="Z228" s="1495">
        <f t="shared" si="25"/>
        <v>0</v>
      </c>
      <c r="AA228" s="1506">
        <f t="shared" si="26"/>
        <v>0</v>
      </c>
      <c r="AB228" s="2927"/>
      <c r="AC228" s="1504">
        <f t="shared" si="37"/>
        <v>0</v>
      </c>
      <c r="AD228" s="1503">
        <f t="shared" si="38"/>
        <v>0</v>
      </c>
      <c r="AE228" s="1503"/>
      <c r="AF228" s="1502"/>
    </row>
    <row r="229" spans="1:32" s="1474" customFormat="1" ht="23.25" customHeight="1">
      <c r="A229" s="2790">
        <v>162</v>
      </c>
      <c r="B229" s="1513" t="s">
        <v>2282</v>
      </c>
      <c r="C229" s="1514" t="s">
        <v>2670</v>
      </c>
      <c r="D229" s="1514">
        <v>10</v>
      </c>
      <c r="E229" s="1513">
        <v>17500000</v>
      </c>
      <c r="F229" s="1512">
        <f t="shared" si="17"/>
        <v>3150000</v>
      </c>
      <c r="G229" s="2141">
        <v>42011</v>
      </c>
      <c r="H229" s="1511">
        <v>0.18</v>
      </c>
      <c r="I229" s="1508">
        <v>12</v>
      </c>
      <c r="J229" s="1508">
        <v>7</v>
      </c>
      <c r="K229" s="1508">
        <f t="shared" ref="K229:K234" si="47">ROUND(E229/I229,-2)</f>
        <v>1458300</v>
      </c>
      <c r="L229" s="1513">
        <f t="shared" ref="L229:L234" si="48">F229/I229</f>
        <v>262500</v>
      </c>
      <c r="M229" s="2172">
        <f t="shared" si="18"/>
        <v>10208100</v>
      </c>
      <c r="N229" s="2172">
        <f t="shared" si="19"/>
        <v>1837500</v>
      </c>
      <c r="O229" s="2171">
        <v>8717400</v>
      </c>
      <c r="P229" s="2171">
        <v>1575000</v>
      </c>
      <c r="Q229" s="2171"/>
      <c r="R229" s="3010">
        <f>32400+905100</f>
        <v>937500</v>
      </c>
      <c r="S229" s="3010">
        <v>262500</v>
      </c>
      <c r="T229" s="2393"/>
      <c r="U229" s="2174">
        <f t="shared" si="20"/>
        <v>9654900</v>
      </c>
      <c r="V229" s="1495">
        <f t="shared" si="21"/>
        <v>1837500</v>
      </c>
      <c r="W229" s="1495">
        <f t="shared" si="22"/>
        <v>0</v>
      </c>
      <c r="X229" s="1495">
        <f t="shared" si="23"/>
        <v>7845100</v>
      </c>
      <c r="Y229" s="1495">
        <f t="shared" si="24"/>
        <v>94.580774091162894</v>
      </c>
      <c r="Z229" s="1495">
        <f t="shared" si="25"/>
        <v>553200</v>
      </c>
      <c r="AA229" s="1506">
        <f t="shared" si="26"/>
        <v>0</v>
      </c>
      <c r="AB229" s="2927">
        <v>2</v>
      </c>
      <c r="AC229" s="1504">
        <f t="shared" si="37"/>
        <v>7845100</v>
      </c>
      <c r="AD229" s="1503">
        <f t="shared" si="38"/>
        <v>0</v>
      </c>
      <c r="AE229" s="1503"/>
      <c r="AF229" s="1502"/>
    </row>
    <row r="230" spans="1:32" s="1474" customFormat="1" ht="23.25" customHeight="1">
      <c r="A230" s="2790">
        <v>163</v>
      </c>
      <c r="B230" s="1513" t="s">
        <v>2058</v>
      </c>
      <c r="C230" s="1514" t="s">
        <v>2670</v>
      </c>
      <c r="D230" s="1514">
        <v>10</v>
      </c>
      <c r="E230" s="1513">
        <v>14000000</v>
      </c>
      <c r="F230" s="1512">
        <f t="shared" si="17"/>
        <v>2520000</v>
      </c>
      <c r="G230" s="2141">
        <v>42199</v>
      </c>
      <c r="H230" s="1511">
        <v>0.18</v>
      </c>
      <c r="I230" s="1508">
        <v>12</v>
      </c>
      <c r="J230" s="1508">
        <v>7</v>
      </c>
      <c r="K230" s="1508">
        <f t="shared" si="47"/>
        <v>1166700</v>
      </c>
      <c r="L230" s="1513">
        <f t="shared" si="48"/>
        <v>210000</v>
      </c>
      <c r="M230" s="2172">
        <f t="shared" si="18"/>
        <v>8166900</v>
      </c>
      <c r="N230" s="2172">
        <f t="shared" si="19"/>
        <v>1470000</v>
      </c>
      <c r="O230" s="2171">
        <v>7000200</v>
      </c>
      <c r="P230" s="2171">
        <v>1260000</v>
      </c>
      <c r="Q230" s="2171"/>
      <c r="R230" s="3010">
        <v>1166700</v>
      </c>
      <c r="S230" s="3010">
        <v>210000</v>
      </c>
      <c r="T230" s="2393"/>
      <c r="U230" s="2174">
        <f t="shared" si="20"/>
        <v>8166900</v>
      </c>
      <c r="V230" s="1495">
        <f t="shared" si="21"/>
        <v>1470000</v>
      </c>
      <c r="W230" s="1495">
        <f t="shared" si="22"/>
        <v>0</v>
      </c>
      <c r="X230" s="1495">
        <f t="shared" si="23"/>
        <v>5833100</v>
      </c>
      <c r="Y230" s="1495">
        <f t="shared" si="24"/>
        <v>100</v>
      </c>
      <c r="Z230" s="1495">
        <f t="shared" si="25"/>
        <v>0</v>
      </c>
      <c r="AA230" s="1506">
        <f t="shared" si="26"/>
        <v>0</v>
      </c>
      <c r="AB230" s="2927"/>
      <c r="AC230" s="1504">
        <f t="shared" si="37"/>
        <v>0</v>
      </c>
      <c r="AD230" s="1503">
        <f t="shared" si="38"/>
        <v>0</v>
      </c>
      <c r="AE230" s="1503"/>
      <c r="AF230" s="1502"/>
    </row>
    <row r="231" spans="1:32" s="1474" customFormat="1" ht="23.25" customHeight="1">
      <c r="A231" s="2790">
        <v>164</v>
      </c>
      <c r="B231" s="1513" t="s">
        <v>2422</v>
      </c>
      <c r="C231" s="1514" t="s">
        <v>2670</v>
      </c>
      <c r="D231" s="1514">
        <v>7</v>
      </c>
      <c r="E231" s="1513">
        <v>14000000</v>
      </c>
      <c r="F231" s="1512">
        <f t="shared" si="17"/>
        <v>2520000</v>
      </c>
      <c r="G231" s="2141">
        <v>42226</v>
      </c>
      <c r="H231" s="1511">
        <v>0.18</v>
      </c>
      <c r="I231" s="1508">
        <v>12</v>
      </c>
      <c r="J231" s="1508">
        <v>6</v>
      </c>
      <c r="K231" s="1508">
        <f t="shared" si="47"/>
        <v>1166700</v>
      </c>
      <c r="L231" s="1513">
        <f t="shared" si="48"/>
        <v>210000</v>
      </c>
      <c r="M231" s="2172">
        <f t="shared" si="18"/>
        <v>7000200</v>
      </c>
      <c r="N231" s="2172">
        <f t="shared" si="19"/>
        <v>1260000</v>
      </c>
      <c r="O231" s="2171">
        <v>5833500</v>
      </c>
      <c r="P231" s="2171">
        <v>1050000</v>
      </c>
      <c r="Q231" s="2171"/>
      <c r="R231" s="3010">
        <v>1166700</v>
      </c>
      <c r="S231" s="3010">
        <v>210000</v>
      </c>
      <c r="T231" s="2393"/>
      <c r="U231" s="2174">
        <f t="shared" si="20"/>
        <v>7000200</v>
      </c>
      <c r="V231" s="1495">
        <f t="shared" si="21"/>
        <v>1260000</v>
      </c>
      <c r="W231" s="1495">
        <f t="shared" si="22"/>
        <v>0</v>
      </c>
      <c r="X231" s="1495">
        <f t="shared" si="23"/>
        <v>6999800</v>
      </c>
      <c r="Y231" s="1495">
        <f t="shared" si="24"/>
        <v>100</v>
      </c>
      <c r="Z231" s="1495">
        <f t="shared" si="25"/>
        <v>0</v>
      </c>
      <c r="AA231" s="1506">
        <f t="shared" si="26"/>
        <v>0</v>
      </c>
      <c r="AB231" s="2927"/>
      <c r="AC231" s="1504">
        <f t="shared" si="37"/>
        <v>0</v>
      </c>
      <c r="AD231" s="1503">
        <f t="shared" si="38"/>
        <v>0</v>
      </c>
      <c r="AE231" s="1503"/>
      <c r="AF231" s="1502"/>
    </row>
    <row r="232" spans="1:32" s="1474" customFormat="1" ht="23.25" customHeight="1">
      <c r="A232" s="2790">
        <v>165</v>
      </c>
      <c r="B232" s="1513" t="s">
        <v>2696</v>
      </c>
      <c r="C232" s="1514" t="s">
        <v>2670</v>
      </c>
      <c r="D232" s="1514">
        <v>7</v>
      </c>
      <c r="E232" s="1513">
        <v>17500000</v>
      </c>
      <c r="F232" s="1512">
        <f t="shared" si="17"/>
        <v>3150000</v>
      </c>
      <c r="G232" s="2141">
        <v>42226</v>
      </c>
      <c r="H232" s="1511">
        <v>0.18</v>
      </c>
      <c r="I232" s="1508">
        <v>12</v>
      </c>
      <c r="J232" s="1508">
        <v>6</v>
      </c>
      <c r="K232" s="1508">
        <f t="shared" si="47"/>
        <v>1458300</v>
      </c>
      <c r="L232" s="1513">
        <f t="shared" si="48"/>
        <v>262500</v>
      </c>
      <c r="M232" s="2172">
        <f t="shared" ref="M232:M236" si="49">IF(J232&lt;I232,J232*K232,IF(J232&gt;=I232,E232))</f>
        <v>8749800</v>
      </c>
      <c r="N232" s="2172">
        <f t="shared" ref="N232:N236" si="50">IF(J232&lt;I232,J232*L232,IF(J232&gt;=I232,F232))</f>
        <v>1575000</v>
      </c>
      <c r="O232" s="2171">
        <v>7291500</v>
      </c>
      <c r="P232" s="2171">
        <v>1312500</v>
      </c>
      <c r="Q232" s="2171"/>
      <c r="R232" s="3010">
        <v>1458300</v>
      </c>
      <c r="S232" s="3010">
        <v>262500</v>
      </c>
      <c r="T232" s="2393"/>
      <c r="U232" s="2174">
        <f t="shared" ref="U232:U237" si="51">SUM(O232+R232)</f>
        <v>8749800</v>
      </c>
      <c r="V232" s="1495">
        <f t="shared" ref="V232:V237" si="52">SUM(P232+S232)</f>
        <v>1575000</v>
      </c>
      <c r="W232" s="1495">
        <f t="shared" ref="W232:W237" si="53">SUM(Q232+T232)</f>
        <v>0</v>
      </c>
      <c r="X232" s="1495">
        <f t="shared" ref="X232:X237" si="54">SUM(E232-U232)</f>
        <v>8750200</v>
      </c>
      <c r="Y232" s="1495">
        <f t="shared" ref="Y232:Y237" si="55">SUM(U232/M232)*100</f>
        <v>100</v>
      </c>
      <c r="Z232" s="1495">
        <f t="shared" ref="Z232:Z237" si="56">SUM(M232-U232)</f>
        <v>0</v>
      </c>
      <c r="AA232" s="1506">
        <f t="shared" ref="AA232:AA237" si="57">SUM(N232-V232)</f>
        <v>0</v>
      </c>
      <c r="AB232" s="2927"/>
      <c r="AC232" s="1504">
        <f t="shared" ref="AC232:AC236" si="58">IF(AND(AB232&gt;0,AB232&lt;=2),X232,0)</f>
        <v>0</v>
      </c>
      <c r="AD232" s="1503">
        <f t="shared" ref="AD232:AD236" si="59">IF(AND(AB232&gt;=3,AB232&lt;=4),X232,0)</f>
        <v>0</v>
      </c>
      <c r="AE232" s="1503"/>
      <c r="AF232" s="1502"/>
    </row>
    <row r="233" spans="1:32" s="1474" customFormat="1" ht="23.25" customHeight="1">
      <c r="A233" s="2790">
        <v>166</v>
      </c>
      <c r="B233" s="1513" t="s">
        <v>2697</v>
      </c>
      <c r="C233" s="1514" t="s">
        <v>2670</v>
      </c>
      <c r="D233" s="1514">
        <v>8</v>
      </c>
      <c r="E233" s="1513">
        <v>16000000</v>
      </c>
      <c r="F233" s="1512">
        <f t="shared" si="17"/>
        <v>2880000</v>
      </c>
      <c r="G233" s="2141">
        <v>42226</v>
      </c>
      <c r="H233" s="1511">
        <v>0.18</v>
      </c>
      <c r="I233" s="1508">
        <v>12</v>
      </c>
      <c r="J233" s="1508">
        <v>6</v>
      </c>
      <c r="K233" s="1508">
        <f t="shared" si="47"/>
        <v>1333300</v>
      </c>
      <c r="L233" s="1513">
        <f t="shared" si="48"/>
        <v>240000</v>
      </c>
      <c r="M233" s="2172">
        <f t="shared" si="49"/>
        <v>7999800</v>
      </c>
      <c r="N233" s="2172">
        <f t="shared" si="50"/>
        <v>1440000</v>
      </c>
      <c r="O233" s="2171">
        <v>6666500</v>
      </c>
      <c r="P233" s="2171">
        <v>1200000</v>
      </c>
      <c r="Q233" s="2171"/>
      <c r="R233" s="3010">
        <v>1333300</v>
      </c>
      <c r="S233" s="3010">
        <v>240000</v>
      </c>
      <c r="T233" s="2393"/>
      <c r="U233" s="2174">
        <f t="shared" si="51"/>
        <v>7999800</v>
      </c>
      <c r="V233" s="1495">
        <f t="shared" si="52"/>
        <v>1440000</v>
      </c>
      <c r="W233" s="1495">
        <f t="shared" si="53"/>
        <v>0</v>
      </c>
      <c r="X233" s="1495">
        <f t="shared" si="54"/>
        <v>8000200</v>
      </c>
      <c r="Y233" s="1495">
        <f t="shared" si="55"/>
        <v>100</v>
      </c>
      <c r="Z233" s="1495">
        <f t="shared" si="56"/>
        <v>0</v>
      </c>
      <c r="AA233" s="1506">
        <f t="shared" si="57"/>
        <v>0</v>
      </c>
      <c r="AB233" s="2927"/>
      <c r="AC233" s="1504">
        <f t="shared" si="58"/>
        <v>0</v>
      </c>
      <c r="AD233" s="1503">
        <f t="shared" si="59"/>
        <v>0</v>
      </c>
      <c r="AE233" s="1503"/>
      <c r="AF233" s="1502"/>
    </row>
    <row r="234" spans="1:32" s="1474" customFormat="1" ht="23.25" customHeight="1">
      <c r="A234" s="2790">
        <v>167</v>
      </c>
      <c r="B234" s="1513" t="s">
        <v>2698</v>
      </c>
      <c r="C234" s="1514" t="s">
        <v>2670</v>
      </c>
      <c r="D234" s="1514">
        <v>8</v>
      </c>
      <c r="E234" s="1513">
        <v>16000000</v>
      </c>
      <c r="F234" s="1512">
        <f t="shared" si="17"/>
        <v>2880000</v>
      </c>
      <c r="G234" s="2141">
        <v>42226</v>
      </c>
      <c r="H234" s="1511">
        <v>0.18</v>
      </c>
      <c r="I234" s="1508">
        <v>12</v>
      </c>
      <c r="J234" s="1508">
        <v>6</v>
      </c>
      <c r="K234" s="1508">
        <f t="shared" si="47"/>
        <v>1333300</v>
      </c>
      <c r="L234" s="1513">
        <f t="shared" si="48"/>
        <v>240000</v>
      </c>
      <c r="M234" s="2172">
        <f t="shared" si="49"/>
        <v>7999800</v>
      </c>
      <c r="N234" s="2172">
        <f t="shared" si="50"/>
        <v>1440000</v>
      </c>
      <c r="O234" s="2171">
        <v>6666500</v>
      </c>
      <c r="P234" s="2171">
        <v>1200000</v>
      </c>
      <c r="Q234" s="2171"/>
      <c r="R234" s="3010">
        <v>1333300</v>
      </c>
      <c r="S234" s="3010">
        <v>240000</v>
      </c>
      <c r="T234" s="2393"/>
      <c r="U234" s="2174">
        <f t="shared" si="51"/>
        <v>7999800</v>
      </c>
      <c r="V234" s="1495">
        <f t="shared" si="52"/>
        <v>1440000</v>
      </c>
      <c r="W234" s="1495">
        <f t="shared" si="53"/>
        <v>0</v>
      </c>
      <c r="X234" s="1495">
        <f t="shared" si="54"/>
        <v>8000200</v>
      </c>
      <c r="Y234" s="1495">
        <f t="shared" si="55"/>
        <v>100</v>
      </c>
      <c r="Z234" s="1495">
        <f t="shared" si="56"/>
        <v>0</v>
      </c>
      <c r="AA234" s="1506">
        <f t="shared" si="57"/>
        <v>0</v>
      </c>
      <c r="AB234" s="2927"/>
      <c r="AC234" s="1504">
        <f t="shared" si="58"/>
        <v>0</v>
      </c>
      <c r="AD234" s="1503">
        <f t="shared" si="59"/>
        <v>0</v>
      </c>
      <c r="AE234" s="1503"/>
      <c r="AF234" s="1502"/>
    </row>
    <row r="235" spans="1:32" s="1474" customFormat="1" ht="23.25" customHeight="1">
      <c r="A235" s="2790">
        <v>168</v>
      </c>
      <c r="B235" s="1513" t="s">
        <v>2466</v>
      </c>
      <c r="C235" s="1514" t="s">
        <v>2689</v>
      </c>
      <c r="D235" s="1514">
        <v>8</v>
      </c>
      <c r="E235" s="1513">
        <v>16000000</v>
      </c>
      <c r="F235" s="1512">
        <f t="shared" si="17"/>
        <v>2880000</v>
      </c>
      <c r="G235" s="2141">
        <v>42290</v>
      </c>
      <c r="H235" s="1511">
        <v>0.18</v>
      </c>
      <c r="I235" s="1508">
        <v>12</v>
      </c>
      <c r="J235" s="1508">
        <v>4</v>
      </c>
      <c r="K235" s="1508">
        <f t="shared" ref="K235:K237" si="60">ROUND(E235/I235,-2)</f>
        <v>1333300</v>
      </c>
      <c r="L235" s="1513">
        <f t="shared" ref="L235:L237" si="61">F235/I235</f>
        <v>240000</v>
      </c>
      <c r="M235" s="2172">
        <f t="shared" si="49"/>
        <v>5333200</v>
      </c>
      <c r="N235" s="2172">
        <f t="shared" si="50"/>
        <v>960000</v>
      </c>
      <c r="O235" s="2171">
        <v>3999900</v>
      </c>
      <c r="P235" s="2171">
        <v>720000</v>
      </c>
      <c r="Q235" s="2171"/>
      <c r="R235" s="3010">
        <v>1333300</v>
      </c>
      <c r="S235" s="3010">
        <v>240000</v>
      </c>
      <c r="T235" s="2393"/>
      <c r="U235" s="2174">
        <f t="shared" si="51"/>
        <v>5333200</v>
      </c>
      <c r="V235" s="1495">
        <f t="shared" si="52"/>
        <v>960000</v>
      </c>
      <c r="W235" s="1495">
        <f t="shared" si="53"/>
        <v>0</v>
      </c>
      <c r="X235" s="1495">
        <f t="shared" si="54"/>
        <v>10666800</v>
      </c>
      <c r="Y235" s="1495">
        <f t="shared" si="55"/>
        <v>100</v>
      </c>
      <c r="Z235" s="1495">
        <f t="shared" si="56"/>
        <v>0</v>
      </c>
      <c r="AA235" s="1506">
        <f t="shared" si="57"/>
        <v>0</v>
      </c>
      <c r="AB235" s="2927"/>
      <c r="AC235" s="1504">
        <f t="shared" si="58"/>
        <v>0</v>
      </c>
      <c r="AD235" s="1503">
        <f t="shared" si="59"/>
        <v>0</v>
      </c>
      <c r="AE235" s="1503"/>
      <c r="AF235" s="1502"/>
    </row>
    <row r="236" spans="1:32" s="1474" customFormat="1" ht="23.25" customHeight="1">
      <c r="A236" s="2790">
        <v>169</v>
      </c>
      <c r="B236" s="1513" t="s">
        <v>2114</v>
      </c>
      <c r="C236" s="1514" t="s">
        <v>2689</v>
      </c>
      <c r="D236" s="1514">
        <v>10</v>
      </c>
      <c r="E236" s="1513">
        <v>35000000</v>
      </c>
      <c r="F236" s="1512">
        <f t="shared" si="17"/>
        <v>6300000</v>
      </c>
      <c r="G236" s="2141">
        <v>42290</v>
      </c>
      <c r="H236" s="1511">
        <v>0.18</v>
      </c>
      <c r="I236" s="1508">
        <v>12</v>
      </c>
      <c r="J236" s="1508">
        <v>4</v>
      </c>
      <c r="K236" s="1508">
        <f t="shared" si="60"/>
        <v>2916700</v>
      </c>
      <c r="L236" s="1513">
        <f t="shared" si="61"/>
        <v>525000</v>
      </c>
      <c r="M236" s="2172">
        <f t="shared" si="49"/>
        <v>11666800</v>
      </c>
      <c r="N236" s="2172">
        <f t="shared" si="50"/>
        <v>2100000</v>
      </c>
      <c r="O236" s="2171">
        <v>5833400</v>
      </c>
      <c r="P236" s="2171">
        <v>1050000</v>
      </c>
      <c r="Q236" s="2171"/>
      <c r="R236" s="3010">
        <v>3445000</v>
      </c>
      <c r="S236" s="3010">
        <v>1050000</v>
      </c>
      <c r="T236" s="2393"/>
      <c r="U236" s="2174">
        <f t="shared" si="51"/>
        <v>9278400</v>
      </c>
      <c r="V236" s="1495">
        <f t="shared" si="52"/>
        <v>2100000</v>
      </c>
      <c r="W236" s="1495">
        <f t="shared" si="53"/>
        <v>0</v>
      </c>
      <c r="X236" s="1495">
        <f t="shared" si="54"/>
        <v>25721600</v>
      </c>
      <c r="Y236" s="1495">
        <f t="shared" si="55"/>
        <v>79.528233963040421</v>
      </c>
      <c r="Z236" s="1495">
        <f t="shared" si="56"/>
        <v>2388400</v>
      </c>
      <c r="AA236" s="1506">
        <f t="shared" si="57"/>
        <v>0</v>
      </c>
      <c r="AB236" s="2927"/>
      <c r="AC236" s="1504">
        <f t="shared" si="58"/>
        <v>0</v>
      </c>
      <c r="AD236" s="1503">
        <f t="shared" si="59"/>
        <v>0</v>
      </c>
      <c r="AE236" s="1503"/>
      <c r="AF236" s="1502"/>
    </row>
    <row r="237" spans="1:32" s="1474" customFormat="1" ht="23.25" customHeight="1">
      <c r="A237" s="2790">
        <v>170</v>
      </c>
      <c r="B237" s="1513" t="s">
        <v>2711</v>
      </c>
      <c r="C237" s="1514" t="s">
        <v>2689</v>
      </c>
      <c r="D237" s="1514">
        <v>7</v>
      </c>
      <c r="E237" s="1513">
        <v>10500000</v>
      </c>
      <c r="F237" s="1512">
        <f t="shared" si="17"/>
        <v>1890000</v>
      </c>
      <c r="G237" s="2141">
        <v>42296</v>
      </c>
      <c r="H237" s="1511">
        <v>0.18</v>
      </c>
      <c r="I237" s="1508">
        <v>12</v>
      </c>
      <c r="J237" s="1508">
        <v>4</v>
      </c>
      <c r="K237" s="1508">
        <f t="shared" si="60"/>
        <v>875000</v>
      </c>
      <c r="L237" s="1513">
        <f t="shared" si="61"/>
        <v>157500</v>
      </c>
      <c r="M237" s="2172">
        <f t="shared" si="18"/>
        <v>3500000</v>
      </c>
      <c r="N237" s="2172">
        <f t="shared" si="19"/>
        <v>630000</v>
      </c>
      <c r="O237" s="2171">
        <v>2625000</v>
      </c>
      <c r="P237" s="2171">
        <v>472500</v>
      </c>
      <c r="Q237" s="2171"/>
      <c r="R237" s="3010">
        <v>875000</v>
      </c>
      <c r="S237" s="3010">
        <v>157500</v>
      </c>
      <c r="T237" s="2393"/>
      <c r="U237" s="2174">
        <f t="shared" si="51"/>
        <v>3500000</v>
      </c>
      <c r="V237" s="1495">
        <f t="shared" si="52"/>
        <v>630000</v>
      </c>
      <c r="W237" s="1495">
        <f t="shared" si="53"/>
        <v>0</v>
      </c>
      <c r="X237" s="1495">
        <f t="shared" si="54"/>
        <v>7000000</v>
      </c>
      <c r="Y237" s="1495">
        <f t="shared" si="55"/>
        <v>100</v>
      </c>
      <c r="Z237" s="1495">
        <f t="shared" si="56"/>
        <v>0</v>
      </c>
      <c r="AA237" s="1506">
        <f t="shared" si="57"/>
        <v>0</v>
      </c>
      <c r="AB237" s="2927"/>
      <c r="AC237" s="1504">
        <f t="shared" si="37"/>
        <v>0</v>
      </c>
      <c r="AD237" s="1503">
        <f t="shared" si="38"/>
        <v>0</v>
      </c>
      <c r="AE237" s="1503"/>
      <c r="AF237" s="1502"/>
    </row>
    <row r="238" spans="1:32" s="1474" customFormat="1" ht="23.25" customHeight="1">
      <c r="A238" s="2790">
        <v>171</v>
      </c>
      <c r="B238" s="1513" t="s">
        <v>2353</v>
      </c>
      <c r="C238" s="1514" t="s">
        <v>2689</v>
      </c>
      <c r="D238" s="1514">
        <v>10</v>
      </c>
      <c r="E238" s="1513">
        <v>35000000</v>
      </c>
      <c r="F238" s="1512">
        <f t="shared" si="17"/>
        <v>6300000</v>
      </c>
      <c r="G238" s="2141">
        <v>42320</v>
      </c>
      <c r="H238" s="1511">
        <v>0.18</v>
      </c>
      <c r="I238" s="1508">
        <v>12</v>
      </c>
      <c r="J238" s="1508">
        <v>3</v>
      </c>
      <c r="K238" s="1508">
        <f t="shared" ref="K238:K247" si="62">ROUND(E238/I238,-2)</f>
        <v>2916700</v>
      </c>
      <c r="L238" s="1513">
        <f t="shared" ref="L238:L247" si="63">F238/I238</f>
        <v>525000</v>
      </c>
      <c r="M238" s="2172">
        <f t="shared" ref="M238:M249" si="64">IF(J238&lt;I238,J238*K238,IF(J238&gt;=I238,E238))</f>
        <v>8750100</v>
      </c>
      <c r="N238" s="2172">
        <f t="shared" ref="N238:N249" si="65">IF(J238&lt;I238,J238*L238,IF(J238&gt;=I238,F238))</f>
        <v>1575000</v>
      </c>
      <c r="O238" s="2171">
        <v>5833400</v>
      </c>
      <c r="P238" s="2171">
        <v>1050000</v>
      </c>
      <c r="Q238" s="2171"/>
      <c r="R238" s="3010">
        <v>2916700</v>
      </c>
      <c r="S238" s="3010">
        <v>525000</v>
      </c>
      <c r="T238" s="2393"/>
      <c r="U238" s="2174">
        <f t="shared" ref="U238:U249" si="66">SUM(O238+R238)</f>
        <v>8750100</v>
      </c>
      <c r="V238" s="1495">
        <f t="shared" ref="V238:V249" si="67">SUM(P238+S238)</f>
        <v>1575000</v>
      </c>
      <c r="W238" s="1495"/>
      <c r="X238" s="1495">
        <f t="shared" ref="X238:X249" si="68">SUM(E238-U238)</f>
        <v>26249900</v>
      </c>
      <c r="Y238" s="1495">
        <f t="shared" ref="Y238:Y249" si="69">SUM(U238/M238)*100</f>
        <v>100</v>
      </c>
      <c r="Z238" s="1495">
        <f t="shared" ref="Z238:Z250" si="70">SUM(M238-U238)</f>
        <v>0</v>
      </c>
      <c r="AA238" s="1506">
        <f t="shared" ref="AA238:AA250" si="71">SUM(N238-V238)</f>
        <v>0</v>
      </c>
      <c r="AB238" s="2927"/>
      <c r="AC238" s="1504">
        <f t="shared" ref="AC238:AC250" si="72">IF(AND(AB238&gt;0,AB238&lt;=2),X238,0)</f>
        <v>0</v>
      </c>
      <c r="AD238" s="1503">
        <f t="shared" ref="AD238:AD250" si="73">IF(AND(AB238&gt;=3,AB238&lt;=4),X238,0)</f>
        <v>0</v>
      </c>
      <c r="AE238" s="1503"/>
      <c r="AF238" s="1502"/>
    </row>
    <row r="239" spans="1:32" s="1474" customFormat="1" ht="23.25" customHeight="1">
      <c r="A239" s="2790">
        <v>172</v>
      </c>
      <c r="B239" s="1513" t="s">
        <v>2099</v>
      </c>
      <c r="C239" s="1514" t="s">
        <v>2689</v>
      </c>
      <c r="D239" s="1514">
        <v>14</v>
      </c>
      <c r="E239" s="1513">
        <v>40000000</v>
      </c>
      <c r="F239" s="1512">
        <f t="shared" si="17"/>
        <v>7200000</v>
      </c>
      <c r="G239" s="2141">
        <v>42320</v>
      </c>
      <c r="H239" s="1511">
        <v>0.18</v>
      </c>
      <c r="I239" s="1508">
        <v>12</v>
      </c>
      <c r="J239" s="1508">
        <v>3</v>
      </c>
      <c r="K239" s="1508">
        <f t="shared" si="62"/>
        <v>3333300</v>
      </c>
      <c r="L239" s="1513">
        <f t="shared" si="63"/>
        <v>600000</v>
      </c>
      <c r="M239" s="2172">
        <f t="shared" si="64"/>
        <v>9999900</v>
      </c>
      <c r="N239" s="2172">
        <f t="shared" si="65"/>
        <v>1800000</v>
      </c>
      <c r="O239" s="2171">
        <v>6666600</v>
      </c>
      <c r="P239" s="2171">
        <v>1200000</v>
      </c>
      <c r="Q239" s="2171"/>
      <c r="R239" s="3010">
        <v>3333300</v>
      </c>
      <c r="S239" s="3010">
        <v>600000</v>
      </c>
      <c r="T239" s="2393"/>
      <c r="U239" s="2174">
        <f t="shared" si="66"/>
        <v>9999900</v>
      </c>
      <c r="V239" s="1495">
        <f t="shared" si="67"/>
        <v>1800000</v>
      </c>
      <c r="W239" s="1495"/>
      <c r="X239" s="1495">
        <f t="shared" si="68"/>
        <v>30000100</v>
      </c>
      <c r="Y239" s="1495">
        <f t="shared" si="69"/>
        <v>100</v>
      </c>
      <c r="Z239" s="1495">
        <f t="shared" si="70"/>
        <v>0</v>
      </c>
      <c r="AA239" s="1506">
        <f t="shared" si="71"/>
        <v>0</v>
      </c>
      <c r="AB239" s="2927"/>
      <c r="AC239" s="1504">
        <f t="shared" si="72"/>
        <v>0</v>
      </c>
      <c r="AD239" s="1503">
        <f t="shared" si="73"/>
        <v>0</v>
      </c>
      <c r="AE239" s="1503"/>
      <c r="AF239" s="1502"/>
    </row>
    <row r="240" spans="1:32" s="1474" customFormat="1" ht="23.25" customHeight="1">
      <c r="A240" s="2790">
        <v>173</v>
      </c>
      <c r="B240" s="1513" t="s">
        <v>2029</v>
      </c>
      <c r="C240" s="1514" t="s">
        <v>2714</v>
      </c>
      <c r="D240" s="1514">
        <v>7</v>
      </c>
      <c r="E240" s="1513">
        <v>10500000</v>
      </c>
      <c r="F240" s="1512">
        <f t="shared" si="17"/>
        <v>1890000</v>
      </c>
      <c r="G240" s="2141">
        <v>42320</v>
      </c>
      <c r="H240" s="1511">
        <v>0.18</v>
      </c>
      <c r="I240" s="1508">
        <v>12</v>
      </c>
      <c r="J240" s="1508">
        <v>3</v>
      </c>
      <c r="K240" s="1508">
        <f t="shared" si="62"/>
        <v>875000</v>
      </c>
      <c r="L240" s="1513">
        <f t="shared" si="63"/>
        <v>157500</v>
      </c>
      <c r="M240" s="2172">
        <f t="shared" si="64"/>
        <v>2625000</v>
      </c>
      <c r="N240" s="2172">
        <f t="shared" si="65"/>
        <v>472500</v>
      </c>
      <c r="O240" s="2171">
        <v>1750000</v>
      </c>
      <c r="P240" s="2171">
        <v>315000</v>
      </c>
      <c r="Q240" s="2171"/>
      <c r="R240" s="3010">
        <v>875000</v>
      </c>
      <c r="S240" s="3010">
        <v>157500</v>
      </c>
      <c r="T240" s="2393"/>
      <c r="U240" s="2174">
        <f t="shared" si="66"/>
        <v>2625000</v>
      </c>
      <c r="V240" s="1495">
        <f t="shared" si="67"/>
        <v>472500</v>
      </c>
      <c r="W240" s="1495"/>
      <c r="X240" s="1495">
        <f t="shared" si="68"/>
        <v>7875000</v>
      </c>
      <c r="Y240" s="1495">
        <f t="shared" si="69"/>
        <v>100</v>
      </c>
      <c r="Z240" s="1495">
        <f t="shared" si="70"/>
        <v>0</v>
      </c>
      <c r="AA240" s="1506">
        <f t="shared" si="71"/>
        <v>0</v>
      </c>
      <c r="AB240" s="2927"/>
      <c r="AC240" s="1504">
        <f t="shared" si="72"/>
        <v>0</v>
      </c>
      <c r="AD240" s="1503">
        <f t="shared" si="73"/>
        <v>0</v>
      </c>
      <c r="AE240" s="1503"/>
      <c r="AF240" s="1502"/>
    </row>
    <row r="241" spans="1:32" s="1474" customFormat="1" ht="23.25" customHeight="1">
      <c r="A241" s="2790">
        <v>174</v>
      </c>
      <c r="B241" s="1513" t="s">
        <v>2585</v>
      </c>
      <c r="C241" s="1514" t="s">
        <v>2689</v>
      </c>
      <c r="D241" s="1514">
        <v>9</v>
      </c>
      <c r="E241" s="1513">
        <v>10000000</v>
      </c>
      <c r="F241" s="1512">
        <f t="shared" si="17"/>
        <v>1800000</v>
      </c>
      <c r="G241" s="2141">
        <v>42320</v>
      </c>
      <c r="H241" s="1511">
        <v>0.18</v>
      </c>
      <c r="I241" s="1508">
        <v>12</v>
      </c>
      <c r="J241" s="1508">
        <v>3</v>
      </c>
      <c r="K241" s="1508">
        <f t="shared" si="62"/>
        <v>833300</v>
      </c>
      <c r="L241" s="1513">
        <f t="shared" si="63"/>
        <v>150000</v>
      </c>
      <c r="M241" s="2172">
        <f t="shared" si="64"/>
        <v>2499900</v>
      </c>
      <c r="N241" s="2172">
        <f t="shared" si="65"/>
        <v>450000</v>
      </c>
      <c r="O241" s="2171">
        <v>1666600</v>
      </c>
      <c r="P241" s="2171">
        <v>300000</v>
      </c>
      <c r="Q241" s="2171"/>
      <c r="R241" s="3010">
        <v>833300</v>
      </c>
      <c r="S241" s="3010">
        <v>150000</v>
      </c>
      <c r="T241" s="2393"/>
      <c r="U241" s="2174">
        <f t="shared" si="66"/>
        <v>2499900</v>
      </c>
      <c r="V241" s="1495">
        <f t="shared" si="67"/>
        <v>450000</v>
      </c>
      <c r="W241" s="1495"/>
      <c r="X241" s="1495">
        <f t="shared" si="68"/>
        <v>7500100</v>
      </c>
      <c r="Y241" s="1495">
        <f t="shared" si="69"/>
        <v>100</v>
      </c>
      <c r="Z241" s="1495">
        <f t="shared" si="70"/>
        <v>0</v>
      </c>
      <c r="AA241" s="1506">
        <f t="shared" si="71"/>
        <v>0</v>
      </c>
      <c r="AB241" s="2927"/>
      <c r="AC241" s="1504">
        <f t="shared" si="72"/>
        <v>0</v>
      </c>
      <c r="AD241" s="1503">
        <f t="shared" si="73"/>
        <v>0</v>
      </c>
      <c r="AE241" s="1503"/>
      <c r="AF241" s="1502"/>
    </row>
    <row r="242" spans="1:32" s="1474" customFormat="1" ht="23.25" customHeight="1">
      <c r="A242" s="2790">
        <v>175</v>
      </c>
      <c r="B242" s="1513" t="s">
        <v>1956</v>
      </c>
      <c r="C242" s="1514" t="s">
        <v>2689</v>
      </c>
      <c r="D242" s="1514">
        <v>7</v>
      </c>
      <c r="E242" s="1513">
        <v>14000000</v>
      </c>
      <c r="F242" s="1512">
        <f t="shared" si="17"/>
        <v>2520000</v>
      </c>
      <c r="G242" s="2141">
        <v>42320</v>
      </c>
      <c r="H242" s="1511">
        <v>0.18</v>
      </c>
      <c r="I242" s="1508">
        <v>12</v>
      </c>
      <c r="J242" s="1508">
        <v>3</v>
      </c>
      <c r="K242" s="1508">
        <f t="shared" si="62"/>
        <v>1166700</v>
      </c>
      <c r="L242" s="1513">
        <f t="shared" si="63"/>
        <v>210000</v>
      </c>
      <c r="M242" s="2172">
        <f t="shared" si="64"/>
        <v>3500100</v>
      </c>
      <c r="N242" s="2172">
        <f t="shared" si="65"/>
        <v>630000</v>
      </c>
      <c r="O242" s="2171">
        <v>2333400</v>
      </c>
      <c r="P242" s="2171">
        <v>420000</v>
      </c>
      <c r="Q242" s="2171"/>
      <c r="R242" s="3010">
        <v>1166700</v>
      </c>
      <c r="S242" s="3010">
        <v>210000</v>
      </c>
      <c r="T242" s="2393"/>
      <c r="U242" s="2174">
        <f t="shared" si="66"/>
        <v>3500100</v>
      </c>
      <c r="V242" s="1495">
        <f t="shared" si="67"/>
        <v>630000</v>
      </c>
      <c r="W242" s="1495"/>
      <c r="X242" s="1495">
        <f t="shared" si="68"/>
        <v>10499900</v>
      </c>
      <c r="Y242" s="1495">
        <f t="shared" si="69"/>
        <v>100</v>
      </c>
      <c r="Z242" s="1495">
        <f t="shared" si="70"/>
        <v>0</v>
      </c>
      <c r="AA242" s="1506">
        <f t="shared" si="71"/>
        <v>0</v>
      </c>
      <c r="AB242" s="2927"/>
      <c r="AC242" s="1504">
        <f t="shared" si="72"/>
        <v>0</v>
      </c>
      <c r="AD242" s="1503">
        <f t="shared" si="73"/>
        <v>0</v>
      </c>
      <c r="AE242" s="1503"/>
      <c r="AF242" s="1502"/>
    </row>
    <row r="243" spans="1:32" s="1474" customFormat="1" ht="23.25" customHeight="1">
      <c r="A243" s="2790">
        <v>176</v>
      </c>
      <c r="B243" s="2175" t="s">
        <v>2723</v>
      </c>
      <c r="C243" s="1514" t="s">
        <v>2689</v>
      </c>
      <c r="D243" s="1514">
        <v>10</v>
      </c>
      <c r="E243" s="1513">
        <v>30000000</v>
      </c>
      <c r="F243" s="1512">
        <f t="shared" si="17"/>
        <v>5400000</v>
      </c>
      <c r="G243" s="2141">
        <v>42354</v>
      </c>
      <c r="H243" s="1511">
        <v>0.18</v>
      </c>
      <c r="I243" s="1508">
        <v>12</v>
      </c>
      <c r="J243" s="1508">
        <v>2</v>
      </c>
      <c r="K243" s="1508">
        <f t="shared" si="62"/>
        <v>2500000</v>
      </c>
      <c r="L243" s="1513">
        <f t="shared" si="63"/>
        <v>450000</v>
      </c>
      <c r="M243" s="2172">
        <f t="shared" si="64"/>
        <v>5000000</v>
      </c>
      <c r="N243" s="2172">
        <f t="shared" si="65"/>
        <v>900000</v>
      </c>
      <c r="O243" s="2171">
        <v>2500000</v>
      </c>
      <c r="P243" s="2171">
        <v>450000</v>
      </c>
      <c r="Q243" s="2171"/>
      <c r="R243" s="3010">
        <v>2500000</v>
      </c>
      <c r="S243" s="3010">
        <v>450000</v>
      </c>
      <c r="T243" s="2393"/>
      <c r="U243" s="2174">
        <f t="shared" si="66"/>
        <v>5000000</v>
      </c>
      <c r="V243" s="1495">
        <f t="shared" si="67"/>
        <v>900000</v>
      </c>
      <c r="W243" s="1495"/>
      <c r="X243" s="1495">
        <f t="shared" si="68"/>
        <v>25000000</v>
      </c>
      <c r="Y243" s="1495">
        <f t="shared" si="69"/>
        <v>100</v>
      </c>
      <c r="Z243" s="1495">
        <f t="shared" si="70"/>
        <v>0</v>
      </c>
      <c r="AA243" s="1506">
        <f t="shared" si="71"/>
        <v>0</v>
      </c>
      <c r="AB243" s="2927"/>
      <c r="AC243" s="1504">
        <f t="shared" si="72"/>
        <v>0</v>
      </c>
      <c r="AD243" s="1503">
        <f t="shared" si="73"/>
        <v>0</v>
      </c>
      <c r="AE243" s="1503"/>
      <c r="AF243" s="1502"/>
    </row>
    <row r="244" spans="1:32" s="1474" customFormat="1" ht="23.25" customHeight="1">
      <c r="A244" s="2790">
        <v>177</v>
      </c>
      <c r="B244" s="1513" t="s">
        <v>2110</v>
      </c>
      <c r="C244" s="1514" t="s">
        <v>2689</v>
      </c>
      <c r="D244" s="1514">
        <v>10</v>
      </c>
      <c r="E244" s="1513">
        <v>18000000</v>
      </c>
      <c r="F244" s="1512">
        <f t="shared" si="17"/>
        <v>3240000</v>
      </c>
      <c r="G244" s="2141">
        <v>42354</v>
      </c>
      <c r="H244" s="1511">
        <v>0.18</v>
      </c>
      <c r="I244" s="1508">
        <v>12</v>
      </c>
      <c r="J244" s="1508">
        <v>2</v>
      </c>
      <c r="K244" s="1508">
        <f t="shared" si="62"/>
        <v>1500000</v>
      </c>
      <c r="L244" s="1513">
        <f t="shared" si="63"/>
        <v>270000</v>
      </c>
      <c r="M244" s="2172">
        <f t="shared" si="64"/>
        <v>3000000</v>
      </c>
      <c r="N244" s="2172">
        <f t="shared" si="65"/>
        <v>540000</v>
      </c>
      <c r="O244" s="2171">
        <v>1500000</v>
      </c>
      <c r="P244" s="2171">
        <v>270000</v>
      </c>
      <c r="Q244" s="2171"/>
      <c r="R244" s="3010">
        <v>1500000</v>
      </c>
      <c r="S244" s="3010">
        <v>270000</v>
      </c>
      <c r="T244" s="2393"/>
      <c r="U244" s="2174">
        <f t="shared" si="66"/>
        <v>3000000</v>
      </c>
      <c r="V244" s="1495">
        <f t="shared" si="67"/>
        <v>540000</v>
      </c>
      <c r="W244" s="1495"/>
      <c r="X244" s="1495">
        <f t="shared" si="68"/>
        <v>15000000</v>
      </c>
      <c r="Y244" s="1495">
        <f t="shared" si="69"/>
        <v>100</v>
      </c>
      <c r="Z244" s="1495">
        <f t="shared" si="70"/>
        <v>0</v>
      </c>
      <c r="AA244" s="1506">
        <f t="shared" si="71"/>
        <v>0</v>
      </c>
      <c r="AB244" s="2927"/>
      <c r="AC244" s="1504">
        <f t="shared" si="72"/>
        <v>0</v>
      </c>
      <c r="AD244" s="1503">
        <f t="shared" si="73"/>
        <v>0</v>
      </c>
      <c r="AE244" s="1503"/>
      <c r="AF244" s="1502"/>
    </row>
    <row r="245" spans="1:32" s="1474" customFormat="1" ht="23.25" customHeight="1">
      <c r="A245" s="2790">
        <v>178</v>
      </c>
      <c r="B245" s="1513" t="s">
        <v>2727</v>
      </c>
      <c r="C245" s="1514" t="s">
        <v>2714</v>
      </c>
      <c r="D245" s="1514">
        <v>10</v>
      </c>
      <c r="E245" s="1513">
        <v>40000000</v>
      </c>
      <c r="F245" s="1512">
        <f t="shared" si="17"/>
        <v>7200000</v>
      </c>
      <c r="G245" s="2141">
        <v>42382</v>
      </c>
      <c r="H245" s="1511">
        <v>0.18</v>
      </c>
      <c r="I245" s="1508">
        <v>12</v>
      </c>
      <c r="J245" s="1508">
        <v>1</v>
      </c>
      <c r="K245" s="1508">
        <f t="shared" si="62"/>
        <v>3333300</v>
      </c>
      <c r="L245" s="1513">
        <f t="shared" si="63"/>
        <v>600000</v>
      </c>
      <c r="M245" s="2172">
        <f t="shared" si="64"/>
        <v>3333300</v>
      </c>
      <c r="N245" s="2172">
        <f t="shared" si="65"/>
        <v>600000</v>
      </c>
      <c r="O245" s="2171"/>
      <c r="P245" s="2171"/>
      <c r="Q245" s="2171"/>
      <c r="R245" s="3010">
        <v>3333300</v>
      </c>
      <c r="S245" s="3010">
        <v>600000</v>
      </c>
      <c r="T245" s="2393"/>
      <c r="U245" s="2174">
        <f t="shared" si="66"/>
        <v>3333300</v>
      </c>
      <c r="V245" s="1495">
        <f t="shared" si="67"/>
        <v>600000</v>
      </c>
      <c r="W245" s="1495"/>
      <c r="X245" s="1495">
        <f t="shared" si="68"/>
        <v>36666700</v>
      </c>
      <c r="Y245" s="1495">
        <f t="shared" si="69"/>
        <v>100</v>
      </c>
      <c r="Z245" s="1495">
        <f t="shared" si="70"/>
        <v>0</v>
      </c>
      <c r="AA245" s="1506">
        <f t="shared" si="71"/>
        <v>0</v>
      </c>
      <c r="AB245" s="2927"/>
      <c r="AC245" s="1504">
        <f t="shared" si="72"/>
        <v>0</v>
      </c>
      <c r="AD245" s="1503">
        <f t="shared" si="73"/>
        <v>0</v>
      </c>
      <c r="AE245" s="1503"/>
      <c r="AF245" s="1502"/>
    </row>
    <row r="246" spans="1:32" s="1474" customFormat="1" ht="23.25" customHeight="1">
      <c r="A246" s="2790">
        <v>179</v>
      </c>
      <c r="B246" s="1513" t="s">
        <v>2126</v>
      </c>
      <c r="C246" s="1514" t="s">
        <v>2714</v>
      </c>
      <c r="D246" s="1514">
        <v>10</v>
      </c>
      <c r="E246" s="1513">
        <v>35000000</v>
      </c>
      <c r="F246" s="1512">
        <f t="shared" si="17"/>
        <v>6300000</v>
      </c>
      <c r="G246" s="2141">
        <v>42382</v>
      </c>
      <c r="H246" s="1511">
        <v>0.18</v>
      </c>
      <c r="I246" s="1508">
        <v>12</v>
      </c>
      <c r="J246" s="1508">
        <v>1</v>
      </c>
      <c r="K246" s="1508">
        <f t="shared" si="62"/>
        <v>2916700</v>
      </c>
      <c r="L246" s="1513">
        <f t="shared" si="63"/>
        <v>525000</v>
      </c>
      <c r="M246" s="2172">
        <f t="shared" si="64"/>
        <v>2916700</v>
      </c>
      <c r="N246" s="2172">
        <f t="shared" si="65"/>
        <v>525000</v>
      </c>
      <c r="O246" s="2171"/>
      <c r="P246" s="2171"/>
      <c r="Q246" s="2171"/>
      <c r="R246" s="3010">
        <v>2916700</v>
      </c>
      <c r="S246" s="3010">
        <v>525000</v>
      </c>
      <c r="T246" s="2393"/>
      <c r="U246" s="2174">
        <f t="shared" si="66"/>
        <v>2916700</v>
      </c>
      <c r="V246" s="1495">
        <f t="shared" si="67"/>
        <v>525000</v>
      </c>
      <c r="W246" s="1495"/>
      <c r="X246" s="1495">
        <f t="shared" si="68"/>
        <v>32083300</v>
      </c>
      <c r="Y246" s="1495">
        <f t="shared" si="69"/>
        <v>100</v>
      </c>
      <c r="Z246" s="1495">
        <f t="shared" si="70"/>
        <v>0</v>
      </c>
      <c r="AA246" s="1506">
        <f t="shared" si="71"/>
        <v>0</v>
      </c>
      <c r="AB246" s="2927"/>
      <c r="AC246" s="1504">
        <f t="shared" si="72"/>
        <v>0</v>
      </c>
      <c r="AD246" s="1503">
        <f t="shared" si="73"/>
        <v>0</v>
      </c>
      <c r="AE246" s="1503"/>
      <c r="AF246" s="1502"/>
    </row>
    <row r="247" spans="1:32" s="1474" customFormat="1" ht="23.25" customHeight="1">
      <c r="A247" s="2790">
        <v>180</v>
      </c>
      <c r="B247" s="1513" t="s">
        <v>2389</v>
      </c>
      <c r="C247" s="1514" t="s">
        <v>2714</v>
      </c>
      <c r="D247" s="1514">
        <v>17</v>
      </c>
      <c r="E247" s="1513">
        <v>30000000</v>
      </c>
      <c r="F247" s="1512">
        <f t="shared" si="17"/>
        <v>5400000</v>
      </c>
      <c r="G247" s="2141">
        <v>42382</v>
      </c>
      <c r="H247" s="1511">
        <v>0.18</v>
      </c>
      <c r="I247" s="1508">
        <v>12</v>
      </c>
      <c r="J247" s="1508">
        <v>1</v>
      </c>
      <c r="K247" s="1508">
        <f t="shared" si="62"/>
        <v>2500000</v>
      </c>
      <c r="L247" s="1513">
        <f t="shared" si="63"/>
        <v>450000</v>
      </c>
      <c r="M247" s="2172">
        <f t="shared" si="64"/>
        <v>2500000</v>
      </c>
      <c r="N247" s="2172">
        <f t="shared" si="65"/>
        <v>450000</v>
      </c>
      <c r="O247" s="2171"/>
      <c r="P247" s="2171"/>
      <c r="Q247" s="2171"/>
      <c r="R247" s="3010">
        <v>2500000</v>
      </c>
      <c r="S247" s="3010">
        <v>450000</v>
      </c>
      <c r="T247" s="2393"/>
      <c r="U247" s="2174">
        <f t="shared" si="66"/>
        <v>2500000</v>
      </c>
      <c r="V247" s="1495">
        <f t="shared" si="67"/>
        <v>450000</v>
      </c>
      <c r="W247" s="1495"/>
      <c r="X247" s="1495">
        <f t="shared" si="68"/>
        <v>27500000</v>
      </c>
      <c r="Y247" s="1495">
        <f t="shared" si="69"/>
        <v>100</v>
      </c>
      <c r="Z247" s="1495">
        <f t="shared" si="70"/>
        <v>0</v>
      </c>
      <c r="AA247" s="1506">
        <f t="shared" si="71"/>
        <v>0</v>
      </c>
      <c r="AB247" s="2927"/>
      <c r="AC247" s="1504">
        <f t="shared" si="72"/>
        <v>0</v>
      </c>
      <c r="AD247" s="1503">
        <f t="shared" si="73"/>
        <v>0</v>
      </c>
      <c r="AE247" s="1503"/>
      <c r="AF247" s="1502"/>
    </row>
    <row r="248" spans="1:32" s="1474" customFormat="1" ht="23.25" customHeight="1">
      <c r="A248" s="2790"/>
      <c r="B248" s="1513"/>
      <c r="C248" s="1514"/>
      <c r="D248" s="1514"/>
      <c r="E248" s="1513"/>
      <c r="F248" s="1512">
        <f t="shared" si="17"/>
        <v>0</v>
      </c>
      <c r="G248" s="2141"/>
      <c r="H248" s="1511"/>
      <c r="I248" s="1508"/>
      <c r="J248" s="1508"/>
      <c r="K248" s="1508"/>
      <c r="L248" s="1513"/>
      <c r="M248" s="2172">
        <f t="shared" si="64"/>
        <v>0</v>
      </c>
      <c r="N248" s="2172">
        <f t="shared" si="65"/>
        <v>0</v>
      </c>
      <c r="O248" s="2171"/>
      <c r="P248" s="2171"/>
      <c r="Q248" s="2171"/>
      <c r="R248" s="2708"/>
      <c r="S248" s="2708"/>
      <c r="T248" s="2393"/>
      <c r="U248" s="2174">
        <f t="shared" si="66"/>
        <v>0</v>
      </c>
      <c r="V248" s="1495">
        <f t="shared" si="67"/>
        <v>0</v>
      </c>
      <c r="W248" s="1495"/>
      <c r="X248" s="1495">
        <f t="shared" si="68"/>
        <v>0</v>
      </c>
      <c r="Y248" s="1495" t="e">
        <f t="shared" si="69"/>
        <v>#DIV/0!</v>
      </c>
      <c r="Z248" s="1495">
        <f t="shared" si="70"/>
        <v>0</v>
      </c>
      <c r="AA248" s="1506">
        <f t="shared" si="71"/>
        <v>0</v>
      </c>
      <c r="AB248" s="2927"/>
      <c r="AC248" s="1504">
        <f t="shared" si="72"/>
        <v>0</v>
      </c>
      <c r="AD248" s="1503">
        <f t="shared" si="73"/>
        <v>0</v>
      </c>
      <c r="AE248" s="1503"/>
      <c r="AF248" s="1502"/>
    </row>
    <row r="249" spans="1:32" s="1474" customFormat="1" ht="23.25" customHeight="1">
      <c r="A249" s="2790"/>
      <c r="B249" s="1513"/>
      <c r="C249" s="1514"/>
      <c r="D249" s="1514"/>
      <c r="E249" s="1513"/>
      <c r="F249" s="1512">
        <f t="shared" si="17"/>
        <v>0</v>
      </c>
      <c r="G249" s="2141"/>
      <c r="H249" s="1511"/>
      <c r="I249" s="1508"/>
      <c r="J249" s="1508"/>
      <c r="K249" s="1508"/>
      <c r="L249" s="1513"/>
      <c r="M249" s="2172">
        <f t="shared" si="64"/>
        <v>0</v>
      </c>
      <c r="N249" s="2172">
        <f t="shared" si="65"/>
        <v>0</v>
      </c>
      <c r="O249" s="2171"/>
      <c r="P249" s="2171"/>
      <c r="Q249" s="2171"/>
      <c r="R249" s="2708"/>
      <c r="S249" s="2708"/>
      <c r="T249" s="2393"/>
      <c r="U249" s="2174">
        <f t="shared" si="66"/>
        <v>0</v>
      </c>
      <c r="V249" s="1495">
        <f t="shared" si="67"/>
        <v>0</v>
      </c>
      <c r="W249" s="1495"/>
      <c r="X249" s="1495">
        <f t="shared" si="68"/>
        <v>0</v>
      </c>
      <c r="Y249" s="1495" t="e">
        <f t="shared" si="69"/>
        <v>#DIV/0!</v>
      </c>
      <c r="Z249" s="1495">
        <f t="shared" si="70"/>
        <v>0</v>
      </c>
      <c r="AA249" s="1506">
        <f t="shared" si="71"/>
        <v>0</v>
      </c>
      <c r="AB249" s="2927"/>
      <c r="AC249" s="1504">
        <f t="shared" si="72"/>
        <v>0</v>
      </c>
      <c r="AD249" s="1503">
        <f t="shared" si="73"/>
        <v>0</v>
      </c>
      <c r="AE249" s="1503"/>
      <c r="AF249" s="1502"/>
    </row>
    <row r="250" spans="1:32" s="1474" customFormat="1" ht="23.25" customHeight="1">
      <c r="A250" s="2790"/>
      <c r="B250" s="1513"/>
      <c r="C250" s="1514"/>
      <c r="D250" s="1514"/>
      <c r="E250" s="1513"/>
      <c r="F250" s="1512">
        <f t="shared" si="17"/>
        <v>0</v>
      </c>
      <c r="G250" s="2141"/>
      <c r="H250" s="1511"/>
      <c r="I250" s="1508"/>
      <c r="J250" s="1508"/>
      <c r="K250" s="1508"/>
      <c r="L250" s="1513"/>
      <c r="M250" s="2172">
        <f t="shared" si="18"/>
        <v>0</v>
      </c>
      <c r="N250" s="2172">
        <f t="shared" si="19"/>
        <v>0</v>
      </c>
      <c r="O250" s="2171"/>
      <c r="P250" s="2171"/>
      <c r="Q250" s="2171"/>
      <c r="R250" s="2653"/>
      <c r="S250" s="2653"/>
      <c r="T250" s="2393"/>
      <c r="U250" s="2174">
        <f t="shared" si="20"/>
        <v>0</v>
      </c>
      <c r="V250" s="1495">
        <f t="shared" si="21"/>
        <v>0</v>
      </c>
      <c r="W250" s="1495">
        <f t="shared" si="22"/>
        <v>0</v>
      </c>
      <c r="X250" s="1495">
        <f t="shared" si="23"/>
        <v>0</v>
      </c>
      <c r="Y250" s="1495" t="e">
        <f t="shared" si="24"/>
        <v>#DIV/0!</v>
      </c>
      <c r="Z250" s="1495">
        <f t="shared" si="70"/>
        <v>0</v>
      </c>
      <c r="AA250" s="1506">
        <f t="shared" si="71"/>
        <v>0</v>
      </c>
      <c r="AB250" s="2927"/>
      <c r="AC250" s="1504">
        <f t="shared" si="72"/>
        <v>0</v>
      </c>
      <c r="AD250" s="1503">
        <f t="shared" si="73"/>
        <v>0</v>
      </c>
      <c r="AE250" s="1503"/>
      <c r="AF250" s="1502"/>
    </row>
    <row r="251" spans="1:32" s="1474" customFormat="1" ht="23.25" customHeight="1" thickBot="1">
      <c r="A251" s="1501"/>
      <c r="B251" s="1496"/>
      <c r="C251" s="1499"/>
      <c r="D251" s="1499"/>
      <c r="E251" s="1496"/>
      <c r="F251" s="1512">
        <f t="shared" si="17"/>
        <v>0</v>
      </c>
      <c r="G251" s="1499"/>
      <c r="H251" s="1500"/>
      <c r="I251" s="1499"/>
      <c r="J251" s="1499"/>
      <c r="K251" s="1499"/>
      <c r="L251" s="1499"/>
      <c r="M251" s="2172">
        <f t="shared" si="18"/>
        <v>0</v>
      </c>
      <c r="N251" s="2172">
        <f t="shared" si="19"/>
        <v>0</v>
      </c>
      <c r="O251" s="1497"/>
      <c r="P251" s="1497"/>
      <c r="Q251" s="1497"/>
      <c r="R251" s="2983"/>
      <c r="S251" s="2983"/>
      <c r="T251" s="1496"/>
      <c r="U251" s="2174">
        <f t="shared" si="20"/>
        <v>0</v>
      </c>
      <c r="V251" s="1495">
        <f t="shared" si="21"/>
        <v>0</v>
      </c>
      <c r="W251" s="1495">
        <f t="shared" si="22"/>
        <v>0</v>
      </c>
      <c r="X251" s="1495">
        <f t="shared" si="23"/>
        <v>0</v>
      </c>
      <c r="Y251" s="1495" t="e">
        <f t="shared" si="24"/>
        <v>#DIV/0!</v>
      </c>
      <c r="Z251" s="1495">
        <f t="shared" si="25"/>
        <v>0</v>
      </c>
      <c r="AA251" s="1506">
        <f t="shared" si="26"/>
        <v>0</v>
      </c>
      <c r="AB251" s="2928"/>
      <c r="AC251" s="1504">
        <f t="shared" si="37"/>
        <v>0</v>
      </c>
      <c r="AD251" s="1503">
        <f t="shared" si="38"/>
        <v>0</v>
      </c>
      <c r="AE251" s="1503"/>
      <c r="AF251" s="1502"/>
    </row>
    <row r="252" spans="1:32" s="1474" customFormat="1" ht="11.25" customHeight="1" thickTop="1" thickBot="1">
      <c r="A252" s="1488"/>
      <c r="B252" s="1486"/>
      <c r="C252" s="1487"/>
      <c r="D252" s="1487"/>
      <c r="E252" s="1486"/>
      <c r="F252" s="1486"/>
      <c r="G252" s="1486"/>
      <c r="H252" s="1486"/>
      <c r="I252" s="1486"/>
      <c r="J252" s="1486"/>
      <c r="K252" s="1486"/>
      <c r="L252" s="1486"/>
      <c r="M252" s="1486"/>
      <c r="N252" s="1486"/>
      <c r="O252" s="1486"/>
      <c r="P252" s="1486"/>
      <c r="Q252" s="1486"/>
      <c r="R252" s="1486"/>
      <c r="S252" s="1486"/>
      <c r="T252" s="1486"/>
      <c r="U252" s="2174">
        <f t="shared" ref="U252" si="74">SUM(O252+R252)</f>
        <v>0</v>
      </c>
      <c r="V252" s="1486"/>
      <c r="W252" s="1495">
        <f>SUM(Q252+T252)</f>
        <v>0</v>
      </c>
      <c r="X252" s="1486"/>
      <c r="Y252" s="1486"/>
      <c r="Z252" s="1495">
        <f>SUM(M252-U252)</f>
        <v>0</v>
      </c>
      <c r="AA252" s="1485"/>
      <c r="AB252" s="2929"/>
      <c r="AC252" s="1483"/>
      <c r="AD252" s="1483"/>
      <c r="AE252" s="1483"/>
      <c r="AF252" s="1482"/>
    </row>
    <row r="253" spans="1:32" s="1474" customFormat="1" ht="33" customHeight="1" thickTop="1" thickBot="1">
      <c r="A253" s="3410" t="s">
        <v>934</v>
      </c>
      <c r="B253" s="3410"/>
      <c r="C253" s="3410"/>
      <c r="D253" s="1480">
        <f>SUM(D68:D251)</f>
        <v>1109</v>
      </c>
      <c r="E253" s="1480">
        <f>SUM(E68:E251)</f>
        <v>2961300000</v>
      </c>
      <c r="F253" s="1480">
        <f>SUM(F68:F251)</f>
        <v>533034000</v>
      </c>
      <c r="G253" s="1481"/>
      <c r="H253" s="1481"/>
      <c r="I253" s="1481"/>
      <c r="J253" s="1481"/>
      <c r="K253" s="1481"/>
      <c r="L253" s="1481"/>
      <c r="M253" s="1480">
        <f t="shared" ref="M253:X253" si="75">SUM(M68:M251)</f>
        <v>2609132800</v>
      </c>
      <c r="N253" s="1480">
        <f t="shared" si="75"/>
        <v>451300500</v>
      </c>
      <c r="O253" s="1480">
        <f t="shared" si="75"/>
        <v>2424893000</v>
      </c>
      <c r="P253" s="1480">
        <f t="shared" si="75"/>
        <v>420658800</v>
      </c>
      <c r="Q253" s="1480">
        <f t="shared" si="75"/>
        <v>0</v>
      </c>
      <c r="R253" s="1480">
        <f t="shared" si="75"/>
        <v>50757100</v>
      </c>
      <c r="S253" s="1480">
        <f t="shared" si="75"/>
        <v>9135000</v>
      </c>
      <c r="T253" s="1480">
        <f t="shared" si="75"/>
        <v>0</v>
      </c>
      <c r="U253" s="1480">
        <f t="shared" si="75"/>
        <v>2475650100</v>
      </c>
      <c r="V253" s="1480">
        <f t="shared" si="75"/>
        <v>429793800</v>
      </c>
      <c r="W253" s="1480">
        <f t="shared" si="75"/>
        <v>0</v>
      </c>
      <c r="X253" s="1480">
        <f t="shared" si="75"/>
        <v>485649900</v>
      </c>
      <c r="Y253" s="1480">
        <f>SUM(U253/M253)*100</f>
        <v>94.884020468410029</v>
      </c>
      <c r="Z253" s="1480">
        <f>SUM(Z68:Z251)</f>
        <v>133482700</v>
      </c>
      <c r="AA253" s="1479">
        <f>SUM(AA68:AA251)</f>
        <v>21506700</v>
      </c>
      <c r="AB253" s="2930"/>
      <c r="AC253" s="1477">
        <f>SUM(AC68:AC251)</f>
        <v>53510100</v>
      </c>
      <c r="AD253" s="1476">
        <f>SUM(AD68:AD251)</f>
        <v>0</v>
      </c>
      <c r="AE253" s="1476">
        <f>SUM(AE68:AE251)</f>
        <v>49733400</v>
      </c>
      <c r="AF253" s="1475">
        <f>SUM(AF68:AF251)</f>
        <v>29429200</v>
      </c>
    </row>
    <row r="254" spans="1:32" s="1461" customFormat="1" ht="17.25" thickTop="1" thickBot="1">
      <c r="A254" s="3410" t="s">
        <v>1464</v>
      </c>
      <c r="B254" s="3410"/>
      <c r="C254" s="3410"/>
      <c r="D254" s="1473">
        <f>COUNT(D68:D251)</f>
        <v>109</v>
      </c>
      <c r="G254" s="1462"/>
      <c r="H254" s="1462"/>
      <c r="I254" s="1462"/>
      <c r="J254" s="1462"/>
      <c r="K254" s="1472"/>
      <c r="L254" s="1472"/>
      <c r="AB254" s="2925"/>
    </row>
    <row r="255" spans="1:32" s="1461" customFormat="1" ht="18.75" thickTop="1">
      <c r="A255" s="1465"/>
      <c r="B255" s="1465"/>
      <c r="C255" s="1466"/>
      <c r="D255" s="1466"/>
      <c r="E255" s="3410" t="s">
        <v>1463</v>
      </c>
      <c r="F255" s="3410"/>
      <c r="G255" s="3410"/>
      <c r="H255" s="3410"/>
      <c r="I255" s="3410"/>
      <c r="J255" s="3410"/>
      <c r="K255" s="3410"/>
      <c r="L255" s="3410"/>
      <c r="M255" s="3410"/>
      <c r="N255" s="3410"/>
      <c r="O255" s="1467"/>
      <c r="P255" s="1467"/>
      <c r="Q255" s="1467"/>
      <c r="R255" s="1467"/>
      <c r="S255" s="1467"/>
      <c r="T255" s="1467"/>
      <c r="U255" s="1471"/>
      <c r="V255" s="3410" t="s">
        <v>1462</v>
      </c>
      <c r="W255" s="3410"/>
      <c r="X255" s="3410"/>
      <c r="Y255" s="3410"/>
      <c r="Z255" s="1465"/>
      <c r="AA255" s="1465"/>
      <c r="AB255" s="2925"/>
    </row>
    <row r="256" spans="1:32" s="1461" customFormat="1" ht="17.25" customHeight="1">
      <c r="A256" s="1468"/>
      <c r="B256" s="1468"/>
      <c r="C256" s="1470"/>
      <c r="D256" s="1470"/>
      <c r="E256" s="1468"/>
      <c r="F256" s="1468"/>
      <c r="G256" s="1470"/>
      <c r="H256" s="1470"/>
      <c r="I256" s="1470"/>
      <c r="J256" s="1470"/>
      <c r="K256" s="1469"/>
      <c r="L256" s="1469"/>
      <c r="M256" s="1468"/>
      <c r="N256" s="1468"/>
      <c r="O256" s="1468"/>
      <c r="P256" s="1468"/>
      <c r="Q256" s="1468"/>
      <c r="R256" s="1468"/>
      <c r="S256" s="1468"/>
      <c r="T256" s="1468"/>
      <c r="U256" s="1468"/>
      <c r="V256" s="1468"/>
      <c r="W256" s="1468"/>
      <c r="X256" s="1468"/>
      <c r="Y256" s="1468"/>
      <c r="Z256" s="1468"/>
      <c r="AA256" s="1468"/>
      <c r="AB256" s="2925"/>
    </row>
    <row r="257" spans="1:32" s="1461" customFormat="1" ht="18">
      <c r="A257" s="1465"/>
      <c r="B257" s="1465"/>
      <c r="C257" s="1466"/>
      <c r="D257" s="1466"/>
      <c r="E257" s="3410" t="str">
        <f>E52</f>
        <v>Endang Taryana</v>
      </c>
      <c r="F257" s="3410"/>
      <c r="G257" s="3410"/>
      <c r="H257" s="3410"/>
      <c r="I257" s="3410"/>
      <c r="J257" s="3410"/>
      <c r="K257" s="3410"/>
      <c r="L257" s="3410"/>
      <c r="M257" s="3410"/>
      <c r="N257" s="3410"/>
      <c r="O257" s="1467" t="s">
        <v>1461</v>
      </c>
      <c r="P257" s="3410"/>
      <c r="Q257" s="3410"/>
      <c r="R257" s="3410"/>
      <c r="S257" s="1465"/>
      <c r="T257" s="1465"/>
      <c r="U257" s="1465"/>
      <c r="V257" s="3410" t="str">
        <f>V52</f>
        <v>Arin Yustini, SE</v>
      </c>
      <c r="W257" s="3410"/>
      <c r="X257" s="3410"/>
      <c r="Y257" s="3410"/>
      <c r="Z257" s="1465"/>
      <c r="AA257" s="1465"/>
      <c r="AB257" s="2925"/>
    </row>
    <row r="258" spans="1:32" ht="18">
      <c r="A258" s="1465"/>
      <c r="B258" s="1465"/>
      <c r="C258" s="1466"/>
      <c r="D258" s="1466"/>
      <c r="E258" s="3410" t="s">
        <v>23</v>
      </c>
      <c r="F258" s="3410"/>
      <c r="G258" s="3410"/>
      <c r="H258" s="3410"/>
      <c r="I258" s="3410"/>
      <c r="J258" s="3410"/>
      <c r="K258" s="3410"/>
      <c r="L258" s="3410"/>
      <c r="M258" s="3410"/>
      <c r="N258" s="3410"/>
      <c r="O258" s="1465"/>
      <c r="P258" s="3410"/>
      <c r="Q258" s="3410"/>
      <c r="R258" s="3410"/>
      <c r="S258" s="1465"/>
      <c r="T258" s="1465"/>
      <c r="U258" s="1465"/>
      <c r="V258" s="3410" t="s">
        <v>24</v>
      </c>
      <c r="W258" s="3410"/>
      <c r="X258" s="3410"/>
      <c r="Y258" s="3410"/>
      <c r="Z258" s="1465"/>
      <c r="AA258" s="1465"/>
      <c r="AE258" s="1461"/>
      <c r="AF258" s="1461"/>
    </row>
  </sheetData>
  <protectedRanges>
    <protectedRange sqref="W13:W46 W68:W252" name="Range1_1"/>
  </protectedRanges>
  <mergeCells count="74">
    <mergeCell ref="E258:N258"/>
    <mergeCell ref="K65:L65"/>
    <mergeCell ref="E65:F65"/>
    <mergeCell ref="G65:G66"/>
    <mergeCell ref="E257:N257"/>
    <mergeCell ref="E255:N255"/>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255:Y255"/>
    <mergeCell ref="U65:W65"/>
    <mergeCell ref="E52:N52"/>
    <mergeCell ref="A57:AA57"/>
    <mergeCell ref="E53:N53"/>
    <mergeCell ref="P53:R53"/>
    <mergeCell ref="R65:T65"/>
    <mergeCell ref="A254:C254"/>
    <mergeCell ref="A61:C61"/>
    <mergeCell ref="A62:C62"/>
    <mergeCell ref="A63:C63"/>
    <mergeCell ref="H65:H67"/>
    <mergeCell ref="V258:Y258"/>
    <mergeCell ref="Z65:AA65"/>
    <mergeCell ref="P52:R52"/>
    <mergeCell ref="V52:Y52"/>
    <mergeCell ref="V257:Y257"/>
    <mergeCell ref="P257:R257"/>
    <mergeCell ref="P258:R258"/>
    <mergeCell ref="V53:Y53"/>
    <mergeCell ref="A56:AA56"/>
    <mergeCell ref="A253:C253"/>
    <mergeCell ref="A58:AA58"/>
    <mergeCell ref="A60:C60"/>
    <mergeCell ref="A59:AA59"/>
    <mergeCell ref="A65:A66"/>
    <mergeCell ref="B65:C65"/>
    <mergeCell ref="D65:D67"/>
    <mergeCell ref="AB65:AB66"/>
    <mergeCell ref="K66:K67"/>
    <mergeCell ref="L66:L67"/>
    <mergeCell ref="I65:I67"/>
    <mergeCell ref="J65:J67"/>
    <mergeCell ref="X65:X66"/>
    <mergeCell ref="M65:N65"/>
    <mergeCell ref="Y65:Y66"/>
    <mergeCell ref="O65:Q65"/>
  </mergeCells>
  <pageMargins left="0.35" right="0.15748031496062992" top="0.54" bottom="0.81" header="0.71" footer="0.79"/>
  <pageSetup paperSize="5" scale="39" orientation="landscape" r:id="rId1"/>
  <headerFooter alignWithMargins="0"/>
  <drawing r:id="rId2"/>
  <legacyDrawing r:id="rId3"/>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199"/>
  <sheetViews>
    <sheetView topLeftCell="A175" zoomScale="62" zoomScaleNormal="62" workbookViewId="0">
      <selection activeCell="I188" sqref="I188"/>
    </sheetView>
  </sheetViews>
  <sheetFormatPr defaultColWidth="9.140625" defaultRowHeight="15.75"/>
  <cols>
    <col min="1" max="1" width="9.85546875" style="1460" customWidth="1"/>
    <col min="2" max="2" width="25" style="1460" customWidth="1"/>
    <col min="3" max="3" width="12.5703125" style="1464" bestFit="1" customWidth="1"/>
    <col min="4" max="4" width="6.7109375" style="1464" customWidth="1"/>
    <col min="5" max="5" width="19.28515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9.5703125" style="1461" customWidth="1"/>
    <col min="14" max="14" width="16.42578125" style="1461" customWidth="1"/>
    <col min="15" max="15" width="19.28515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9.28515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525" t="s">
        <v>0</v>
      </c>
      <c r="B1" s="3525"/>
      <c r="C1" s="3525"/>
      <c r="D1" s="3525"/>
      <c r="E1" s="3525"/>
      <c r="F1" s="3525"/>
      <c r="G1" s="3525"/>
      <c r="H1" s="3525"/>
      <c r="I1" s="3525"/>
      <c r="J1" s="3525"/>
      <c r="K1" s="3525"/>
      <c r="L1" s="3525"/>
      <c r="M1" s="3525"/>
      <c r="N1" s="3525"/>
      <c r="O1" s="3525"/>
      <c r="P1" s="3525"/>
      <c r="Q1" s="3525"/>
      <c r="R1" s="3525"/>
      <c r="S1" s="3525"/>
      <c r="T1" s="3525"/>
      <c r="U1" s="3525"/>
      <c r="V1" s="3525"/>
      <c r="W1" s="3525"/>
      <c r="X1" s="3525"/>
      <c r="Y1" s="3525"/>
      <c r="Z1" s="3525"/>
      <c r="AA1" s="3525"/>
      <c r="AB1" s="1562"/>
      <c r="AC1" s="1560"/>
      <c r="AD1" s="1560"/>
      <c r="AE1" s="1560"/>
      <c r="AF1" s="1560"/>
    </row>
    <row r="2" spans="1:32" s="1559" customFormat="1" ht="24.75" customHeight="1">
      <c r="A2" s="3525" t="str">
        <f>'LPP-SPP'!A2:W2</f>
        <v>LAPORAN PERKEMBANGAN PINJAMAN  SPP</v>
      </c>
      <c r="B2" s="3525"/>
      <c r="C2" s="3525"/>
      <c r="D2" s="3525"/>
      <c r="E2" s="3525"/>
      <c r="F2" s="3525"/>
      <c r="G2" s="3525"/>
      <c r="H2" s="3525"/>
      <c r="I2" s="3525"/>
      <c r="J2" s="3525"/>
      <c r="K2" s="3525"/>
      <c r="L2" s="3525"/>
      <c r="M2" s="3525"/>
      <c r="N2" s="3525"/>
      <c r="O2" s="3525"/>
      <c r="P2" s="3525"/>
      <c r="Q2" s="3525"/>
      <c r="R2" s="3525"/>
      <c r="S2" s="3525"/>
      <c r="T2" s="3525"/>
      <c r="U2" s="3525"/>
      <c r="V2" s="3525"/>
      <c r="W2" s="3525"/>
      <c r="X2" s="3525"/>
      <c r="Y2" s="3525"/>
      <c r="Z2" s="3525"/>
      <c r="AA2" s="3525"/>
      <c r="AB2" s="1562"/>
      <c r="AC2" s="1560"/>
      <c r="AD2" s="1560"/>
      <c r="AE2" s="1560"/>
      <c r="AF2" s="1560"/>
    </row>
    <row r="3" spans="1:32" s="1559" customFormat="1" ht="34.5">
      <c r="A3" s="3525" t="s">
        <v>1506</v>
      </c>
      <c r="B3" s="3525"/>
      <c r="C3" s="3525"/>
      <c r="D3" s="3525"/>
      <c r="E3" s="3525"/>
      <c r="F3" s="3525"/>
      <c r="G3" s="3525"/>
      <c r="H3" s="3525"/>
      <c r="I3" s="3525"/>
      <c r="J3" s="3525"/>
      <c r="K3" s="3525"/>
      <c r="L3" s="3525"/>
      <c r="M3" s="3525"/>
      <c r="N3" s="3525"/>
      <c r="O3" s="3525"/>
      <c r="P3" s="3525"/>
      <c r="Q3" s="3525"/>
      <c r="R3" s="3525"/>
      <c r="S3" s="3525"/>
      <c r="T3" s="3525"/>
      <c r="U3" s="3525"/>
      <c r="V3" s="3525"/>
      <c r="W3" s="3525"/>
      <c r="X3" s="3525"/>
      <c r="Y3" s="3525"/>
      <c r="Z3" s="3525"/>
      <c r="AA3" s="3525"/>
      <c r="AB3" s="1561"/>
      <c r="AC3" s="1560"/>
      <c r="AD3" s="1560"/>
      <c r="AE3" s="1560"/>
      <c r="AF3" s="1560"/>
    </row>
    <row r="4" spans="1:32" s="1542" customFormat="1" ht="24.75" customHeight="1">
      <c r="A4" s="3525" t="str">
        <f>'LPP-SPP'!A4</f>
        <v>Per - Februari 2016 2016</v>
      </c>
      <c r="B4" s="3525"/>
      <c r="C4" s="3525"/>
      <c r="D4" s="3525"/>
      <c r="E4" s="3525"/>
      <c r="F4" s="3525"/>
      <c r="G4" s="3525"/>
      <c r="H4" s="3525"/>
      <c r="I4" s="3525"/>
      <c r="J4" s="3525"/>
      <c r="K4" s="3525"/>
      <c r="L4" s="3525"/>
      <c r="M4" s="3525"/>
      <c r="N4" s="3525"/>
      <c r="O4" s="3525"/>
      <c r="P4" s="3525"/>
      <c r="Q4" s="3525"/>
      <c r="R4" s="3525"/>
      <c r="S4" s="3525"/>
      <c r="T4" s="3525"/>
      <c r="U4" s="3525"/>
      <c r="V4" s="3525"/>
      <c r="W4" s="3525"/>
      <c r="X4" s="3525"/>
      <c r="Y4" s="3525"/>
      <c r="Z4" s="3525"/>
      <c r="AA4" s="3525"/>
      <c r="AB4" s="1556"/>
      <c r="AC4" s="1555"/>
      <c r="AD4" s="1555"/>
      <c r="AE4" s="1555"/>
      <c r="AF4" s="1555"/>
    </row>
    <row r="5" spans="1:32" s="1542" customFormat="1" ht="24.75" customHeight="1">
      <c r="A5" s="3653" t="s">
        <v>1503</v>
      </c>
      <c r="B5" s="3653"/>
      <c r="C5" s="3653"/>
      <c r="D5" s="1553"/>
      <c r="E5" s="1558" t="str">
        <f>":  "&amp;DT!I12</f>
        <v>:  GIRIJAYA</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653" t="s">
        <v>1502</v>
      </c>
      <c r="B6" s="3653"/>
      <c r="C6" s="3653"/>
      <c r="D6" s="1553"/>
      <c r="E6" s="1552" t="str">
        <f>'LPP-SPP'!F6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653" t="s">
        <v>1501</v>
      </c>
      <c r="B7" s="3653"/>
      <c r="C7" s="3653"/>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653" t="s">
        <v>1500</v>
      </c>
      <c r="B8" s="3653"/>
      <c r="C8" s="3653"/>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3" t="s">
        <v>36</v>
      </c>
      <c r="B10" s="3413" t="s">
        <v>1499</v>
      </c>
      <c r="C10" s="3413"/>
      <c r="D10" s="3413" t="s">
        <v>1498</v>
      </c>
      <c r="E10" s="3413" t="s">
        <v>1497</v>
      </c>
      <c r="F10" s="3413"/>
      <c r="G10" s="3413" t="s">
        <v>1496</v>
      </c>
      <c r="H10" s="3413" t="s">
        <v>1495</v>
      </c>
      <c r="I10" s="3413" t="s">
        <v>1494</v>
      </c>
      <c r="J10" s="3413" t="s">
        <v>1493</v>
      </c>
      <c r="K10" s="3413" t="s">
        <v>1492</v>
      </c>
      <c r="L10" s="3413"/>
      <c r="M10" s="3413" t="s">
        <v>1491</v>
      </c>
      <c r="N10" s="3413"/>
      <c r="O10" s="3413" t="s">
        <v>1490</v>
      </c>
      <c r="P10" s="3413"/>
      <c r="Q10" s="3413"/>
      <c r="R10" s="3413" t="s">
        <v>1489</v>
      </c>
      <c r="S10" s="3413"/>
      <c r="T10" s="3413"/>
      <c r="U10" s="3413" t="s">
        <v>1488</v>
      </c>
      <c r="V10" s="3413"/>
      <c r="W10" s="3413"/>
      <c r="X10" s="3413" t="s">
        <v>1487</v>
      </c>
      <c r="Y10" s="3413" t="s">
        <v>1486</v>
      </c>
      <c r="Z10" s="3413" t="s">
        <v>1485</v>
      </c>
      <c r="AA10" s="3413"/>
      <c r="AB10" s="3410" t="s">
        <v>1484</v>
      </c>
      <c r="AC10" s="1541" t="s">
        <v>1483</v>
      </c>
      <c r="AD10" s="1540" t="s">
        <v>1482</v>
      </c>
      <c r="AE10" s="1540" t="s">
        <v>1481</v>
      </c>
      <c r="AF10" s="1539" t="s">
        <v>1480</v>
      </c>
    </row>
    <row r="11" spans="1:32" ht="31.5" customHeight="1">
      <c r="A11" s="3413"/>
      <c r="B11" s="1536" t="s">
        <v>1479</v>
      </c>
      <c r="C11" s="1536" t="s">
        <v>1478</v>
      </c>
      <c r="D11" s="3413"/>
      <c r="E11" s="1537" t="s">
        <v>16</v>
      </c>
      <c r="F11" s="1537" t="s">
        <v>1476</v>
      </c>
      <c r="G11" s="3413"/>
      <c r="H11" s="3413"/>
      <c r="I11" s="3413"/>
      <c r="J11" s="3413"/>
      <c r="K11" s="3413" t="s">
        <v>16</v>
      </c>
      <c r="L11" s="3413" t="s">
        <v>1476</v>
      </c>
      <c r="M11" s="1537" t="s">
        <v>16</v>
      </c>
      <c r="N11" s="1537" t="s">
        <v>1476</v>
      </c>
      <c r="O11" s="1537" t="s">
        <v>16</v>
      </c>
      <c r="P11" s="1537" t="s">
        <v>1476</v>
      </c>
      <c r="Q11" s="1537" t="s">
        <v>1477</v>
      </c>
      <c r="R11" s="1537" t="s">
        <v>16</v>
      </c>
      <c r="S11" s="1537" t="s">
        <v>1476</v>
      </c>
      <c r="T11" s="1537" t="s">
        <v>1477</v>
      </c>
      <c r="U11" s="1537" t="s">
        <v>16</v>
      </c>
      <c r="V11" s="1537" t="s">
        <v>1476</v>
      </c>
      <c r="W11" s="1537" t="s">
        <v>1477</v>
      </c>
      <c r="X11" s="3413"/>
      <c r="Y11" s="3413"/>
      <c r="Z11" s="1537" t="s">
        <v>16</v>
      </c>
      <c r="AA11" s="1537" t="s">
        <v>1476</v>
      </c>
      <c r="AB11" s="3410"/>
      <c r="AC11" s="1531" t="s">
        <v>1475</v>
      </c>
      <c r="AD11" s="1530" t="s">
        <v>1474</v>
      </c>
      <c r="AE11" s="1530" t="s">
        <v>1473</v>
      </c>
      <c r="AF11" s="1529" t="s">
        <v>1472</v>
      </c>
    </row>
    <row r="12" spans="1:32" s="1528" customFormat="1" ht="14.25" customHeight="1" thickBot="1">
      <c r="A12" s="2166">
        <v>1</v>
      </c>
      <c r="B12" s="2166">
        <v>2</v>
      </c>
      <c r="C12" s="2166">
        <v>3</v>
      </c>
      <c r="D12" s="3413"/>
      <c r="E12" s="2166">
        <v>4</v>
      </c>
      <c r="F12" s="2177">
        <v>5</v>
      </c>
      <c r="G12" s="2166">
        <v>6</v>
      </c>
      <c r="H12" s="3413"/>
      <c r="I12" s="3413"/>
      <c r="J12" s="3413"/>
      <c r="K12" s="3413"/>
      <c r="L12" s="3413"/>
      <c r="M12" s="2166">
        <v>7</v>
      </c>
      <c r="N12" s="2166">
        <v>8</v>
      </c>
      <c r="O12" s="2166">
        <v>9</v>
      </c>
      <c r="P12" s="2166">
        <v>10</v>
      </c>
      <c r="Q12" s="2166">
        <v>11</v>
      </c>
      <c r="R12" s="2166">
        <v>12</v>
      </c>
      <c r="S12" s="2166">
        <v>13</v>
      </c>
      <c r="T12" s="2166">
        <v>14</v>
      </c>
      <c r="U12" s="2166" t="s">
        <v>1471</v>
      </c>
      <c r="V12" s="2166" t="s">
        <v>1470</v>
      </c>
      <c r="W12" s="2166" t="s">
        <v>1469</v>
      </c>
      <c r="X12" s="2166" t="s">
        <v>1468</v>
      </c>
      <c r="Y12" s="2167" t="s">
        <v>1467</v>
      </c>
      <c r="Z12" s="2166" t="s">
        <v>1466</v>
      </c>
      <c r="AA12" s="2167" t="s">
        <v>1465</v>
      </c>
      <c r="AB12" s="2165">
        <v>22</v>
      </c>
      <c r="AC12" s="1518">
        <v>23</v>
      </c>
      <c r="AD12" s="1517">
        <v>24</v>
      </c>
      <c r="AE12" s="1517">
        <v>25</v>
      </c>
      <c r="AF12" s="1516">
        <v>26</v>
      </c>
    </row>
    <row r="13" spans="1:32" s="1474" customFormat="1" ht="23.25" customHeight="1" thickTop="1">
      <c r="A13" s="1515">
        <v>1</v>
      </c>
      <c r="B13" s="1513" t="s">
        <v>2128</v>
      </c>
      <c r="C13" s="1514" t="s">
        <v>1916</v>
      </c>
      <c r="D13" s="1514"/>
      <c r="E13" s="1513">
        <v>13000000</v>
      </c>
      <c r="F13" s="1512">
        <f t="shared" ref="F13:F46" si="0">E13*H13</f>
        <v>2340000</v>
      </c>
      <c r="G13" s="2141">
        <v>39776</v>
      </c>
      <c r="H13" s="1511">
        <v>0.18</v>
      </c>
      <c r="I13" s="1508">
        <v>12</v>
      </c>
      <c r="J13" s="1569">
        <v>12</v>
      </c>
      <c r="K13" s="2176">
        <v>1083300</v>
      </c>
      <c r="L13" s="2176">
        <v>195000</v>
      </c>
      <c r="M13" s="1567">
        <f t="shared" ref="M13:M46" si="1">IF(J13&lt;I13,J13*K13,IF(J13&gt;=I13,E13))</f>
        <v>13000000</v>
      </c>
      <c r="N13" s="1510">
        <f t="shared" ref="N13:N46" si="2">IF(J13&lt;I13,J13*L13,IF(J13&gt;=I13,F13))</f>
        <v>2340000</v>
      </c>
      <c r="O13" s="1509">
        <v>13000000</v>
      </c>
      <c r="P13" s="1509">
        <v>2340000</v>
      </c>
      <c r="Q13" s="1509"/>
      <c r="R13" s="1508">
        <v>0</v>
      </c>
      <c r="S13" s="1508">
        <v>0</v>
      </c>
      <c r="T13" s="1507"/>
      <c r="U13" s="1495">
        <f t="shared" ref="U13:U46" si="3">SUM(O13+R13)</f>
        <v>13000000</v>
      </c>
      <c r="V13" s="1495">
        <f t="shared" ref="V13:V46" si="4">SUM(P13+S13)</f>
        <v>2340000</v>
      </c>
      <c r="W13" s="1495">
        <f t="shared" ref="W13:W46" si="5">SUM(Q13+T13)</f>
        <v>0</v>
      </c>
      <c r="X13" s="1495">
        <f t="shared" ref="X13:X46" si="6">SUM(E13-U13)</f>
        <v>0</v>
      </c>
      <c r="Y13" s="1495">
        <f t="shared" ref="Y13:Y46" si="7">SUM(U13/M13)*100</f>
        <v>100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f>A13+1</f>
        <v>2</v>
      </c>
      <c r="B14" s="1513" t="s">
        <v>1901</v>
      </c>
      <c r="C14" s="1514" t="s">
        <v>1916</v>
      </c>
      <c r="D14" s="1514"/>
      <c r="E14" s="1513">
        <v>6500000</v>
      </c>
      <c r="F14" s="1512">
        <f t="shared" si="0"/>
        <v>1170000</v>
      </c>
      <c r="G14" s="2141">
        <v>39776</v>
      </c>
      <c r="H14" s="1511">
        <v>0.18</v>
      </c>
      <c r="I14" s="1508">
        <v>12</v>
      </c>
      <c r="J14" s="1508">
        <v>12</v>
      </c>
      <c r="K14" s="1508">
        <v>541700</v>
      </c>
      <c r="L14" s="1508">
        <v>97500</v>
      </c>
      <c r="M14" s="1510">
        <f t="shared" si="1"/>
        <v>6500000</v>
      </c>
      <c r="N14" s="1510">
        <f t="shared" si="2"/>
        <v>1170000</v>
      </c>
      <c r="O14" s="1509">
        <v>6500000</v>
      </c>
      <c r="P14" s="1509">
        <v>1170000</v>
      </c>
      <c r="Q14" s="1509"/>
      <c r="R14" s="1508">
        <v>0</v>
      </c>
      <c r="S14" s="1508">
        <v>0</v>
      </c>
      <c r="T14" s="1507"/>
      <c r="U14" s="1495">
        <f t="shared" si="3"/>
        <v>6500000</v>
      </c>
      <c r="V14" s="1495">
        <f t="shared" si="4"/>
        <v>1170000</v>
      </c>
      <c r="W14" s="1495">
        <f t="shared" si="5"/>
        <v>0</v>
      </c>
      <c r="X14" s="1495">
        <f t="shared" si="6"/>
        <v>0</v>
      </c>
      <c r="Y14" s="1495">
        <f t="shared" si="7"/>
        <v>100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f t="shared" ref="A15:A28" si="14">A14+1</f>
        <v>3</v>
      </c>
      <c r="B15" s="1513" t="s">
        <v>2129</v>
      </c>
      <c r="C15" s="1514" t="s">
        <v>1916</v>
      </c>
      <c r="D15" s="1514"/>
      <c r="E15" s="1513">
        <v>6000000</v>
      </c>
      <c r="F15" s="1512">
        <f t="shared" si="0"/>
        <v>1080000</v>
      </c>
      <c r="G15" s="2141">
        <v>39776</v>
      </c>
      <c r="H15" s="1511">
        <v>0.18</v>
      </c>
      <c r="I15" s="1508">
        <v>12</v>
      </c>
      <c r="J15" s="1508">
        <v>12</v>
      </c>
      <c r="K15" s="1508">
        <v>500000</v>
      </c>
      <c r="L15" s="1508">
        <v>90000</v>
      </c>
      <c r="M15" s="1510">
        <f t="shared" si="1"/>
        <v>6000000</v>
      </c>
      <c r="N15" s="1510">
        <f t="shared" si="2"/>
        <v>1080000</v>
      </c>
      <c r="O15" s="1509">
        <v>6000000</v>
      </c>
      <c r="P15" s="1509">
        <v>1080000</v>
      </c>
      <c r="Q15" s="1509"/>
      <c r="R15" s="1508">
        <v>0</v>
      </c>
      <c r="S15" s="1508">
        <v>0</v>
      </c>
      <c r="T15" s="1507"/>
      <c r="U15" s="1495">
        <f t="shared" si="3"/>
        <v>6000000</v>
      </c>
      <c r="V15" s="1495">
        <f t="shared" si="4"/>
        <v>1080000</v>
      </c>
      <c r="W15" s="1495">
        <f t="shared" si="5"/>
        <v>0</v>
      </c>
      <c r="X15" s="1495">
        <f t="shared" si="6"/>
        <v>0</v>
      </c>
      <c r="Y15" s="1495">
        <f t="shared" si="7"/>
        <v>100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f t="shared" si="14"/>
        <v>4</v>
      </c>
      <c r="B16" s="1513" t="s">
        <v>1977</v>
      </c>
      <c r="C16" s="1514" t="s">
        <v>1916</v>
      </c>
      <c r="D16" s="1514"/>
      <c r="E16" s="1513">
        <v>12000000</v>
      </c>
      <c r="F16" s="1512">
        <f t="shared" si="0"/>
        <v>2160000</v>
      </c>
      <c r="G16" s="2141">
        <v>39776</v>
      </c>
      <c r="H16" s="1511">
        <v>0.18</v>
      </c>
      <c r="I16" s="1508">
        <v>12</v>
      </c>
      <c r="J16" s="1508">
        <v>12</v>
      </c>
      <c r="K16" s="1508">
        <v>1000000</v>
      </c>
      <c r="L16" s="1508">
        <v>180000</v>
      </c>
      <c r="M16" s="1510">
        <f t="shared" si="1"/>
        <v>12000000</v>
      </c>
      <c r="N16" s="1510">
        <f t="shared" si="2"/>
        <v>2160000</v>
      </c>
      <c r="O16" s="1509">
        <v>12000000</v>
      </c>
      <c r="P16" s="1509">
        <v>2160000</v>
      </c>
      <c r="Q16" s="1509"/>
      <c r="R16" s="1508">
        <v>0</v>
      </c>
      <c r="S16" s="1508">
        <v>0</v>
      </c>
      <c r="T16" s="1507"/>
      <c r="U16" s="1495">
        <f t="shared" si="3"/>
        <v>12000000</v>
      </c>
      <c r="V16" s="1495">
        <f t="shared" si="4"/>
        <v>2160000</v>
      </c>
      <c r="W16" s="1495">
        <f t="shared" si="5"/>
        <v>0</v>
      </c>
      <c r="X16" s="1495">
        <f t="shared" si="6"/>
        <v>0</v>
      </c>
      <c r="Y16" s="1495">
        <f t="shared" si="7"/>
        <v>100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f t="shared" si="14"/>
        <v>5</v>
      </c>
      <c r="B17" s="1513" t="s">
        <v>2130</v>
      </c>
      <c r="C17" s="1514" t="s">
        <v>1916</v>
      </c>
      <c r="D17" s="1514"/>
      <c r="E17" s="1513">
        <v>8000000</v>
      </c>
      <c r="F17" s="1512">
        <f t="shared" si="0"/>
        <v>1440000</v>
      </c>
      <c r="G17" s="2141">
        <v>39776</v>
      </c>
      <c r="H17" s="1511">
        <v>0.18</v>
      </c>
      <c r="I17" s="1508">
        <v>12</v>
      </c>
      <c r="J17" s="1508">
        <v>12</v>
      </c>
      <c r="K17" s="1508">
        <v>666700</v>
      </c>
      <c r="L17" s="1508">
        <v>120000</v>
      </c>
      <c r="M17" s="1510">
        <f t="shared" si="1"/>
        <v>8000000</v>
      </c>
      <c r="N17" s="1510">
        <f t="shared" si="2"/>
        <v>1440000</v>
      </c>
      <c r="O17" s="1509">
        <v>8000000</v>
      </c>
      <c r="P17" s="1509">
        <v>1440000</v>
      </c>
      <c r="Q17" s="1509"/>
      <c r="R17" s="1508">
        <v>0</v>
      </c>
      <c r="S17" s="1508">
        <v>0</v>
      </c>
      <c r="T17" s="1507"/>
      <c r="U17" s="1495">
        <f t="shared" si="3"/>
        <v>8000000</v>
      </c>
      <c r="V17" s="1495">
        <f t="shared" si="4"/>
        <v>1440000</v>
      </c>
      <c r="W17" s="1495">
        <f t="shared" si="5"/>
        <v>0</v>
      </c>
      <c r="X17" s="1495">
        <f t="shared" si="6"/>
        <v>0</v>
      </c>
      <c r="Y17" s="1495">
        <f t="shared" si="7"/>
        <v>100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f t="shared" si="14"/>
        <v>6</v>
      </c>
      <c r="B18" s="1513" t="s">
        <v>2131</v>
      </c>
      <c r="C18" s="1514" t="s">
        <v>1916</v>
      </c>
      <c r="D18" s="1514"/>
      <c r="E18" s="1513">
        <v>10000000</v>
      </c>
      <c r="F18" s="1512">
        <f t="shared" si="0"/>
        <v>1800000</v>
      </c>
      <c r="G18" s="2141">
        <v>39776</v>
      </c>
      <c r="H18" s="1511">
        <v>0.18</v>
      </c>
      <c r="I18" s="1508">
        <v>12</v>
      </c>
      <c r="J18" s="1508">
        <v>12</v>
      </c>
      <c r="K18" s="1508">
        <v>833300</v>
      </c>
      <c r="L18" s="1508">
        <v>150000</v>
      </c>
      <c r="M18" s="1510">
        <f t="shared" si="1"/>
        <v>10000000</v>
      </c>
      <c r="N18" s="1510">
        <f t="shared" si="2"/>
        <v>1800000</v>
      </c>
      <c r="O18" s="1509">
        <v>10000000</v>
      </c>
      <c r="P18" s="1509">
        <v>1800000</v>
      </c>
      <c r="Q18" s="1509"/>
      <c r="R18" s="1508">
        <v>0</v>
      </c>
      <c r="S18" s="1508">
        <v>0</v>
      </c>
      <c r="T18" s="1507"/>
      <c r="U18" s="1495">
        <f t="shared" si="3"/>
        <v>10000000</v>
      </c>
      <c r="V18" s="1495">
        <f t="shared" si="4"/>
        <v>1800000</v>
      </c>
      <c r="W18" s="1495">
        <f t="shared" si="5"/>
        <v>0</v>
      </c>
      <c r="X18" s="1495">
        <f t="shared" si="6"/>
        <v>0</v>
      </c>
      <c r="Y18" s="1495">
        <f t="shared" si="7"/>
        <v>100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f t="shared" si="14"/>
        <v>7</v>
      </c>
      <c r="B19" s="1513" t="s">
        <v>2132</v>
      </c>
      <c r="C19" s="1514" t="s">
        <v>1916</v>
      </c>
      <c r="D19" s="1514"/>
      <c r="E19" s="1513">
        <v>9000000</v>
      </c>
      <c r="F19" s="1512">
        <f t="shared" si="0"/>
        <v>1620000</v>
      </c>
      <c r="G19" s="2141">
        <v>39776</v>
      </c>
      <c r="H19" s="1511">
        <v>0.18</v>
      </c>
      <c r="I19" s="1508">
        <v>12</v>
      </c>
      <c r="J19" s="1508">
        <v>12</v>
      </c>
      <c r="K19" s="1508">
        <v>750000</v>
      </c>
      <c r="L19" s="1508">
        <v>135000</v>
      </c>
      <c r="M19" s="1510">
        <f t="shared" si="1"/>
        <v>9000000</v>
      </c>
      <c r="N19" s="1510">
        <f t="shared" si="2"/>
        <v>1620000</v>
      </c>
      <c r="O19" s="1509">
        <v>9000000</v>
      </c>
      <c r="P19" s="1509">
        <v>1620000</v>
      </c>
      <c r="Q19" s="1509"/>
      <c r="R19" s="1508">
        <v>0</v>
      </c>
      <c r="S19" s="1508">
        <v>0</v>
      </c>
      <c r="T19" s="1507"/>
      <c r="U19" s="1495">
        <f t="shared" si="3"/>
        <v>9000000</v>
      </c>
      <c r="V19" s="1495">
        <f t="shared" si="4"/>
        <v>1620000</v>
      </c>
      <c r="W19" s="1495">
        <f t="shared" si="5"/>
        <v>0</v>
      </c>
      <c r="X19" s="1495">
        <f t="shared" si="6"/>
        <v>0</v>
      </c>
      <c r="Y19" s="1495">
        <f t="shared" si="7"/>
        <v>100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f t="shared" si="14"/>
        <v>8</v>
      </c>
      <c r="B20" s="1513" t="s">
        <v>2133</v>
      </c>
      <c r="C20" s="1514" t="s">
        <v>1919</v>
      </c>
      <c r="D20" s="1514"/>
      <c r="E20" s="1513">
        <v>8000000</v>
      </c>
      <c r="F20" s="1512">
        <f t="shared" si="0"/>
        <v>1440000</v>
      </c>
      <c r="G20" s="2141">
        <v>40161</v>
      </c>
      <c r="H20" s="1511">
        <v>0.18</v>
      </c>
      <c r="I20" s="1508">
        <v>12</v>
      </c>
      <c r="J20" s="1508">
        <v>12</v>
      </c>
      <c r="K20" s="1508">
        <v>666700</v>
      </c>
      <c r="L20" s="1508">
        <v>120000</v>
      </c>
      <c r="M20" s="1510">
        <f t="shared" si="1"/>
        <v>8000000</v>
      </c>
      <c r="N20" s="1510">
        <f t="shared" si="2"/>
        <v>1440000</v>
      </c>
      <c r="O20" s="1509">
        <v>8000000</v>
      </c>
      <c r="P20" s="1509">
        <v>1440000</v>
      </c>
      <c r="Q20" s="1509"/>
      <c r="R20" s="1508">
        <v>0</v>
      </c>
      <c r="S20" s="1508">
        <v>0</v>
      </c>
      <c r="T20" s="1507"/>
      <c r="U20" s="1495">
        <f t="shared" si="3"/>
        <v>8000000</v>
      </c>
      <c r="V20" s="1495">
        <f t="shared" si="4"/>
        <v>1440000</v>
      </c>
      <c r="W20" s="1495">
        <f t="shared" si="5"/>
        <v>0</v>
      </c>
      <c r="X20" s="1495">
        <f t="shared" si="6"/>
        <v>0</v>
      </c>
      <c r="Y20" s="1495">
        <f t="shared" si="7"/>
        <v>100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f t="shared" si="14"/>
        <v>9</v>
      </c>
      <c r="B21" s="1513" t="s">
        <v>2134</v>
      </c>
      <c r="C21" s="1514" t="s">
        <v>1919</v>
      </c>
      <c r="D21" s="1514"/>
      <c r="E21" s="1513">
        <v>8000000</v>
      </c>
      <c r="F21" s="1512">
        <f t="shared" si="0"/>
        <v>1440000</v>
      </c>
      <c r="G21" s="2141">
        <v>40161</v>
      </c>
      <c r="H21" s="1511">
        <v>0.18</v>
      </c>
      <c r="I21" s="1508">
        <v>12</v>
      </c>
      <c r="J21" s="1508">
        <v>12</v>
      </c>
      <c r="K21" s="1508">
        <v>666700</v>
      </c>
      <c r="L21" s="1508">
        <v>120000</v>
      </c>
      <c r="M21" s="1510">
        <f t="shared" si="1"/>
        <v>8000000</v>
      </c>
      <c r="N21" s="1510">
        <f t="shared" si="2"/>
        <v>1440000</v>
      </c>
      <c r="O21" s="1509">
        <v>8000000</v>
      </c>
      <c r="P21" s="1509">
        <v>1440000</v>
      </c>
      <c r="Q21" s="1509"/>
      <c r="R21" s="1508">
        <v>0</v>
      </c>
      <c r="S21" s="1508">
        <v>0</v>
      </c>
      <c r="T21" s="1507"/>
      <c r="U21" s="1495">
        <f t="shared" si="3"/>
        <v>8000000</v>
      </c>
      <c r="V21" s="1495">
        <f t="shared" si="4"/>
        <v>1440000</v>
      </c>
      <c r="W21" s="1495">
        <f t="shared" si="5"/>
        <v>0</v>
      </c>
      <c r="X21" s="1495">
        <f t="shared" si="6"/>
        <v>0</v>
      </c>
      <c r="Y21" s="1495">
        <f t="shared" si="7"/>
        <v>100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f t="shared" si="14"/>
        <v>10</v>
      </c>
      <c r="B22" s="1513" t="s">
        <v>2135</v>
      </c>
      <c r="C22" s="1514" t="s">
        <v>1919</v>
      </c>
      <c r="D22" s="1514"/>
      <c r="E22" s="1513">
        <v>9000000</v>
      </c>
      <c r="F22" s="1512">
        <f t="shared" si="0"/>
        <v>1620000</v>
      </c>
      <c r="G22" s="2141">
        <v>40161</v>
      </c>
      <c r="H22" s="1511">
        <v>0.18</v>
      </c>
      <c r="I22" s="1508">
        <v>12</v>
      </c>
      <c r="J22" s="1508">
        <v>12</v>
      </c>
      <c r="K22" s="1508">
        <v>750000</v>
      </c>
      <c r="L22" s="1508">
        <v>135000</v>
      </c>
      <c r="M22" s="1510">
        <f t="shared" si="1"/>
        <v>9000000</v>
      </c>
      <c r="N22" s="1510">
        <f t="shared" si="2"/>
        <v>1620000</v>
      </c>
      <c r="O22" s="1509">
        <v>9000000</v>
      </c>
      <c r="P22" s="1509">
        <v>1620000</v>
      </c>
      <c r="Q22" s="1509"/>
      <c r="R22" s="1508">
        <v>0</v>
      </c>
      <c r="S22" s="1508">
        <v>0</v>
      </c>
      <c r="T22" s="1507"/>
      <c r="U22" s="1495">
        <f t="shared" si="3"/>
        <v>9000000</v>
      </c>
      <c r="V22" s="1495">
        <f t="shared" si="4"/>
        <v>1620000</v>
      </c>
      <c r="W22" s="1495">
        <f t="shared" si="5"/>
        <v>0</v>
      </c>
      <c r="X22" s="1495">
        <f t="shared" si="6"/>
        <v>0</v>
      </c>
      <c r="Y22" s="1495">
        <f t="shared" si="7"/>
        <v>100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f t="shared" si="14"/>
        <v>11</v>
      </c>
      <c r="B23" s="1513" t="s">
        <v>2136</v>
      </c>
      <c r="C23" s="1514" t="s">
        <v>1919</v>
      </c>
      <c r="D23" s="1514"/>
      <c r="E23" s="1513">
        <v>7500000</v>
      </c>
      <c r="F23" s="1512">
        <f t="shared" si="0"/>
        <v>1350000</v>
      </c>
      <c r="G23" s="2141">
        <v>40161</v>
      </c>
      <c r="H23" s="1511">
        <v>0.18</v>
      </c>
      <c r="I23" s="1508">
        <v>12</v>
      </c>
      <c r="J23" s="1508">
        <v>12</v>
      </c>
      <c r="K23" s="1508">
        <v>625000</v>
      </c>
      <c r="L23" s="1508">
        <v>112500</v>
      </c>
      <c r="M23" s="1510">
        <f t="shared" si="1"/>
        <v>7500000</v>
      </c>
      <c r="N23" s="1510">
        <f t="shared" si="2"/>
        <v>1350000</v>
      </c>
      <c r="O23" s="1509">
        <v>7500000</v>
      </c>
      <c r="P23" s="1509">
        <v>1350000</v>
      </c>
      <c r="Q23" s="1509"/>
      <c r="R23" s="1508">
        <v>0</v>
      </c>
      <c r="S23" s="1508">
        <v>0</v>
      </c>
      <c r="T23" s="1507"/>
      <c r="U23" s="1495">
        <f t="shared" si="3"/>
        <v>7500000</v>
      </c>
      <c r="V23" s="1495">
        <f t="shared" si="4"/>
        <v>1350000</v>
      </c>
      <c r="W23" s="1495">
        <f t="shared" si="5"/>
        <v>0</v>
      </c>
      <c r="X23" s="1495">
        <f t="shared" si="6"/>
        <v>0</v>
      </c>
      <c r="Y23" s="1495">
        <f t="shared" si="7"/>
        <v>100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f t="shared" si="14"/>
        <v>12</v>
      </c>
      <c r="B24" s="1513" t="s">
        <v>2137</v>
      </c>
      <c r="C24" s="1514" t="s">
        <v>2138</v>
      </c>
      <c r="D24" s="1514"/>
      <c r="E24" s="1513">
        <v>7000000</v>
      </c>
      <c r="F24" s="1512">
        <f t="shared" si="0"/>
        <v>1260000</v>
      </c>
      <c r="G24" s="2141">
        <v>40480</v>
      </c>
      <c r="H24" s="1511">
        <v>0.18</v>
      </c>
      <c r="I24" s="1508">
        <v>12</v>
      </c>
      <c r="J24" s="1508">
        <v>12</v>
      </c>
      <c r="K24" s="1508">
        <v>583300</v>
      </c>
      <c r="L24" s="1508">
        <v>105000</v>
      </c>
      <c r="M24" s="1510">
        <f t="shared" si="1"/>
        <v>7000000</v>
      </c>
      <c r="N24" s="1510">
        <f t="shared" si="2"/>
        <v>1260000</v>
      </c>
      <c r="O24" s="1509">
        <v>7000000</v>
      </c>
      <c r="P24" s="1509">
        <v>1260000</v>
      </c>
      <c r="Q24" s="1509"/>
      <c r="R24" s="2404"/>
      <c r="S24" s="1508"/>
      <c r="T24" s="1507"/>
      <c r="U24" s="1495">
        <f t="shared" si="3"/>
        <v>7000000</v>
      </c>
      <c r="V24" s="1495">
        <f t="shared" si="4"/>
        <v>1260000</v>
      </c>
      <c r="W24" s="1495">
        <f t="shared" si="5"/>
        <v>0</v>
      </c>
      <c r="X24" s="1495">
        <f t="shared" si="6"/>
        <v>0</v>
      </c>
      <c r="Y24" s="1495">
        <f t="shared" si="7"/>
        <v>100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f t="shared" si="14"/>
        <v>13</v>
      </c>
      <c r="B25" s="1513" t="s">
        <v>1954</v>
      </c>
      <c r="C25" s="1514" t="s">
        <v>2138</v>
      </c>
      <c r="D25" s="1514"/>
      <c r="E25" s="1513">
        <v>7000000</v>
      </c>
      <c r="F25" s="1512">
        <f t="shared" si="0"/>
        <v>1260000</v>
      </c>
      <c r="G25" s="2141">
        <v>40480</v>
      </c>
      <c r="H25" s="1511">
        <v>0.18</v>
      </c>
      <c r="I25" s="1508">
        <v>12</v>
      </c>
      <c r="J25" s="1508">
        <v>12</v>
      </c>
      <c r="K25" s="1508">
        <v>583300</v>
      </c>
      <c r="L25" s="1508">
        <v>105000</v>
      </c>
      <c r="M25" s="1510">
        <f t="shared" si="1"/>
        <v>7000000</v>
      </c>
      <c r="N25" s="1510">
        <f t="shared" si="2"/>
        <v>1260000</v>
      </c>
      <c r="O25" s="1509">
        <v>7000000</v>
      </c>
      <c r="P25" s="1509">
        <v>1260000</v>
      </c>
      <c r="Q25" s="1509"/>
      <c r="R25" s="2404"/>
      <c r="S25" s="1508"/>
      <c r="T25" s="1507"/>
      <c r="U25" s="1495">
        <f t="shared" si="3"/>
        <v>7000000</v>
      </c>
      <c r="V25" s="1495">
        <f t="shared" si="4"/>
        <v>1260000</v>
      </c>
      <c r="W25" s="1495">
        <f t="shared" si="5"/>
        <v>0</v>
      </c>
      <c r="X25" s="1495">
        <f t="shared" si="6"/>
        <v>0</v>
      </c>
      <c r="Y25" s="1495">
        <f t="shared" si="7"/>
        <v>100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f t="shared" si="14"/>
        <v>14</v>
      </c>
      <c r="B26" s="1513" t="s">
        <v>2139</v>
      </c>
      <c r="C26" s="1514" t="s">
        <v>2138</v>
      </c>
      <c r="D26" s="1514"/>
      <c r="E26" s="1513">
        <v>7000000</v>
      </c>
      <c r="F26" s="1512">
        <f t="shared" si="0"/>
        <v>1260000</v>
      </c>
      <c r="G26" s="2141">
        <v>40501</v>
      </c>
      <c r="H26" s="1511">
        <v>0.18</v>
      </c>
      <c r="I26" s="1508">
        <v>12</v>
      </c>
      <c r="J26" s="1508">
        <v>12</v>
      </c>
      <c r="K26" s="1508">
        <v>583300</v>
      </c>
      <c r="L26" s="1508">
        <v>105000</v>
      </c>
      <c r="M26" s="1510">
        <f t="shared" si="1"/>
        <v>7000000</v>
      </c>
      <c r="N26" s="1510">
        <f t="shared" si="2"/>
        <v>1260000</v>
      </c>
      <c r="O26" s="1509">
        <v>7000000</v>
      </c>
      <c r="P26" s="1509">
        <v>1260000</v>
      </c>
      <c r="Q26" s="1509"/>
      <c r="R26" s="1508"/>
      <c r="S26" s="1508"/>
      <c r="T26" s="1507"/>
      <c r="U26" s="1495">
        <f t="shared" si="3"/>
        <v>7000000</v>
      </c>
      <c r="V26" s="1495">
        <f t="shared" si="4"/>
        <v>1260000</v>
      </c>
      <c r="W26" s="1495">
        <f t="shared" si="5"/>
        <v>0</v>
      </c>
      <c r="X26" s="1495">
        <f t="shared" si="6"/>
        <v>0</v>
      </c>
      <c r="Y26" s="1495">
        <f t="shared" si="7"/>
        <v>100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f t="shared" si="14"/>
        <v>15</v>
      </c>
      <c r="B27" s="1513" t="s">
        <v>2140</v>
      </c>
      <c r="C27" s="1514" t="s">
        <v>2141</v>
      </c>
      <c r="D27" s="1514"/>
      <c r="E27" s="1513">
        <v>10000000</v>
      </c>
      <c r="F27" s="1512">
        <f t="shared" si="0"/>
        <v>1800000</v>
      </c>
      <c r="G27" s="2141">
        <v>40515</v>
      </c>
      <c r="H27" s="1511">
        <v>0.18</v>
      </c>
      <c r="I27" s="1508">
        <v>12</v>
      </c>
      <c r="J27" s="1508">
        <v>12</v>
      </c>
      <c r="K27" s="1508">
        <v>833300</v>
      </c>
      <c r="L27" s="1508">
        <v>150000</v>
      </c>
      <c r="M27" s="1510">
        <f t="shared" si="1"/>
        <v>10000000</v>
      </c>
      <c r="N27" s="1510">
        <f t="shared" si="2"/>
        <v>1800000</v>
      </c>
      <c r="O27" s="1509">
        <v>10000000</v>
      </c>
      <c r="P27" s="1509">
        <v>1800000</v>
      </c>
      <c r="Q27" s="1509"/>
      <c r="R27" s="1508"/>
      <c r="S27" s="1508"/>
      <c r="T27" s="1507"/>
      <c r="U27" s="1495">
        <f t="shared" si="3"/>
        <v>10000000</v>
      </c>
      <c r="V27" s="1495">
        <f t="shared" si="4"/>
        <v>1800000</v>
      </c>
      <c r="W27" s="1495">
        <f t="shared" si="5"/>
        <v>0</v>
      </c>
      <c r="X27" s="1495">
        <f t="shared" si="6"/>
        <v>0</v>
      </c>
      <c r="Y27" s="1495">
        <f t="shared" si="7"/>
        <v>100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f t="shared" si="14"/>
        <v>16</v>
      </c>
      <c r="B28" s="1513" t="s">
        <v>2142</v>
      </c>
      <c r="C28" s="1514" t="s">
        <v>2141</v>
      </c>
      <c r="D28" s="1514"/>
      <c r="E28" s="1513">
        <v>8000000</v>
      </c>
      <c r="F28" s="1512">
        <f t="shared" si="0"/>
        <v>1440000</v>
      </c>
      <c r="G28" s="2141">
        <v>40515</v>
      </c>
      <c r="H28" s="1511">
        <v>0.18</v>
      </c>
      <c r="I28" s="1508">
        <v>12</v>
      </c>
      <c r="J28" s="1508">
        <v>12</v>
      </c>
      <c r="K28" s="1508">
        <v>666700</v>
      </c>
      <c r="L28" s="1508">
        <v>120000</v>
      </c>
      <c r="M28" s="1510">
        <f t="shared" si="1"/>
        <v>8000000</v>
      </c>
      <c r="N28" s="1510">
        <f t="shared" si="2"/>
        <v>1440000</v>
      </c>
      <c r="O28" s="1509">
        <v>8000000</v>
      </c>
      <c r="P28" s="1509">
        <v>1440000</v>
      </c>
      <c r="Q28" s="1509"/>
      <c r="R28" s="1508"/>
      <c r="S28" s="1508"/>
      <c r="T28" s="1507"/>
      <c r="U28" s="1495">
        <f t="shared" si="3"/>
        <v>8000000</v>
      </c>
      <c r="V28" s="1495">
        <f t="shared" si="4"/>
        <v>1440000</v>
      </c>
      <c r="W28" s="1495">
        <f t="shared" si="5"/>
        <v>0</v>
      </c>
      <c r="X28" s="1495">
        <f t="shared" si="6"/>
        <v>0</v>
      </c>
      <c r="Y28" s="1495">
        <f t="shared" si="7"/>
        <v>100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v>17</v>
      </c>
      <c r="B29" s="1513" t="s">
        <v>2036</v>
      </c>
      <c r="C29" s="1514" t="s">
        <v>2245</v>
      </c>
      <c r="D29" s="1514">
        <v>13</v>
      </c>
      <c r="E29" s="1513">
        <v>13000000</v>
      </c>
      <c r="F29" s="1512">
        <f t="shared" si="0"/>
        <v>2340000</v>
      </c>
      <c r="G29" s="2141">
        <v>41204</v>
      </c>
      <c r="H29" s="1511">
        <v>0.18</v>
      </c>
      <c r="I29" s="1508">
        <v>12</v>
      </c>
      <c r="J29" s="1508">
        <v>12</v>
      </c>
      <c r="K29" s="1508">
        <v>1083300</v>
      </c>
      <c r="L29" s="1508">
        <v>195000</v>
      </c>
      <c r="M29" s="1510">
        <f t="shared" si="1"/>
        <v>13000000</v>
      </c>
      <c r="N29" s="2401">
        <f>IF(J29&lt;I29,J29*L29,IF(J29&gt;=I29,F29))-195000</f>
        <v>2145000</v>
      </c>
      <c r="O29" s="1509">
        <v>13000000</v>
      </c>
      <c r="P29" s="1509">
        <v>2145000</v>
      </c>
      <c r="Q29" s="1509"/>
      <c r="R29" s="2650"/>
      <c r="S29" s="2650"/>
      <c r="T29" s="1507"/>
      <c r="U29" s="1495">
        <f t="shared" si="3"/>
        <v>13000000</v>
      </c>
      <c r="V29" s="1495">
        <f t="shared" si="4"/>
        <v>2145000</v>
      </c>
      <c r="W29" s="1495">
        <f t="shared" si="5"/>
        <v>0</v>
      </c>
      <c r="X29" s="1495">
        <f t="shared" si="6"/>
        <v>0</v>
      </c>
      <c r="Y29" s="1495">
        <f t="shared" si="7"/>
        <v>100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v>18</v>
      </c>
      <c r="B30" s="1513" t="s">
        <v>1944</v>
      </c>
      <c r="C30" s="1514" t="s">
        <v>2245</v>
      </c>
      <c r="D30" s="1514">
        <v>8</v>
      </c>
      <c r="E30" s="1513">
        <v>8000000</v>
      </c>
      <c r="F30" s="1512">
        <f t="shared" si="0"/>
        <v>1440000</v>
      </c>
      <c r="G30" s="2141">
        <v>41204</v>
      </c>
      <c r="H30" s="1511">
        <v>0.18</v>
      </c>
      <c r="I30" s="1508">
        <v>12</v>
      </c>
      <c r="J30" s="1508">
        <v>12</v>
      </c>
      <c r="K30" s="1508">
        <v>666700</v>
      </c>
      <c r="L30" s="1508">
        <v>120000</v>
      </c>
      <c r="M30" s="1510">
        <f t="shared" si="1"/>
        <v>8000000</v>
      </c>
      <c r="N30" s="2401">
        <f>IF(J30&lt;I30,J30*L30,IF(J30&gt;=I30,F30))-120000</f>
        <v>1320000</v>
      </c>
      <c r="O30" s="1509">
        <v>8000000</v>
      </c>
      <c r="P30" s="1509">
        <v>1320000</v>
      </c>
      <c r="Q30" s="1509"/>
      <c r="R30" s="1509"/>
      <c r="S30" s="1509"/>
      <c r="T30" s="1507"/>
      <c r="U30" s="1495">
        <f t="shared" si="3"/>
        <v>8000000</v>
      </c>
      <c r="V30" s="1495">
        <f t="shared" si="4"/>
        <v>1320000</v>
      </c>
      <c r="W30" s="1495">
        <f t="shared" si="5"/>
        <v>0</v>
      </c>
      <c r="X30" s="1495">
        <f t="shared" si="6"/>
        <v>0</v>
      </c>
      <c r="Y30" s="1495">
        <f t="shared" si="7"/>
        <v>100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v>20</v>
      </c>
      <c r="B31" s="1513" t="s">
        <v>2613</v>
      </c>
      <c r="C31" s="1514" t="s">
        <v>2594</v>
      </c>
      <c r="D31" s="1514">
        <v>10</v>
      </c>
      <c r="E31" s="1513">
        <v>7100000</v>
      </c>
      <c r="F31" s="1512">
        <f t="shared" si="0"/>
        <v>1278000</v>
      </c>
      <c r="G31" s="1508"/>
      <c r="H31" s="1511">
        <v>0.18</v>
      </c>
      <c r="I31" s="1508">
        <v>12</v>
      </c>
      <c r="J31" s="1508">
        <v>12</v>
      </c>
      <c r="K31" s="1508">
        <v>591700</v>
      </c>
      <c r="L31" s="1508">
        <f>F31/I31</f>
        <v>106500</v>
      </c>
      <c r="M31" s="1510">
        <f t="shared" si="1"/>
        <v>7100000</v>
      </c>
      <c r="N31" s="1510">
        <f>IF(J31&lt;I31,J31*L31,IF(J31&gt;=I31,F31))-1*L31</f>
        <v>1171500</v>
      </c>
      <c r="O31" s="1509">
        <v>7100000</v>
      </c>
      <c r="P31" s="1509">
        <v>1171500</v>
      </c>
      <c r="Q31" s="1509"/>
      <c r="R31" s="1509"/>
      <c r="S31" s="1509"/>
      <c r="T31" s="1507"/>
      <c r="U31" s="1495">
        <f t="shared" si="3"/>
        <v>7100000</v>
      </c>
      <c r="V31" s="1495">
        <f t="shared" si="4"/>
        <v>1171500</v>
      </c>
      <c r="W31" s="1495">
        <f t="shared" si="5"/>
        <v>0</v>
      </c>
      <c r="X31" s="1495">
        <f t="shared" si="6"/>
        <v>0</v>
      </c>
      <c r="Y31" s="1495">
        <f t="shared" si="7"/>
        <v>100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v>0</v>
      </c>
      <c r="P32" s="1509">
        <v>0</v>
      </c>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31</v>
      </c>
      <c r="E48" s="1480">
        <f>SUM(E13:E46)</f>
        <v>164100000</v>
      </c>
      <c r="F48" s="1480">
        <f>SUM(F13:F46)</f>
        <v>29538000</v>
      </c>
      <c r="G48" s="1481"/>
      <c r="H48" s="1481"/>
      <c r="I48" s="1481"/>
      <c r="J48" s="1481"/>
      <c r="K48" s="1481"/>
      <c r="L48" s="1481"/>
      <c r="M48" s="1480">
        <f t="shared" ref="M48:X48" si="15">SUM(M13:M46)</f>
        <v>164100000</v>
      </c>
      <c r="N48" s="1480">
        <f t="shared" si="15"/>
        <v>29116500</v>
      </c>
      <c r="O48" s="1480">
        <f t="shared" si="15"/>
        <v>164100000</v>
      </c>
      <c r="P48" s="1480">
        <f t="shared" si="15"/>
        <v>29116500</v>
      </c>
      <c r="Q48" s="1480">
        <f t="shared" si="15"/>
        <v>0</v>
      </c>
      <c r="R48" s="1480">
        <f t="shared" si="15"/>
        <v>0</v>
      </c>
      <c r="S48" s="1480">
        <f t="shared" si="15"/>
        <v>0</v>
      </c>
      <c r="T48" s="1480">
        <f t="shared" si="15"/>
        <v>0</v>
      </c>
      <c r="U48" s="1480">
        <f t="shared" si="15"/>
        <v>164100000</v>
      </c>
      <c r="V48" s="1480">
        <f t="shared" si="15"/>
        <v>29116500</v>
      </c>
      <c r="W48" s="1480">
        <f t="shared" si="15"/>
        <v>0</v>
      </c>
      <c r="X48" s="1480">
        <f t="shared" si="15"/>
        <v>0</v>
      </c>
      <c r="Y48" s="1480">
        <f>SUM(U48/M48)*100</f>
        <v>100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3</v>
      </c>
      <c r="E49" s="1473">
        <f>COUNT(E13:E46)</f>
        <v>19</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525" t="s">
        <v>0</v>
      </c>
      <c r="B54" s="3525"/>
      <c r="C54" s="3525"/>
      <c r="D54" s="3525"/>
      <c r="E54" s="3525"/>
      <c r="F54" s="3525"/>
      <c r="G54" s="3525"/>
      <c r="H54" s="3525"/>
      <c r="I54" s="3525"/>
      <c r="J54" s="3525"/>
      <c r="K54" s="3525"/>
      <c r="L54" s="3525"/>
      <c r="M54" s="3525"/>
      <c r="N54" s="3525"/>
      <c r="O54" s="3525"/>
      <c r="P54" s="3525"/>
      <c r="Q54" s="3525"/>
      <c r="R54" s="3525"/>
      <c r="S54" s="3525"/>
      <c r="T54" s="3525"/>
      <c r="U54" s="3525"/>
      <c r="V54" s="3525"/>
      <c r="W54" s="3525"/>
      <c r="X54" s="3525"/>
      <c r="Y54" s="3525"/>
      <c r="Z54" s="3525"/>
      <c r="AA54" s="3525"/>
      <c r="AB54" s="1562"/>
      <c r="AC54" s="1560"/>
      <c r="AD54" s="1560"/>
      <c r="AE54" s="1560"/>
      <c r="AF54" s="1560"/>
    </row>
    <row r="55" spans="1:32" s="1559" customFormat="1" ht="24.75" customHeight="1">
      <c r="A55" s="3525" t="str">
        <f>A2</f>
        <v>LAPORAN PERKEMBANGAN PINJAMAN  SPP</v>
      </c>
      <c r="B55" s="3525"/>
      <c r="C55" s="3525"/>
      <c r="D55" s="3525"/>
      <c r="E55" s="3525"/>
      <c r="F55" s="3525"/>
      <c r="G55" s="3525"/>
      <c r="H55" s="3525"/>
      <c r="I55" s="3525"/>
      <c r="J55" s="3525"/>
      <c r="K55" s="3525"/>
      <c r="L55" s="3525"/>
      <c r="M55" s="3525"/>
      <c r="N55" s="3525"/>
      <c r="O55" s="3525"/>
      <c r="P55" s="3525"/>
      <c r="Q55" s="3525"/>
      <c r="R55" s="3525"/>
      <c r="S55" s="3525"/>
      <c r="T55" s="3525"/>
      <c r="U55" s="3525"/>
      <c r="V55" s="3525"/>
      <c r="W55" s="3525"/>
      <c r="X55" s="3525"/>
      <c r="Y55" s="3525"/>
      <c r="Z55" s="3525"/>
      <c r="AA55" s="3525"/>
      <c r="AB55" s="1562"/>
      <c r="AC55" s="1560"/>
      <c r="AD55" s="1560"/>
      <c r="AE55" s="1560"/>
      <c r="AF55" s="1560"/>
    </row>
    <row r="56" spans="1:32" s="1559" customFormat="1" ht="34.5">
      <c r="A56" s="3525" t="s">
        <v>1504</v>
      </c>
      <c r="B56" s="3525"/>
      <c r="C56" s="3525"/>
      <c r="D56" s="3525"/>
      <c r="E56" s="3525"/>
      <c r="F56" s="3525"/>
      <c r="G56" s="3525"/>
      <c r="H56" s="3525"/>
      <c r="I56" s="3525"/>
      <c r="J56" s="3525"/>
      <c r="K56" s="3525"/>
      <c r="L56" s="3525"/>
      <c r="M56" s="3525"/>
      <c r="N56" s="3525"/>
      <c r="O56" s="3525"/>
      <c r="P56" s="3525"/>
      <c r="Q56" s="3525"/>
      <c r="R56" s="3525"/>
      <c r="S56" s="3525"/>
      <c r="T56" s="3525"/>
      <c r="U56" s="3525"/>
      <c r="V56" s="3525"/>
      <c r="W56" s="3525"/>
      <c r="X56" s="3525"/>
      <c r="Y56" s="3525"/>
      <c r="Z56" s="3525"/>
      <c r="AA56" s="3525"/>
      <c r="AB56" s="1561"/>
      <c r="AC56" s="1560"/>
      <c r="AD56" s="1560"/>
      <c r="AE56" s="1560"/>
      <c r="AF56" s="1560"/>
    </row>
    <row r="57" spans="1:32" s="1547" customFormat="1" ht="18.75" customHeight="1">
      <c r="A57" s="3525" t="str">
        <f>A4</f>
        <v>Per - Februari 2016 2016</v>
      </c>
      <c r="B57" s="3525"/>
      <c r="C57" s="3525"/>
      <c r="D57" s="3525"/>
      <c r="E57" s="3525"/>
      <c r="F57" s="3525"/>
      <c r="G57" s="3525"/>
      <c r="H57" s="3525"/>
      <c r="I57" s="3525"/>
      <c r="J57" s="3525"/>
      <c r="K57" s="3525"/>
      <c r="L57" s="3525"/>
      <c r="M57" s="3525"/>
      <c r="N57" s="3525"/>
      <c r="O57" s="3525"/>
      <c r="P57" s="3525"/>
      <c r="Q57" s="3525"/>
      <c r="R57" s="3525"/>
      <c r="S57" s="3525"/>
      <c r="T57" s="3525"/>
      <c r="U57" s="3525"/>
      <c r="V57" s="3525"/>
      <c r="W57" s="3525"/>
      <c r="X57" s="3525"/>
      <c r="Y57" s="3525"/>
      <c r="Z57" s="3525"/>
      <c r="AA57" s="3525"/>
      <c r="AB57" s="1556"/>
      <c r="AC57" s="1548"/>
      <c r="AD57" s="1548"/>
    </row>
    <row r="58" spans="1:32" s="1542" customFormat="1" ht="24.75" customHeight="1">
      <c r="A58" s="3653" t="s">
        <v>1503</v>
      </c>
      <c r="B58" s="3653"/>
      <c r="C58" s="3653"/>
      <c r="D58" s="1553"/>
      <c r="E58" s="1558" t="str">
        <f>E5</f>
        <v>:  GIRIJAYA</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653" t="s">
        <v>1502</v>
      </c>
      <c r="B59" s="3653"/>
      <c r="C59" s="3653"/>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653" t="s">
        <v>1501</v>
      </c>
      <c r="B60" s="3653"/>
      <c r="C60" s="3653"/>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653" t="s">
        <v>1500</v>
      </c>
      <c r="B61" s="3653"/>
      <c r="C61" s="3653"/>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3" t="s">
        <v>36</v>
      </c>
      <c r="B63" s="3413" t="s">
        <v>1499</v>
      </c>
      <c r="C63" s="3413"/>
      <c r="D63" s="3413" t="s">
        <v>1498</v>
      </c>
      <c r="E63" s="3413" t="s">
        <v>1497</v>
      </c>
      <c r="F63" s="3413"/>
      <c r="G63" s="3413" t="s">
        <v>1496</v>
      </c>
      <c r="H63" s="3413" t="s">
        <v>1495</v>
      </c>
      <c r="I63" s="3413" t="s">
        <v>1494</v>
      </c>
      <c r="J63" s="3413" t="s">
        <v>1493</v>
      </c>
      <c r="K63" s="3413" t="s">
        <v>1492</v>
      </c>
      <c r="L63" s="3413"/>
      <c r="M63" s="3413" t="s">
        <v>1491</v>
      </c>
      <c r="N63" s="3413"/>
      <c r="O63" s="3413" t="s">
        <v>1490</v>
      </c>
      <c r="P63" s="3413"/>
      <c r="Q63" s="3413"/>
      <c r="R63" s="3413" t="s">
        <v>1489</v>
      </c>
      <c r="S63" s="3413"/>
      <c r="T63" s="3413"/>
      <c r="U63" s="3413" t="s">
        <v>1488</v>
      </c>
      <c r="V63" s="3413"/>
      <c r="W63" s="3413"/>
      <c r="X63" s="3413" t="s">
        <v>1487</v>
      </c>
      <c r="Y63" s="3413" t="s">
        <v>1486</v>
      </c>
      <c r="Z63" s="3413" t="s">
        <v>1485</v>
      </c>
      <c r="AA63" s="3413"/>
      <c r="AB63" s="3746" t="s">
        <v>1484</v>
      </c>
      <c r="AC63" s="1541" t="s">
        <v>1483</v>
      </c>
      <c r="AD63" s="1540" t="s">
        <v>1482</v>
      </c>
      <c r="AE63" s="1540" t="s">
        <v>1481</v>
      </c>
      <c r="AF63" s="1539" t="s">
        <v>1480</v>
      </c>
    </row>
    <row r="64" spans="1:32" s="1528" customFormat="1" ht="22.5" customHeight="1">
      <c r="A64" s="3413"/>
      <c r="B64" s="1536" t="s">
        <v>1479</v>
      </c>
      <c r="C64" s="1536" t="s">
        <v>1478</v>
      </c>
      <c r="D64" s="3413"/>
      <c r="E64" s="1537" t="s">
        <v>16</v>
      </c>
      <c r="F64" s="1537" t="s">
        <v>1476</v>
      </c>
      <c r="G64" s="3413"/>
      <c r="H64" s="3413"/>
      <c r="I64" s="3413"/>
      <c r="J64" s="3413"/>
      <c r="K64" s="3413" t="s">
        <v>16</v>
      </c>
      <c r="L64" s="3413" t="s">
        <v>1476</v>
      </c>
      <c r="M64" s="1537" t="s">
        <v>16</v>
      </c>
      <c r="N64" s="1537" t="s">
        <v>1476</v>
      </c>
      <c r="O64" s="1537" t="s">
        <v>16</v>
      </c>
      <c r="P64" s="1537" t="s">
        <v>1476</v>
      </c>
      <c r="Q64" s="1537" t="s">
        <v>1477</v>
      </c>
      <c r="R64" s="1537" t="s">
        <v>16</v>
      </c>
      <c r="S64" s="1537" t="s">
        <v>1476</v>
      </c>
      <c r="T64" s="1537" t="s">
        <v>1477</v>
      </c>
      <c r="U64" s="1537" t="s">
        <v>16</v>
      </c>
      <c r="V64" s="1537" t="s">
        <v>1476</v>
      </c>
      <c r="W64" s="1537" t="s">
        <v>1477</v>
      </c>
      <c r="X64" s="3413"/>
      <c r="Y64" s="3413"/>
      <c r="Z64" s="1537" t="s">
        <v>16</v>
      </c>
      <c r="AA64" s="2168" t="s">
        <v>1476</v>
      </c>
      <c r="AB64" s="3746"/>
      <c r="AC64" s="1531" t="s">
        <v>1475</v>
      </c>
      <c r="AD64" s="1530" t="s">
        <v>1474</v>
      </c>
      <c r="AE64" s="1530" t="s">
        <v>1473</v>
      </c>
      <c r="AF64" s="1529" t="s">
        <v>1472</v>
      </c>
    </row>
    <row r="65" spans="1:32" s="1461" customFormat="1" ht="13.5" customHeight="1" thickBot="1">
      <c r="A65" s="2168">
        <v>1</v>
      </c>
      <c r="B65" s="2168">
        <v>2</v>
      </c>
      <c r="C65" s="2168">
        <v>3</v>
      </c>
      <c r="D65" s="3413"/>
      <c r="E65" s="2168">
        <v>4</v>
      </c>
      <c r="F65" s="2168">
        <v>5</v>
      </c>
      <c r="G65" s="2168">
        <v>6</v>
      </c>
      <c r="H65" s="3413"/>
      <c r="I65" s="3413"/>
      <c r="J65" s="3413"/>
      <c r="K65" s="3413"/>
      <c r="L65" s="3413"/>
      <c r="M65" s="2168">
        <v>7</v>
      </c>
      <c r="N65" s="2168">
        <v>8</v>
      </c>
      <c r="O65" s="2168">
        <v>9</v>
      </c>
      <c r="P65" s="2168">
        <v>10</v>
      </c>
      <c r="Q65" s="2168">
        <v>11</v>
      </c>
      <c r="R65" s="2168">
        <v>12</v>
      </c>
      <c r="S65" s="2168">
        <v>13</v>
      </c>
      <c r="T65" s="2168">
        <v>14</v>
      </c>
      <c r="U65" s="2168" t="s">
        <v>1471</v>
      </c>
      <c r="V65" s="2168" t="s">
        <v>1470</v>
      </c>
      <c r="W65" s="2168" t="s">
        <v>1469</v>
      </c>
      <c r="X65" s="2168" t="s">
        <v>1468</v>
      </c>
      <c r="Y65" s="2168" t="s">
        <v>1467</v>
      </c>
      <c r="Z65" s="2168" t="s">
        <v>1466</v>
      </c>
      <c r="AA65" s="2168" t="s">
        <v>1465</v>
      </c>
      <c r="AB65" s="2920">
        <v>22</v>
      </c>
      <c r="AC65" s="1518">
        <v>23</v>
      </c>
      <c r="AD65" s="1517">
        <v>24</v>
      </c>
      <c r="AE65" s="1517">
        <v>25</v>
      </c>
      <c r="AF65" s="1516">
        <v>26</v>
      </c>
    </row>
    <row r="66" spans="1:32" s="1474" customFormat="1" ht="23.25" customHeight="1" thickTop="1">
      <c r="A66" s="1515">
        <v>1</v>
      </c>
      <c r="B66" s="1513" t="s">
        <v>2143</v>
      </c>
      <c r="C66" s="1514" t="s">
        <v>1925</v>
      </c>
      <c r="D66" s="1514"/>
      <c r="E66" s="1513">
        <v>12000000</v>
      </c>
      <c r="F66" s="1512">
        <f t="shared" ref="F66:F190" si="16">E66*H66</f>
        <v>2160000</v>
      </c>
      <c r="G66" s="2141">
        <v>39970</v>
      </c>
      <c r="H66" s="1511">
        <v>0.18</v>
      </c>
      <c r="I66" s="1508">
        <v>12</v>
      </c>
      <c r="J66" s="1508">
        <v>12</v>
      </c>
      <c r="K66" s="1508">
        <v>1000000</v>
      </c>
      <c r="L66" s="1508">
        <v>180000</v>
      </c>
      <c r="M66" s="1510">
        <f t="shared" ref="M66:M190" si="17">IF(J66&lt;I66,J66*K66,IF(J66&gt;=I66,E66))</f>
        <v>12000000</v>
      </c>
      <c r="N66" s="1510">
        <f t="shared" ref="N66:N190" si="18">IF(J66&lt;I66,J66*L66,IF(J66&gt;=I66,F66))</f>
        <v>2160000</v>
      </c>
      <c r="O66" s="1509">
        <v>12000000</v>
      </c>
      <c r="P66" s="1509">
        <v>2160000</v>
      </c>
      <c r="Q66" s="1509"/>
      <c r="R66" s="2650">
        <v>0</v>
      </c>
      <c r="S66" s="2650">
        <v>0</v>
      </c>
      <c r="T66" s="1507"/>
      <c r="U66" s="1495">
        <f t="shared" ref="U66:U190" si="19">SUM(O66+R66)</f>
        <v>12000000</v>
      </c>
      <c r="V66" s="1495">
        <f t="shared" ref="V66:V190" si="20">SUM(P66+S66)</f>
        <v>2160000</v>
      </c>
      <c r="W66" s="1495">
        <f t="shared" ref="W66:W190" si="21">SUM(Q66+T66)</f>
        <v>0</v>
      </c>
      <c r="X66" s="1495">
        <f t="shared" ref="X66:X190" si="22">SUM(E66-U66)</f>
        <v>0</v>
      </c>
      <c r="Y66" s="1495">
        <f t="shared" ref="Y66:Y190" si="23">SUM(U66/M66)*100</f>
        <v>100</v>
      </c>
      <c r="Z66" s="1495">
        <f t="shared" ref="Z66:Z190" si="24">SUM(M66-U66)</f>
        <v>0</v>
      </c>
      <c r="AA66" s="1506">
        <f t="shared" ref="AA66:AA190" si="25">SUM(N66-V66)</f>
        <v>0</v>
      </c>
      <c r="AB66" s="2921"/>
      <c r="AC66" s="1504">
        <f t="shared" ref="AC66:AC190" si="26">IF(AND(AB66&gt;0,AB66&lt;=2),X66,0)</f>
        <v>0</v>
      </c>
      <c r="AD66" s="1503">
        <f t="shared" ref="AD66:AD190" si="27">IF(AND(AB66&gt;=3,AB66&lt;=4),X66,0)</f>
        <v>0</v>
      </c>
      <c r="AE66" s="1503">
        <f t="shared" ref="AE66:AE190" si="28">IF(AND(AB66&gt;=5,AB66&lt;=6),X66,0)</f>
        <v>0</v>
      </c>
      <c r="AF66" s="1502">
        <f t="shared" ref="AF66:AF190" si="29">IF(AB66&gt;6,X66,0)</f>
        <v>0</v>
      </c>
    </row>
    <row r="67" spans="1:32" s="1474" customFormat="1" ht="23.25" customHeight="1">
      <c r="A67" s="1515">
        <f>A66+1</f>
        <v>2</v>
      </c>
      <c r="B67" s="1513" t="s">
        <v>2129</v>
      </c>
      <c r="C67" s="1514" t="s">
        <v>1931</v>
      </c>
      <c r="D67" s="1514"/>
      <c r="E67" s="1513">
        <v>10000000</v>
      </c>
      <c r="F67" s="1512">
        <f t="shared" si="16"/>
        <v>1800000</v>
      </c>
      <c r="G67" s="2141">
        <v>40242</v>
      </c>
      <c r="H67" s="1511">
        <v>0.18</v>
      </c>
      <c r="I67" s="1508">
        <v>12</v>
      </c>
      <c r="J67" s="1508">
        <v>12</v>
      </c>
      <c r="K67" s="1508">
        <v>833300</v>
      </c>
      <c r="L67" s="1508">
        <v>150000</v>
      </c>
      <c r="M67" s="1510">
        <f t="shared" si="17"/>
        <v>10000000</v>
      </c>
      <c r="N67" s="1510">
        <f t="shared" si="18"/>
        <v>1800000</v>
      </c>
      <c r="O67" s="1509">
        <v>10000000</v>
      </c>
      <c r="P67" s="1509">
        <v>1800000</v>
      </c>
      <c r="Q67" s="1509"/>
      <c r="R67" s="2650"/>
      <c r="S67" s="2650"/>
      <c r="T67" s="1507"/>
      <c r="U67" s="1495">
        <f t="shared" si="19"/>
        <v>10000000</v>
      </c>
      <c r="V67" s="1495">
        <f t="shared" si="20"/>
        <v>1800000</v>
      </c>
      <c r="W67" s="1495">
        <f t="shared" si="21"/>
        <v>0</v>
      </c>
      <c r="X67" s="1495">
        <f t="shared" si="22"/>
        <v>0</v>
      </c>
      <c r="Y67" s="1495">
        <f t="shared" si="23"/>
        <v>100</v>
      </c>
      <c r="Z67" s="1495">
        <f t="shared" si="24"/>
        <v>0</v>
      </c>
      <c r="AA67" s="1506">
        <f t="shared" si="25"/>
        <v>0</v>
      </c>
      <c r="AB67" s="1505"/>
      <c r="AC67" s="1504">
        <f t="shared" si="26"/>
        <v>0</v>
      </c>
      <c r="AD67" s="1503">
        <f t="shared" si="27"/>
        <v>0</v>
      </c>
      <c r="AE67" s="1503">
        <f t="shared" si="28"/>
        <v>0</v>
      </c>
      <c r="AF67" s="1502">
        <f t="shared" si="29"/>
        <v>0</v>
      </c>
    </row>
    <row r="68" spans="1:32" s="1474" customFormat="1" ht="23.25" customHeight="1">
      <c r="A68" s="1515">
        <f t="shared" ref="A68:A88" si="30">A67+1</f>
        <v>3</v>
      </c>
      <c r="B68" s="1513" t="s">
        <v>2132</v>
      </c>
      <c r="C68" s="1514" t="s">
        <v>1932</v>
      </c>
      <c r="D68" s="1514"/>
      <c r="E68" s="1513">
        <v>10000000</v>
      </c>
      <c r="F68" s="1512">
        <f t="shared" si="16"/>
        <v>1800000</v>
      </c>
      <c r="G68" s="2141">
        <v>40343</v>
      </c>
      <c r="H68" s="1511">
        <v>0.18</v>
      </c>
      <c r="I68" s="1508">
        <v>12</v>
      </c>
      <c r="J68" s="1508">
        <v>12</v>
      </c>
      <c r="K68" s="1508">
        <v>833300</v>
      </c>
      <c r="L68" s="1508">
        <v>150000</v>
      </c>
      <c r="M68" s="1510">
        <f t="shared" si="17"/>
        <v>10000000</v>
      </c>
      <c r="N68" s="1510">
        <f t="shared" si="18"/>
        <v>1800000</v>
      </c>
      <c r="O68" s="1509">
        <v>10000000</v>
      </c>
      <c r="P68" s="1509">
        <v>1800000</v>
      </c>
      <c r="Q68" s="1509"/>
      <c r="R68" s="2650"/>
      <c r="S68" s="2650"/>
      <c r="T68" s="1507"/>
      <c r="U68" s="1495">
        <f t="shared" si="19"/>
        <v>10000000</v>
      </c>
      <c r="V68" s="1495">
        <f t="shared" si="20"/>
        <v>1800000</v>
      </c>
      <c r="W68" s="1495">
        <f t="shared" si="21"/>
        <v>0</v>
      </c>
      <c r="X68" s="1495">
        <f t="shared" si="22"/>
        <v>0</v>
      </c>
      <c r="Y68" s="1495">
        <f t="shared" si="23"/>
        <v>100</v>
      </c>
      <c r="Z68" s="1495">
        <f t="shared" si="24"/>
        <v>0</v>
      </c>
      <c r="AA68" s="1506">
        <f t="shared" si="25"/>
        <v>0</v>
      </c>
      <c r="AB68" s="1505"/>
      <c r="AC68" s="1504">
        <f t="shared" si="26"/>
        <v>0</v>
      </c>
      <c r="AD68" s="1503">
        <f t="shared" si="27"/>
        <v>0</v>
      </c>
      <c r="AE68" s="1503">
        <f t="shared" si="28"/>
        <v>0</v>
      </c>
      <c r="AF68" s="1502">
        <f t="shared" si="29"/>
        <v>0</v>
      </c>
    </row>
    <row r="69" spans="1:32" s="1474" customFormat="1" ht="23.25" customHeight="1">
      <c r="A69" s="1515">
        <f t="shared" si="30"/>
        <v>4</v>
      </c>
      <c r="B69" s="1513" t="s">
        <v>2144</v>
      </c>
      <c r="C69" s="1514" t="s">
        <v>1932</v>
      </c>
      <c r="D69" s="1514"/>
      <c r="E69" s="1513">
        <v>13000000</v>
      </c>
      <c r="F69" s="1512">
        <f t="shared" si="16"/>
        <v>2340000</v>
      </c>
      <c r="G69" s="2141">
        <v>40343</v>
      </c>
      <c r="H69" s="1511">
        <v>0.18</v>
      </c>
      <c r="I69" s="1508">
        <v>12</v>
      </c>
      <c r="J69" s="1508">
        <v>12</v>
      </c>
      <c r="K69" s="1508">
        <v>1083300</v>
      </c>
      <c r="L69" s="1508">
        <v>195000</v>
      </c>
      <c r="M69" s="1510">
        <f t="shared" si="17"/>
        <v>13000000</v>
      </c>
      <c r="N69" s="1510">
        <f t="shared" si="18"/>
        <v>2340000</v>
      </c>
      <c r="O69" s="1509">
        <v>13000000</v>
      </c>
      <c r="P69" s="1509">
        <v>2340000</v>
      </c>
      <c r="Q69" s="1509"/>
      <c r="R69" s="2650"/>
      <c r="S69" s="2650"/>
      <c r="T69" s="1507"/>
      <c r="U69" s="1495">
        <f t="shared" si="19"/>
        <v>13000000</v>
      </c>
      <c r="V69" s="1495">
        <f t="shared" si="20"/>
        <v>2340000</v>
      </c>
      <c r="W69" s="1495">
        <f t="shared" si="21"/>
        <v>0</v>
      </c>
      <c r="X69" s="1495">
        <f t="shared" si="22"/>
        <v>0</v>
      </c>
      <c r="Y69" s="1495">
        <f t="shared" si="23"/>
        <v>100</v>
      </c>
      <c r="Z69" s="1495">
        <f t="shared" si="24"/>
        <v>0</v>
      </c>
      <c r="AA69" s="1506">
        <f t="shared" si="25"/>
        <v>0</v>
      </c>
      <c r="AB69" s="1505"/>
      <c r="AC69" s="1504">
        <f t="shared" si="26"/>
        <v>0</v>
      </c>
      <c r="AD69" s="1503">
        <f t="shared" si="27"/>
        <v>0</v>
      </c>
      <c r="AE69" s="1503">
        <f t="shared" si="28"/>
        <v>0</v>
      </c>
      <c r="AF69" s="1502">
        <f t="shared" si="29"/>
        <v>0</v>
      </c>
    </row>
    <row r="70" spans="1:32" s="1474" customFormat="1" ht="23.25" customHeight="1">
      <c r="A70" s="1515">
        <f t="shared" si="30"/>
        <v>5</v>
      </c>
      <c r="B70" s="1513" t="s">
        <v>2128</v>
      </c>
      <c r="C70" s="1514" t="s">
        <v>1932</v>
      </c>
      <c r="D70" s="1514"/>
      <c r="E70" s="1513">
        <v>15000000</v>
      </c>
      <c r="F70" s="1512">
        <f t="shared" si="16"/>
        <v>2700000</v>
      </c>
      <c r="G70" s="2141">
        <v>40343</v>
      </c>
      <c r="H70" s="1511">
        <v>0.18</v>
      </c>
      <c r="I70" s="1508">
        <v>12</v>
      </c>
      <c r="J70" s="1508">
        <v>12</v>
      </c>
      <c r="K70" s="1508">
        <v>1250000</v>
      </c>
      <c r="L70" s="1508">
        <v>225000</v>
      </c>
      <c r="M70" s="1510">
        <f t="shared" si="17"/>
        <v>15000000</v>
      </c>
      <c r="N70" s="1510">
        <f t="shared" si="18"/>
        <v>2700000</v>
      </c>
      <c r="O70" s="1509">
        <v>15000000</v>
      </c>
      <c r="P70" s="1509">
        <v>2700000</v>
      </c>
      <c r="Q70" s="1509"/>
      <c r="R70" s="2650"/>
      <c r="S70" s="2650"/>
      <c r="T70" s="1507"/>
      <c r="U70" s="1495">
        <f t="shared" si="19"/>
        <v>15000000</v>
      </c>
      <c r="V70" s="1495">
        <f t="shared" si="20"/>
        <v>2700000</v>
      </c>
      <c r="W70" s="1495">
        <f t="shared" si="21"/>
        <v>0</v>
      </c>
      <c r="X70" s="1495">
        <f t="shared" si="22"/>
        <v>0</v>
      </c>
      <c r="Y70" s="1495">
        <f t="shared" si="23"/>
        <v>100</v>
      </c>
      <c r="Z70" s="1495">
        <f t="shared" si="24"/>
        <v>0</v>
      </c>
      <c r="AA70" s="1506">
        <f t="shared" si="25"/>
        <v>0</v>
      </c>
      <c r="AB70" s="1505"/>
      <c r="AC70" s="1504">
        <f t="shared" si="26"/>
        <v>0</v>
      </c>
      <c r="AD70" s="1503">
        <f t="shared" si="27"/>
        <v>0</v>
      </c>
      <c r="AE70" s="1503">
        <f t="shared" si="28"/>
        <v>0</v>
      </c>
      <c r="AF70" s="1502">
        <f t="shared" si="29"/>
        <v>0</v>
      </c>
    </row>
    <row r="71" spans="1:32" s="1474" customFormat="1" ht="23.25" customHeight="1">
      <c r="A71" s="1515">
        <f t="shared" si="30"/>
        <v>6</v>
      </c>
      <c r="B71" s="1513" t="s">
        <v>2145</v>
      </c>
      <c r="C71" s="1514" t="s">
        <v>1932</v>
      </c>
      <c r="D71" s="1514"/>
      <c r="E71" s="1513">
        <v>15000000</v>
      </c>
      <c r="F71" s="1512">
        <f t="shared" si="16"/>
        <v>2700000</v>
      </c>
      <c r="G71" s="2141">
        <v>40343</v>
      </c>
      <c r="H71" s="1511">
        <v>0.18</v>
      </c>
      <c r="I71" s="1508">
        <v>12</v>
      </c>
      <c r="J71" s="1508">
        <v>12</v>
      </c>
      <c r="K71" s="1508">
        <v>1250000</v>
      </c>
      <c r="L71" s="1508">
        <v>225000</v>
      </c>
      <c r="M71" s="1510">
        <f t="shared" si="17"/>
        <v>15000000</v>
      </c>
      <c r="N71" s="1510">
        <f t="shared" si="18"/>
        <v>2700000</v>
      </c>
      <c r="O71" s="1509">
        <v>15000000</v>
      </c>
      <c r="P71" s="1509">
        <v>2700000</v>
      </c>
      <c r="Q71" s="1509"/>
      <c r="R71" s="2650"/>
      <c r="S71" s="2650"/>
      <c r="T71" s="1507"/>
      <c r="U71" s="1495">
        <f t="shared" si="19"/>
        <v>15000000</v>
      </c>
      <c r="V71" s="1495">
        <f t="shared" si="20"/>
        <v>2700000</v>
      </c>
      <c r="W71" s="1495">
        <f t="shared" si="21"/>
        <v>0</v>
      </c>
      <c r="X71" s="1495">
        <f t="shared" si="22"/>
        <v>0</v>
      </c>
      <c r="Y71" s="1495">
        <f t="shared" si="23"/>
        <v>100</v>
      </c>
      <c r="Z71" s="1495">
        <f t="shared" si="24"/>
        <v>0</v>
      </c>
      <c r="AA71" s="1506">
        <f t="shared" si="25"/>
        <v>0</v>
      </c>
      <c r="AB71" s="1505"/>
      <c r="AC71" s="1504">
        <f t="shared" si="26"/>
        <v>0</v>
      </c>
      <c r="AD71" s="1503">
        <f t="shared" si="27"/>
        <v>0</v>
      </c>
      <c r="AE71" s="1503">
        <f t="shared" si="28"/>
        <v>0</v>
      </c>
      <c r="AF71" s="1502">
        <f t="shared" si="29"/>
        <v>0</v>
      </c>
    </row>
    <row r="72" spans="1:32" s="1474" customFormat="1" ht="23.25" customHeight="1">
      <c r="A72" s="1515">
        <f t="shared" si="30"/>
        <v>7</v>
      </c>
      <c r="B72" s="1513" t="s">
        <v>2146</v>
      </c>
      <c r="C72" s="1514" t="s">
        <v>1932</v>
      </c>
      <c r="D72" s="1514"/>
      <c r="E72" s="1513">
        <v>18000000</v>
      </c>
      <c r="F72" s="1512">
        <f t="shared" si="16"/>
        <v>3240000</v>
      </c>
      <c r="G72" s="2141">
        <v>40343</v>
      </c>
      <c r="H72" s="1511">
        <v>0.18</v>
      </c>
      <c r="I72" s="1508">
        <v>12</v>
      </c>
      <c r="J72" s="1508">
        <v>12</v>
      </c>
      <c r="K72" s="1508">
        <v>1500000</v>
      </c>
      <c r="L72" s="1508">
        <v>270000</v>
      </c>
      <c r="M72" s="1510">
        <f t="shared" si="17"/>
        <v>18000000</v>
      </c>
      <c r="N72" s="1510">
        <f t="shared" si="18"/>
        <v>3240000</v>
      </c>
      <c r="O72" s="1509">
        <v>18000000</v>
      </c>
      <c r="P72" s="1509">
        <v>3240000</v>
      </c>
      <c r="Q72" s="1509"/>
      <c r="R72" s="2650"/>
      <c r="S72" s="2650"/>
      <c r="T72" s="1507"/>
      <c r="U72" s="1495">
        <f t="shared" si="19"/>
        <v>18000000</v>
      </c>
      <c r="V72" s="1495">
        <f t="shared" si="20"/>
        <v>3240000</v>
      </c>
      <c r="W72" s="1495">
        <f t="shared" si="21"/>
        <v>0</v>
      </c>
      <c r="X72" s="1495">
        <f t="shared" si="22"/>
        <v>0</v>
      </c>
      <c r="Y72" s="1495">
        <f t="shared" si="23"/>
        <v>100</v>
      </c>
      <c r="Z72" s="1495">
        <f t="shared" si="24"/>
        <v>0</v>
      </c>
      <c r="AA72" s="1506">
        <f t="shared" si="25"/>
        <v>0</v>
      </c>
      <c r="AB72" s="1505"/>
      <c r="AC72" s="1504">
        <f t="shared" si="26"/>
        <v>0</v>
      </c>
      <c r="AD72" s="1503">
        <f t="shared" si="27"/>
        <v>0</v>
      </c>
      <c r="AE72" s="1503">
        <f t="shared" si="28"/>
        <v>0</v>
      </c>
      <c r="AF72" s="1502">
        <f t="shared" si="29"/>
        <v>0</v>
      </c>
    </row>
    <row r="73" spans="1:32" s="1474" customFormat="1" ht="23.25" customHeight="1">
      <c r="A73" s="1515">
        <f t="shared" si="30"/>
        <v>8</v>
      </c>
      <c r="B73" s="1513" t="s">
        <v>2131</v>
      </c>
      <c r="C73" s="1514" t="s">
        <v>1932</v>
      </c>
      <c r="D73" s="1514"/>
      <c r="E73" s="1513">
        <v>16000000</v>
      </c>
      <c r="F73" s="1512">
        <f t="shared" si="16"/>
        <v>2880000</v>
      </c>
      <c r="G73" s="2141">
        <v>40343</v>
      </c>
      <c r="H73" s="1511">
        <v>0.18</v>
      </c>
      <c r="I73" s="1508">
        <v>12</v>
      </c>
      <c r="J73" s="1508">
        <v>12</v>
      </c>
      <c r="K73" s="1508">
        <v>1333300</v>
      </c>
      <c r="L73" s="1508">
        <v>240000</v>
      </c>
      <c r="M73" s="1510">
        <f t="shared" si="17"/>
        <v>16000000</v>
      </c>
      <c r="N73" s="1510">
        <f t="shared" si="18"/>
        <v>2880000</v>
      </c>
      <c r="O73" s="1509">
        <v>16000000</v>
      </c>
      <c r="P73" s="1509">
        <v>2880000</v>
      </c>
      <c r="Q73" s="1509"/>
      <c r="R73" s="2650"/>
      <c r="S73" s="2650"/>
      <c r="T73" s="1507"/>
      <c r="U73" s="1495">
        <f t="shared" si="19"/>
        <v>16000000</v>
      </c>
      <c r="V73" s="1495">
        <f t="shared" si="20"/>
        <v>2880000</v>
      </c>
      <c r="W73" s="1495">
        <f t="shared" si="21"/>
        <v>0</v>
      </c>
      <c r="X73" s="1495">
        <f t="shared" si="22"/>
        <v>0</v>
      </c>
      <c r="Y73" s="1495">
        <f t="shared" si="23"/>
        <v>100</v>
      </c>
      <c r="Z73" s="1495">
        <f t="shared" si="24"/>
        <v>0</v>
      </c>
      <c r="AA73" s="1506">
        <f t="shared" si="25"/>
        <v>0</v>
      </c>
      <c r="AB73" s="1505"/>
      <c r="AC73" s="1504">
        <f t="shared" si="26"/>
        <v>0</v>
      </c>
      <c r="AD73" s="1503">
        <f t="shared" si="27"/>
        <v>0</v>
      </c>
      <c r="AE73" s="1503">
        <f t="shared" si="28"/>
        <v>0</v>
      </c>
      <c r="AF73" s="1502">
        <f t="shared" si="29"/>
        <v>0</v>
      </c>
    </row>
    <row r="74" spans="1:32" s="1474" customFormat="1" ht="23.25" customHeight="1">
      <c r="A74" s="1515">
        <f t="shared" si="30"/>
        <v>9</v>
      </c>
      <c r="B74" s="1513" t="s">
        <v>2134</v>
      </c>
      <c r="C74" s="1514" t="s">
        <v>1935</v>
      </c>
      <c r="D74" s="1514"/>
      <c r="E74" s="1513">
        <v>20000000</v>
      </c>
      <c r="F74" s="1512">
        <f t="shared" si="16"/>
        <v>3600000</v>
      </c>
      <c r="G74" s="2141">
        <v>40497</v>
      </c>
      <c r="H74" s="1511">
        <v>0.18</v>
      </c>
      <c r="I74" s="1508">
        <v>12</v>
      </c>
      <c r="J74" s="1508">
        <v>12</v>
      </c>
      <c r="K74" s="1508">
        <v>1666700</v>
      </c>
      <c r="L74" s="1508">
        <v>300000</v>
      </c>
      <c r="M74" s="1510">
        <f t="shared" si="17"/>
        <v>20000000</v>
      </c>
      <c r="N74" s="2401">
        <f>IF(J74&lt;I74,J74*L74,IF(J74&gt;=I74,F74))-300000</f>
        <v>3300000</v>
      </c>
      <c r="O74" s="1509">
        <v>20000000</v>
      </c>
      <c r="P74" s="1509">
        <v>3300000</v>
      </c>
      <c r="Q74" s="1509"/>
      <c r="R74" s="2650"/>
      <c r="S74" s="2650"/>
      <c r="T74" s="1507"/>
      <c r="U74" s="1495">
        <f t="shared" si="19"/>
        <v>20000000</v>
      </c>
      <c r="V74" s="1495">
        <f t="shared" si="20"/>
        <v>3300000</v>
      </c>
      <c r="W74" s="1495">
        <f t="shared" si="21"/>
        <v>0</v>
      </c>
      <c r="X74" s="1495">
        <f t="shared" si="22"/>
        <v>0</v>
      </c>
      <c r="Y74" s="1495">
        <f t="shared" si="23"/>
        <v>100</v>
      </c>
      <c r="Z74" s="1495">
        <f t="shared" si="24"/>
        <v>0</v>
      </c>
      <c r="AA74" s="1506">
        <f t="shared" si="25"/>
        <v>0</v>
      </c>
      <c r="AB74" s="1505"/>
      <c r="AC74" s="1504">
        <f t="shared" si="26"/>
        <v>0</v>
      </c>
      <c r="AD74" s="1503">
        <f t="shared" si="27"/>
        <v>0</v>
      </c>
      <c r="AE74" s="1503">
        <f t="shared" si="28"/>
        <v>0</v>
      </c>
      <c r="AF74" s="1502">
        <f t="shared" si="29"/>
        <v>0</v>
      </c>
    </row>
    <row r="75" spans="1:32" s="1474" customFormat="1" ht="23.25" customHeight="1">
      <c r="A75" s="1515">
        <f t="shared" si="30"/>
        <v>10</v>
      </c>
      <c r="B75" s="1513" t="s">
        <v>2136</v>
      </c>
      <c r="C75" s="1514" t="s">
        <v>1935</v>
      </c>
      <c r="D75" s="1514"/>
      <c r="E75" s="1513">
        <v>15000000</v>
      </c>
      <c r="F75" s="1512">
        <f t="shared" si="16"/>
        <v>2700000</v>
      </c>
      <c r="G75" s="2141">
        <v>40501</v>
      </c>
      <c r="H75" s="1511">
        <v>0.18</v>
      </c>
      <c r="I75" s="1508">
        <v>12</v>
      </c>
      <c r="J75" s="1508">
        <v>12</v>
      </c>
      <c r="K75" s="1508">
        <v>1250000</v>
      </c>
      <c r="L75" s="1508">
        <v>225000</v>
      </c>
      <c r="M75" s="1510">
        <f t="shared" si="17"/>
        <v>15000000</v>
      </c>
      <c r="N75" s="1510">
        <f t="shared" si="18"/>
        <v>2700000</v>
      </c>
      <c r="O75" s="1509">
        <v>15000000</v>
      </c>
      <c r="P75" s="1509">
        <v>2700000</v>
      </c>
      <c r="Q75" s="1509"/>
      <c r="R75" s="2650"/>
      <c r="S75" s="2650"/>
      <c r="T75" s="1507"/>
      <c r="U75" s="1495">
        <f t="shared" si="19"/>
        <v>15000000</v>
      </c>
      <c r="V75" s="1495">
        <f t="shared" si="20"/>
        <v>2700000</v>
      </c>
      <c r="W75" s="1495">
        <f t="shared" si="21"/>
        <v>0</v>
      </c>
      <c r="X75" s="1495">
        <f t="shared" si="22"/>
        <v>0</v>
      </c>
      <c r="Y75" s="1495">
        <f t="shared" si="23"/>
        <v>100</v>
      </c>
      <c r="Z75" s="1495">
        <f t="shared" si="24"/>
        <v>0</v>
      </c>
      <c r="AA75" s="1506">
        <f t="shared" si="25"/>
        <v>0</v>
      </c>
      <c r="AB75" s="1505"/>
      <c r="AC75" s="1504">
        <f t="shared" si="26"/>
        <v>0</v>
      </c>
      <c r="AD75" s="1503">
        <f t="shared" si="27"/>
        <v>0</v>
      </c>
      <c r="AE75" s="1503">
        <f t="shared" si="28"/>
        <v>0</v>
      </c>
      <c r="AF75" s="1502">
        <f t="shared" si="29"/>
        <v>0</v>
      </c>
    </row>
    <row r="76" spans="1:32" s="1474" customFormat="1" ht="23.25" customHeight="1">
      <c r="A76" s="1515">
        <f t="shared" si="30"/>
        <v>11</v>
      </c>
      <c r="B76" s="1513" t="s">
        <v>2135</v>
      </c>
      <c r="C76" s="1514" t="s">
        <v>1935</v>
      </c>
      <c r="D76" s="1514"/>
      <c r="E76" s="1513">
        <v>25000000</v>
      </c>
      <c r="F76" s="1512">
        <f t="shared" si="16"/>
        <v>4500000</v>
      </c>
      <c r="G76" s="2141">
        <v>40522</v>
      </c>
      <c r="H76" s="1511">
        <v>0.18</v>
      </c>
      <c r="I76" s="1508">
        <v>12</v>
      </c>
      <c r="J76" s="1508">
        <v>12</v>
      </c>
      <c r="K76" s="1508">
        <v>2083300</v>
      </c>
      <c r="L76" s="1508">
        <v>375000</v>
      </c>
      <c r="M76" s="1510">
        <f t="shared" si="17"/>
        <v>25000000</v>
      </c>
      <c r="N76" s="1510">
        <f t="shared" si="18"/>
        <v>4500000</v>
      </c>
      <c r="O76" s="1509">
        <v>25000000</v>
      </c>
      <c r="P76" s="1509">
        <v>4500000</v>
      </c>
      <c r="Q76" s="1509"/>
      <c r="R76" s="2650"/>
      <c r="S76" s="2650"/>
      <c r="T76" s="1507"/>
      <c r="U76" s="1495">
        <f t="shared" si="19"/>
        <v>25000000</v>
      </c>
      <c r="V76" s="1495">
        <f t="shared" si="20"/>
        <v>4500000</v>
      </c>
      <c r="W76" s="1495">
        <f t="shared" si="21"/>
        <v>0</v>
      </c>
      <c r="X76" s="1495">
        <f t="shared" si="22"/>
        <v>0</v>
      </c>
      <c r="Y76" s="1495">
        <f t="shared" si="23"/>
        <v>100</v>
      </c>
      <c r="Z76" s="1495">
        <f t="shared" si="24"/>
        <v>0</v>
      </c>
      <c r="AA76" s="1506">
        <f t="shared" si="25"/>
        <v>0</v>
      </c>
      <c r="AB76" s="1505"/>
      <c r="AC76" s="1504">
        <f t="shared" si="26"/>
        <v>0</v>
      </c>
      <c r="AD76" s="1503">
        <f t="shared" si="27"/>
        <v>0</v>
      </c>
      <c r="AE76" s="1503">
        <f t="shared" si="28"/>
        <v>0</v>
      </c>
      <c r="AF76" s="1502">
        <f t="shared" si="29"/>
        <v>0</v>
      </c>
    </row>
    <row r="77" spans="1:32" s="1474" customFormat="1" ht="23.25" customHeight="1">
      <c r="A77" s="1515">
        <f t="shared" si="30"/>
        <v>12</v>
      </c>
      <c r="B77" s="1513" t="s">
        <v>2133</v>
      </c>
      <c r="C77" s="1514" t="s">
        <v>1935</v>
      </c>
      <c r="D77" s="1514"/>
      <c r="E77" s="1513">
        <v>15000000</v>
      </c>
      <c r="F77" s="1512">
        <f t="shared" si="16"/>
        <v>2700000</v>
      </c>
      <c r="G77" s="2141">
        <v>40532</v>
      </c>
      <c r="H77" s="1511">
        <v>0.18</v>
      </c>
      <c r="I77" s="1508">
        <v>12</v>
      </c>
      <c r="J77" s="1508">
        <v>12</v>
      </c>
      <c r="K77" s="1508">
        <v>1250000</v>
      </c>
      <c r="L77" s="1508">
        <v>225000</v>
      </c>
      <c r="M77" s="1510">
        <f t="shared" si="17"/>
        <v>15000000</v>
      </c>
      <c r="N77" s="1510">
        <f t="shared" si="18"/>
        <v>2700000</v>
      </c>
      <c r="O77" s="1509">
        <v>15000000</v>
      </c>
      <c r="P77" s="1509">
        <v>2700000</v>
      </c>
      <c r="Q77" s="1509"/>
      <c r="R77" s="2650"/>
      <c r="S77" s="2650"/>
      <c r="T77" s="1507"/>
      <c r="U77" s="1495">
        <f t="shared" si="19"/>
        <v>15000000</v>
      </c>
      <c r="V77" s="1495">
        <f t="shared" si="20"/>
        <v>2700000</v>
      </c>
      <c r="W77" s="1495">
        <f t="shared" si="21"/>
        <v>0</v>
      </c>
      <c r="X77" s="1495">
        <f t="shared" si="22"/>
        <v>0</v>
      </c>
      <c r="Y77" s="1495">
        <f t="shared" si="23"/>
        <v>100</v>
      </c>
      <c r="Z77" s="1495">
        <f t="shared" si="24"/>
        <v>0</v>
      </c>
      <c r="AA77" s="1506">
        <f t="shared" si="25"/>
        <v>0</v>
      </c>
      <c r="AB77" s="1505"/>
      <c r="AC77" s="1504">
        <f t="shared" si="26"/>
        <v>0</v>
      </c>
      <c r="AD77" s="1503">
        <f t="shared" si="27"/>
        <v>0</v>
      </c>
      <c r="AE77" s="1503">
        <f t="shared" si="28"/>
        <v>0</v>
      </c>
      <c r="AF77" s="1502">
        <f t="shared" si="29"/>
        <v>0</v>
      </c>
    </row>
    <row r="78" spans="1:32" s="1474" customFormat="1" ht="23.25" customHeight="1">
      <c r="A78" s="1515">
        <f t="shared" si="30"/>
        <v>13</v>
      </c>
      <c r="B78" s="1513" t="s">
        <v>1944</v>
      </c>
      <c r="C78" s="1514" t="s">
        <v>1935</v>
      </c>
      <c r="D78" s="1514"/>
      <c r="E78" s="1513">
        <v>7000000</v>
      </c>
      <c r="F78" s="1512">
        <f t="shared" si="16"/>
        <v>1260000</v>
      </c>
      <c r="G78" s="2141">
        <v>40578</v>
      </c>
      <c r="H78" s="1511">
        <v>0.18</v>
      </c>
      <c r="I78" s="1508">
        <v>12</v>
      </c>
      <c r="J78" s="1508">
        <v>12</v>
      </c>
      <c r="K78" s="1508">
        <v>583300</v>
      </c>
      <c r="L78" s="1508">
        <v>105000</v>
      </c>
      <c r="M78" s="1510">
        <f t="shared" si="17"/>
        <v>7000000</v>
      </c>
      <c r="N78" s="1510">
        <f t="shared" si="18"/>
        <v>1260000</v>
      </c>
      <c r="O78" s="1509">
        <v>7000000</v>
      </c>
      <c r="P78" s="1509">
        <v>1260000</v>
      </c>
      <c r="Q78" s="1509"/>
      <c r="R78" s="2650"/>
      <c r="S78" s="2650"/>
      <c r="T78" s="1507"/>
      <c r="U78" s="1495">
        <f t="shared" si="19"/>
        <v>7000000</v>
      </c>
      <c r="V78" s="1495">
        <f t="shared" si="20"/>
        <v>1260000</v>
      </c>
      <c r="W78" s="1495">
        <f t="shared" si="21"/>
        <v>0</v>
      </c>
      <c r="X78" s="1495">
        <f t="shared" si="22"/>
        <v>0</v>
      </c>
      <c r="Y78" s="1495">
        <f t="shared" si="23"/>
        <v>100</v>
      </c>
      <c r="Z78" s="1495">
        <f t="shared" si="24"/>
        <v>0</v>
      </c>
      <c r="AA78" s="1506">
        <f t="shared" si="25"/>
        <v>0</v>
      </c>
      <c r="AB78" s="1505"/>
      <c r="AC78" s="1504">
        <f t="shared" si="26"/>
        <v>0</v>
      </c>
      <c r="AD78" s="1503">
        <f t="shared" si="27"/>
        <v>0</v>
      </c>
      <c r="AE78" s="1503">
        <f t="shared" si="28"/>
        <v>0</v>
      </c>
      <c r="AF78" s="1502">
        <f t="shared" si="29"/>
        <v>0</v>
      </c>
    </row>
    <row r="79" spans="1:32" s="1474" customFormat="1" ht="23.25" customHeight="1">
      <c r="A79" s="1515">
        <f t="shared" si="30"/>
        <v>14</v>
      </c>
      <c r="B79" s="1513" t="s">
        <v>2147</v>
      </c>
      <c r="C79" s="1514" t="s">
        <v>1935</v>
      </c>
      <c r="D79" s="1514"/>
      <c r="E79" s="1513">
        <v>7000000</v>
      </c>
      <c r="F79" s="1512">
        <f t="shared" si="16"/>
        <v>1260000</v>
      </c>
      <c r="G79" s="2141">
        <v>40578</v>
      </c>
      <c r="H79" s="1511">
        <v>0.18</v>
      </c>
      <c r="I79" s="1508">
        <v>12</v>
      </c>
      <c r="J79" s="1508">
        <v>12</v>
      </c>
      <c r="K79" s="1508">
        <v>583300</v>
      </c>
      <c r="L79" s="1508">
        <v>105000</v>
      </c>
      <c r="M79" s="1510">
        <f t="shared" si="17"/>
        <v>7000000</v>
      </c>
      <c r="N79" s="1510">
        <f t="shared" si="18"/>
        <v>1260000</v>
      </c>
      <c r="O79" s="1509">
        <v>7000000</v>
      </c>
      <c r="P79" s="1509">
        <v>1260000</v>
      </c>
      <c r="Q79" s="1509"/>
      <c r="R79" s="2650"/>
      <c r="S79" s="2650"/>
      <c r="T79" s="1507"/>
      <c r="U79" s="1495">
        <f t="shared" si="19"/>
        <v>7000000</v>
      </c>
      <c r="V79" s="1495">
        <f t="shared" si="20"/>
        <v>1260000</v>
      </c>
      <c r="W79" s="1495">
        <f t="shared" si="21"/>
        <v>0</v>
      </c>
      <c r="X79" s="1495">
        <f t="shared" si="22"/>
        <v>0</v>
      </c>
      <c r="Y79" s="1495">
        <f t="shared" si="23"/>
        <v>100</v>
      </c>
      <c r="Z79" s="1495">
        <f t="shared" si="24"/>
        <v>0</v>
      </c>
      <c r="AA79" s="1506">
        <f t="shared" si="25"/>
        <v>0</v>
      </c>
      <c r="AB79" s="1505"/>
      <c r="AC79" s="1504">
        <f t="shared" si="26"/>
        <v>0</v>
      </c>
      <c r="AD79" s="1503">
        <f t="shared" si="27"/>
        <v>0</v>
      </c>
      <c r="AE79" s="1503">
        <f t="shared" si="28"/>
        <v>0</v>
      </c>
      <c r="AF79" s="1502">
        <f t="shared" si="29"/>
        <v>0</v>
      </c>
    </row>
    <row r="80" spans="1:32" s="1474" customFormat="1" ht="23.25" customHeight="1">
      <c r="A80" s="1515">
        <f t="shared" si="30"/>
        <v>15</v>
      </c>
      <c r="B80" s="1513" t="s">
        <v>2148</v>
      </c>
      <c r="C80" s="1514" t="s">
        <v>1935</v>
      </c>
      <c r="D80" s="1514"/>
      <c r="E80" s="1513">
        <v>7200000</v>
      </c>
      <c r="F80" s="1512">
        <f t="shared" si="16"/>
        <v>1296000</v>
      </c>
      <c r="G80" s="2141">
        <v>40583</v>
      </c>
      <c r="H80" s="1511">
        <v>0.18</v>
      </c>
      <c r="I80" s="1508">
        <v>12</v>
      </c>
      <c r="J80" s="1508">
        <v>12</v>
      </c>
      <c r="K80" s="1508">
        <v>600000</v>
      </c>
      <c r="L80" s="1508">
        <v>108000</v>
      </c>
      <c r="M80" s="1510">
        <f t="shared" si="17"/>
        <v>7200000</v>
      </c>
      <c r="N80" s="1510">
        <f t="shared" si="18"/>
        <v>1296000</v>
      </c>
      <c r="O80" s="1509">
        <v>7200000</v>
      </c>
      <c r="P80" s="1509">
        <v>1296000</v>
      </c>
      <c r="Q80" s="1509"/>
      <c r="R80" s="2650"/>
      <c r="S80" s="2650"/>
      <c r="T80" s="1507"/>
      <c r="U80" s="1495">
        <f t="shared" si="19"/>
        <v>7200000</v>
      </c>
      <c r="V80" s="1495">
        <f t="shared" si="20"/>
        <v>1296000</v>
      </c>
      <c r="W80" s="1495">
        <f t="shared" si="21"/>
        <v>0</v>
      </c>
      <c r="X80" s="1495">
        <f t="shared" si="22"/>
        <v>0</v>
      </c>
      <c r="Y80" s="1495">
        <f t="shared" si="23"/>
        <v>100</v>
      </c>
      <c r="Z80" s="1495">
        <f t="shared" si="24"/>
        <v>0</v>
      </c>
      <c r="AA80" s="1506">
        <f t="shared" si="25"/>
        <v>0</v>
      </c>
      <c r="AB80" s="1505"/>
      <c r="AC80" s="1504">
        <f t="shared" si="26"/>
        <v>0</v>
      </c>
      <c r="AD80" s="1503">
        <f t="shared" si="27"/>
        <v>0</v>
      </c>
      <c r="AE80" s="1503">
        <f t="shared" si="28"/>
        <v>0</v>
      </c>
      <c r="AF80" s="1502">
        <f t="shared" si="29"/>
        <v>0</v>
      </c>
    </row>
    <row r="81" spans="1:32" s="1474" customFormat="1" ht="23.25" customHeight="1">
      <c r="A81" s="1515">
        <f t="shared" si="30"/>
        <v>16</v>
      </c>
      <c r="B81" s="1513" t="s">
        <v>2149</v>
      </c>
      <c r="C81" s="1514" t="s">
        <v>1935</v>
      </c>
      <c r="D81" s="1514"/>
      <c r="E81" s="1513">
        <v>7800000</v>
      </c>
      <c r="F81" s="1512">
        <f t="shared" si="16"/>
        <v>1404000</v>
      </c>
      <c r="G81" s="2141">
        <v>40583</v>
      </c>
      <c r="H81" s="1511">
        <v>0.18</v>
      </c>
      <c r="I81" s="1508">
        <v>12</v>
      </c>
      <c r="J81" s="1508">
        <v>12</v>
      </c>
      <c r="K81" s="1508">
        <v>650000</v>
      </c>
      <c r="L81" s="1508">
        <v>117000</v>
      </c>
      <c r="M81" s="1510">
        <f t="shared" si="17"/>
        <v>7800000</v>
      </c>
      <c r="N81" s="1510">
        <f t="shared" si="18"/>
        <v>1404000</v>
      </c>
      <c r="O81" s="1509">
        <v>7800000</v>
      </c>
      <c r="P81" s="1509">
        <v>1404000</v>
      </c>
      <c r="Q81" s="1509"/>
      <c r="R81" s="2650"/>
      <c r="S81" s="2650"/>
      <c r="T81" s="1507"/>
      <c r="U81" s="1495">
        <f t="shared" si="19"/>
        <v>7800000</v>
      </c>
      <c r="V81" s="1495">
        <f t="shared" si="20"/>
        <v>1404000</v>
      </c>
      <c r="W81" s="1495">
        <f t="shared" si="21"/>
        <v>0</v>
      </c>
      <c r="X81" s="1495">
        <f t="shared" si="22"/>
        <v>0</v>
      </c>
      <c r="Y81" s="1495">
        <f t="shared" si="23"/>
        <v>100</v>
      </c>
      <c r="Z81" s="1495">
        <f t="shared" si="24"/>
        <v>0</v>
      </c>
      <c r="AA81" s="1506">
        <f t="shared" si="25"/>
        <v>0</v>
      </c>
      <c r="AB81" s="1505"/>
      <c r="AC81" s="1504">
        <f t="shared" si="26"/>
        <v>0</v>
      </c>
      <c r="AD81" s="1503">
        <f t="shared" si="27"/>
        <v>0</v>
      </c>
      <c r="AE81" s="1503">
        <f t="shared" si="28"/>
        <v>0</v>
      </c>
      <c r="AF81" s="1502">
        <f t="shared" si="29"/>
        <v>0</v>
      </c>
    </row>
    <row r="82" spans="1:32" s="1474" customFormat="1" ht="23.25" customHeight="1">
      <c r="A82" s="1515">
        <f t="shared" si="30"/>
        <v>17</v>
      </c>
      <c r="B82" s="1513" t="s">
        <v>2150</v>
      </c>
      <c r="C82" s="1514" t="s">
        <v>1935</v>
      </c>
      <c r="D82" s="1514"/>
      <c r="E82" s="1513">
        <v>6500000</v>
      </c>
      <c r="F82" s="1512">
        <f t="shared" si="16"/>
        <v>1170000</v>
      </c>
      <c r="G82" s="2141">
        <v>40583</v>
      </c>
      <c r="H82" s="1511">
        <v>0.18</v>
      </c>
      <c r="I82" s="1508">
        <v>12</v>
      </c>
      <c r="J82" s="1508">
        <v>12</v>
      </c>
      <c r="K82" s="1508">
        <v>541700</v>
      </c>
      <c r="L82" s="1508">
        <v>97500</v>
      </c>
      <c r="M82" s="1510">
        <f t="shared" si="17"/>
        <v>6500000</v>
      </c>
      <c r="N82" s="1510">
        <f t="shared" si="18"/>
        <v>1170000</v>
      </c>
      <c r="O82" s="1509">
        <v>6500000</v>
      </c>
      <c r="P82" s="1509">
        <v>1170000</v>
      </c>
      <c r="Q82" s="1509"/>
      <c r="R82" s="2650"/>
      <c r="S82" s="2650"/>
      <c r="T82" s="1507"/>
      <c r="U82" s="1495">
        <f t="shared" si="19"/>
        <v>6500000</v>
      </c>
      <c r="V82" s="1495">
        <f t="shared" si="20"/>
        <v>1170000</v>
      </c>
      <c r="W82" s="1495">
        <f t="shared" si="21"/>
        <v>0</v>
      </c>
      <c r="X82" s="1495">
        <f t="shared" si="22"/>
        <v>0</v>
      </c>
      <c r="Y82" s="1495">
        <f t="shared" si="23"/>
        <v>100</v>
      </c>
      <c r="Z82" s="1495">
        <f t="shared" si="24"/>
        <v>0</v>
      </c>
      <c r="AA82" s="1506">
        <f t="shared" si="25"/>
        <v>0</v>
      </c>
      <c r="AB82" s="1505"/>
      <c r="AC82" s="1504">
        <f t="shared" si="26"/>
        <v>0</v>
      </c>
      <c r="AD82" s="1503">
        <f t="shared" si="27"/>
        <v>0</v>
      </c>
      <c r="AE82" s="1503">
        <f t="shared" si="28"/>
        <v>0</v>
      </c>
      <c r="AF82" s="1502">
        <f t="shared" si="29"/>
        <v>0</v>
      </c>
    </row>
    <row r="83" spans="1:32" s="1474" customFormat="1" ht="23.25" customHeight="1">
      <c r="A83" s="1515">
        <f t="shared" si="30"/>
        <v>18</v>
      </c>
      <c r="B83" s="1513" t="s">
        <v>2151</v>
      </c>
      <c r="C83" s="1514" t="s">
        <v>1940</v>
      </c>
      <c r="D83" s="1514"/>
      <c r="E83" s="1513">
        <v>6500000</v>
      </c>
      <c r="F83" s="1512">
        <f t="shared" si="16"/>
        <v>1170000</v>
      </c>
      <c r="G83" s="2141">
        <v>40583</v>
      </c>
      <c r="H83" s="1511">
        <v>0.18</v>
      </c>
      <c r="I83" s="1508">
        <v>12</v>
      </c>
      <c r="J83" s="1508">
        <v>12</v>
      </c>
      <c r="K83" s="1508">
        <v>541700</v>
      </c>
      <c r="L83" s="1508">
        <v>97500</v>
      </c>
      <c r="M83" s="1510">
        <f t="shared" si="17"/>
        <v>6500000</v>
      </c>
      <c r="N83" s="1510">
        <f t="shared" si="18"/>
        <v>1170000</v>
      </c>
      <c r="O83" s="1509">
        <v>6500000</v>
      </c>
      <c r="P83" s="1509">
        <v>1170000</v>
      </c>
      <c r="Q83" s="1509"/>
      <c r="R83" s="2650"/>
      <c r="S83" s="2650"/>
      <c r="T83" s="1507"/>
      <c r="U83" s="1495">
        <f t="shared" si="19"/>
        <v>6500000</v>
      </c>
      <c r="V83" s="1495">
        <f t="shared" si="20"/>
        <v>1170000</v>
      </c>
      <c r="W83" s="1495">
        <f t="shared" si="21"/>
        <v>0</v>
      </c>
      <c r="X83" s="1495">
        <f t="shared" si="22"/>
        <v>0</v>
      </c>
      <c r="Y83" s="1495">
        <f t="shared" si="23"/>
        <v>100</v>
      </c>
      <c r="Z83" s="1495">
        <f t="shared" si="24"/>
        <v>0</v>
      </c>
      <c r="AA83" s="1506">
        <f t="shared" si="25"/>
        <v>0</v>
      </c>
      <c r="AB83" s="1505"/>
      <c r="AC83" s="1504">
        <f t="shared" si="26"/>
        <v>0</v>
      </c>
      <c r="AD83" s="1503">
        <f t="shared" si="27"/>
        <v>0</v>
      </c>
      <c r="AE83" s="1503">
        <f t="shared" si="28"/>
        <v>0</v>
      </c>
      <c r="AF83" s="1502">
        <f t="shared" si="29"/>
        <v>0</v>
      </c>
    </row>
    <row r="84" spans="1:32" s="1474" customFormat="1" ht="23.25" customHeight="1">
      <c r="A84" s="1515">
        <f t="shared" si="30"/>
        <v>19</v>
      </c>
      <c r="B84" s="1513" t="s">
        <v>2129</v>
      </c>
      <c r="C84" s="1514" t="s">
        <v>1940</v>
      </c>
      <c r="D84" s="1514"/>
      <c r="E84" s="1513">
        <v>20000000</v>
      </c>
      <c r="F84" s="1512">
        <f t="shared" si="16"/>
        <v>3600000</v>
      </c>
      <c r="G84" s="2141">
        <v>40652</v>
      </c>
      <c r="H84" s="1511">
        <v>0.18</v>
      </c>
      <c r="I84" s="1508">
        <v>12</v>
      </c>
      <c r="J84" s="1508">
        <v>12</v>
      </c>
      <c r="K84" s="1508">
        <v>1666700</v>
      </c>
      <c r="L84" s="1508">
        <v>300000</v>
      </c>
      <c r="M84" s="1510">
        <f t="shared" si="17"/>
        <v>20000000</v>
      </c>
      <c r="N84" s="1510">
        <f t="shared" si="18"/>
        <v>3600000</v>
      </c>
      <c r="O84" s="1515">
        <v>20000000</v>
      </c>
      <c r="P84" s="1509">
        <v>3600000</v>
      </c>
      <c r="Q84" s="1509"/>
      <c r="R84" s="2650"/>
      <c r="S84" s="2650"/>
      <c r="T84" s="1507"/>
      <c r="U84" s="1495">
        <f t="shared" si="19"/>
        <v>20000000</v>
      </c>
      <c r="V84" s="1495">
        <f t="shared" si="20"/>
        <v>3600000</v>
      </c>
      <c r="W84" s="1495">
        <f t="shared" si="21"/>
        <v>0</v>
      </c>
      <c r="X84" s="1495">
        <f t="shared" si="22"/>
        <v>0</v>
      </c>
      <c r="Y84" s="1495">
        <f t="shared" si="23"/>
        <v>100</v>
      </c>
      <c r="Z84" s="1495">
        <f t="shared" si="24"/>
        <v>0</v>
      </c>
      <c r="AA84" s="1506">
        <f t="shared" si="25"/>
        <v>0</v>
      </c>
      <c r="AB84" s="1505"/>
      <c r="AC84" s="1504">
        <f t="shared" si="26"/>
        <v>0</v>
      </c>
      <c r="AD84" s="1503">
        <f t="shared" si="27"/>
        <v>0</v>
      </c>
      <c r="AE84" s="1503">
        <f t="shared" si="28"/>
        <v>0</v>
      </c>
      <c r="AF84" s="1502">
        <f t="shared" si="29"/>
        <v>0</v>
      </c>
    </row>
    <row r="85" spans="1:32" s="1474" customFormat="1" ht="23.25" customHeight="1">
      <c r="A85" s="1515">
        <f t="shared" si="30"/>
        <v>20</v>
      </c>
      <c r="B85" s="1513" t="s">
        <v>2152</v>
      </c>
      <c r="C85" s="1514" t="s">
        <v>1940</v>
      </c>
      <c r="D85" s="1514"/>
      <c r="E85" s="1513">
        <v>8400000</v>
      </c>
      <c r="F85" s="1512">
        <f t="shared" si="16"/>
        <v>1512000</v>
      </c>
      <c r="G85" s="2141">
        <v>40652</v>
      </c>
      <c r="H85" s="1511">
        <v>0.18</v>
      </c>
      <c r="I85" s="1508">
        <v>12</v>
      </c>
      <c r="J85" s="1508">
        <v>12</v>
      </c>
      <c r="K85" s="1508">
        <v>700000</v>
      </c>
      <c r="L85" s="1508">
        <v>126000</v>
      </c>
      <c r="M85" s="1510">
        <f t="shared" si="17"/>
        <v>8400000</v>
      </c>
      <c r="N85" s="1510">
        <f t="shared" si="18"/>
        <v>1512000</v>
      </c>
      <c r="O85" s="1515">
        <v>8400000</v>
      </c>
      <c r="P85" s="1509">
        <v>1512000</v>
      </c>
      <c r="Q85" s="1509"/>
      <c r="R85" s="2650"/>
      <c r="S85" s="2650"/>
      <c r="T85" s="1507"/>
      <c r="U85" s="1495">
        <f t="shared" si="19"/>
        <v>8400000</v>
      </c>
      <c r="V85" s="1495">
        <f t="shared" si="20"/>
        <v>1512000</v>
      </c>
      <c r="W85" s="1495">
        <f t="shared" si="21"/>
        <v>0</v>
      </c>
      <c r="X85" s="1495">
        <f t="shared" si="22"/>
        <v>0</v>
      </c>
      <c r="Y85" s="1495">
        <f t="shared" si="23"/>
        <v>100</v>
      </c>
      <c r="Z85" s="1495">
        <f t="shared" si="24"/>
        <v>0</v>
      </c>
      <c r="AA85" s="1506">
        <f t="shared" si="25"/>
        <v>0</v>
      </c>
      <c r="AB85" s="1505"/>
      <c r="AC85" s="1504">
        <f t="shared" si="26"/>
        <v>0</v>
      </c>
      <c r="AD85" s="1503">
        <f t="shared" si="27"/>
        <v>0</v>
      </c>
      <c r="AE85" s="1503">
        <f t="shared" si="28"/>
        <v>0</v>
      </c>
      <c r="AF85" s="1502">
        <f t="shared" si="29"/>
        <v>0</v>
      </c>
    </row>
    <row r="86" spans="1:32" s="1474" customFormat="1" ht="23.25" customHeight="1">
      <c r="A86" s="1515">
        <v>21</v>
      </c>
      <c r="B86" s="1513" t="s">
        <v>2146</v>
      </c>
      <c r="C86" s="1514" t="s">
        <v>1985</v>
      </c>
      <c r="D86" s="1514"/>
      <c r="E86" s="1513">
        <v>25000000</v>
      </c>
      <c r="F86" s="1512">
        <f t="shared" si="16"/>
        <v>4500000</v>
      </c>
      <c r="G86" s="2141">
        <v>40681</v>
      </c>
      <c r="H86" s="1511">
        <v>0.18</v>
      </c>
      <c r="I86" s="1508">
        <v>12</v>
      </c>
      <c r="J86" s="1508">
        <v>12</v>
      </c>
      <c r="K86" s="1508">
        <v>2083300</v>
      </c>
      <c r="L86" s="1508">
        <v>375000</v>
      </c>
      <c r="M86" s="1510">
        <f t="shared" si="17"/>
        <v>25000000</v>
      </c>
      <c r="N86" s="1510">
        <f t="shared" si="18"/>
        <v>4500000</v>
      </c>
      <c r="O86" s="1515">
        <v>25000000</v>
      </c>
      <c r="P86" s="1509">
        <v>4500000</v>
      </c>
      <c r="Q86" s="1509"/>
      <c r="R86" s="2650"/>
      <c r="S86" s="2650"/>
      <c r="T86" s="1507"/>
      <c r="U86" s="1495">
        <f t="shared" si="19"/>
        <v>25000000</v>
      </c>
      <c r="V86" s="1495">
        <f t="shared" si="20"/>
        <v>4500000</v>
      </c>
      <c r="W86" s="1495">
        <f t="shared" si="21"/>
        <v>0</v>
      </c>
      <c r="X86" s="1495">
        <f t="shared" si="22"/>
        <v>0</v>
      </c>
      <c r="Y86" s="1495">
        <f t="shared" si="23"/>
        <v>100</v>
      </c>
      <c r="Z86" s="1495">
        <f t="shared" si="24"/>
        <v>0</v>
      </c>
      <c r="AA86" s="1506">
        <f t="shared" si="25"/>
        <v>0</v>
      </c>
      <c r="AB86" s="1505"/>
      <c r="AC86" s="1504">
        <f t="shared" si="26"/>
        <v>0</v>
      </c>
      <c r="AD86" s="1503">
        <f t="shared" si="27"/>
        <v>0</v>
      </c>
      <c r="AE86" s="1503">
        <f t="shared" si="28"/>
        <v>0</v>
      </c>
      <c r="AF86" s="1502">
        <f t="shared" si="29"/>
        <v>0</v>
      </c>
    </row>
    <row r="87" spans="1:32" s="1474" customFormat="1" ht="23.25" customHeight="1">
      <c r="A87" s="1515">
        <f t="shared" si="30"/>
        <v>22</v>
      </c>
      <c r="B87" s="1513" t="s">
        <v>2132</v>
      </c>
      <c r="C87" s="1514" t="s">
        <v>1985</v>
      </c>
      <c r="D87" s="1514"/>
      <c r="E87" s="1513">
        <v>18000000</v>
      </c>
      <c r="F87" s="1512">
        <f t="shared" si="16"/>
        <v>3240000</v>
      </c>
      <c r="G87" s="2141">
        <v>40714</v>
      </c>
      <c r="H87" s="1511">
        <v>0.18</v>
      </c>
      <c r="I87" s="1508">
        <v>12</v>
      </c>
      <c r="J87" s="1508">
        <v>12</v>
      </c>
      <c r="K87" s="1508">
        <f>E87/I87</f>
        <v>1500000</v>
      </c>
      <c r="L87" s="1508">
        <v>270000</v>
      </c>
      <c r="M87" s="1510">
        <f t="shared" si="17"/>
        <v>18000000</v>
      </c>
      <c r="N87" s="1510">
        <f t="shared" si="18"/>
        <v>3240000</v>
      </c>
      <c r="O87" s="1515">
        <v>18000000</v>
      </c>
      <c r="P87" s="1509">
        <v>3240000</v>
      </c>
      <c r="Q87" s="1509"/>
      <c r="R87" s="2650"/>
      <c r="S87" s="2650"/>
      <c r="T87" s="1507"/>
      <c r="U87" s="1495">
        <f t="shared" si="19"/>
        <v>18000000</v>
      </c>
      <c r="V87" s="1495">
        <f t="shared" si="20"/>
        <v>3240000</v>
      </c>
      <c r="W87" s="1495">
        <f t="shared" si="21"/>
        <v>0</v>
      </c>
      <c r="X87" s="1495">
        <f t="shared" si="22"/>
        <v>0</v>
      </c>
      <c r="Y87" s="1495">
        <f t="shared" si="23"/>
        <v>100</v>
      </c>
      <c r="Z87" s="1495">
        <f t="shared" si="24"/>
        <v>0</v>
      </c>
      <c r="AA87" s="1506">
        <f t="shared" si="25"/>
        <v>0</v>
      </c>
      <c r="AB87" s="1505"/>
      <c r="AC87" s="1504">
        <f t="shared" si="26"/>
        <v>0</v>
      </c>
      <c r="AD87" s="1503">
        <f t="shared" si="27"/>
        <v>0</v>
      </c>
      <c r="AE87" s="1503">
        <f t="shared" si="28"/>
        <v>0</v>
      </c>
      <c r="AF87" s="1502">
        <f t="shared" si="29"/>
        <v>0</v>
      </c>
    </row>
    <row r="88" spans="1:32" s="1474" customFormat="1" ht="23.25" customHeight="1">
      <c r="A88" s="1515">
        <f t="shared" si="30"/>
        <v>23</v>
      </c>
      <c r="B88" s="1513" t="s">
        <v>2144</v>
      </c>
      <c r="C88" s="1514" t="s">
        <v>1985</v>
      </c>
      <c r="D88" s="1514"/>
      <c r="E88" s="1513">
        <v>15000000</v>
      </c>
      <c r="F88" s="1512">
        <f t="shared" si="16"/>
        <v>2700000</v>
      </c>
      <c r="G88" s="2141">
        <v>40714</v>
      </c>
      <c r="H88" s="1511">
        <v>0.18</v>
      </c>
      <c r="I88" s="1508">
        <v>12</v>
      </c>
      <c r="J88" s="1508">
        <v>12</v>
      </c>
      <c r="K88" s="1508">
        <f>E88/I88</f>
        <v>1250000</v>
      </c>
      <c r="L88" s="1508">
        <f>F88/I88</f>
        <v>225000</v>
      </c>
      <c r="M88" s="1510">
        <f t="shared" si="17"/>
        <v>15000000</v>
      </c>
      <c r="N88" s="1510">
        <f t="shared" si="18"/>
        <v>2700000</v>
      </c>
      <c r="O88" s="1515">
        <v>15000000</v>
      </c>
      <c r="P88" s="1509">
        <v>2700000</v>
      </c>
      <c r="Q88" s="1509"/>
      <c r="R88" s="2650"/>
      <c r="S88" s="2650"/>
      <c r="T88" s="1507"/>
      <c r="U88" s="1495">
        <f t="shared" si="19"/>
        <v>15000000</v>
      </c>
      <c r="V88" s="1495">
        <f t="shared" si="20"/>
        <v>2700000</v>
      </c>
      <c r="W88" s="1495">
        <f t="shared" si="21"/>
        <v>0</v>
      </c>
      <c r="X88" s="1495">
        <f t="shared" si="22"/>
        <v>0</v>
      </c>
      <c r="Y88" s="1495">
        <f t="shared" si="23"/>
        <v>100</v>
      </c>
      <c r="Z88" s="1495">
        <f t="shared" si="24"/>
        <v>0</v>
      </c>
      <c r="AA88" s="1506">
        <f t="shared" si="25"/>
        <v>0</v>
      </c>
      <c r="AB88" s="1505"/>
      <c r="AC88" s="1504">
        <f t="shared" si="26"/>
        <v>0</v>
      </c>
      <c r="AD88" s="1503">
        <f t="shared" si="27"/>
        <v>0</v>
      </c>
      <c r="AE88" s="1503">
        <f t="shared" si="28"/>
        <v>0</v>
      </c>
      <c r="AF88" s="1502">
        <f t="shared" si="29"/>
        <v>0</v>
      </c>
    </row>
    <row r="89" spans="1:32" s="1474" customFormat="1" ht="23.25" customHeight="1">
      <c r="A89" s="1515">
        <v>24</v>
      </c>
      <c r="B89" s="1513" t="s">
        <v>2128</v>
      </c>
      <c r="C89" s="1514" t="s">
        <v>1985</v>
      </c>
      <c r="D89" s="1514"/>
      <c r="E89" s="1513">
        <v>18000000</v>
      </c>
      <c r="F89" s="1512">
        <f t="shared" si="16"/>
        <v>3240000</v>
      </c>
      <c r="G89" s="2141">
        <v>40715</v>
      </c>
      <c r="H89" s="1511">
        <v>0.18</v>
      </c>
      <c r="I89" s="1508">
        <v>12</v>
      </c>
      <c r="J89" s="1508">
        <v>12</v>
      </c>
      <c r="K89" s="1508">
        <v>1500000</v>
      </c>
      <c r="L89" s="1508">
        <v>270000</v>
      </c>
      <c r="M89" s="1510">
        <f t="shared" si="17"/>
        <v>18000000</v>
      </c>
      <c r="N89" s="1510">
        <f t="shared" si="18"/>
        <v>3240000</v>
      </c>
      <c r="O89" s="1509">
        <v>18000000</v>
      </c>
      <c r="P89" s="1509">
        <v>3240000</v>
      </c>
      <c r="Q89" s="1509"/>
      <c r="R89" s="2650"/>
      <c r="S89" s="2650"/>
      <c r="T89" s="1507"/>
      <c r="U89" s="1495">
        <f t="shared" si="19"/>
        <v>18000000</v>
      </c>
      <c r="V89" s="1495">
        <f t="shared" si="20"/>
        <v>3240000</v>
      </c>
      <c r="W89" s="1495">
        <f t="shared" si="21"/>
        <v>0</v>
      </c>
      <c r="X89" s="1495">
        <f t="shared" si="22"/>
        <v>0</v>
      </c>
      <c r="Y89" s="1495">
        <f t="shared" si="23"/>
        <v>100</v>
      </c>
      <c r="Z89" s="1495">
        <f t="shared" si="24"/>
        <v>0</v>
      </c>
      <c r="AA89" s="1506">
        <f t="shared" si="25"/>
        <v>0</v>
      </c>
      <c r="AB89" s="1505"/>
      <c r="AC89" s="1504">
        <f t="shared" si="26"/>
        <v>0</v>
      </c>
      <c r="AD89" s="1503">
        <f t="shared" si="27"/>
        <v>0</v>
      </c>
      <c r="AE89" s="1503">
        <f t="shared" si="28"/>
        <v>0</v>
      </c>
      <c r="AF89" s="1502">
        <f t="shared" si="29"/>
        <v>0</v>
      </c>
    </row>
    <row r="90" spans="1:32" s="1474" customFormat="1" ht="23.25" customHeight="1">
      <c r="A90" s="1515">
        <v>25</v>
      </c>
      <c r="B90" s="1513" t="s">
        <v>2145</v>
      </c>
      <c r="C90" s="1514" t="s">
        <v>1985</v>
      </c>
      <c r="D90" s="1514"/>
      <c r="E90" s="1513">
        <v>18000000</v>
      </c>
      <c r="F90" s="1512">
        <f t="shared" si="16"/>
        <v>3240000</v>
      </c>
      <c r="G90" s="2141">
        <v>40715</v>
      </c>
      <c r="H90" s="1511">
        <v>0.18</v>
      </c>
      <c r="I90" s="1508">
        <v>12</v>
      </c>
      <c r="J90" s="1508">
        <v>12</v>
      </c>
      <c r="K90" s="1508">
        <v>1500000</v>
      </c>
      <c r="L90" s="1508">
        <v>270000</v>
      </c>
      <c r="M90" s="1510">
        <f t="shared" si="17"/>
        <v>18000000</v>
      </c>
      <c r="N90" s="1510">
        <f t="shared" si="18"/>
        <v>3240000</v>
      </c>
      <c r="O90" s="1509">
        <v>18000000</v>
      </c>
      <c r="P90" s="1509">
        <v>3240000</v>
      </c>
      <c r="Q90" s="1509"/>
      <c r="R90" s="2650"/>
      <c r="S90" s="2650"/>
      <c r="T90" s="1507"/>
      <c r="U90" s="1495">
        <f t="shared" si="19"/>
        <v>18000000</v>
      </c>
      <c r="V90" s="1495">
        <f t="shared" si="20"/>
        <v>3240000</v>
      </c>
      <c r="W90" s="1495">
        <f t="shared" si="21"/>
        <v>0</v>
      </c>
      <c r="X90" s="1495">
        <f t="shared" si="22"/>
        <v>0</v>
      </c>
      <c r="Y90" s="1495">
        <f t="shared" si="23"/>
        <v>100</v>
      </c>
      <c r="Z90" s="1495">
        <f t="shared" si="24"/>
        <v>0</v>
      </c>
      <c r="AA90" s="1506">
        <f t="shared" si="25"/>
        <v>0</v>
      </c>
      <c r="AB90" s="1505"/>
      <c r="AC90" s="1504">
        <f t="shared" si="26"/>
        <v>0</v>
      </c>
      <c r="AD90" s="1503">
        <f t="shared" si="27"/>
        <v>0</v>
      </c>
      <c r="AE90" s="1503">
        <f t="shared" si="28"/>
        <v>0</v>
      </c>
      <c r="AF90" s="1502">
        <f t="shared" si="29"/>
        <v>0</v>
      </c>
    </row>
    <row r="91" spans="1:32" s="1474" customFormat="1" ht="23.25" customHeight="1">
      <c r="A91" s="1515">
        <v>26</v>
      </c>
      <c r="B91" s="1513" t="s">
        <v>2244</v>
      </c>
      <c r="C91" s="1514" t="s">
        <v>2195</v>
      </c>
      <c r="D91" s="1514"/>
      <c r="E91" s="1513">
        <v>10000000</v>
      </c>
      <c r="F91" s="1512">
        <f t="shared" si="16"/>
        <v>1800000</v>
      </c>
      <c r="G91" s="2141">
        <v>40932</v>
      </c>
      <c r="H91" s="1511">
        <v>0.18</v>
      </c>
      <c r="I91" s="1508">
        <v>12</v>
      </c>
      <c r="J91" s="1508">
        <v>12</v>
      </c>
      <c r="K91" s="1508">
        <v>833300</v>
      </c>
      <c r="L91" s="1508">
        <f>F91/I91</f>
        <v>150000</v>
      </c>
      <c r="M91" s="1510">
        <f t="shared" si="17"/>
        <v>10000000</v>
      </c>
      <c r="N91" s="1510">
        <f t="shared" si="18"/>
        <v>1800000</v>
      </c>
      <c r="O91" s="1509">
        <v>10000000</v>
      </c>
      <c r="P91" s="1509">
        <v>1800000</v>
      </c>
      <c r="Q91" s="1509"/>
      <c r="R91" s="2650"/>
      <c r="S91" s="2650"/>
      <c r="T91" s="1507"/>
      <c r="U91" s="1495">
        <f t="shared" si="19"/>
        <v>10000000</v>
      </c>
      <c r="V91" s="1495">
        <f t="shared" si="20"/>
        <v>1800000</v>
      </c>
      <c r="W91" s="1495">
        <f t="shared" si="21"/>
        <v>0</v>
      </c>
      <c r="X91" s="1495">
        <f t="shared" si="22"/>
        <v>0</v>
      </c>
      <c r="Y91" s="1495">
        <f t="shared" si="23"/>
        <v>100</v>
      </c>
      <c r="Z91" s="1495">
        <f t="shared" si="24"/>
        <v>0</v>
      </c>
      <c r="AA91" s="1506">
        <f t="shared" si="25"/>
        <v>0</v>
      </c>
      <c r="AB91" s="1505">
        <v>0</v>
      </c>
      <c r="AC91" s="1504">
        <f t="shared" si="26"/>
        <v>0</v>
      </c>
      <c r="AD91" s="1503">
        <f t="shared" si="27"/>
        <v>0</v>
      </c>
      <c r="AE91" s="1503">
        <f t="shared" si="28"/>
        <v>0</v>
      </c>
      <c r="AF91" s="1502">
        <f t="shared" si="29"/>
        <v>0</v>
      </c>
    </row>
    <row r="92" spans="1:32" s="1474" customFormat="1" ht="23.25" customHeight="1">
      <c r="A92" s="1515">
        <v>27</v>
      </c>
      <c r="B92" s="1513" t="s">
        <v>1954</v>
      </c>
      <c r="C92" s="1514" t="s">
        <v>2195</v>
      </c>
      <c r="D92" s="1514"/>
      <c r="E92" s="1513">
        <v>10000000</v>
      </c>
      <c r="F92" s="1512">
        <f t="shared" si="16"/>
        <v>1800000</v>
      </c>
      <c r="G92" s="2141">
        <v>40932</v>
      </c>
      <c r="H92" s="1511">
        <v>0.18</v>
      </c>
      <c r="I92" s="1508">
        <v>12</v>
      </c>
      <c r="J92" s="1508">
        <v>12</v>
      </c>
      <c r="K92" s="1508">
        <v>833300</v>
      </c>
      <c r="L92" s="1508">
        <f t="shared" ref="L92:L105" si="31">F92/I92</f>
        <v>150000</v>
      </c>
      <c r="M92" s="1510">
        <f t="shared" si="17"/>
        <v>10000000</v>
      </c>
      <c r="N92" s="1510">
        <f t="shared" si="18"/>
        <v>1800000</v>
      </c>
      <c r="O92" s="1509">
        <v>10000000</v>
      </c>
      <c r="P92" s="1509">
        <v>1800000</v>
      </c>
      <c r="Q92" s="1509"/>
      <c r="R92" s="2650"/>
      <c r="S92" s="2650"/>
      <c r="T92" s="1507"/>
      <c r="U92" s="1495">
        <f t="shared" si="19"/>
        <v>10000000</v>
      </c>
      <c r="V92" s="1495">
        <f t="shared" si="20"/>
        <v>1800000</v>
      </c>
      <c r="W92" s="1495">
        <f t="shared" si="21"/>
        <v>0</v>
      </c>
      <c r="X92" s="1495">
        <f t="shared" si="22"/>
        <v>0</v>
      </c>
      <c r="Y92" s="1495">
        <f t="shared" si="23"/>
        <v>100</v>
      </c>
      <c r="Z92" s="1495">
        <f t="shared" si="24"/>
        <v>0</v>
      </c>
      <c r="AA92" s="1506">
        <f t="shared" si="25"/>
        <v>0</v>
      </c>
      <c r="AB92" s="1505"/>
      <c r="AC92" s="1504">
        <f t="shared" si="26"/>
        <v>0</v>
      </c>
      <c r="AD92" s="1503">
        <f t="shared" si="27"/>
        <v>0</v>
      </c>
      <c r="AE92" s="1503">
        <f t="shared" si="28"/>
        <v>0</v>
      </c>
      <c r="AF92" s="1502">
        <f t="shared" si="29"/>
        <v>0</v>
      </c>
    </row>
    <row r="93" spans="1:32" s="1474" customFormat="1" ht="23.25" customHeight="1">
      <c r="A93" s="1515">
        <v>28</v>
      </c>
      <c r="B93" s="1513" t="s">
        <v>2140</v>
      </c>
      <c r="C93" s="1514" t="s">
        <v>2195</v>
      </c>
      <c r="D93" s="1514"/>
      <c r="E93" s="1513">
        <v>12000000</v>
      </c>
      <c r="F93" s="1512">
        <f t="shared" si="16"/>
        <v>2160000</v>
      </c>
      <c r="G93" s="2141">
        <v>40932</v>
      </c>
      <c r="H93" s="1511">
        <v>0.18</v>
      </c>
      <c r="I93" s="1508">
        <v>12</v>
      </c>
      <c r="J93" s="1508">
        <v>12</v>
      </c>
      <c r="K93" s="1508">
        <f>E93/I93</f>
        <v>1000000</v>
      </c>
      <c r="L93" s="1508">
        <f t="shared" si="31"/>
        <v>180000</v>
      </c>
      <c r="M93" s="1510">
        <f t="shared" si="17"/>
        <v>12000000</v>
      </c>
      <c r="N93" s="1510">
        <f t="shared" si="18"/>
        <v>2160000</v>
      </c>
      <c r="O93" s="1509">
        <v>12000000</v>
      </c>
      <c r="P93" s="1509">
        <v>2160000</v>
      </c>
      <c r="Q93" s="1509"/>
      <c r="R93" s="2650"/>
      <c r="S93" s="2650"/>
      <c r="T93" s="1507"/>
      <c r="U93" s="1495">
        <f t="shared" si="19"/>
        <v>12000000</v>
      </c>
      <c r="V93" s="1495">
        <f t="shared" si="20"/>
        <v>2160000</v>
      </c>
      <c r="W93" s="1495">
        <f t="shared" si="21"/>
        <v>0</v>
      </c>
      <c r="X93" s="1495">
        <f t="shared" si="22"/>
        <v>0</v>
      </c>
      <c r="Y93" s="1495">
        <f t="shared" si="23"/>
        <v>100</v>
      </c>
      <c r="Z93" s="1495">
        <f t="shared" si="24"/>
        <v>0</v>
      </c>
      <c r="AA93" s="1506">
        <f t="shared" si="25"/>
        <v>0</v>
      </c>
      <c r="AB93" s="1505"/>
      <c r="AC93" s="1504">
        <f t="shared" si="26"/>
        <v>0</v>
      </c>
      <c r="AD93" s="1503">
        <f t="shared" si="27"/>
        <v>0</v>
      </c>
      <c r="AE93" s="1503">
        <f t="shared" si="28"/>
        <v>0</v>
      </c>
      <c r="AF93" s="1502">
        <f t="shared" si="29"/>
        <v>0</v>
      </c>
    </row>
    <row r="94" spans="1:32" s="1474" customFormat="1" ht="23.25" customHeight="1">
      <c r="A94" s="1515">
        <v>29</v>
      </c>
      <c r="B94" s="1513" t="s">
        <v>2134</v>
      </c>
      <c r="C94" s="1514" t="s">
        <v>2195</v>
      </c>
      <c r="D94" s="1514"/>
      <c r="E94" s="1513">
        <v>22000000</v>
      </c>
      <c r="F94" s="1512">
        <f t="shared" si="16"/>
        <v>3960000</v>
      </c>
      <c r="G94" s="2141">
        <v>40932</v>
      </c>
      <c r="H94" s="1511">
        <v>0.18</v>
      </c>
      <c r="I94" s="1508">
        <v>12</v>
      </c>
      <c r="J94" s="1508">
        <v>12</v>
      </c>
      <c r="K94" s="1508">
        <v>1833300</v>
      </c>
      <c r="L94" s="1508">
        <f t="shared" si="31"/>
        <v>330000</v>
      </c>
      <c r="M94" s="1510">
        <f t="shared" si="17"/>
        <v>22000000</v>
      </c>
      <c r="N94" s="1510">
        <f>IF(J94&lt;I94,J94*L94,IF(J94&gt;=I94,F94))-330000</f>
        <v>3630000</v>
      </c>
      <c r="O94" s="1509">
        <v>22000000</v>
      </c>
      <c r="P94" s="1509">
        <v>3630000</v>
      </c>
      <c r="Q94" s="1509"/>
      <c r="R94" s="2650"/>
      <c r="S94" s="2650"/>
      <c r="T94" s="1507"/>
      <c r="U94" s="1495">
        <f t="shared" si="19"/>
        <v>22000000</v>
      </c>
      <c r="V94" s="1495">
        <f t="shared" si="20"/>
        <v>3630000</v>
      </c>
      <c r="W94" s="1495">
        <f t="shared" si="21"/>
        <v>0</v>
      </c>
      <c r="X94" s="1495">
        <f t="shared" si="22"/>
        <v>0</v>
      </c>
      <c r="Y94" s="1495">
        <f t="shared" si="23"/>
        <v>100</v>
      </c>
      <c r="Z94" s="1495">
        <f t="shared" si="24"/>
        <v>0</v>
      </c>
      <c r="AA94" s="1506">
        <f t="shared" si="25"/>
        <v>0</v>
      </c>
      <c r="AB94" s="1505"/>
      <c r="AC94" s="1504">
        <f t="shared" si="26"/>
        <v>0</v>
      </c>
      <c r="AD94" s="1503">
        <f t="shared" si="27"/>
        <v>0</v>
      </c>
      <c r="AE94" s="1503">
        <f t="shared" si="28"/>
        <v>0</v>
      </c>
      <c r="AF94" s="1502">
        <f t="shared" si="29"/>
        <v>0</v>
      </c>
    </row>
    <row r="95" spans="1:32" s="1474" customFormat="1" ht="23.25" customHeight="1">
      <c r="A95" s="1515">
        <v>30</v>
      </c>
      <c r="B95" s="1513" t="s">
        <v>2249</v>
      </c>
      <c r="C95" s="1514" t="s">
        <v>2195</v>
      </c>
      <c r="D95" s="1514">
        <v>10</v>
      </c>
      <c r="E95" s="1513">
        <v>18000000</v>
      </c>
      <c r="F95" s="1512">
        <f t="shared" si="16"/>
        <v>3240000</v>
      </c>
      <c r="G95" s="2141">
        <v>40932</v>
      </c>
      <c r="H95" s="1511">
        <v>0.18</v>
      </c>
      <c r="I95" s="1508">
        <v>12</v>
      </c>
      <c r="J95" s="1508">
        <v>12</v>
      </c>
      <c r="K95" s="1508">
        <f>E95/I95</f>
        <v>1500000</v>
      </c>
      <c r="L95" s="1508">
        <f t="shared" si="31"/>
        <v>270000</v>
      </c>
      <c r="M95" s="1510">
        <f t="shared" si="17"/>
        <v>18000000</v>
      </c>
      <c r="N95" s="1510">
        <f t="shared" si="18"/>
        <v>3240000</v>
      </c>
      <c r="O95" s="1509">
        <v>8800000</v>
      </c>
      <c r="P95" s="1509">
        <v>1620000</v>
      </c>
      <c r="Q95" s="1509"/>
      <c r="R95" s="2650"/>
      <c r="S95" s="2650"/>
      <c r="T95" s="1507"/>
      <c r="U95" s="1495">
        <f t="shared" si="19"/>
        <v>8800000</v>
      </c>
      <c r="V95" s="1495">
        <f t="shared" si="20"/>
        <v>1620000</v>
      </c>
      <c r="W95" s="1495">
        <f t="shared" si="21"/>
        <v>0</v>
      </c>
      <c r="X95" s="1495">
        <f t="shared" si="22"/>
        <v>9200000</v>
      </c>
      <c r="Y95" s="1495">
        <f t="shared" si="23"/>
        <v>48.888888888888886</v>
      </c>
      <c r="Z95" s="1495">
        <f t="shared" si="24"/>
        <v>9200000</v>
      </c>
      <c r="AA95" s="1506">
        <f t="shared" si="25"/>
        <v>1620000</v>
      </c>
      <c r="AB95" s="1505">
        <v>7</v>
      </c>
      <c r="AC95" s="1504">
        <f t="shared" si="26"/>
        <v>0</v>
      </c>
      <c r="AD95" s="1503">
        <f t="shared" si="27"/>
        <v>0</v>
      </c>
      <c r="AE95" s="1503">
        <f t="shared" si="28"/>
        <v>0</v>
      </c>
      <c r="AF95" s="1502">
        <f t="shared" si="29"/>
        <v>9200000</v>
      </c>
    </row>
    <row r="96" spans="1:32" s="1474" customFormat="1" ht="23.25" customHeight="1">
      <c r="A96" s="1515">
        <v>31</v>
      </c>
      <c r="B96" s="1513" t="s">
        <v>2136</v>
      </c>
      <c r="C96" s="1514" t="s">
        <v>2195</v>
      </c>
      <c r="D96" s="1514"/>
      <c r="E96" s="1513">
        <v>25000000</v>
      </c>
      <c r="F96" s="1512">
        <f t="shared" si="16"/>
        <v>4500000</v>
      </c>
      <c r="G96" s="2141">
        <v>40932</v>
      </c>
      <c r="H96" s="1511">
        <v>0.18</v>
      </c>
      <c r="I96" s="1508">
        <v>12</v>
      </c>
      <c r="J96" s="1508">
        <v>12</v>
      </c>
      <c r="K96" s="1508">
        <v>2083300</v>
      </c>
      <c r="L96" s="1508">
        <f t="shared" si="31"/>
        <v>375000</v>
      </c>
      <c r="M96" s="1510">
        <f t="shared" si="17"/>
        <v>25000000</v>
      </c>
      <c r="N96" s="1510">
        <f t="shared" si="18"/>
        <v>4500000</v>
      </c>
      <c r="O96" s="1509">
        <v>25000000</v>
      </c>
      <c r="P96" s="1509">
        <v>4500000</v>
      </c>
      <c r="Q96" s="1509"/>
      <c r="R96" s="2650"/>
      <c r="S96" s="2650"/>
      <c r="T96" s="1507"/>
      <c r="U96" s="1495">
        <f t="shared" si="19"/>
        <v>25000000</v>
      </c>
      <c r="V96" s="1495">
        <f t="shared" si="20"/>
        <v>4500000</v>
      </c>
      <c r="W96" s="1495">
        <f t="shared" si="21"/>
        <v>0</v>
      </c>
      <c r="X96" s="1495">
        <f t="shared" si="22"/>
        <v>0</v>
      </c>
      <c r="Y96" s="1495">
        <f t="shared" si="23"/>
        <v>100</v>
      </c>
      <c r="Z96" s="1495">
        <f t="shared" si="24"/>
        <v>0</v>
      </c>
      <c r="AA96" s="1506">
        <f t="shared" si="25"/>
        <v>0</v>
      </c>
      <c r="AB96" s="1505"/>
      <c r="AC96" s="1504">
        <f t="shared" si="26"/>
        <v>0</v>
      </c>
      <c r="AD96" s="1503">
        <f t="shared" si="27"/>
        <v>0</v>
      </c>
      <c r="AE96" s="1503">
        <f t="shared" si="28"/>
        <v>0</v>
      </c>
      <c r="AF96" s="1502">
        <f t="shared" si="29"/>
        <v>0</v>
      </c>
    </row>
    <row r="97" spans="1:32" s="1474" customFormat="1" ht="23.25" customHeight="1">
      <c r="A97" s="1515">
        <v>32</v>
      </c>
      <c r="B97" s="1513" t="s">
        <v>2133</v>
      </c>
      <c r="C97" s="1514" t="s">
        <v>2195</v>
      </c>
      <c r="D97" s="1514"/>
      <c r="E97" s="1513">
        <v>20000000</v>
      </c>
      <c r="F97" s="1512">
        <f t="shared" si="16"/>
        <v>3600000</v>
      </c>
      <c r="G97" s="2141">
        <v>40932</v>
      </c>
      <c r="H97" s="1511">
        <v>0.18</v>
      </c>
      <c r="I97" s="1508">
        <v>12</v>
      </c>
      <c r="J97" s="1508">
        <v>12</v>
      </c>
      <c r="K97" s="1508">
        <v>1666700</v>
      </c>
      <c r="L97" s="1508">
        <f t="shared" si="31"/>
        <v>300000</v>
      </c>
      <c r="M97" s="1510">
        <f t="shared" si="17"/>
        <v>20000000</v>
      </c>
      <c r="N97" s="1510">
        <f>IF(J97&lt;I97,J97*L97,IF(J97&gt;=I97,F97))-300000</f>
        <v>3300000</v>
      </c>
      <c r="O97" s="1509">
        <v>20000000</v>
      </c>
      <c r="P97" s="1509">
        <v>3300000</v>
      </c>
      <c r="Q97" s="1509"/>
      <c r="R97" s="2650"/>
      <c r="S97" s="2650"/>
      <c r="T97" s="1507"/>
      <c r="U97" s="1495">
        <f t="shared" si="19"/>
        <v>20000000</v>
      </c>
      <c r="V97" s="1495">
        <f t="shared" si="20"/>
        <v>3300000</v>
      </c>
      <c r="W97" s="1495">
        <f t="shared" si="21"/>
        <v>0</v>
      </c>
      <c r="X97" s="1495">
        <f t="shared" si="22"/>
        <v>0</v>
      </c>
      <c r="Y97" s="1495">
        <f t="shared" si="23"/>
        <v>100</v>
      </c>
      <c r="Z97" s="1495">
        <f t="shared" si="24"/>
        <v>0</v>
      </c>
      <c r="AA97" s="1506">
        <f t="shared" si="25"/>
        <v>0</v>
      </c>
      <c r="AB97" s="1505"/>
      <c r="AC97" s="1504">
        <f t="shared" si="26"/>
        <v>0</v>
      </c>
      <c r="AD97" s="1503">
        <f t="shared" si="27"/>
        <v>0</v>
      </c>
      <c r="AE97" s="1503">
        <f t="shared" si="28"/>
        <v>0</v>
      </c>
      <c r="AF97" s="1502">
        <f t="shared" si="29"/>
        <v>0</v>
      </c>
    </row>
    <row r="98" spans="1:32" s="1474" customFormat="1" ht="23.25" customHeight="1">
      <c r="A98" s="1515">
        <v>33</v>
      </c>
      <c r="B98" s="1513" t="s">
        <v>2147</v>
      </c>
      <c r="C98" s="1514" t="s">
        <v>2248</v>
      </c>
      <c r="D98" s="1514"/>
      <c r="E98" s="1513">
        <v>11000000</v>
      </c>
      <c r="F98" s="1512">
        <f t="shared" si="16"/>
        <v>1980000</v>
      </c>
      <c r="G98" s="2141">
        <v>40988</v>
      </c>
      <c r="H98" s="1511">
        <v>0.18</v>
      </c>
      <c r="I98" s="1508">
        <v>12</v>
      </c>
      <c r="J98" s="1508">
        <v>12</v>
      </c>
      <c r="K98" s="1508">
        <v>916700</v>
      </c>
      <c r="L98" s="1508">
        <f t="shared" si="31"/>
        <v>165000</v>
      </c>
      <c r="M98" s="2401">
        <f t="shared" si="17"/>
        <v>11000000</v>
      </c>
      <c r="N98" s="2401">
        <f>IF(J98&lt;I98,J98*L98,IF(J98&gt;=I98,F98))-165000</f>
        <v>1815000</v>
      </c>
      <c r="O98" s="1509">
        <v>11000000</v>
      </c>
      <c r="P98" s="1509">
        <v>1815000</v>
      </c>
      <c r="Q98" s="1509"/>
      <c r="R98" s="2650"/>
      <c r="S98" s="2650"/>
      <c r="T98" s="1507"/>
      <c r="U98" s="1495">
        <f t="shared" si="19"/>
        <v>11000000</v>
      </c>
      <c r="V98" s="1495">
        <f t="shared" si="20"/>
        <v>1815000</v>
      </c>
      <c r="W98" s="1495">
        <f t="shared" si="21"/>
        <v>0</v>
      </c>
      <c r="X98" s="1495">
        <f t="shared" si="22"/>
        <v>0</v>
      </c>
      <c r="Y98" s="1495">
        <f t="shared" si="23"/>
        <v>100</v>
      </c>
      <c r="Z98" s="1495">
        <f t="shared" si="24"/>
        <v>0</v>
      </c>
      <c r="AA98" s="1506">
        <f t="shared" si="25"/>
        <v>0</v>
      </c>
      <c r="AB98" s="1505"/>
      <c r="AC98" s="1504">
        <f t="shared" si="26"/>
        <v>0</v>
      </c>
      <c r="AD98" s="1503">
        <f t="shared" si="27"/>
        <v>0</v>
      </c>
      <c r="AE98" s="1503">
        <f t="shared" si="28"/>
        <v>0</v>
      </c>
      <c r="AF98" s="1502">
        <f t="shared" si="29"/>
        <v>0</v>
      </c>
    </row>
    <row r="99" spans="1:32" s="1474" customFormat="1" ht="23.25" customHeight="1">
      <c r="A99" s="1515">
        <v>34</v>
      </c>
      <c r="B99" s="1513" t="s">
        <v>2148</v>
      </c>
      <c r="C99" s="1514" t="s">
        <v>2248</v>
      </c>
      <c r="D99" s="1514"/>
      <c r="E99" s="1513">
        <v>15000000</v>
      </c>
      <c r="F99" s="1512">
        <f t="shared" si="16"/>
        <v>2700000</v>
      </c>
      <c r="G99" s="2141">
        <v>40988</v>
      </c>
      <c r="H99" s="1511">
        <v>0.18</v>
      </c>
      <c r="I99" s="1508">
        <v>12</v>
      </c>
      <c r="J99" s="1508">
        <v>12</v>
      </c>
      <c r="K99" s="1508">
        <f>E99/I99</f>
        <v>1250000</v>
      </c>
      <c r="L99" s="1508">
        <f t="shared" si="31"/>
        <v>225000</v>
      </c>
      <c r="M99" s="2401">
        <f t="shared" si="17"/>
        <v>15000000</v>
      </c>
      <c r="N99" s="2401">
        <f>IF(J99&lt;I99,J99*L99,IF(J99&gt;=I99,F99))-225000</f>
        <v>2475000</v>
      </c>
      <c r="O99" s="1509">
        <v>15000000</v>
      </c>
      <c r="P99" s="1509">
        <v>2475000</v>
      </c>
      <c r="Q99" s="1509"/>
      <c r="R99" s="2650"/>
      <c r="S99" s="2650"/>
      <c r="T99" s="1507"/>
      <c r="U99" s="1495">
        <f t="shared" si="19"/>
        <v>15000000</v>
      </c>
      <c r="V99" s="1495">
        <f t="shared" si="20"/>
        <v>2475000</v>
      </c>
      <c r="W99" s="1495">
        <f t="shared" si="21"/>
        <v>0</v>
      </c>
      <c r="X99" s="1495">
        <f t="shared" si="22"/>
        <v>0</v>
      </c>
      <c r="Y99" s="1495">
        <f t="shared" si="23"/>
        <v>100</v>
      </c>
      <c r="Z99" s="1495">
        <f t="shared" si="24"/>
        <v>0</v>
      </c>
      <c r="AA99" s="1506">
        <f t="shared" si="25"/>
        <v>0</v>
      </c>
      <c r="AB99" s="1505"/>
      <c r="AC99" s="1504">
        <f t="shared" si="26"/>
        <v>0</v>
      </c>
      <c r="AD99" s="1503">
        <f t="shared" si="27"/>
        <v>0</v>
      </c>
      <c r="AE99" s="1503">
        <f t="shared" si="28"/>
        <v>0</v>
      </c>
      <c r="AF99" s="1502">
        <f t="shared" si="29"/>
        <v>0</v>
      </c>
    </row>
    <row r="100" spans="1:32" s="1474" customFormat="1" ht="23.25" customHeight="1">
      <c r="A100" s="1515">
        <v>35</v>
      </c>
      <c r="B100" s="1513" t="s">
        <v>2149</v>
      </c>
      <c r="C100" s="1514" t="s">
        <v>2248</v>
      </c>
      <c r="D100" s="1514">
        <v>12</v>
      </c>
      <c r="E100" s="1513">
        <v>13000000</v>
      </c>
      <c r="F100" s="1512">
        <f t="shared" si="16"/>
        <v>2340000</v>
      </c>
      <c r="G100" s="2141">
        <v>40988</v>
      </c>
      <c r="H100" s="1511">
        <v>0.18</v>
      </c>
      <c r="I100" s="1508">
        <v>12</v>
      </c>
      <c r="J100" s="1508">
        <v>12</v>
      </c>
      <c r="K100" s="1508">
        <v>1083300</v>
      </c>
      <c r="L100" s="1508">
        <f t="shared" si="31"/>
        <v>195000</v>
      </c>
      <c r="M100" s="1510">
        <f t="shared" si="17"/>
        <v>13000000</v>
      </c>
      <c r="N100" s="2401">
        <f>IF(J100&lt;I100,J100*L100,IF(J100&gt;=I100,F100))-195000</f>
        <v>2145000</v>
      </c>
      <c r="O100" s="1509">
        <v>13000000</v>
      </c>
      <c r="P100" s="1509">
        <v>2145000</v>
      </c>
      <c r="Q100" s="1509"/>
      <c r="R100" s="2650"/>
      <c r="S100" s="2650"/>
      <c r="T100" s="1507"/>
      <c r="U100" s="1495">
        <f t="shared" si="19"/>
        <v>13000000</v>
      </c>
      <c r="V100" s="1495">
        <f t="shared" si="20"/>
        <v>2145000</v>
      </c>
      <c r="W100" s="1495">
        <f t="shared" si="21"/>
        <v>0</v>
      </c>
      <c r="X100" s="1495">
        <f t="shared" si="22"/>
        <v>0</v>
      </c>
      <c r="Y100" s="1495">
        <f t="shared" si="23"/>
        <v>100</v>
      </c>
      <c r="Z100" s="1495">
        <f t="shared" si="24"/>
        <v>0</v>
      </c>
      <c r="AA100" s="1506">
        <f t="shared" si="25"/>
        <v>0</v>
      </c>
      <c r="AB100" s="1505"/>
      <c r="AC100" s="1504">
        <f t="shared" si="26"/>
        <v>0</v>
      </c>
      <c r="AD100" s="1503">
        <f t="shared" si="27"/>
        <v>0</v>
      </c>
      <c r="AE100" s="1503">
        <f t="shared" si="28"/>
        <v>0</v>
      </c>
      <c r="AF100" s="1502">
        <f t="shared" si="29"/>
        <v>0</v>
      </c>
    </row>
    <row r="101" spans="1:32" s="1474" customFormat="1" ht="23.25" customHeight="1">
      <c r="A101" s="1515">
        <v>36</v>
      </c>
      <c r="B101" s="1513" t="s">
        <v>2150</v>
      </c>
      <c r="C101" s="1514" t="s">
        <v>2248</v>
      </c>
      <c r="D101" s="1514">
        <v>10</v>
      </c>
      <c r="E101" s="1513">
        <v>10000000</v>
      </c>
      <c r="F101" s="1512">
        <f t="shared" si="16"/>
        <v>1800000</v>
      </c>
      <c r="G101" s="2141">
        <v>40988</v>
      </c>
      <c r="H101" s="1511">
        <v>0.18</v>
      </c>
      <c r="I101" s="1508">
        <v>12</v>
      </c>
      <c r="J101" s="1508">
        <v>12</v>
      </c>
      <c r="K101" s="1508">
        <v>833300</v>
      </c>
      <c r="L101" s="1508">
        <f t="shared" si="31"/>
        <v>150000</v>
      </c>
      <c r="M101" s="1510">
        <f t="shared" si="17"/>
        <v>10000000</v>
      </c>
      <c r="N101" s="1510">
        <f t="shared" si="18"/>
        <v>1800000</v>
      </c>
      <c r="O101" s="1509">
        <v>4999800</v>
      </c>
      <c r="P101" s="1509">
        <v>900000</v>
      </c>
      <c r="Q101" s="1509"/>
      <c r="R101" s="2650"/>
      <c r="S101" s="2650"/>
      <c r="T101" s="1507"/>
      <c r="U101" s="1495">
        <f t="shared" si="19"/>
        <v>4999800</v>
      </c>
      <c r="V101" s="1495">
        <f t="shared" si="20"/>
        <v>900000</v>
      </c>
      <c r="W101" s="1495">
        <f t="shared" si="21"/>
        <v>0</v>
      </c>
      <c r="X101" s="1495">
        <f t="shared" si="22"/>
        <v>5000200</v>
      </c>
      <c r="Y101" s="1495">
        <f t="shared" si="23"/>
        <v>49.997999999999998</v>
      </c>
      <c r="Z101" s="1495">
        <f t="shared" si="24"/>
        <v>5000200</v>
      </c>
      <c r="AA101" s="1506">
        <f t="shared" si="25"/>
        <v>900000</v>
      </c>
      <c r="AB101" s="1505">
        <v>7</v>
      </c>
      <c r="AC101" s="1504">
        <f t="shared" si="26"/>
        <v>0</v>
      </c>
      <c r="AD101" s="1503">
        <f t="shared" si="27"/>
        <v>0</v>
      </c>
      <c r="AE101" s="1503">
        <f t="shared" si="28"/>
        <v>0</v>
      </c>
      <c r="AF101" s="1502">
        <f t="shared" si="29"/>
        <v>5000200</v>
      </c>
    </row>
    <row r="102" spans="1:32" s="1474" customFormat="1" ht="23.25" customHeight="1">
      <c r="A102" s="1515">
        <v>37</v>
      </c>
      <c r="B102" s="1513" t="s">
        <v>2151</v>
      </c>
      <c r="C102" s="1514" t="s">
        <v>2248</v>
      </c>
      <c r="D102" s="1514"/>
      <c r="E102" s="1513">
        <v>10000000</v>
      </c>
      <c r="F102" s="1512">
        <f t="shared" si="16"/>
        <v>1800000</v>
      </c>
      <c r="G102" s="2141">
        <v>40988</v>
      </c>
      <c r="H102" s="1511">
        <v>0.18</v>
      </c>
      <c r="I102" s="1508">
        <v>12</v>
      </c>
      <c r="J102" s="1508">
        <v>12</v>
      </c>
      <c r="K102" s="1508">
        <v>833300</v>
      </c>
      <c r="L102" s="1508">
        <f t="shared" si="31"/>
        <v>150000</v>
      </c>
      <c r="M102" s="1510">
        <f t="shared" si="17"/>
        <v>10000000</v>
      </c>
      <c r="N102" s="1510">
        <f t="shared" si="18"/>
        <v>1800000</v>
      </c>
      <c r="O102" s="1509">
        <v>2883400</v>
      </c>
      <c r="P102" s="1509">
        <v>600000</v>
      </c>
      <c r="Q102" s="1509"/>
      <c r="R102" s="2650"/>
      <c r="S102" s="2650"/>
      <c r="T102" s="1507"/>
      <c r="U102" s="1495">
        <f t="shared" si="19"/>
        <v>2883400</v>
      </c>
      <c r="V102" s="1495">
        <f t="shared" si="20"/>
        <v>600000</v>
      </c>
      <c r="W102" s="1495">
        <f t="shared" si="21"/>
        <v>0</v>
      </c>
      <c r="X102" s="1495">
        <f t="shared" si="22"/>
        <v>7116600</v>
      </c>
      <c r="Y102" s="1495">
        <f t="shared" si="23"/>
        <v>28.834</v>
      </c>
      <c r="Z102" s="1495">
        <f t="shared" si="24"/>
        <v>7116600</v>
      </c>
      <c r="AA102" s="1506">
        <f t="shared" si="25"/>
        <v>1200000</v>
      </c>
      <c r="AB102" s="1505">
        <v>7</v>
      </c>
      <c r="AC102" s="1504">
        <f t="shared" si="26"/>
        <v>0</v>
      </c>
      <c r="AD102" s="1503">
        <f t="shared" si="27"/>
        <v>0</v>
      </c>
      <c r="AE102" s="1503">
        <f t="shared" si="28"/>
        <v>0</v>
      </c>
      <c r="AF102" s="1502">
        <f t="shared" si="29"/>
        <v>7116600</v>
      </c>
    </row>
    <row r="103" spans="1:32" s="1474" customFormat="1" ht="23.25" customHeight="1">
      <c r="A103" s="1515">
        <v>38</v>
      </c>
      <c r="B103" s="1513" t="s">
        <v>1944</v>
      </c>
      <c r="C103" s="1514" t="s">
        <v>2248</v>
      </c>
      <c r="D103" s="1514"/>
      <c r="E103" s="1513">
        <v>10000000</v>
      </c>
      <c r="F103" s="1512">
        <f t="shared" si="16"/>
        <v>1800000</v>
      </c>
      <c r="G103" s="2141">
        <v>40988</v>
      </c>
      <c r="H103" s="1511">
        <v>0.18</v>
      </c>
      <c r="I103" s="1508">
        <v>12</v>
      </c>
      <c r="J103" s="1508">
        <v>12</v>
      </c>
      <c r="K103" s="1508">
        <v>833300</v>
      </c>
      <c r="L103" s="1508">
        <f t="shared" si="31"/>
        <v>150000</v>
      </c>
      <c r="M103" s="1510">
        <f t="shared" si="17"/>
        <v>10000000</v>
      </c>
      <c r="N103" s="1510">
        <f t="shared" si="18"/>
        <v>1800000</v>
      </c>
      <c r="O103" s="1509">
        <v>10000000</v>
      </c>
      <c r="P103" s="1509">
        <v>1800000</v>
      </c>
      <c r="Q103" s="1509"/>
      <c r="R103" s="2650"/>
      <c r="S103" s="2650"/>
      <c r="T103" s="1507"/>
      <c r="U103" s="1495">
        <f t="shared" si="19"/>
        <v>10000000</v>
      </c>
      <c r="V103" s="1495">
        <f t="shared" si="20"/>
        <v>1800000</v>
      </c>
      <c r="W103" s="1495">
        <f t="shared" si="21"/>
        <v>0</v>
      </c>
      <c r="X103" s="1495">
        <f t="shared" si="22"/>
        <v>0</v>
      </c>
      <c r="Y103" s="1495">
        <f t="shared" si="23"/>
        <v>100</v>
      </c>
      <c r="Z103" s="1495">
        <f t="shared" si="24"/>
        <v>0</v>
      </c>
      <c r="AA103" s="1506">
        <f t="shared" si="25"/>
        <v>0</v>
      </c>
      <c r="AB103" s="1505"/>
      <c r="AC103" s="1504">
        <f t="shared" si="26"/>
        <v>0</v>
      </c>
      <c r="AD103" s="1503">
        <f t="shared" si="27"/>
        <v>0</v>
      </c>
      <c r="AE103" s="1503">
        <f t="shared" si="28"/>
        <v>0</v>
      </c>
      <c r="AF103" s="1502">
        <f t="shared" si="29"/>
        <v>0</v>
      </c>
    </row>
    <row r="104" spans="1:32" s="1474" customFormat="1" ht="23.25" customHeight="1">
      <c r="A104" s="1515">
        <v>39</v>
      </c>
      <c r="B104" s="1513" t="s">
        <v>2129</v>
      </c>
      <c r="C104" s="1514" t="s">
        <v>2248</v>
      </c>
      <c r="D104" s="1514"/>
      <c r="E104" s="1513">
        <v>25000000</v>
      </c>
      <c r="F104" s="1512">
        <f t="shared" si="16"/>
        <v>4500000</v>
      </c>
      <c r="G104" s="2141">
        <v>41022</v>
      </c>
      <c r="H104" s="1511">
        <v>0.18</v>
      </c>
      <c r="I104" s="1508">
        <v>12</v>
      </c>
      <c r="J104" s="1508">
        <v>12</v>
      </c>
      <c r="K104" s="1508">
        <v>2083300</v>
      </c>
      <c r="L104" s="1508">
        <f t="shared" si="31"/>
        <v>375000</v>
      </c>
      <c r="M104" s="1510">
        <f t="shared" si="17"/>
        <v>25000000</v>
      </c>
      <c r="N104" s="1510">
        <f t="shared" si="18"/>
        <v>4500000</v>
      </c>
      <c r="O104" s="1509">
        <v>25000000</v>
      </c>
      <c r="P104" s="1509">
        <v>4500000</v>
      </c>
      <c r="Q104" s="1509"/>
      <c r="R104" s="2650"/>
      <c r="S104" s="2650"/>
      <c r="T104" s="1507"/>
      <c r="U104" s="1495">
        <f t="shared" si="19"/>
        <v>25000000</v>
      </c>
      <c r="V104" s="1495">
        <f t="shared" si="20"/>
        <v>4500000</v>
      </c>
      <c r="W104" s="1495">
        <f t="shared" si="21"/>
        <v>0</v>
      </c>
      <c r="X104" s="1495">
        <f t="shared" si="22"/>
        <v>0</v>
      </c>
      <c r="Y104" s="1495">
        <f t="shared" si="23"/>
        <v>100</v>
      </c>
      <c r="Z104" s="1495">
        <f t="shared" si="24"/>
        <v>0</v>
      </c>
      <c r="AA104" s="1506">
        <f t="shared" si="25"/>
        <v>0</v>
      </c>
      <c r="AB104" s="1505"/>
      <c r="AC104" s="1504">
        <f t="shared" si="26"/>
        <v>0</v>
      </c>
      <c r="AD104" s="1503">
        <f t="shared" si="27"/>
        <v>0</v>
      </c>
      <c r="AE104" s="1503">
        <f t="shared" si="28"/>
        <v>0</v>
      </c>
      <c r="AF104" s="1502">
        <f t="shared" si="29"/>
        <v>0</v>
      </c>
    </row>
    <row r="105" spans="1:32" s="1474" customFormat="1" ht="23.25" customHeight="1">
      <c r="A105" s="2175">
        <v>40</v>
      </c>
      <c r="B105" s="2175" t="s">
        <v>2146</v>
      </c>
      <c r="C105" s="2416" t="s">
        <v>2248</v>
      </c>
      <c r="D105" s="2416"/>
      <c r="E105" s="2175">
        <v>20000000</v>
      </c>
      <c r="F105" s="1512">
        <f t="shared" si="16"/>
        <v>3600000</v>
      </c>
      <c r="G105" s="2418">
        <v>41063</v>
      </c>
      <c r="H105" s="2419">
        <v>0.18</v>
      </c>
      <c r="I105" s="2164">
        <v>12</v>
      </c>
      <c r="J105" s="2164">
        <v>12</v>
      </c>
      <c r="K105" s="2164">
        <v>1666700</v>
      </c>
      <c r="L105" s="2164">
        <f t="shared" si="31"/>
        <v>300000</v>
      </c>
      <c r="M105" s="1510">
        <f t="shared" si="17"/>
        <v>20000000</v>
      </c>
      <c r="N105" s="2401">
        <f>IF(J105&lt;I105,J105*L105,IF(J105&gt;=I105,F105))-300000</f>
        <v>3300000</v>
      </c>
      <c r="O105" s="2171">
        <v>20000000</v>
      </c>
      <c r="P105" s="2171">
        <v>3300000</v>
      </c>
      <c r="Q105" s="2171"/>
      <c r="R105" s="2649"/>
      <c r="S105" s="2649"/>
      <c r="T105" s="2173"/>
      <c r="U105" s="1495">
        <f t="shared" si="19"/>
        <v>20000000</v>
      </c>
      <c r="V105" s="1495">
        <f t="shared" si="20"/>
        <v>3300000</v>
      </c>
      <c r="W105" s="1495">
        <f t="shared" si="21"/>
        <v>0</v>
      </c>
      <c r="X105" s="1495">
        <f t="shared" si="22"/>
        <v>0</v>
      </c>
      <c r="Y105" s="1495">
        <f t="shared" si="23"/>
        <v>100</v>
      </c>
      <c r="Z105" s="1495">
        <f t="shared" si="24"/>
        <v>0</v>
      </c>
      <c r="AA105" s="1506">
        <f t="shared" si="25"/>
        <v>0</v>
      </c>
      <c r="AB105" s="1505"/>
      <c r="AC105" s="1504">
        <f t="shared" si="26"/>
        <v>0</v>
      </c>
      <c r="AD105" s="1503">
        <f t="shared" si="27"/>
        <v>0</v>
      </c>
      <c r="AE105" s="1503">
        <f t="shared" si="28"/>
        <v>0</v>
      </c>
      <c r="AF105" s="1502">
        <f t="shared" si="29"/>
        <v>0</v>
      </c>
    </row>
    <row r="106" spans="1:32" s="1474" customFormat="1" ht="23.25" customHeight="1">
      <c r="A106" s="2175">
        <v>41</v>
      </c>
      <c r="B106" s="2175" t="s">
        <v>2278</v>
      </c>
      <c r="C106" s="2416" t="s">
        <v>2248</v>
      </c>
      <c r="D106" s="2416"/>
      <c r="E106" s="2175">
        <v>7500000</v>
      </c>
      <c r="F106" s="1512">
        <f t="shared" si="16"/>
        <v>1350000</v>
      </c>
      <c r="G106" s="2418">
        <v>41063</v>
      </c>
      <c r="H106" s="2419">
        <v>0.18</v>
      </c>
      <c r="I106" s="2164">
        <v>12</v>
      </c>
      <c r="J106" s="2164">
        <v>12</v>
      </c>
      <c r="K106" s="2164">
        <v>625000</v>
      </c>
      <c r="L106" s="2164">
        <v>112500</v>
      </c>
      <c r="M106" s="1510">
        <f t="shared" si="17"/>
        <v>7500000</v>
      </c>
      <c r="N106" s="2401">
        <f>IF(J106&lt;I106,J106*L106,IF(J106&gt;=I106,F106))-112500</f>
        <v>1237500</v>
      </c>
      <c r="O106" s="2171">
        <v>7500000</v>
      </c>
      <c r="P106" s="2171">
        <v>1237500</v>
      </c>
      <c r="Q106" s="2171"/>
      <c r="R106" s="2649"/>
      <c r="S106" s="2649"/>
      <c r="T106" s="2173"/>
      <c r="U106" s="1495">
        <f t="shared" si="19"/>
        <v>7500000</v>
      </c>
      <c r="V106" s="1495">
        <f t="shared" si="20"/>
        <v>1237500</v>
      </c>
      <c r="W106" s="1495">
        <f t="shared" si="21"/>
        <v>0</v>
      </c>
      <c r="X106" s="1495">
        <f t="shared" si="22"/>
        <v>0</v>
      </c>
      <c r="Y106" s="1495">
        <f t="shared" si="23"/>
        <v>100</v>
      </c>
      <c r="Z106" s="1495">
        <f t="shared" si="24"/>
        <v>0</v>
      </c>
      <c r="AA106" s="1506">
        <f t="shared" si="25"/>
        <v>0</v>
      </c>
      <c r="AB106" s="1505"/>
      <c r="AC106" s="1504">
        <f t="shared" si="26"/>
        <v>0</v>
      </c>
      <c r="AD106" s="1503">
        <f t="shared" si="27"/>
        <v>0</v>
      </c>
      <c r="AE106" s="1503">
        <f t="shared" si="28"/>
        <v>0</v>
      </c>
      <c r="AF106" s="1502">
        <f t="shared" si="29"/>
        <v>0</v>
      </c>
    </row>
    <row r="107" spans="1:32" s="1474" customFormat="1" ht="23.25" customHeight="1">
      <c r="A107" s="2175">
        <v>42</v>
      </c>
      <c r="B107" s="2175" t="s">
        <v>2279</v>
      </c>
      <c r="C107" s="2416" t="s">
        <v>2277</v>
      </c>
      <c r="D107" s="2416"/>
      <c r="E107" s="2175">
        <v>22000000</v>
      </c>
      <c r="F107" s="1512">
        <f t="shared" si="16"/>
        <v>3960000</v>
      </c>
      <c r="G107" s="2418">
        <v>41067</v>
      </c>
      <c r="H107" s="2419">
        <v>0.18</v>
      </c>
      <c r="I107" s="2164">
        <v>12</v>
      </c>
      <c r="J107" s="2164">
        <v>12</v>
      </c>
      <c r="K107" s="2164">
        <v>1833300</v>
      </c>
      <c r="L107" s="2164">
        <v>330000</v>
      </c>
      <c r="M107" s="1510">
        <f t="shared" si="17"/>
        <v>22000000</v>
      </c>
      <c r="N107" s="2401">
        <f>IF(J107&lt;I107,J107*L107,IF(J107&gt;=I107,F107))-330000-330000</f>
        <v>3300000</v>
      </c>
      <c r="O107" s="2171">
        <v>22000000</v>
      </c>
      <c r="P107" s="2171">
        <v>3300000</v>
      </c>
      <c r="Q107" s="2171"/>
      <c r="R107" s="2649"/>
      <c r="S107" s="2649"/>
      <c r="T107" s="2173"/>
      <c r="U107" s="1495">
        <f t="shared" si="19"/>
        <v>22000000</v>
      </c>
      <c r="V107" s="1495">
        <f t="shared" si="20"/>
        <v>3300000</v>
      </c>
      <c r="W107" s="1495">
        <f t="shared" si="21"/>
        <v>0</v>
      </c>
      <c r="X107" s="1495">
        <f t="shared" si="22"/>
        <v>0</v>
      </c>
      <c r="Y107" s="1495">
        <f t="shared" si="23"/>
        <v>100</v>
      </c>
      <c r="Z107" s="1495">
        <f t="shared" si="24"/>
        <v>0</v>
      </c>
      <c r="AA107" s="1506">
        <f t="shared" si="25"/>
        <v>0</v>
      </c>
      <c r="AB107" s="1505"/>
      <c r="AC107" s="1504">
        <f t="shared" si="26"/>
        <v>0</v>
      </c>
      <c r="AD107" s="1503">
        <f t="shared" si="27"/>
        <v>0</v>
      </c>
      <c r="AE107" s="1503">
        <f t="shared" si="28"/>
        <v>0</v>
      </c>
      <c r="AF107" s="1502">
        <f t="shared" si="29"/>
        <v>0</v>
      </c>
    </row>
    <row r="108" spans="1:32" s="1474" customFormat="1" ht="23.25" customHeight="1">
      <c r="A108" s="2175">
        <v>43</v>
      </c>
      <c r="B108" s="2175" t="s">
        <v>2144</v>
      </c>
      <c r="C108" s="2416" t="s">
        <v>2277</v>
      </c>
      <c r="D108" s="2416"/>
      <c r="E108" s="2175">
        <v>20000000</v>
      </c>
      <c r="F108" s="1512">
        <f t="shared" si="16"/>
        <v>3600000</v>
      </c>
      <c r="G108" s="2418">
        <v>41067</v>
      </c>
      <c r="H108" s="2419">
        <v>0.18</v>
      </c>
      <c r="I108" s="2164">
        <v>12</v>
      </c>
      <c r="J108" s="2164">
        <v>12</v>
      </c>
      <c r="K108" s="2164">
        <v>1666700</v>
      </c>
      <c r="L108" s="2164">
        <v>300000</v>
      </c>
      <c r="M108" s="1510">
        <f t="shared" si="17"/>
        <v>20000000</v>
      </c>
      <c r="N108" s="2401">
        <f>IF(J108&lt;I108,J108*L108,IF(J108&gt;=I108,F108))-300000</f>
        <v>3300000</v>
      </c>
      <c r="O108" s="2171">
        <v>20000000</v>
      </c>
      <c r="P108" s="2171">
        <v>3300000</v>
      </c>
      <c r="Q108" s="2171"/>
      <c r="R108" s="2649"/>
      <c r="S108" s="2649"/>
      <c r="T108" s="2173"/>
      <c r="U108" s="1495">
        <f t="shared" si="19"/>
        <v>20000000</v>
      </c>
      <c r="V108" s="1495">
        <f t="shared" si="20"/>
        <v>3300000</v>
      </c>
      <c r="W108" s="1495">
        <f t="shared" si="21"/>
        <v>0</v>
      </c>
      <c r="X108" s="1495">
        <f t="shared" si="22"/>
        <v>0</v>
      </c>
      <c r="Y108" s="1495">
        <f t="shared" si="23"/>
        <v>100</v>
      </c>
      <c r="Z108" s="1495">
        <f t="shared" si="24"/>
        <v>0</v>
      </c>
      <c r="AA108" s="1506">
        <f t="shared" si="25"/>
        <v>0</v>
      </c>
      <c r="AB108" s="1505"/>
      <c r="AC108" s="1504">
        <f t="shared" si="26"/>
        <v>0</v>
      </c>
      <c r="AD108" s="1503">
        <f t="shared" si="27"/>
        <v>0</v>
      </c>
      <c r="AE108" s="1503">
        <f t="shared" si="28"/>
        <v>0</v>
      </c>
      <c r="AF108" s="1502">
        <f t="shared" si="29"/>
        <v>0</v>
      </c>
    </row>
    <row r="109" spans="1:32" s="1474" customFormat="1" ht="23.25" customHeight="1">
      <c r="A109" s="2175">
        <v>44</v>
      </c>
      <c r="B109" s="2175" t="s">
        <v>2280</v>
      </c>
      <c r="C109" s="2416" t="s">
        <v>2277</v>
      </c>
      <c r="D109" s="2416">
        <v>10</v>
      </c>
      <c r="E109" s="2175">
        <v>5000000</v>
      </c>
      <c r="F109" s="1512">
        <f t="shared" si="16"/>
        <v>900000</v>
      </c>
      <c r="G109" s="2418">
        <v>41067</v>
      </c>
      <c r="H109" s="2419">
        <v>0.18</v>
      </c>
      <c r="I109" s="2164">
        <v>12</v>
      </c>
      <c r="J109" s="2164">
        <v>12</v>
      </c>
      <c r="K109" s="2164">
        <v>416700</v>
      </c>
      <c r="L109" s="2164">
        <v>75000</v>
      </c>
      <c r="M109" s="1510">
        <f t="shared" si="17"/>
        <v>5000000</v>
      </c>
      <c r="N109" s="1510">
        <f t="shared" si="18"/>
        <v>900000</v>
      </c>
      <c r="O109" s="2171">
        <v>3651000</v>
      </c>
      <c r="P109" s="2171">
        <v>675000</v>
      </c>
      <c r="Q109" s="2171"/>
      <c r="R109" s="2649"/>
      <c r="S109" s="2649"/>
      <c r="T109" s="2173"/>
      <c r="U109" s="1495">
        <f t="shared" si="19"/>
        <v>3651000</v>
      </c>
      <c r="V109" s="1495">
        <f t="shared" si="20"/>
        <v>675000</v>
      </c>
      <c r="W109" s="1495">
        <f t="shared" si="21"/>
        <v>0</v>
      </c>
      <c r="X109" s="1495">
        <f t="shared" si="22"/>
        <v>1349000</v>
      </c>
      <c r="Y109" s="1495">
        <f t="shared" si="23"/>
        <v>73.02</v>
      </c>
      <c r="Z109" s="1495">
        <f t="shared" si="24"/>
        <v>1349000</v>
      </c>
      <c r="AA109" s="1506">
        <f t="shared" si="25"/>
        <v>225000</v>
      </c>
      <c r="AB109" s="1505">
        <v>7</v>
      </c>
      <c r="AC109" s="1504">
        <f t="shared" si="26"/>
        <v>0</v>
      </c>
      <c r="AD109" s="1503">
        <f t="shared" si="27"/>
        <v>0</v>
      </c>
      <c r="AE109" s="1503">
        <f t="shared" si="28"/>
        <v>0</v>
      </c>
      <c r="AF109" s="1502">
        <f t="shared" si="29"/>
        <v>1349000</v>
      </c>
    </row>
    <row r="110" spans="1:32" s="1474" customFormat="1" ht="23.25" customHeight="1">
      <c r="A110" s="2175">
        <v>45</v>
      </c>
      <c r="B110" s="2175" t="s">
        <v>2284</v>
      </c>
      <c r="C110" s="2416" t="s">
        <v>2277</v>
      </c>
      <c r="D110" s="2416"/>
      <c r="E110" s="2175">
        <v>22000000</v>
      </c>
      <c r="F110" s="1512">
        <f t="shared" si="16"/>
        <v>3960000</v>
      </c>
      <c r="G110" s="2418">
        <v>41082</v>
      </c>
      <c r="H110" s="2419">
        <v>0.18</v>
      </c>
      <c r="I110" s="2164">
        <v>12</v>
      </c>
      <c r="J110" s="2164">
        <v>12</v>
      </c>
      <c r="K110" s="2164">
        <v>1833300</v>
      </c>
      <c r="L110" s="2164">
        <v>330000</v>
      </c>
      <c r="M110" s="1510">
        <f t="shared" si="17"/>
        <v>22000000</v>
      </c>
      <c r="N110" s="2401">
        <f>IF(J110&lt;I110,J110*L110,IF(J110&gt;=I110,F110))-330000</f>
        <v>3630000</v>
      </c>
      <c r="O110" s="2171">
        <v>22000000</v>
      </c>
      <c r="P110" s="2171">
        <v>3630000</v>
      </c>
      <c r="Q110" s="2171"/>
      <c r="R110" s="2649"/>
      <c r="S110" s="2649"/>
      <c r="T110" s="2173"/>
      <c r="U110" s="1495">
        <f t="shared" si="19"/>
        <v>22000000</v>
      </c>
      <c r="V110" s="1495">
        <f t="shared" si="20"/>
        <v>3630000</v>
      </c>
      <c r="W110" s="1495">
        <f t="shared" si="21"/>
        <v>0</v>
      </c>
      <c r="X110" s="1495">
        <f t="shared" si="22"/>
        <v>0</v>
      </c>
      <c r="Y110" s="1495">
        <f t="shared" si="23"/>
        <v>100</v>
      </c>
      <c r="Z110" s="1495">
        <f t="shared" si="24"/>
        <v>0</v>
      </c>
      <c r="AA110" s="1506">
        <f t="shared" si="25"/>
        <v>0</v>
      </c>
      <c r="AB110" s="1505"/>
      <c r="AC110" s="1504">
        <f t="shared" si="26"/>
        <v>0</v>
      </c>
      <c r="AD110" s="1503">
        <f t="shared" si="27"/>
        <v>0</v>
      </c>
      <c r="AE110" s="1503">
        <f t="shared" si="28"/>
        <v>0</v>
      </c>
      <c r="AF110" s="1502">
        <f t="shared" si="29"/>
        <v>0</v>
      </c>
    </row>
    <row r="111" spans="1:32" s="1474" customFormat="1" ht="23.25" customHeight="1">
      <c r="A111" s="2175">
        <v>46</v>
      </c>
      <c r="B111" s="2175" t="s">
        <v>2145</v>
      </c>
      <c r="C111" s="2416" t="s">
        <v>2277</v>
      </c>
      <c r="D111" s="2416"/>
      <c r="E111" s="2175">
        <v>20000000</v>
      </c>
      <c r="F111" s="1512">
        <f t="shared" si="16"/>
        <v>3600000</v>
      </c>
      <c r="G111" s="2418">
        <v>41082</v>
      </c>
      <c r="H111" s="2419">
        <v>0.18</v>
      </c>
      <c r="I111" s="2164">
        <v>12</v>
      </c>
      <c r="J111" s="2164">
        <v>12</v>
      </c>
      <c r="K111" s="2164">
        <v>1666700</v>
      </c>
      <c r="L111" s="2164">
        <v>300000</v>
      </c>
      <c r="M111" s="1510">
        <f t="shared" si="17"/>
        <v>20000000</v>
      </c>
      <c r="N111" s="2401">
        <f>IF(J111&lt;I111,J111*L111,IF(J111&gt;=I111,F111))-300000</f>
        <v>3300000</v>
      </c>
      <c r="O111" s="2171">
        <v>20000000</v>
      </c>
      <c r="P111" s="2171">
        <v>3300000</v>
      </c>
      <c r="Q111" s="2171"/>
      <c r="R111" s="2649"/>
      <c r="S111" s="2649"/>
      <c r="T111" s="2173"/>
      <c r="U111" s="1495">
        <f t="shared" si="19"/>
        <v>20000000</v>
      </c>
      <c r="V111" s="1495">
        <f t="shared" si="20"/>
        <v>3300000</v>
      </c>
      <c r="W111" s="1495">
        <f t="shared" si="21"/>
        <v>0</v>
      </c>
      <c r="X111" s="1495">
        <f t="shared" si="22"/>
        <v>0</v>
      </c>
      <c r="Y111" s="1495">
        <f t="shared" si="23"/>
        <v>100</v>
      </c>
      <c r="Z111" s="1495">
        <f t="shared" si="24"/>
        <v>0</v>
      </c>
      <c r="AA111" s="1506">
        <f t="shared" si="25"/>
        <v>0</v>
      </c>
      <c r="AB111" s="1505"/>
      <c r="AC111" s="1504">
        <f t="shared" si="26"/>
        <v>0</v>
      </c>
      <c r="AD111" s="1503">
        <f t="shared" si="27"/>
        <v>0</v>
      </c>
      <c r="AE111" s="1503">
        <f t="shared" si="28"/>
        <v>0</v>
      </c>
      <c r="AF111" s="1502">
        <f t="shared" si="29"/>
        <v>0</v>
      </c>
    </row>
    <row r="112" spans="1:32" s="1474" customFormat="1" ht="23.25" customHeight="1">
      <c r="A112" s="2175">
        <v>47</v>
      </c>
      <c r="B112" s="2175" t="s">
        <v>2355</v>
      </c>
      <c r="C112" s="2416" t="s">
        <v>2340</v>
      </c>
      <c r="D112" s="2416"/>
      <c r="E112" s="2175">
        <v>25000000</v>
      </c>
      <c r="F112" s="1512">
        <f t="shared" si="16"/>
        <v>4500000</v>
      </c>
      <c r="G112" s="2418">
        <v>40922</v>
      </c>
      <c r="H112" s="2419">
        <v>0.18</v>
      </c>
      <c r="I112" s="2164">
        <v>12</v>
      </c>
      <c r="J112" s="2164">
        <v>12</v>
      </c>
      <c r="K112" s="2164">
        <v>2083300</v>
      </c>
      <c r="L112" s="2164">
        <f>F112/I112</f>
        <v>375000</v>
      </c>
      <c r="M112" s="1510">
        <f t="shared" si="17"/>
        <v>25000000</v>
      </c>
      <c r="N112" s="2401">
        <f>IF(J112&lt;I112,J112*L112,IF(J112&gt;=I112,F112))-375000</f>
        <v>4125000</v>
      </c>
      <c r="O112" s="2171">
        <v>25000000</v>
      </c>
      <c r="P112" s="2171">
        <v>4125000</v>
      </c>
      <c r="Q112" s="2171"/>
      <c r="R112" s="2649"/>
      <c r="S112" s="2649"/>
      <c r="T112" s="2173"/>
      <c r="U112" s="1495">
        <f t="shared" si="19"/>
        <v>25000000</v>
      </c>
      <c r="V112" s="1495">
        <f t="shared" si="20"/>
        <v>4125000</v>
      </c>
      <c r="W112" s="1495">
        <f t="shared" si="21"/>
        <v>0</v>
      </c>
      <c r="X112" s="1495">
        <f t="shared" si="22"/>
        <v>0</v>
      </c>
      <c r="Y112" s="1495">
        <f t="shared" si="23"/>
        <v>100</v>
      </c>
      <c r="Z112" s="1495">
        <f t="shared" si="24"/>
        <v>0</v>
      </c>
      <c r="AA112" s="1506">
        <f t="shared" si="25"/>
        <v>0</v>
      </c>
      <c r="AB112" s="1505"/>
      <c r="AC112" s="1504">
        <f t="shared" si="26"/>
        <v>0</v>
      </c>
      <c r="AD112" s="1503">
        <f t="shared" si="27"/>
        <v>0</v>
      </c>
      <c r="AE112" s="1503">
        <f t="shared" si="28"/>
        <v>0</v>
      </c>
      <c r="AF112" s="1502">
        <f t="shared" si="29"/>
        <v>0</v>
      </c>
    </row>
    <row r="113" spans="1:32" s="1474" customFormat="1" ht="23.25" customHeight="1">
      <c r="A113" s="2175">
        <v>48</v>
      </c>
      <c r="B113" s="2175" t="s">
        <v>2134</v>
      </c>
      <c r="C113" s="2416" t="s">
        <v>2340</v>
      </c>
      <c r="D113" s="2416"/>
      <c r="E113" s="2175">
        <v>28000000</v>
      </c>
      <c r="F113" s="1512">
        <f t="shared" si="16"/>
        <v>5040000</v>
      </c>
      <c r="G113" s="2418">
        <v>40922</v>
      </c>
      <c r="H113" s="2419">
        <v>0.18</v>
      </c>
      <c r="I113" s="2164">
        <v>12</v>
      </c>
      <c r="J113" s="2164">
        <v>12</v>
      </c>
      <c r="K113" s="2164">
        <v>2333300</v>
      </c>
      <c r="L113" s="2164">
        <f t="shared" ref="L113:L175" si="32">F113/I113</f>
        <v>420000</v>
      </c>
      <c r="M113" s="1510">
        <f t="shared" si="17"/>
        <v>28000000</v>
      </c>
      <c r="N113" s="2401">
        <f>IF(J113&lt;I113,J113*L113,IF(J113&gt;=I113,F113))-420000</f>
        <v>4620000</v>
      </c>
      <c r="O113" s="2171">
        <v>28000000</v>
      </c>
      <c r="P113" s="2171">
        <v>4620000</v>
      </c>
      <c r="Q113" s="2171"/>
      <c r="R113" s="2649"/>
      <c r="S113" s="2649"/>
      <c r="T113" s="2173"/>
      <c r="U113" s="1495">
        <f t="shared" si="19"/>
        <v>28000000</v>
      </c>
      <c r="V113" s="1495">
        <f t="shared" si="20"/>
        <v>4620000</v>
      </c>
      <c r="W113" s="1495">
        <f t="shared" si="21"/>
        <v>0</v>
      </c>
      <c r="X113" s="1495">
        <f t="shared" si="22"/>
        <v>0</v>
      </c>
      <c r="Y113" s="1495">
        <f t="shared" si="23"/>
        <v>100</v>
      </c>
      <c r="Z113" s="1495">
        <f t="shared" si="24"/>
        <v>0</v>
      </c>
      <c r="AA113" s="1506">
        <f t="shared" si="25"/>
        <v>0</v>
      </c>
      <c r="AB113" s="1505"/>
      <c r="AC113" s="1504">
        <f t="shared" si="26"/>
        <v>0</v>
      </c>
      <c r="AD113" s="1503">
        <f t="shared" si="27"/>
        <v>0</v>
      </c>
      <c r="AE113" s="1503">
        <f t="shared" si="28"/>
        <v>0</v>
      </c>
      <c r="AF113" s="1502">
        <f t="shared" si="29"/>
        <v>0</v>
      </c>
    </row>
    <row r="114" spans="1:32" s="3182" customFormat="1" ht="23.25" customHeight="1">
      <c r="A114" s="2175">
        <v>49</v>
      </c>
      <c r="B114" s="2175" t="s">
        <v>2244</v>
      </c>
      <c r="C114" s="2416" t="s">
        <v>2340</v>
      </c>
      <c r="D114" s="2416"/>
      <c r="E114" s="2175">
        <v>14000000</v>
      </c>
      <c r="F114" s="1513">
        <f t="shared" si="16"/>
        <v>2520000</v>
      </c>
      <c r="G114" s="3208">
        <v>40922</v>
      </c>
      <c r="H114" s="3177">
        <v>0.18</v>
      </c>
      <c r="I114" s="2171">
        <v>12</v>
      </c>
      <c r="J114" s="2171">
        <v>12</v>
      </c>
      <c r="K114" s="2171">
        <v>1166700</v>
      </c>
      <c r="L114" s="2171">
        <f t="shared" si="32"/>
        <v>210000</v>
      </c>
      <c r="M114" s="1509">
        <f t="shared" si="17"/>
        <v>14000000</v>
      </c>
      <c r="N114" s="3090">
        <f>IF(J114&lt;I114,J114*L114,IF(J114&gt;=I114,F114))-210000</f>
        <v>2310000</v>
      </c>
      <c r="O114" s="2171">
        <v>14000000</v>
      </c>
      <c r="P114" s="2171">
        <v>2310000</v>
      </c>
      <c r="Q114" s="2171"/>
      <c r="R114" s="2171"/>
      <c r="S114" s="2171"/>
      <c r="T114" s="2175"/>
      <c r="U114" s="2176">
        <f t="shared" si="19"/>
        <v>14000000</v>
      </c>
      <c r="V114" s="2176">
        <f t="shared" si="20"/>
        <v>2310000</v>
      </c>
      <c r="W114" s="2176">
        <f t="shared" si="21"/>
        <v>0</v>
      </c>
      <c r="X114" s="2176">
        <f t="shared" si="22"/>
        <v>0</v>
      </c>
      <c r="Y114" s="2176">
        <f t="shared" si="23"/>
        <v>100</v>
      </c>
      <c r="Z114" s="2176">
        <f t="shared" si="24"/>
        <v>0</v>
      </c>
      <c r="AA114" s="3178">
        <f t="shared" si="25"/>
        <v>0</v>
      </c>
      <c r="AB114" s="1505"/>
      <c r="AC114" s="3179">
        <f t="shared" si="26"/>
        <v>0</v>
      </c>
      <c r="AD114" s="3180">
        <f t="shared" si="27"/>
        <v>0</v>
      </c>
      <c r="AE114" s="3180">
        <f t="shared" si="28"/>
        <v>0</v>
      </c>
      <c r="AF114" s="3181">
        <f t="shared" si="29"/>
        <v>0</v>
      </c>
    </row>
    <row r="115" spans="1:32" s="1474" customFormat="1" ht="23.25" customHeight="1">
      <c r="A115" s="2175">
        <v>50</v>
      </c>
      <c r="B115" s="2175" t="s">
        <v>2140</v>
      </c>
      <c r="C115" s="2416" t="s">
        <v>2340</v>
      </c>
      <c r="D115" s="2416"/>
      <c r="E115" s="2175">
        <v>14000000</v>
      </c>
      <c r="F115" s="1512">
        <f t="shared" si="16"/>
        <v>2520000</v>
      </c>
      <c r="G115" s="2418">
        <v>40925</v>
      </c>
      <c r="H115" s="2419">
        <v>0.18</v>
      </c>
      <c r="I115" s="2164">
        <v>12</v>
      </c>
      <c r="J115" s="2164">
        <v>12</v>
      </c>
      <c r="K115" s="2164">
        <v>1166700</v>
      </c>
      <c r="L115" s="2164">
        <f t="shared" si="32"/>
        <v>210000</v>
      </c>
      <c r="M115" s="1510">
        <f t="shared" si="17"/>
        <v>14000000</v>
      </c>
      <c r="N115" s="1510">
        <f t="shared" si="18"/>
        <v>2520000</v>
      </c>
      <c r="O115" s="2171">
        <v>14000000</v>
      </c>
      <c r="P115" s="2171">
        <v>2520000</v>
      </c>
      <c r="Q115" s="2171"/>
      <c r="R115" s="2649"/>
      <c r="S115" s="2649"/>
      <c r="T115" s="2173"/>
      <c r="U115" s="1495">
        <f t="shared" si="19"/>
        <v>14000000</v>
      </c>
      <c r="V115" s="1495">
        <f t="shared" si="20"/>
        <v>2520000</v>
      </c>
      <c r="W115" s="1495">
        <f t="shared" si="21"/>
        <v>0</v>
      </c>
      <c r="X115" s="1495">
        <f t="shared" si="22"/>
        <v>0</v>
      </c>
      <c r="Y115" s="1495">
        <f t="shared" si="23"/>
        <v>100</v>
      </c>
      <c r="Z115" s="1495">
        <f t="shared" si="24"/>
        <v>0</v>
      </c>
      <c r="AA115" s="1506">
        <f t="shared" si="25"/>
        <v>0</v>
      </c>
      <c r="AB115" s="1505"/>
      <c r="AC115" s="1504">
        <f t="shared" si="26"/>
        <v>0</v>
      </c>
      <c r="AD115" s="1503">
        <f t="shared" si="27"/>
        <v>0</v>
      </c>
      <c r="AE115" s="1503">
        <f t="shared" si="28"/>
        <v>0</v>
      </c>
      <c r="AF115" s="1502">
        <f t="shared" si="29"/>
        <v>0</v>
      </c>
    </row>
    <row r="116" spans="1:32" s="1474" customFormat="1" ht="23.25" customHeight="1">
      <c r="A116" s="2175">
        <v>51</v>
      </c>
      <c r="B116" s="2175" t="s">
        <v>2136</v>
      </c>
      <c r="C116" s="2416" t="s">
        <v>2340</v>
      </c>
      <c r="D116" s="2416"/>
      <c r="E116" s="2175">
        <v>30000000</v>
      </c>
      <c r="F116" s="1512">
        <f t="shared" si="16"/>
        <v>5400000</v>
      </c>
      <c r="G116" s="2418">
        <v>40925</v>
      </c>
      <c r="H116" s="2419">
        <v>0.18</v>
      </c>
      <c r="I116" s="2164">
        <v>12</v>
      </c>
      <c r="J116" s="2164">
        <v>12</v>
      </c>
      <c r="K116" s="2164">
        <f>E116/I116</f>
        <v>2500000</v>
      </c>
      <c r="L116" s="2164">
        <f t="shared" si="32"/>
        <v>450000</v>
      </c>
      <c r="M116" s="1510">
        <f t="shared" si="17"/>
        <v>30000000</v>
      </c>
      <c r="N116" s="2401">
        <f>IF(J116&lt;I116,J116*L116,IF(J116&gt;=I116,F116))-450000</f>
        <v>4950000</v>
      </c>
      <c r="O116" s="2171">
        <v>30000000</v>
      </c>
      <c r="P116" s="2171">
        <v>4950000</v>
      </c>
      <c r="Q116" s="2171"/>
      <c r="R116" s="2649"/>
      <c r="S116" s="2649"/>
      <c r="T116" s="2173"/>
      <c r="U116" s="1495">
        <f t="shared" si="19"/>
        <v>30000000</v>
      </c>
      <c r="V116" s="1495">
        <f t="shared" si="20"/>
        <v>4950000</v>
      </c>
      <c r="W116" s="1495">
        <f t="shared" si="21"/>
        <v>0</v>
      </c>
      <c r="X116" s="1495">
        <f t="shared" si="22"/>
        <v>0</v>
      </c>
      <c r="Y116" s="1495">
        <f t="shared" si="23"/>
        <v>100</v>
      </c>
      <c r="Z116" s="1495">
        <f t="shared" si="24"/>
        <v>0</v>
      </c>
      <c r="AA116" s="1506">
        <f t="shared" si="25"/>
        <v>0</v>
      </c>
      <c r="AB116" s="1505"/>
      <c r="AC116" s="1504">
        <f t="shared" si="26"/>
        <v>0</v>
      </c>
      <c r="AD116" s="1503">
        <f t="shared" si="27"/>
        <v>0</v>
      </c>
      <c r="AE116" s="1503">
        <f t="shared" si="28"/>
        <v>0</v>
      </c>
      <c r="AF116" s="1502">
        <f t="shared" si="29"/>
        <v>0</v>
      </c>
    </row>
    <row r="117" spans="1:32" s="1474" customFormat="1" ht="23.25" customHeight="1">
      <c r="A117" s="2175">
        <v>52</v>
      </c>
      <c r="B117" s="2175" t="s">
        <v>1954</v>
      </c>
      <c r="C117" s="2416" t="s">
        <v>2340</v>
      </c>
      <c r="D117" s="2416">
        <v>12</v>
      </c>
      <c r="E117" s="2175">
        <v>14000000</v>
      </c>
      <c r="F117" s="1512">
        <f t="shared" si="16"/>
        <v>2520000</v>
      </c>
      <c r="G117" s="2418">
        <v>40925</v>
      </c>
      <c r="H117" s="2419">
        <v>0.18</v>
      </c>
      <c r="I117" s="2164">
        <v>12</v>
      </c>
      <c r="J117" s="2164">
        <v>12</v>
      </c>
      <c r="K117" s="2164">
        <v>1166700</v>
      </c>
      <c r="L117" s="2164">
        <f t="shared" si="32"/>
        <v>210000</v>
      </c>
      <c r="M117" s="1510">
        <f t="shared" si="17"/>
        <v>14000000</v>
      </c>
      <c r="N117" s="1510">
        <f t="shared" si="18"/>
        <v>2520000</v>
      </c>
      <c r="O117" s="2171">
        <v>9873600</v>
      </c>
      <c r="P117" s="2171">
        <v>1890000</v>
      </c>
      <c r="Q117" s="2171"/>
      <c r="R117" s="2649"/>
      <c r="S117" s="2649"/>
      <c r="T117" s="2173"/>
      <c r="U117" s="1495">
        <f t="shared" si="19"/>
        <v>9873600</v>
      </c>
      <c r="V117" s="1495">
        <f t="shared" si="20"/>
        <v>1890000</v>
      </c>
      <c r="W117" s="1495">
        <f t="shared" si="21"/>
        <v>0</v>
      </c>
      <c r="X117" s="1495">
        <f t="shared" si="22"/>
        <v>4126400</v>
      </c>
      <c r="Y117" s="1495">
        <f t="shared" si="23"/>
        <v>70.525714285714287</v>
      </c>
      <c r="Z117" s="1495">
        <f t="shared" si="24"/>
        <v>4126400</v>
      </c>
      <c r="AA117" s="1506">
        <f t="shared" si="25"/>
        <v>630000</v>
      </c>
      <c r="AB117" s="1505">
        <v>7</v>
      </c>
      <c r="AC117" s="1504">
        <f t="shared" si="26"/>
        <v>0</v>
      </c>
      <c r="AD117" s="1503">
        <f t="shared" si="27"/>
        <v>0</v>
      </c>
      <c r="AE117" s="1503">
        <f t="shared" si="28"/>
        <v>0</v>
      </c>
      <c r="AF117" s="1502">
        <f t="shared" si="29"/>
        <v>4126400</v>
      </c>
    </row>
    <row r="118" spans="1:32" s="1474" customFormat="1" ht="23.25" customHeight="1">
      <c r="A118" s="2175">
        <v>53</v>
      </c>
      <c r="B118" s="2175" t="s">
        <v>2148</v>
      </c>
      <c r="C118" s="2416" t="s">
        <v>2340</v>
      </c>
      <c r="D118" s="2416">
        <v>10</v>
      </c>
      <c r="E118" s="2175">
        <v>18000000</v>
      </c>
      <c r="F118" s="1512">
        <f t="shared" si="16"/>
        <v>3240000</v>
      </c>
      <c r="G118" s="2418">
        <v>41312</v>
      </c>
      <c r="H118" s="2419">
        <v>0.18</v>
      </c>
      <c r="I118" s="2164">
        <v>12</v>
      </c>
      <c r="J118" s="2164">
        <v>12</v>
      </c>
      <c r="K118" s="2164">
        <f>E118/I118</f>
        <v>1500000</v>
      </c>
      <c r="L118" s="2164">
        <f t="shared" si="32"/>
        <v>270000</v>
      </c>
      <c r="M118" s="1510">
        <f t="shared" si="17"/>
        <v>18000000</v>
      </c>
      <c r="N118" s="1510">
        <f t="shared" si="18"/>
        <v>3240000</v>
      </c>
      <c r="O118" s="2171">
        <v>18000000</v>
      </c>
      <c r="P118" s="2171">
        <v>3240000</v>
      </c>
      <c r="Q118" s="2171"/>
      <c r="R118" s="2649"/>
      <c r="S118" s="2649"/>
      <c r="T118" s="2173"/>
      <c r="U118" s="1495">
        <f t="shared" si="19"/>
        <v>18000000</v>
      </c>
      <c r="V118" s="1495">
        <f t="shared" si="20"/>
        <v>3240000</v>
      </c>
      <c r="W118" s="1495">
        <f t="shared" si="21"/>
        <v>0</v>
      </c>
      <c r="X118" s="1495">
        <f t="shared" si="22"/>
        <v>0</v>
      </c>
      <c r="Y118" s="1495">
        <f t="shared" si="23"/>
        <v>100</v>
      </c>
      <c r="Z118" s="1495">
        <f t="shared" si="24"/>
        <v>0</v>
      </c>
      <c r="AA118" s="1506">
        <f t="shared" si="25"/>
        <v>0</v>
      </c>
      <c r="AB118" s="1505"/>
      <c r="AC118" s="1504">
        <f t="shared" si="26"/>
        <v>0</v>
      </c>
      <c r="AD118" s="1503">
        <f t="shared" si="27"/>
        <v>0</v>
      </c>
      <c r="AE118" s="1503">
        <f t="shared" si="28"/>
        <v>0</v>
      </c>
      <c r="AF118" s="1502">
        <f t="shared" si="29"/>
        <v>0</v>
      </c>
    </row>
    <row r="119" spans="1:32" s="1474" customFormat="1" ht="23.25" customHeight="1">
      <c r="A119" s="2175">
        <v>54</v>
      </c>
      <c r="B119" s="2175" t="s">
        <v>2149</v>
      </c>
      <c r="C119" s="2416" t="s">
        <v>2340</v>
      </c>
      <c r="D119" s="2416"/>
      <c r="E119" s="2175">
        <v>16000000</v>
      </c>
      <c r="F119" s="1512">
        <f t="shared" si="16"/>
        <v>2880000</v>
      </c>
      <c r="G119" s="2418">
        <v>41339</v>
      </c>
      <c r="H119" s="2419">
        <v>0.18</v>
      </c>
      <c r="I119" s="2164">
        <v>12</v>
      </c>
      <c r="J119" s="2164">
        <v>12</v>
      </c>
      <c r="K119" s="2164">
        <v>1333300</v>
      </c>
      <c r="L119" s="2164">
        <f t="shared" si="32"/>
        <v>240000</v>
      </c>
      <c r="M119" s="1510">
        <f t="shared" si="17"/>
        <v>16000000</v>
      </c>
      <c r="N119" s="1510">
        <f>IF(J119&lt;I119,J119*L119,IF(J119&gt;=I119,F119))-480000</f>
        <v>2400000</v>
      </c>
      <c r="O119" s="2171">
        <v>16000000</v>
      </c>
      <c r="P119" s="2171">
        <v>2400000</v>
      </c>
      <c r="Q119" s="2171"/>
      <c r="R119" s="2649"/>
      <c r="S119" s="2649"/>
      <c r="T119" s="2173"/>
      <c r="U119" s="1495">
        <f t="shared" si="19"/>
        <v>16000000</v>
      </c>
      <c r="V119" s="1495">
        <f t="shared" si="20"/>
        <v>2400000</v>
      </c>
      <c r="W119" s="1495">
        <f t="shared" si="21"/>
        <v>0</v>
      </c>
      <c r="X119" s="1495">
        <f t="shared" si="22"/>
        <v>0</v>
      </c>
      <c r="Y119" s="1495">
        <f t="shared" si="23"/>
        <v>100</v>
      </c>
      <c r="Z119" s="1495">
        <f t="shared" si="24"/>
        <v>0</v>
      </c>
      <c r="AA119" s="1506">
        <f t="shared" si="25"/>
        <v>0</v>
      </c>
      <c r="AB119" s="1505"/>
      <c r="AC119" s="1504">
        <f t="shared" si="26"/>
        <v>0</v>
      </c>
      <c r="AD119" s="1503">
        <f t="shared" si="27"/>
        <v>0</v>
      </c>
      <c r="AE119" s="1503">
        <f t="shared" si="28"/>
        <v>0</v>
      </c>
      <c r="AF119" s="1502">
        <f t="shared" si="29"/>
        <v>0</v>
      </c>
    </row>
    <row r="120" spans="1:32" s="1474" customFormat="1" ht="23.25" customHeight="1">
      <c r="A120" s="2175">
        <v>55</v>
      </c>
      <c r="B120" s="2175" t="s">
        <v>2147</v>
      </c>
      <c r="C120" s="2416" t="s">
        <v>2340</v>
      </c>
      <c r="D120" s="2416">
        <v>10</v>
      </c>
      <c r="E120" s="2175">
        <v>18000000</v>
      </c>
      <c r="F120" s="1512">
        <f t="shared" si="16"/>
        <v>3240000</v>
      </c>
      <c r="G120" s="2418">
        <v>41339</v>
      </c>
      <c r="H120" s="2419">
        <v>0.18</v>
      </c>
      <c r="I120" s="2164">
        <v>12</v>
      </c>
      <c r="J120" s="2164">
        <v>12</v>
      </c>
      <c r="K120" s="2164">
        <f t="shared" ref="K120:K125" si="33">E120/I120</f>
        <v>1500000</v>
      </c>
      <c r="L120" s="2164">
        <f t="shared" si="32"/>
        <v>270000</v>
      </c>
      <c r="M120" s="1510">
        <f t="shared" si="17"/>
        <v>18000000</v>
      </c>
      <c r="N120" s="1510">
        <f>IF(J120&lt;I120,J120*L120,IF(J120&gt;=I120,F120))-270000</f>
        <v>2970000</v>
      </c>
      <c r="O120" s="2171">
        <v>18000000</v>
      </c>
      <c r="P120" s="2171">
        <v>2970000</v>
      </c>
      <c r="Q120" s="2171"/>
      <c r="R120" s="2649"/>
      <c r="S120" s="2649"/>
      <c r="T120" s="2173"/>
      <c r="U120" s="1495">
        <f t="shared" si="19"/>
        <v>18000000</v>
      </c>
      <c r="V120" s="1495">
        <f t="shared" si="20"/>
        <v>2970000</v>
      </c>
      <c r="W120" s="1495">
        <f t="shared" si="21"/>
        <v>0</v>
      </c>
      <c r="X120" s="1495">
        <f t="shared" si="22"/>
        <v>0</v>
      </c>
      <c r="Y120" s="1495">
        <f t="shared" si="23"/>
        <v>100</v>
      </c>
      <c r="Z120" s="1495">
        <f t="shared" si="24"/>
        <v>0</v>
      </c>
      <c r="AA120" s="1506">
        <f t="shared" si="25"/>
        <v>0</v>
      </c>
      <c r="AB120" s="1505"/>
      <c r="AC120" s="1504">
        <f t="shared" si="26"/>
        <v>0</v>
      </c>
      <c r="AD120" s="1503">
        <f t="shared" si="27"/>
        <v>0</v>
      </c>
      <c r="AE120" s="1503">
        <f t="shared" si="28"/>
        <v>0</v>
      </c>
      <c r="AF120" s="1502">
        <f t="shared" si="29"/>
        <v>0</v>
      </c>
    </row>
    <row r="121" spans="1:32" s="1474" customFormat="1" ht="23.25" customHeight="1">
      <c r="A121" s="2175">
        <v>56</v>
      </c>
      <c r="B121" s="2175" t="s">
        <v>2395</v>
      </c>
      <c r="C121" s="2416" t="s">
        <v>2377</v>
      </c>
      <c r="D121" s="2416">
        <v>10</v>
      </c>
      <c r="E121" s="2175">
        <v>26000000</v>
      </c>
      <c r="F121" s="1512">
        <f t="shared" si="16"/>
        <v>4680000</v>
      </c>
      <c r="G121" s="2418">
        <v>41379</v>
      </c>
      <c r="H121" s="2419">
        <v>0.18</v>
      </c>
      <c r="I121" s="2164">
        <v>12</v>
      </c>
      <c r="J121" s="2164">
        <v>12</v>
      </c>
      <c r="K121" s="2164">
        <v>2166700</v>
      </c>
      <c r="L121" s="2164">
        <f t="shared" si="32"/>
        <v>390000</v>
      </c>
      <c r="M121" s="1510">
        <f t="shared" si="17"/>
        <v>26000000</v>
      </c>
      <c r="N121" s="1510">
        <f>IF(J121&lt;I121,J121*L121,IF(J121&gt;=I121,F121))-390000</f>
        <v>4290000</v>
      </c>
      <c r="O121" s="2171">
        <v>26000000</v>
      </c>
      <c r="P121" s="2171">
        <v>4290000</v>
      </c>
      <c r="Q121" s="2171"/>
      <c r="R121" s="2649"/>
      <c r="S121" s="2649"/>
      <c r="T121" s="2173"/>
      <c r="U121" s="1495">
        <f t="shared" si="19"/>
        <v>26000000</v>
      </c>
      <c r="V121" s="1495">
        <f t="shared" si="20"/>
        <v>4290000</v>
      </c>
      <c r="W121" s="1495">
        <f t="shared" si="21"/>
        <v>0</v>
      </c>
      <c r="X121" s="1495">
        <f t="shared" si="22"/>
        <v>0</v>
      </c>
      <c r="Y121" s="1495">
        <f t="shared" si="23"/>
        <v>100</v>
      </c>
      <c r="Z121" s="1495">
        <f t="shared" si="24"/>
        <v>0</v>
      </c>
      <c r="AA121" s="1506">
        <f t="shared" si="25"/>
        <v>0</v>
      </c>
      <c r="AB121" s="1505"/>
      <c r="AC121" s="1504">
        <f t="shared" si="26"/>
        <v>0</v>
      </c>
      <c r="AD121" s="1503">
        <f t="shared" si="27"/>
        <v>0</v>
      </c>
      <c r="AE121" s="1503">
        <f t="shared" si="28"/>
        <v>0</v>
      </c>
      <c r="AF121" s="1502">
        <f t="shared" si="29"/>
        <v>0</v>
      </c>
    </row>
    <row r="122" spans="1:32" s="1474" customFormat="1" ht="23.25" customHeight="1">
      <c r="A122" s="2175">
        <v>57</v>
      </c>
      <c r="B122" s="2175" t="s">
        <v>2129</v>
      </c>
      <c r="C122" s="2416" t="s">
        <v>2377</v>
      </c>
      <c r="D122" s="2416">
        <v>10</v>
      </c>
      <c r="E122" s="2175">
        <v>30000000</v>
      </c>
      <c r="F122" s="1512">
        <f t="shared" si="16"/>
        <v>5400000</v>
      </c>
      <c r="G122" s="2418">
        <v>41383</v>
      </c>
      <c r="H122" s="2419">
        <v>0.18</v>
      </c>
      <c r="I122" s="2164">
        <v>12</v>
      </c>
      <c r="J122" s="2164">
        <v>12</v>
      </c>
      <c r="K122" s="2164">
        <f t="shared" si="33"/>
        <v>2500000</v>
      </c>
      <c r="L122" s="2164">
        <f t="shared" si="32"/>
        <v>450000</v>
      </c>
      <c r="M122" s="1510">
        <f t="shared" si="17"/>
        <v>30000000</v>
      </c>
      <c r="N122" s="1510">
        <f t="shared" si="18"/>
        <v>5400000</v>
      </c>
      <c r="O122" s="2171">
        <v>30000000</v>
      </c>
      <c r="P122" s="2171">
        <v>5400000</v>
      </c>
      <c r="Q122" s="2171"/>
      <c r="R122" s="2649"/>
      <c r="S122" s="2649"/>
      <c r="T122" s="2173"/>
      <c r="U122" s="1495">
        <f t="shared" si="19"/>
        <v>30000000</v>
      </c>
      <c r="V122" s="1495">
        <f t="shared" si="20"/>
        <v>5400000</v>
      </c>
      <c r="W122" s="1495">
        <f t="shared" si="21"/>
        <v>0</v>
      </c>
      <c r="X122" s="1495">
        <f t="shared" si="22"/>
        <v>0</v>
      </c>
      <c r="Y122" s="1495">
        <f t="shared" si="23"/>
        <v>100</v>
      </c>
      <c r="Z122" s="1495">
        <f t="shared" si="24"/>
        <v>0</v>
      </c>
      <c r="AA122" s="1506">
        <f t="shared" si="25"/>
        <v>0</v>
      </c>
      <c r="AB122" s="1505"/>
      <c r="AC122" s="1504">
        <f t="shared" si="26"/>
        <v>0</v>
      </c>
      <c r="AD122" s="1503">
        <f t="shared" si="27"/>
        <v>0</v>
      </c>
      <c r="AE122" s="1503">
        <f t="shared" si="28"/>
        <v>0</v>
      </c>
      <c r="AF122" s="1502">
        <f t="shared" si="29"/>
        <v>0</v>
      </c>
    </row>
    <row r="123" spans="1:32" s="1474" customFormat="1" ht="23.25" customHeight="1">
      <c r="A123" s="2175">
        <v>58</v>
      </c>
      <c r="B123" s="2175" t="s">
        <v>2278</v>
      </c>
      <c r="C123" s="2416" t="s">
        <v>2387</v>
      </c>
      <c r="D123" s="2416">
        <v>10</v>
      </c>
      <c r="E123" s="2175">
        <v>15000000</v>
      </c>
      <c r="F123" s="1512">
        <f t="shared" si="16"/>
        <v>2700000</v>
      </c>
      <c r="G123" s="2418">
        <v>41407</v>
      </c>
      <c r="H123" s="2419">
        <v>0.18</v>
      </c>
      <c r="I123" s="2164">
        <v>12</v>
      </c>
      <c r="J123" s="2164">
        <v>12</v>
      </c>
      <c r="K123" s="2164">
        <f t="shared" si="33"/>
        <v>1250000</v>
      </c>
      <c r="L123" s="2164">
        <f t="shared" si="32"/>
        <v>225000</v>
      </c>
      <c r="M123" s="1510">
        <f t="shared" si="17"/>
        <v>15000000</v>
      </c>
      <c r="N123" s="1510">
        <f>IF(J123&lt;I123,J123*L123,IF(J123&gt;=I123,F123))-225000</f>
        <v>2475000</v>
      </c>
      <c r="O123" s="2171">
        <v>15000000</v>
      </c>
      <c r="P123" s="2171">
        <v>2475000</v>
      </c>
      <c r="Q123" s="2171"/>
      <c r="R123" s="2649"/>
      <c r="S123" s="2649"/>
      <c r="T123" s="2173"/>
      <c r="U123" s="1495">
        <f t="shared" si="19"/>
        <v>15000000</v>
      </c>
      <c r="V123" s="1495">
        <f t="shared" si="20"/>
        <v>2475000</v>
      </c>
      <c r="W123" s="1495">
        <f t="shared" si="21"/>
        <v>0</v>
      </c>
      <c r="X123" s="1495">
        <f t="shared" si="22"/>
        <v>0</v>
      </c>
      <c r="Y123" s="1495">
        <f t="shared" si="23"/>
        <v>100</v>
      </c>
      <c r="Z123" s="1495">
        <f t="shared" si="24"/>
        <v>0</v>
      </c>
      <c r="AA123" s="1506">
        <f t="shared" si="25"/>
        <v>0</v>
      </c>
      <c r="AB123" s="1505"/>
      <c r="AC123" s="1504">
        <f t="shared" si="26"/>
        <v>0</v>
      </c>
      <c r="AD123" s="1503">
        <f t="shared" si="27"/>
        <v>0</v>
      </c>
      <c r="AE123" s="1503">
        <f t="shared" si="28"/>
        <v>0</v>
      </c>
      <c r="AF123" s="1502">
        <f t="shared" si="29"/>
        <v>0</v>
      </c>
    </row>
    <row r="124" spans="1:32" s="1474" customFormat="1" ht="23.25" customHeight="1">
      <c r="A124" s="2175">
        <v>59</v>
      </c>
      <c r="B124" s="2175" t="s">
        <v>2402</v>
      </c>
      <c r="C124" s="2416" t="s">
        <v>2377</v>
      </c>
      <c r="D124" s="2416">
        <v>10</v>
      </c>
      <c r="E124" s="2175">
        <v>25000000</v>
      </c>
      <c r="F124" s="1512">
        <f t="shared" si="16"/>
        <v>4500000</v>
      </c>
      <c r="G124" s="2418">
        <v>41407</v>
      </c>
      <c r="H124" s="2419">
        <v>0.18</v>
      </c>
      <c r="I124" s="2164">
        <v>12</v>
      </c>
      <c r="J124" s="2164">
        <v>12</v>
      </c>
      <c r="K124" s="2164">
        <v>2083300</v>
      </c>
      <c r="L124" s="2164">
        <f t="shared" si="32"/>
        <v>375000</v>
      </c>
      <c r="M124" s="1510">
        <f t="shared" si="17"/>
        <v>25000000</v>
      </c>
      <c r="N124" s="1510">
        <f t="shared" si="18"/>
        <v>4500000</v>
      </c>
      <c r="O124" s="2171">
        <v>25000000</v>
      </c>
      <c r="P124" s="2171">
        <v>4500000</v>
      </c>
      <c r="Q124" s="2171"/>
      <c r="R124" s="2649"/>
      <c r="S124" s="2649"/>
      <c r="T124" s="2173"/>
      <c r="U124" s="1495">
        <f t="shared" si="19"/>
        <v>25000000</v>
      </c>
      <c r="V124" s="1495">
        <f t="shared" si="20"/>
        <v>4500000</v>
      </c>
      <c r="W124" s="1495">
        <f t="shared" si="21"/>
        <v>0</v>
      </c>
      <c r="X124" s="1495">
        <f t="shared" si="22"/>
        <v>0</v>
      </c>
      <c r="Y124" s="1495">
        <f t="shared" si="23"/>
        <v>100</v>
      </c>
      <c r="Z124" s="1495">
        <f t="shared" si="24"/>
        <v>0</v>
      </c>
      <c r="AA124" s="1506">
        <f t="shared" si="25"/>
        <v>0</v>
      </c>
      <c r="AB124" s="1505"/>
      <c r="AC124" s="1504">
        <f t="shared" si="26"/>
        <v>0</v>
      </c>
      <c r="AD124" s="1503">
        <f t="shared" si="27"/>
        <v>0</v>
      </c>
      <c r="AE124" s="1503">
        <f t="shared" si="28"/>
        <v>0</v>
      </c>
      <c r="AF124" s="1502">
        <f t="shared" si="29"/>
        <v>0</v>
      </c>
    </row>
    <row r="125" spans="1:32" s="1474" customFormat="1" ht="23.25" customHeight="1">
      <c r="A125" s="2175">
        <v>60</v>
      </c>
      <c r="B125" s="2175" t="s">
        <v>2146</v>
      </c>
      <c r="C125" s="2416" t="s">
        <v>2377</v>
      </c>
      <c r="D125" s="2416">
        <v>10</v>
      </c>
      <c r="E125" s="2175">
        <v>30000000</v>
      </c>
      <c r="F125" s="1512">
        <f t="shared" si="16"/>
        <v>5400000</v>
      </c>
      <c r="G125" s="2418">
        <v>41407</v>
      </c>
      <c r="H125" s="2419">
        <v>0.18</v>
      </c>
      <c r="I125" s="2164">
        <v>12</v>
      </c>
      <c r="J125" s="2164">
        <v>12</v>
      </c>
      <c r="K125" s="2164">
        <f t="shared" si="33"/>
        <v>2500000</v>
      </c>
      <c r="L125" s="2164">
        <f t="shared" si="32"/>
        <v>450000</v>
      </c>
      <c r="M125" s="1510">
        <f t="shared" si="17"/>
        <v>30000000</v>
      </c>
      <c r="N125" s="1510">
        <f>IF(J125&lt;I125,J125*L125,IF(J125&gt;=I125,F125))-450000</f>
        <v>4950000</v>
      </c>
      <c r="O125" s="2171">
        <v>30000000</v>
      </c>
      <c r="P125" s="2171">
        <v>4950000</v>
      </c>
      <c r="Q125" s="2171"/>
      <c r="R125" s="2649"/>
      <c r="S125" s="2649"/>
      <c r="T125" s="2173"/>
      <c r="U125" s="1495">
        <f t="shared" si="19"/>
        <v>30000000</v>
      </c>
      <c r="V125" s="1495">
        <f t="shared" si="20"/>
        <v>4950000</v>
      </c>
      <c r="W125" s="1495">
        <f t="shared" si="21"/>
        <v>0</v>
      </c>
      <c r="X125" s="1495">
        <f t="shared" si="22"/>
        <v>0</v>
      </c>
      <c r="Y125" s="1495">
        <f t="shared" si="23"/>
        <v>100</v>
      </c>
      <c r="Z125" s="1495">
        <f t="shared" si="24"/>
        <v>0</v>
      </c>
      <c r="AA125" s="1506">
        <f t="shared" si="25"/>
        <v>0</v>
      </c>
      <c r="AB125" s="1505"/>
      <c r="AC125" s="1504">
        <f t="shared" si="26"/>
        <v>0</v>
      </c>
      <c r="AD125" s="1503">
        <f t="shared" si="27"/>
        <v>0</v>
      </c>
      <c r="AE125" s="1503">
        <f t="shared" si="28"/>
        <v>0</v>
      </c>
      <c r="AF125" s="1502">
        <f t="shared" si="29"/>
        <v>0</v>
      </c>
    </row>
    <row r="126" spans="1:32" s="1474" customFormat="1" ht="23.25" customHeight="1">
      <c r="A126" s="2175">
        <v>61</v>
      </c>
      <c r="B126" s="2175" t="s">
        <v>2403</v>
      </c>
      <c r="C126" s="2416" t="s">
        <v>2377</v>
      </c>
      <c r="D126" s="2416">
        <v>10</v>
      </c>
      <c r="E126" s="2175">
        <v>25000000</v>
      </c>
      <c r="F126" s="1512">
        <f t="shared" si="16"/>
        <v>4500000</v>
      </c>
      <c r="G126" s="2418">
        <v>41411</v>
      </c>
      <c r="H126" s="2419">
        <v>0.18</v>
      </c>
      <c r="I126" s="2164">
        <v>12</v>
      </c>
      <c r="J126" s="2164">
        <v>12</v>
      </c>
      <c r="K126" s="2164">
        <v>2083300</v>
      </c>
      <c r="L126" s="2164">
        <f t="shared" si="32"/>
        <v>375000</v>
      </c>
      <c r="M126" s="1510">
        <f t="shared" si="17"/>
        <v>25000000</v>
      </c>
      <c r="N126" s="1510">
        <f>IF(J126&lt;I126,J126*L126,IF(J126&gt;=I126,F126))-375000</f>
        <v>4125000</v>
      </c>
      <c r="O126" s="2171">
        <v>25000000</v>
      </c>
      <c r="P126" s="2171">
        <v>4125000</v>
      </c>
      <c r="Q126" s="2171"/>
      <c r="R126" s="2649"/>
      <c r="S126" s="2649"/>
      <c r="T126" s="2173"/>
      <c r="U126" s="1495">
        <f t="shared" si="19"/>
        <v>25000000</v>
      </c>
      <c r="V126" s="1495">
        <f t="shared" si="20"/>
        <v>4125000</v>
      </c>
      <c r="W126" s="1495">
        <f t="shared" si="21"/>
        <v>0</v>
      </c>
      <c r="X126" s="1495">
        <f t="shared" si="22"/>
        <v>0</v>
      </c>
      <c r="Y126" s="1495">
        <f t="shared" si="23"/>
        <v>100</v>
      </c>
      <c r="Z126" s="1495">
        <f t="shared" si="24"/>
        <v>0</v>
      </c>
      <c r="AA126" s="1506">
        <f t="shared" si="25"/>
        <v>0</v>
      </c>
      <c r="AB126" s="1505"/>
      <c r="AC126" s="1504">
        <f t="shared" si="26"/>
        <v>0</v>
      </c>
      <c r="AD126" s="1503">
        <f t="shared" si="27"/>
        <v>0</v>
      </c>
      <c r="AE126" s="1503">
        <f t="shared" si="28"/>
        <v>0</v>
      </c>
      <c r="AF126" s="1502">
        <f t="shared" si="29"/>
        <v>0</v>
      </c>
    </row>
    <row r="127" spans="1:32" s="1474" customFormat="1" ht="23.25" customHeight="1">
      <c r="A127" s="2175">
        <v>62</v>
      </c>
      <c r="B127" s="2175" t="s">
        <v>2404</v>
      </c>
      <c r="C127" s="2416" t="s">
        <v>2377</v>
      </c>
      <c r="D127" s="2416">
        <v>10</v>
      </c>
      <c r="E127" s="2175">
        <v>23000000</v>
      </c>
      <c r="F127" s="1512">
        <f t="shared" si="16"/>
        <v>4140000</v>
      </c>
      <c r="G127" s="2418">
        <v>41411</v>
      </c>
      <c r="H127" s="2419">
        <v>0.18</v>
      </c>
      <c r="I127" s="2164">
        <v>12</v>
      </c>
      <c r="J127" s="2164">
        <v>12</v>
      </c>
      <c r="K127" s="2164">
        <v>1916700</v>
      </c>
      <c r="L127" s="2164">
        <f t="shared" si="32"/>
        <v>345000</v>
      </c>
      <c r="M127" s="1510">
        <f t="shared" si="17"/>
        <v>23000000</v>
      </c>
      <c r="N127" s="1510">
        <f>IF(J127&lt;I127,J127*L127,IF(J127&gt;=I127,F127))-345000</f>
        <v>3795000</v>
      </c>
      <c r="O127" s="2171">
        <v>23000000</v>
      </c>
      <c r="P127" s="2171">
        <v>3795000</v>
      </c>
      <c r="Q127" s="2171"/>
      <c r="R127" s="2649"/>
      <c r="S127" s="2649"/>
      <c r="T127" s="2173"/>
      <c r="U127" s="1495">
        <f t="shared" si="19"/>
        <v>23000000</v>
      </c>
      <c r="V127" s="1495">
        <f t="shared" si="20"/>
        <v>3795000</v>
      </c>
      <c r="W127" s="1495">
        <f t="shared" si="21"/>
        <v>0</v>
      </c>
      <c r="X127" s="1495">
        <f t="shared" si="22"/>
        <v>0</v>
      </c>
      <c r="Y127" s="1495">
        <f t="shared" si="23"/>
        <v>100</v>
      </c>
      <c r="Z127" s="1495">
        <f t="shared" si="24"/>
        <v>0</v>
      </c>
      <c r="AA127" s="1506">
        <f t="shared" si="25"/>
        <v>0</v>
      </c>
      <c r="AB127" s="1505"/>
      <c r="AC127" s="1504">
        <f t="shared" si="26"/>
        <v>0</v>
      </c>
      <c r="AD127" s="1503">
        <f t="shared" si="27"/>
        <v>0</v>
      </c>
      <c r="AE127" s="1503">
        <f t="shared" si="28"/>
        <v>0</v>
      </c>
      <c r="AF127" s="1502">
        <f t="shared" si="29"/>
        <v>0</v>
      </c>
    </row>
    <row r="128" spans="1:32" s="1474" customFormat="1" ht="23.25" customHeight="1">
      <c r="A128" s="2175">
        <v>63</v>
      </c>
      <c r="B128" s="2175" t="s">
        <v>2418</v>
      </c>
      <c r="C128" s="2416" t="s">
        <v>2411</v>
      </c>
      <c r="D128" s="2416">
        <v>10</v>
      </c>
      <c r="E128" s="2175">
        <v>10000000</v>
      </c>
      <c r="F128" s="1512">
        <f t="shared" si="16"/>
        <v>1800000</v>
      </c>
      <c r="G128" s="2418">
        <v>41464</v>
      </c>
      <c r="H128" s="2419">
        <v>0.18</v>
      </c>
      <c r="I128" s="2164">
        <v>12</v>
      </c>
      <c r="J128" s="2164">
        <v>12</v>
      </c>
      <c r="K128" s="2164">
        <v>833300</v>
      </c>
      <c r="L128" s="2164">
        <f t="shared" si="32"/>
        <v>150000</v>
      </c>
      <c r="M128" s="1510">
        <f t="shared" si="17"/>
        <v>10000000</v>
      </c>
      <c r="N128" s="1510">
        <f>IF(J128&lt;I128,J128*L128,IF(J128&gt;=I128,F128))-450000</f>
        <v>1350000</v>
      </c>
      <c r="O128" s="2171">
        <v>10000000</v>
      </c>
      <c r="P128" s="2171">
        <v>1350000</v>
      </c>
      <c r="Q128" s="2171"/>
      <c r="R128" s="2649"/>
      <c r="S128" s="2649"/>
      <c r="T128" s="2173"/>
      <c r="U128" s="1495">
        <f t="shared" si="19"/>
        <v>10000000</v>
      </c>
      <c r="V128" s="1495">
        <f t="shared" si="20"/>
        <v>1350000</v>
      </c>
      <c r="W128" s="1495">
        <f t="shared" si="21"/>
        <v>0</v>
      </c>
      <c r="X128" s="1495">
        <f t="shared" si="22"/>
        <v>0</v>
      </c>
      <c r="Y128" s="1495">
        <f t="shared" si="23"/>
        <v>100</v>
      </c>
      <c r="Z128" s="1495">
        <f t="shared" si="24"/>
        <v>0</v>
      </c>
      <c r="AA128" s="1506">
        <f t="shared" si="25"/>
        <v>0</v>
      </c>
      <c r="AB128" s="1505"/>
      <c r="AC128" s="1504">
        <f t="shared" si="26"/>
        <v>0</v>
      </c>
      <c r="AD128" s="1503">
        <f t="shared" si="27"/>
        <v>0</v>
      </c>
      <c r="AE128" s="1503">
        <f t="shared" si="28"/>
        <v>0</v>
      </c>
      <c r="AF128" s="1502">
        <f t="shared" si="29"/>
        <v>0</v>
      </c>
    </row>
    <row r="129" spans="1:32" s="1474" customFormat="1" ht="23.25" customHeight="1">
      <c r="A129" s="2175">
        <v>64</v>
      </c>
      <c r="B129" s="2175" t="s">
        <v>2419</v>
      </c>
      <c r="C129" s="2416" t="s">
        <v>2411</v>
      </c>
      <c r="D129" s="2416">
        <v>10</v>
      </c>
      <c r="E129" s="2175">
        <v>10000000</v>
      </c>
      <c r="F129" s="1512">
        <f t="shared" si="16"/>
        <v>1800000</v>
      </c>
      <c r="G129" s="2418">
        <v>41464</v>
      </c>
      <c r="H129" s="2419">
        <v>0.18</v>
      </c>
      <c r="I129" s="2164">
        <v>12</v>
      </c>
      <c r="J129" s="2164">
        <v>12</v>
      </c>
      <c r="K129" s="2164">
        <v>833300</v>
      </c>
      <c r="L129" s="2164">
        <f t="shared" si="32"/>
        <v>150000</v>
      </c>
      <c r="M129" s="1510">
        <f t="shared" si="17"/>
        <v>10000000</v>
      </c>
      <c r="N129" s="1510">
        <f>IF(J129&lt;I129,J129*L129,IF(J129&gt;=I129,F129))-150000</f>
        <v>1650000</v>
      </c>
      <c r="O129" s="2171">
        <v>10000000</v>
      </c>
      <c r="P129" s="2171">
        <v>1650000</v>
      </c>
      <c r="Q129" s="2171"/>
      <c r="R129" s="2649"/>
      <c r="S129" s="2649"/>
      <c r="T129" s="2173"/>
      <c r="U129" s="1495">
        <f t="shared" si="19"/>
        <v>10000000</v>
      </c>
      <c r="V129" s="1495">
        <f t="shared" si="20"/>
        <v>1650000</v>
      </c>
      <c r="W129" s="1495">
        <f t="shared" si="21"/>
        <v>0</v>
      </c>
      <c r="X129" s="1495">
        <f t="shared" si="22"/>
        <v>0</v>
      </c>
      <c r="Y129" s="1495">
        <f t="shared" si="23"/>
        <v>100</v>
      </c>
      <c r="Z129" s="1495">
        <f t="shared" si="24"/>
        <v>0</v>
      </c>
      <c r="AA129" s="1506">
        <f t="shared" si="25"/>
        <v>0</v>
      </c>
      <c r="AB129" s="1505"/>
      <c r="AC129" s="1504">
        <f t="shared" si="26"/>
        <v>0</v>
      </c>
      <c r="AD129" s="1503">
        <f t="shared" si="27"/>
        <v>0</v>
      </c>
      <c r="AE129" s="1503">
        <f t="shared" si="28"/>
        <v>0</v>
      </c>
      <c r="AF129" s="1502">
        <f t="shared" si="29"/>
        <v>0</v>
      </c>
    </row>
    <row r="130" spans="1:32" s="1474" customFormat="1" ht="23.25" customHeight="1">
      <c r="A130" s="2175">
        <v>65</v>
      </c>
      <c r="B130" s="2175" t="s">
        <v>2282</v>
      </c>
      <c r="C130" s="2416" t="s">
        <v>2411</v>
      </c>
      <c r="D130" s="2416">
        <v>10</v>
      </c>
      <c r="E130" s="2175">
        <v>9000000</v>
      </c>
      <c r="F130" s="1512">
        <f t="shared" si="16"/>
        <v>1620000</v>
      </c>
      <c r="G130" s="2418">
        <v>41464</v>
      </c>
      <c r="H130" s="2419">
        <v>0.18</v>
      </c>
      <c r="I130" s="2164">
        <v>12</v>
      </c>
      <c r="J130" s="2164">
        <v>12</v>
      </c>
      <c r="K130" s="2164">
        <f>E130/I130</f>
        <v>750000</v>
      </c>
      <c r="L130" s="2164">
        <f t="shared" si="32"/>
        <v>135000</v>
      </c>
      <c r="M130" s="1510">
        <f t="shared" si="17"/>
        <v>9000000</v>
      </c>
      <c r="N130" s="1510">
        <f>IF(J130&lt;I130,J130*L130,IF(J130&gt;=I130,F130))-135000</f>
        <v>1485000</v>
      </c>
      <c r="O130" s="2171">
        <v>9000000</v>
      </c>
      <c r="P130" s="2171">
        <v>1485000</v>
      </c>
      <c r="Q130" s="2171"/>
      <c r="R130" s="2649"/>
      <c r="S130" s="2649"/>
      <c r="T130" s="2173"/>
      <c r="U130" s="1495">
        <f t="shared" si="19"/>
        <v>9000000</v>
      </c>
      <c r="V130" s="1495">
        <f t="shared" si="20"/>
        <v>1485000</v>
      </c>
      <c r="W130" s="1495">
        <f t="shared" si="21"/>
        <v>0</v>
      </c>
      <c r="X130" s="1495">
        <f t="shared" si="22"/>
        <v>0</v>
      </c>
      <c r="Y130" s="1495">
        <f t="shared" si="23"/>
        <v>100</v>
      </c>
      <c r="Z130" s="1495">
        <f t="shared" si="24"/>
        <v>0</v>
      </c>
      <c r="AA130" s="1506">
        <f t="shared" si="25"/>
        <v>0</v>
      </c>
      <c r="AB130" s="1505"/>
      <c r="AC130" s="1504">
        <f t="shared" si="26"/>
        <v>0</v>
      </c>
      <c r="AD130" s="1503">
        <f t="shared" si="27"/>
        <v>0</v>
      </c>
      <c r="AE130" s="1503">
        <f t="shared" si="28"/>
        <v>0</v>
      </c>
      <c r="AF130" s="1502">
        <f t="shared" si="29"/>
        <v>0</v>
      </c>
    </row>
    <row r="131" spans="1:32" s="1474" customFormat="1" ht="23.25" customHeight="1">
      <c r="A131" s="2175">
        <v>66</v>
      </c>
      <c r="B131" s="2175" t="s">
        <v>1944</v>
      </c>
      <c r="C131" s="2416" t="s">
        <v>2411</v>
      </c>
      <c r="D131" s="2416">
        <v>10</v>
      </c>
      <c r="E131" s="2175">
        <v>13000000</v>
      </c>
      <c r="F131" s="1512">
        <f t="shared" si="16"/>
        <v>2340000</v>
      </c>
      <c r="G131" s="2418">
        <v>41530</v>
      </c>
      <c r="H131" s="2419">
        <v>0.18</v>
      </c>
      <c r="I131" s="2164">
        <v>12</v>
      </c>
      <c r="J131" s="2164">
        <v>12</v>
      </c>
      <c r="K131" s="2164">
        <v>1083300</v>
      </c>
      <c r="L131" s="2164">
        <f t="shared" si="32"/>
        <v>195000</v>
      </c>
      <c r="M131" s="1510">
        <f t="shared" si="17"/>
        <v>13000000</v>
      </c>
      <c r="N131" s="1510">
        <f>IF(J131&lt;I131,J131*L131,IF(J131&gt;=I131,F131))-195000</f>
        <v>2145000</v>
      </c>
      <c r="O131" s="2171">
        <v>13000000</v>
      </c>
      <c r="P131" s="2171">
        <v>2145000</v>
      </c>
      <c r="Q131" s="2171"/>
      <c r="R131" s="2649"/>
      <c r="S131" s="2649"/>
      <c r="T131" s="2173"/>
      <c r="U131" s="1495">
        <f t="shared" si="19"/>
        <v>13000000</v>
      </c>
      <c r="V131" s="1495">
        <f t="shared" si="20"/>
        <v>2145000</v>
      </c>
      <c r="W131" s="1495">
        <f t="shared" si="21"/>
        <v>0</v>
      </c>
      <c r="X131" s="1495">
        <f t="shared" si="22"/>
        <v>0</v>
      </c>
      <c r="Y131" s="1495">
        <f t="shared" si="23"/>
        <v>100</v>
      </c>
      <c r="Z131" s="1495">
        <f t="shared" si="24"/>
        <v>0</v>
      </c>
      <c r="AA131" s="1506">
        <f t="shared" si="25"/>
        <v>0</v>
      </c>
      <c r="AB131" s="1505"/>
      <c r="AC131" s="1504">
        <f t="shared" si="26"/>
        <v>0</v>
      </c>
      <c r="AD131" s="1503">
        <f t="shared" si="27"/>
        <v>0</v>
      </c>
      <c r="AE131" s="1503">
        <f t="shared" si="28"/>
        <v>0</v>
      </c>
      <c r="AF131" s="1502">
        <f t="shared" si="29"/>
        <v>0</v>
      </c>
    </row>
    <row r="132" spans="1:32" s="1474" customFormat="1" ht="23.25" customHeight="1">
      <c r="A132" s="2175">
        <v>67</v>
      </c>
      <c r="B132" s="2175" t="s">
        <v>2458</v>
      </c>
      <c r="C132" s="2416" t="s">
        <v>2411</v>
      </c>
      <c r="D132" s="2416">
        <v>10</v>
      </c>
      <c r="E132" s="2175">
        <v>20000000</v>
      </c>
      <c r="F132" s="1512">
        <f t="shared" si="16"/>
        <v>3600000</v>
      </c>
      <c r="G132" s="2418">
        <v>41536</v>
      </c>
      <c r="H132" s="2419">
        <v>0.18</v>
      </c>
      <c r="I132" s="2164">
        <v>12</v>
      </c>
      <c r="J132" s="2164">
        <v>12</v>
      </c>
      <c r="K132" s="2164">
        <v>1666700</v>
      </c>
      <c r="L132" s="2164">
        <f t="shared" si="32"/>
        <v>300000</v>
      </c>
      <c r="M132" s="1510">
        <f t="shared" si="17"/>
        <v>20000000</v>
      </c>
      <c r="N132" s="1510">
        <f>IF(J132&lt;I132,J132*L132,IF(J132&gt;=I132,F132))-300000</f>
        <v>3300000</v>
      </c>
      <c r="O132" s="2171">
        <v>20000000</v>
      </c>
      <c r="P132" s="2171">
        <v>3300000</v>
      </c>
      <c r="Q132" s="2171"/>
      <c r="R132" s="2649"/>
      <c r="S132" s="2649"/>
      <c r="T132" s="2173"/>
      <c r="U132" s="1495">
        <f t="shared" si="19"/>
        <v>20000000</v>
      </c>
      <c r="V132" s="1495">
        <f t="shared" si="20"/>
        <v>3300000</v>
      </c>
      <c r="W132" s="1495">
        <f t="shared" si="21"/>
        <v>0</v>
      </c>
      <c r="X132" s="1495">
        <f t="shared" si="22"/>
        <v>0</v>
      </c>
      <c r="Y132" s="1495">
        <f t="shared" si="23"/>
        <v>100</v>
      </c>
      <c r="Z132" s="1495">
        <f t="shared" si="24"/>
        <v>0</v>
      </c>
      <c r="AA132" s="1506">
        <f t="shared" si="25"/>
        <v>0</v>
      </c>
      <c r="AB132" s="1505"/>
      <c r="AC132" s="1504">
        <f t="shared" si="26"/>
        <v>0</v>
      </c>
      <c r="AD132" s="1503">
        <f t="shared" si="27"/>
        <v>0</v>
      </c>
      <c r="AE132" s="1503">
        <f t="shared" si="28"/>
        <v>0</v>
      </c>
      <c r="AF132" s="1502">
        <f t="shared" si="29"/>
        <v>0</v>
      </c>
    </row>
    <row r="133" spans="1:32" s="1474" customFormat="1" ht="23.25" customHeight="1">
      <c r="A133" s="2175">
        <v>68</v>
      </c>
      <c r="B133" s="2175" t="s">
        <v>2478</v>
      </c>
      <c r="C133" s="2416" t="s">
        <v>2465</v>
      </c>
      <c r="D133" s="2416">
        <v>10</v>
      </c>
      <c r="E133" s="2175">
        <v>8000000</v>
      </c>
      <c r="F133" s="1512">
        <f t="shared" si="16"/>
        <v>1440000</v>
      </c>
      <c r="G133" s="2418">
        <v>41599</v>
      </c>
      <c r="H133" s="2419">
        <v>0.18</v>
      </c>
      <c r="I133" s="2164">
        <v>12</v>
      </c>
      <c r="J133" s="2164">
        <v>12</v>
      </c>
      <c r="K133" s="2164">
        <v>666700</v>
      </c>
      <c r="L133" s="2164">
        <f t="shared" si="32"/>
        <v>120000</v>
      </c>
      <c r="M133" s="1510">
        <f t="shared" si="17"/>
        <v>8000000</v>
      </c>
      <c r="N133" s="2401">
        <f>IF(J133&lt;I133,J133*L133,IF(J133&gt;=I133,F133))-240000</f>
        <v>1200000</v>
      </c>
      <c r="O133" s="2171">
        <v>8000000</v>
      </c>
      <c r="P133" s="2171">
        <v>1200000</v>
      </c>
      <c r="Q133" s="2171"/>
      <c r="R133" s="2649"/>
      <c r="S133" s="2649"/>
      <c r="T133" s="2173"/>
      <c r="U133" s="1495">
        <f t="shared" si="19"/>
        <v>8000000</v>
      </c>
      <c r="V133" s="1495">
        <f t="shared" si="20"/>
        <v>1200000</v>
      </c>
      <c r="W133" s="1495">
        <f t="shared" si="21"/>
        <v>0</v>
      </c>
      <c r="X133" s="1495">
        <f t="shared" si="22"/>
        <v>0</v>
      </c>
      <c r="Y133" s="1495">
        <f t="shared" si="23"/>
        <v>100</v>
      </c>
      <c r="Z133" s="1495">
        <f t="shared" si="24"/>
        <v>0</v>
      </c>
      <c r="AA133" s="1506">
        <f t="shared" si="25"/>
        <v>0</v>
      </c>
      <c r="AB133" s="1505"/>
      <c r="AC133" s="1504">
        <f t="shared" si="26"/>
        <v>0</v>
      </c>
      <c r="AD133" s="1503">
        <f t="shared" si="27"/>
        <v>0</v>
      </c>
      <c r="AE133" s="1503">
        <f t="shared" si="28"/>
        <v>0</v>
      </c>
      <c r="AF133" s="1502">
        <f t="shared" si="29"/>
        <v>0</v>
      </c>
    </row>
    <row r="134" spans="1:32" s="1474" customFormat="1" ht="23.25" customHeight="1">
      <c r="A134" s="2175">
        <v>69</v>
      </c>
      <c r="B134" s="2175" t="s">
        <v>2134</v>
      </c>
      <c r="C134" s="2416" t="s">
        <v>2465</v>
      </c>
      <c r="D134" s="2416">
        <v>10</v>
      </c>
      <c r="E134" s="2175">
        <v>32000000</v>
      </c>
      <c r="F134" s="1512">
        <f t="shared" si="16"/>
        <v>5760000</v>
      </c>
      <c r="G134" s="2418">
        <v>41621</v>
      </c>
      <c r="H134" s="2419">
        <v>0.18</v>
      </c>
      <c r="I134" s="2164">
        <v>12</v>
      </c>
      <c r="J134" s="2164">
        <v>12</v>
      </c>
      <c r="K134" s="2164">
        <v>2666700</v>
      </c>
      <c r="L134" s="2164">
        <f t="shared" si="32"/>
        <v>480000</v>
      </c>
      <c r="M134" s="1510">
        <f t="shared" si="17"/>
        <v>32000000</v>
      </c>
      <c r="N134" s="2401">
        <f>IF(J134&lt;I134,J134*L134,IF(J134&gt;=I134,F134))-480000</f>
        <v>5280000</v>
      </c>
      <c r="O134" s="2171">
        <v>32000000</v>
      </c>
      <c r="P134" s="2171">
        <v>5280000</v>
      </c>
      <c r="Q134" s="2171"/>
      <c r="R134" s="2649"/>
      <c r="S134" s="2649"/>
      <c r="T134" s="2173"/>
      <c r="U134" s="1495">
        <f t="shared" si="19"/>
        <v>32000000</v>
      </c>
      <c r="V134" s="1495">
        <f t="shared" si="20"/>
        <v>5280000</v>
      </c>
      <c r="W134" s="1495">
        <f t="shared" si="21"/>
        <v>0</v>
      </c>
      <c r="X134" s="1495">
        <f t="shared" si="22"/>
        <v>0</v>
      </c>
      <c r="Y134" s="1495">
        <f t="shared" si="23"/>
        <v>100</v>
      </c>
      <c r="Z134" s="1495">
        <f t="shared" si="24"/>
        <v>0</v>
      </c>
      <c r="AA134" s="1506">
        <f t="shared" si="25"/>
        <v>0</v>
      </c>
      <c r="AB134" s="1505"/>
      <c r="AC134" s="1504">
        <f t="shared" si="26"/>
        <v>0</v>
      </c>
      <c r="AD134" s="1503">
        <f t="shared" si="27"/>
        <v>0</v>
      </c>
      <c r="AE134" s="1503">
        <f t="shared" si="28"/>
        <v>0</v>
      </c>
      <c r="AF134" s="1502">
        <f t="shared" si="29"/>
        <v>0</v>
      </c>
    </row>
    <row r="135" spans="1:32" s="1474" customFormat="1" ht="23.25" customHeight="1">
      <c r="A135" s="2175">
        <v>70</v>
      </c>
      <c r="B135" s="2175" t="s">
        <v>2244</v>
      </c>
      <c r="C135" s="2416" t="s">
        <v>2465</v>
      </c>
      <c r="D135" s="2416">
        <v>10</v>
      </c>
      <c r="E135" s="2175">
        <v>20000000</v>
      </c>
      <c r="F135" s="1512">
        <f t="shared" si="16"/>
        <v>3600000</v>
      </c>
      <c r="G135" s="2418">
        <v>41621</v>
      </c>
      <c r="H135" s="2419">
        <v>0.18</v>
      </c>
      <c r="I135" s="2164">
        <v>12</v>
      </c>
      <c r="J135" s="2164">
        <v>12</v>
      </c>
      <c r="K135" s="2164">
        <v>1666700</v>
      </c>
      <c r="L135" s="2164">
        <f t="shared" si="32"/>
        <v>300000</v>
      </c>
      <c r="M135" s="1510">
        <f t="shared" si="17"/>
        <v>20000000</v>
      </c>
      <c r="N135" s="2401">
        <f>IF(J135&lt;I135,J135*L135,IF(J135&gt;=I135,F135))-300000</f>
        <v>3300000</v>
      </c>
      <c r="O135" s="2171">
        <v>20000000</v>
      </c>
      <c r="P135" s="2171">
        <v>3300000</v>
      </c>
      <c r="Q135" s="2171"/>
      <c r="R135" s="2649"/>
      <c r="S135" s="2649"/>
      <c r="T135" s="2173"/>
      <c r="U135" s="1495">
        <f t="shared" si="19"/>
        <v>20000000</v>
      </c>
      <c r="V135" s="1495">
        <f t="shared" si="20"/>
        <v>3300000</v>
      </c>
      <c r="W135" s="1495">
        <f t="shared" si="21"/>
        <v>0</v>
      </c>
      <c r="X135" s="1495">
        <f t="shared" si="22"/>
        <v>0</v>
      </c>
      <c r="Y135" s="1495">
        <f t="shared" si="23"/>
        <v>100</v>
      </c>
      <c r="Z135" s="1495">
        <f t="shared" si="24"/>
        <v>0</v>
      </c>
      <c r="AA135" s="1506">
        <f t="shared" si="25"/>
        <v>0</v>
      </c>
      <c r="AB135" s="1505"/>
      <c r="AC135" s="1504">
        <f t="shared" si="26"/>
        <v>0</v>
      </c>
      <c r="AD135" s="1503">
        <f t="shared" si="27"/>
        <v>0</v>
      </c>
      <c r="AE135" s="1503">
        <f t="shared" si="28"/>
        <v>0</v>
      </c>
      <c r="AF135" s="1502">
        <f t="shared" si="29"/>
        <v>0</v>
      </c>
    </row>
    <row r="136" spans="1:32" s="1474" customFormat="1" ht="23.25" customHeight="1">
      <c r="A136" s="2175">
        <v>71</v>
      </c>
      <c r="B136" s="2175" t="s">
        <v>2487</v>
      </c>
      <c r="C136" s="2416" t="s">
        <v>2465</v>
      </c>
      <c r="D136" s="2416">
        <v>10</v>
      </c>
      <c r="E136" s="2175">
        <v>40000000</v>
      </c>
      <c r="F136" s="1512">
        <f t="shared" si="16"/>
        <v>7200000</v>
      </c>
      <c r="G136" s="2418">
        <v>41620</v>
      </c>
      <c r="H136" s="2419">
        <v>0.18</v>
      </c>
      <c r="I136" s="2164">
        <v>12</v>
      </c>
      <c r="J136" s="2164">
        <v>12</v>
      </c>
      <c r="K136" s="2164">
        <v>3333300</v>
      </c>
      <c r="L136" s="2164">
        <f t="shared" si="32"/>
        <v>600000</v>
      </c>
      <c r="M136" s="1510">
        <f t="shared" si="17"/>
        <v>40000000</v>
      </c>
      <c r="N136" s="2401">
        <f>IF(J136&lt;I136,J136*L136,IF(J136&gt;=I136,F136))-600000</f>
        <v>6600000</v>
      </c>
      <c r="O136" s="2171">
        <v>40000000</v>
      </c>
      <c r="P136" s="2171">
        <v>6600000</v>
      </c>
      <c r="Q136" s="2171"/>
      <c r="R136" s="2649"/>
      <c r="S136" s="2649"/>
      <c r="T136" s="2173"/>
      <c r="U136" s="1495">
        <f t="shared" si="19"/>
        <v>40000000</v>
      </c>
      <c r="V136" s="1495">
        <f t="shared" si="20"/>
        <v>6600000</v>
      </c>
      <c r="W136" s="1495">
        <f t="shared" si="21"/>
        <v>0</v>
      </c>
      <c r="X136" s="1495">
        <f t="shared" si="22"/>
        <v>0</v>
      </c>
      <c r="Y136" s="1495">
        <f t="shared" si="23"/>
        <v>100</v>
      </c>
      <c r="Z136" s="1495">
        <f t="shared" si="24"/>
        <v>0</v>
      </c>
      <c r="AA136" s="1506">
        <f t="shared" si="25"/>
        <v>0</v>
      </c>
      <c r="AB136" s="1505"/>
      <c r="AC136" s="1504">
        <f t="shared" si="26"/>
        <v>0</v>
      </c>
      <c r="AD136" s="1503">
        <f t="shared" si="27"/>
        <v>0</v>
      </c>
      <c r="AE136" s="1503">
        <f t="shared" si="28"/>
        <v>0</v>
      </c>
      <c r="AF136" s="1502">
        <f t="shared" si="29"/>
        <v>0</v>
      </c>
    </row>
    <row r="137" spans="1:32" s="1474" customFormat="1" ht="23.25" customHeight="1">
      <c r="A137" s="2175">
        <v>72</v>
      </c>
      <c r="B137" s="2175" t="s">
        <v>2149</v>
      </c>
      <c r="C137" s="2416" t="s">
        <v>2465</v>
      </c>
      <c r="D137" s="2416">
        <v>10</v>
      </c>
      <c r="E137" s="2175">
        <v>24000000</v>
      </c>
      <c r="F137" s="1512">
        <f t="shared" si="16"/>
        <v>4320000</v>
      </c>
      <c r="G137" s="2418">
        <v>41647</v>
      </c>
      <c r="H137" s="2419">
        <v>0.18</v>
      </c>
      <c r="I137" s="2164">
        <v>12</v>
      </c>
      <c r="J137" s="2164">
        <v>12</v>
      </c>
      <c r="K137" s="2164">
        <f t="shared" ref="K137:K151" si="34">E137/I137</f>
        <v>2000000</v>
      </c>
      <c r="L137" s="2164">
        <f t="shared" si="32"/>
        <v>360000</v>
      </c>
      <c r="M137" s="1510">
        <f t="shared" si="17"/>
        <v>24000000</v>
      </c>
      <c r="N137" s="2401">
        <f>IF(J137&lt;I137,J137*L137,IF(J137&gt;=I137,F137))-720000</f>
        <v>3600000</v>
      </c>
      <c r="O137" s="2171">
        <v>24000000</v>
      </c>
      <c r="P137" s="2171">
        <v>3600000</v>
      </c>
      <c r="Q137" s="2171"/>
      <c r="R137" s="2649"/>
      <c r="S137" s="2649"/>
      <c r="T137" s="2173"/>
      <c r="U137" s="1495">
        <f t="shared" si="19"/>
        <v>24000000</v>
      </c>
      <c r="V137" s="1495">
        <f t="shared" si="20"/>
        <v>3600000</v>
      </c>
      <c r="W137" s="1495">
        <f t="shared" si="21"/>
        <v>0</v>
      </c>
      <c r="X137" s="1495">
        <f t="shared" si="22"/>
        <v>0</v>
      </c>
      <c r="Y137" s="1495">
        <f t="shared" si="23"/>
        <v>100</v>
      </c>
      <c r="Z137" s="1495">
        <f t="shared" si="24"/>
        <v>0</v>
      </c>
      <c r="AA137" s="1506">
        <f t="shared" si="25"/>
        <v>0</v>
      </c>
      <c r="AB137" s="1505"/>
      <c r="AC137" s="1504">
        <f t="shared" si="26"/>
        <v>0</v>
      </c>
      <c r="AD137" s="1503">
        <f t="shared" si="27"/>
        <v>0</v>
      </c>
      <c r="AE137" s="1503">
        <f t="shared" si="28"/>
        <v>0</v>
      </c>
      <c r="AF137" s="1502">
        <f t="shared" si="29"/>
        <v>0</v>
      </c>
    </row>
    <row r="138" spans="1:32" s="1474" customFormat="1" ht="23.25" customHeight="1">
      <c r="A138" s="2175">
        <v>73</v>
      </c>
      <c r="B138" s="2175" t="s">
        <v>2497</v>
      </c>
      <c r="C138" s="2416" t="s">
        <v>2496</v>
      </c>
      <c r="D138" s="2416">
        <v>10</v>
      </c>
      <c r="E138" s="2175">
        <v>12000000</v>
      </c>
      <c r="F138" s="1512">
        <f t="shared" si="16"/>
        <v>2160000</v>
      </c>
      <c r="G138" s="2418">
        <v>41648</v>
      </c>
      <c r="H138" s="2419">
        <v>0.18</v>
      </c>
      <c r="I138" s="2164">
        <v>12</v>
      </c>
      <c r="J138" s="2164">
        <v>12</v>
      </c>
      <c r="K138" s="2164">
        <f t="shared" si="34"/>
        <v>1000000</v>
      </c>
      <c r="L138" s="2164">
        <f t="shared" si="32"/>
        <v>180000</v>
      </c>
      <c r="M138" s="1510">
        <f t="shared" si="17"/>
        <v>12000000</v>
      </c>
      <c r="N138" s="1510">
        <f t="shared" si="18"/>
        <v>2160000</v>
      </c>
      <c r="O138" s="2171">
        <v>12000000</v>
      </c>
      <c r="P138" s="2171">
        <v>2160000</v>
      </c>
      <c r="Q138" s="2171"/>
      <c r="R138" s="2649"/>
      <c r="S138" s="2649"/>
      <c r="T138" s="2173"/>
      <c r="U138" s="1495">
        <f t="shared" si="19"/>
        <v>12000000</v>
      </c>
      <c r="V138" s="1495">
        <f t="shared" si="20"/>
        <v>2160000</v>
      </c>
      <c r="W138" s="1495">
        <f t="shared" si="21"/>
        <v>0</v>
      </c>
      <c r="X138" s="1495">
        <f t="shared" si="22"/>
        <v>0</v>
      </c>
      <c r="Y138" s="1495">
        <f t="shared" si="23"/>
        <v>100</v>
      </c>
      <c r="Z138" s="1495">
        <f t="shared" si="24"/>
        <v>0</v>
      </c>
      <c r="AA138" s="1506">
        <f t="shared" si="25"/>
        <v>0</v>
      </c>
      <c r="AB138" s="1505"/>
      <c r="AC138" s="1504">
        <f t="shared" si="26"/>
        <v>0</v>
      </c>
      <c r="AD138" s="1503">
        <f t="shared" si="27"/>
        <v>0</v>
      </c>
      <c r="AE138" s="1503">
        <f t="shared" si="28"/>
        <v>0</v>
      </c>
      <c r="AF138" s="1502">
        <f t="shared" si="29"/>
        <v>0</v>
      </c>
    </row>
    <row r="139" spans="1:32" s="1474" customFormat="1" ht="23.25" customHeight="1">
      <c r="A139" s="2175">
        <v>74</v>
      </c>
      <c r="B139" s="2175" t="s">
        <v>2133</v>
      </c>
      <c r="C139" s="2416" t="s">
        <v>2465</v>
      </c>
      <c r="D139" s="2416">
        <v>10</v>
      </c>
      <c r="E139" s="2175">
        <v>30000000</v>
      </c>
      <c r="F139" s="1512">
        <f t="shared" si="16"/>
        <v>5400000</v>
      </c>
      <c r="G139" s="2418">
        <v>41652</v>
      </c>
      <c r="H139" s="2419">
        <v>0.18</v>
      </c>
      <c r="I139" s="2164">
        <v>12</v>
      </c>
      <c r="J139" s="2164">
        <v>12</v>
      </c>
      <c r="K139" s="2164">
        <f t="shared" si="34"/>
        <v>2500000</v>
      </c>
      <c r="L139" s="2164">
        <f t="shared" si="32"/>
        <v>450000</v>
      </c>
      <c r="M139" s="1510">
        <f t="shared" si="17"/>
        <v>30000000</v>
      </c>
      <c r="N139" s="2401">
        <f>IF(J139&lt;I139,J139*L139,IF(J139&gt;=I139,F139))-450000</f>
        <v>4950000</v>
      </c>
      <c r="O139" s="2171">
        <v>30000000</v>
      </c>
      <c r="P139" s="2171">
        <v>4950000</v>
      </c>
      <c r="Q139" s="2171"/>
      <c r="R139" s="2649"/>
      <c r="S139" s="2649"/>
      <c r="T139" s="2173"/>
      <c r="U139" s="1495">
        <f t="shared" si="19"/>
        <v>30000000</v>
      </c>
      <c r="V139" s="1495">
        <f t="shared" si="20"/>
        <v>4950000</v>
      </c>
      <c r="W139" s="1495">
        <f t="shared" si="21"/>
        <v>0</v>
      </c>
      <c r="X139" s="1495">
        <f t="shared" si="22"/>
        <v>0</v>
      </c>
      <c r="Y139" s="1495">
        <f t="shared" si="23"/>
        <v>100</v>
      </c>
      <c r="Z139" s="1495">
        <f t="shared" si="24"/>
        <v>0</v>
      </c>
      <c r="AA139" s="1506">
        <f t="shared" si="25"/>
        <v>0</v>
      </c>
      <c r="AB139" s="1505"/>
      <c r="AC139" s="1504">
        <f t="shared" si="26"/>
        <v>0</v>
      </c>
      <c r="AD139" s="1503">
        <f t="shared" si="27"/>
        <v>0</v>
      </c>
      <c r="AE139" s="1503">
        <f t="shared" si="28"/>
        <v>0</v>
      </c>
      <c r="AF139" s="1502">
        <f t="shared" si="29"/>
        <v>0</v>
      </c>
    </row>
    <row r="140" spans="1:32" s="1474" customFormat="1" ht="23.25" customHeight="1">
      <c r="A140" s="2175">
        <v>75</v>
      </c>
      <c r="B140" s="2175" t="s">
        <v>2147</v>
      </c>
      <c r="C140" s="2416" t="s">
        <v>2496</v>
      </c>
      <c r="D140" s="2416">
        <v>10</v>
      </c>
      <c r="E140" s="2175">
        <v>25000000</v>
      </c>
      <c r="F140" s="1512">
        <f t="shared" si="16"/>
        <v>4500000</v>
      </c>
      <c r="G140" s="2418">
        <v>41676</v>
      </c>
      <c r="H140" s="2419">
        <v>0.18</v>
      </c>
      <c r="I140" s="2164">
        <v>12</v>
      </c>
      <c r="J140" s="2164">
        <v>12</v>
      </c>
      <c r="K140" s="2164">
        <v>2083300</v>
      </c>
      <c r="L140" s="2164">
        <f t="shared" si="32"/>
        <v>375000</v>
      </c>
      <c r="M140" s="1510">
        <f t="shared" si="17"/>
        <v>25000000</v>
      </c>
      <c r="N140" s="1510">
        <f t="shared" si="18"/>
        <v>4500000</v>
      </c>
      <c r="O140" s="2171">
        <v>22083100</v>
      </c>
      <c r="P140" s="2171">
        <v>4125000</v>
      </c>
      <c r="Q140" s="2171"/>
      <c r="R140" s="3023"/>
      <c r="S140" s="3023"/>
      <c r="T140" s="2173"/>
      <c r="U140" s="1495">
        <f t="shared" si="19"/>
        <v>22083100</v>
      </c>
      <c r="V140" s="1495">
        <f t="shared" si="20"/>
        <v>4125000</v>
      </c>
      <c r="W140" s="1495">
        <f t="shared" si="21"/>
        <v>0</v>
      </c>
      <c r="X140" s="1495">
        <f t="shared" si="22"/>
        <v>2916900</v>
      </c>
      <c r="Y140" s="1495">
        <f t="shared" si="23"/>
        <v>88.332400000000007</v>
      </c>
      <c r="Z140" s="1495">
        <f t="shared" si="24"/>
        <v>2916900</v>
      </c>
      <c r="AA140" s="1506">
        <f t="shared" si="25"/>
        <v>375000</v>
      </c>
      <c r="AB140" s="1505">
        <v>7</v>
      </c>
      <c r="AC140" s="1504">
        <f t="shared" si="26"/>
        <v>0</v>
      </c>
      <c r="AD140" s="1503">
        <f t="shared" si="27"/>
        <v>0</v>
      </c>
      <c r="AE140" s="1503">
        <f t="shared" si="28"/>
        <v>0</v>
      </c>
      <c r="AF140" s="1502">
        <f t="shared" si="29"/>
        <v>2916900</v>
      </c>
    </row>
    <row r="141" spans="1:32" s="1474" customFormat="1" ht="23.25" customHeight="1">
      <c r="A141" s="2175">
        <v>76</v>
      </c>
      <c r="B141" s="2175" t="s">
        <v>2148</v>
      </c>
      <c r="C141" s="2416" t="s">
        <v>2496</v>
      </c>
      <c r="D141" s="2416">
        <v>10</v>
      </c>
      <c r="E141" s="2175">
        <v>25000000</v>
      </c>
      <c r="F141" s="1512">
        <f t="shared" si="16"/>
        <v>4500000</v>
      </c>
      <c r="G141" s="2418">
        <v>41676</v>
      </c>
      <c r="H141" s="2419">
        <v>0.18</v>
      </c>
      <c r="I141" s="2164">
        <v>12</v>
      </c>
      <c r="J141" s="2164">
        <v>12</v>
      </c>
      <c r="K141" s="2164">
        <v>2083300</v>
      </c>
      <c r="L141" s="2164">
        <f t="shared" si="32"/>
        <v>375000</v>
      </c>
      <c r="M141" s="1510">
        <f t="shared" si="17"/>
        <v>25000000</v>
      </c>
      <c r="N141" s="1510">
        <f t="shared" si="18"/>
        <v>4500000</v>
      </c>
      <c r="O141" s="2171">
        <v>25000000</v>
      </c>
      <c r="P141" s="2171">
        <v>4500000</v>
      </c>
      <c r="Q141" s="2171"/>
      <c r="R141" s="2649"/>
      <c r="S141" s="2649"/>
      <c r="T141" s="2173"/>
      <c r="U141" s="1495">
        <f t="shared" si="19"/>
        <v>25000000</v>
      </c>
      <c r="V141" s="1495">
        <f t="shared" si="20"/>
        <v>4500000</v>
      </c>
      <c r="W141" s="1495">
        <f t="shared" si="21"/>
        <v>0</v>
      </c>
      <c r="X141" s="1495">
        <f t="shared" si="22"/>
        <v>0</v>
      </c>
      <c r="Y141" s="1495">
        <f t="shared" si="23"/>
        <v>100</v>
      </c>
      <c r="Z141" s="1495">
        <f t="shared" si="24"/>
        <v>0</v>
      </c>
      <c r="AA141" s="1506">
        <f t="shared" si="25"/>
        <v>0</v>
      </c>
      <c r="AB141" s="1505"/>
      <c r="AC141" s="1504">
        <f t="shared" si="26"/>
        <v>0</v>
      </c>
      <c r="AD141" s="1503">
        <f t="shared" si="27"/>
        <v>0</v>
      </c>
      <c r="AE141" s="1503">
        <f t="shared" si="28"/>
        <v>0</v>
      </c>
      <c r="AF141" s="1502">
        <f t="shared" si="29"/>
        <v>0</v>
      </c>
    </row>
    <row r="142" spans="1:32" s="1474" customFormat="1" ht="23.25" customHeight="1">
      <c r="A142" s="2175">
        <v>77</v>
      </c>
      <c r="B142" s="2175" t="s">
        <v>2140</v>
      </c>
      <c r="C142" s="2416" t="s">
        <v>2496</v>
      </c>
      <c r="D142" s="2416">
        <v>10</v>
      </c>
      <c r="E142" s="2175">
        <v>12000000</v>
      </c>
      <c r="F142" s="1512">
        <f t="shared" si="16"/>
        <v>2160000</v>
      </c>
      <c r="G142" s="2418">
        <v>41718</v>
      </c>
      <c r="H142" s="2419">
        <v>0.18</v>
      </c>
      <c r="I142" s="2164">
        <v>12</v>
      </c>
      <c r="J142" s="2164">
        <v>12</v>
      </c>
      <c r="K142" s="2164">
        <f t="shared" si="34"/>
        <v>1000000</v>
      </c>
      <c r="L142" s="2164">
        <f t="shared" si="32"/>
        <v>180000</v>
      </c>
      <c r="M142" s="1510">
        <f t="shared" si="17"/>
        <v>12000000</v>
      </c>
      <c r="N142" s="2401">
        <f>IF(J142&lt;I142,J142*L142,IF(J142&gt;=I142,F142))-180000</f>
        <v>1980000</v>
      </c>
      <c r="O142" s="2171">
        <v>12000000</v>
      </c>
      <c r="P142" s="2171">
        <v>1980000</v>
      </c>
      <c r="Q142" s="2171"/>
      <c r="R142" s="2649"/>
      <c r="S142" s="2649"/>
      <c r="T142" s="2173"/>
      <c r="U142" s="1495">
        <f t="shared" si="19"/>
        <v>12000000</v>
      </c>
      <c r="V142" s="1495">
        <f t="shared" si="20"/>
        <v>1980000</v>
      </c>
      <c r="W142" s="1495">
        <f t="shared" si="21"/>
        <v>0</v>
      </c>
      <c r="X142" s="1495">
        <f t="shared" si="22"/>
        <v>0</v>
      </c>
      <c r="Y142" s="1495">
        <f t="shared" si="23"/>
        <v>100</v>
      </c>
      <c r="Z142" s="1495">
        <f t="shared" si="24"/>
        <v>0</v>
      </c>
      <c r="AA142" s="1506">
        <f t="shared" si="25"/>
        <v>0</v>
      </c>
      <c r="AB142" s="1505"/>
      <c r="AC142" s="1504">
        <f t="shared" si="26"/>
        <v>0</v>
      </c>
      <c r="AD142" s="1503">
        <f t="shared" si="27"/>
        <v>0</v>
      </c>
      <c r="AE142" s="1503">
        <f t="shared" si="28"/>
        <v>0</v>
      </c>
      <c r="AF142" s="1502">
        <f t="shared" si="29"/>
        <v>0</v>
      </c>
    </row>
    <row r="143" spans="1:32" s="1474" customFormat="1" ht="23.25" customHeight="1">
      <c r="A143" s="2175">
        <v>78</v>
      </c>
      <c r="B143" s="2175" t="s">
        <v>2279</v>
      </c>
      <c r="C143" s="2416" t="s">
        <v>2537</v>
      </c>
      <c r="D143" s="2416">
        <v>10</v>
      </c>
      <c r="E143" s="2175">
        <v>32000000</v>
      </c>
      <c r="F143" s="1512">
        <f t="shared" si="16"/>
        <v>5760000</v>
      </c>
      <c r="G143" s="2418">
        <v>41737</v>
      </c>
      <c r="H143" s="2419">
        <v>0.18</v>
      </c>
      <c r="I143" s="2164">
        <v>12</v>
      </c>
      <c r="J143" s="2164">
        <v>12</v>
      </c>
      <c r="K143" s="2164">
        <v>2666700</v>
      </c>
      <c r="L143" s="2164">
        <f t="shared" si="32"/>
        <v>480000</v>
      </c>
      <c r="M143" s="1510">
        <f t="shared" si="17"/>
        <v>32000000</v>
      </c>
      <c r="N143" s="1510">
        <f t="shared" si="18"/>
        <v>5760000</v>
      </c>
      <c r="O143" s="2171">
        <v>32000000</v>
      </c>
      <c r="P143" s="2171">
        <v>5760000</v>
      </c>
      <c r="Q143" s="2171"/>
      <c r="R143" s="2649"/>
      <c r="S143" s="2649"/>
      <c r="T143" s="2173"/>
      <c r="U143" s="1495">
        <f t="shared" si="19"/>
        <v>32000000</v>
      </c>
      <c r="V143" s="1495">
        <f t="shared" si="20"/>
        <v>5760000</v>
      </c>
      <c r="W143" s="1495">
        <f t="shared" si="21"/>
        <v>0</v>
      </c>
      <c r="X143" s="1495">
        <f t="shared" si="22"/>
        <v>0</v>
      </c>
      <c r="Y143" s="1495">
        <f t="shared" si="23"/>
        <v>100</v>
      </c>
      <c r="Z143" s="1495">
        <f t="shared" si="24"/>
        <v>0</v>
      </c>
      <c r="AA143" s="1506">
        <f t="shared" si="25"/>
        <v>0</v>
      </c>
      <c r="AB143" s="1505"/>
      <c r="AC143" s="1504">
        <f t="shared" si="26"/>
        <v>0</v>
      </c>
      <c r="AD143" s="1503">
        <f t="shared" si="27"/>
        <v>0</v>
      </c>
      <c r="AE143" s="1503">
        <f t="shared" si="28"/>
        <v>0</v>
      </c>
      <c r="AF143" s="1502">
        <f t="shared" si="29"/>
        <v>0</v>
      </c>
    </row>
    <row r="144" spans="1:32" s="1474" customFormat="1" ht="23.25" customHeight="1">
      <c r="A144" s="2175">
        <v>79</v>
      </c>
      <c r="B144" s="2175" t="s">
        <v>2278</v>
      </c>
      <c r="C144" s="2416" t="s">
        <v>2537</v>
      </c>
      <c r="D144" s="2416">
        <v>10</v>
      </c>
      <c r="E144" s="2175">
        <v>22500000</v>
      </c>
      <c r="F144" s="1512">
        <f t="shared" si="16"/>
        <v>4050000</v>
      </c>
      <c r="G144" s="2418">
        <v>41737</v>
      </c>
      <c r="H144" s="2419">
        <v>0.18</v>
      </c>
      <c r="I144" s="2164">
        <v>12</v>
      </c>
      <c r="J144" s="2164">
        <v>12</v>
      </c>
      <c r="K144" s="2164">
        <f t="shared" si="34"/>
        <v>1875000</v>
      </c>
      <c r="L144" s="2164">
        <f t="shared" si="32"/>
        <v>337500</v>
      </c>
      <c r="M144" s="1510">
        <f t="shared" si="17"/>
        <v>22500000</v>
      </c>
      <c r="N144" s="2401">
        <f>IF(J144&lt;I144,J144*L144,IF(J144&gt;=I144,F144))-337500</f>
        <v>3712500</v>
      </c>
      <c r="O144" s="2171">
        <v>22500000</v>
      </c>
      <c r="P144" s="2171">
        <v>3712500</v>
      </c>
      <c r="Q144" s="2171"/>
      <c r="R144" s="2649"/>
      <c r="S144" s="2649"/>
      <c r="T144" s="2173"/>
      <c r="U144" s="1495">
        <f t="shared" si="19"/>
        <v>22500000</v>
      </c>
      <c r="V144" s="1495">
        <f t="shared" si="20"/>
        <v>3712500</v>
      </c>
      <c r="W144" s="1495">
        <f t="shared" si="21"/>
        <v>0</v>
      </c>
      <c r="X144" s="1495">
        <f t="shared" si="22"/>
        <v>0</v>
      </c>
      <c r="Y144" s="1495">
        <f t="shared" si="23"/>
        <v>100</v>
      </c>
      <c r="Z144" s="1495">
        <f t="shared" si="24"/>
        <v>0</v>
      </c>
      <c r="AA144" s="1506">
        <f t="shared" si="25"/>
        <v>0</v>
      </c>
      <c r="AB144" s="1505"/>
      <c r="AC144" s="1504">
        <f t="shared" si="26"/>
        <v>0</v>
      </c>
      <c r="AD144" s="1503">
        <f t="shared" si="27"/>
        <v>0</v>
      </c>
      <c r="AE144" s="1503">
        <f t="shared" si="28"/>
        <v>0</v>
      </c>
      <c r="AF144" s="1502">
        <f t="shared" si="29"/>
        <v>0</v>
      </c>
    </row>
    <row r="145" spans="1:32" s="1474" customFormat="1" ht="23.25" customHeight="1">
      <c r="A145" s="2175">
        <v>80</v>
      </c>
      <c r="B145" s="2175" t="s">
        <v>2418</v>
      </c>
      <c r="C145" s="2416" t="s">
        <v>2537</v>
      </c>
      <c r="D145" s="2416">
        <v>10</v>
      </c>
      <c r="E145" s="2175">
        <v>15000000</v>
      </c>
      <c r="F145" s="1512">
        <f t="shared" si="16"/>
        <v>2700000</v>
      </c>
      <c r="G145" s="2418">
        <v>41745</v>
      </c>
      <c r="H145" s="2419">
        <v>0.18</v>
      </c>
      <c r="I145" s="2164">
        <v>12</v>
      </c>
      <c r="J145" s="2164">
        <v>12</v>
      </c>
      <c r="K145" s="2164">
        <f t="shared" si="34"/>
        <v>1250000</v>
      </c>
      <c r="L145" s="2164">
        <f t="shared" si="32"/>
        <v>225000</v>
      </c>
      <c r="M145" s="1510">
        <f t="shared" si="17"/>
        <v>15000000</v>
      </c>
      <c r="N145" s="2401">
        <f>IF(J145&lt;I145,J145*L145,IF(J145&gt;=I145,F145))-225000</f>
        <v>2475000</v>
      </c>
      <c r="O145" s="2171">
        <v>15000000</v>
      </c>
      <c r="P145" s="2171">
        <v>2475000</v>
      </c>
      <c r="Q145" s="2171"/>
      <c r="R145" s="2649"/>
      <c r="S145" s="2649"/>
      <c r="T145" s="2173"/>
      <c r="U145" s="1495">
        <f t="shared" si="19"/>
        <v>15000000</v>
      </c>
      <c r="V145" s="1495">
        <f t="shared" si="20"/>
        <v>2475000</v>
      </c>
      <c r="W145" s="1495">
        <f t="shared" si="21"/>
        <v>0</v>
      </c>
      <c r="X145" s="1495">
        <f t="shared" si="22"/>
        <v>0</v>
      </c>
      <c r="Y145" s="1495">
        <f t="shared" si="23"/>
        <v>100</v>
      </c>
      <c r="Z145" s="1495">
        <f t="shared" si="24"/>
        <v>0</v>
      </c>
      <c r="AA145" s="1506">
        <f t="shared" si="25"/>
        <v>0</v>
      </c>
      <c r="AB145" s="1505"/>
      <c r="AC145" s="1504">
        <f t="shared" si="26"/>
        <v>0</v>
      </c>
      <c r="AD145" s="1503">
        <f t="shared" si="27"/>
        <v>0</v>
      </c>
      <c r="AE145" s="1503">
        <f t="shared" si="28"/>
        <v>0</v>
      </c>
      <c r="AF145" s="1502">
        <f t="shared" si="29"/>
        <v>0</v>
      </c>
    </row>
    <row r="146" spans="1:32" s="1474" customFormat="1" ht="23.25" customHeight="1">
      <c r="A146" s="2175">
        <v>81</v>
      </c>
      <c r="B146" s="2175" t="s">
        <v>2128</v>
      </c>
      <c r="C146" s="2416" t="s">
        <v>2537</v>
      </c>
      <c r="D146" s="2416">
        <v>10</v>
      </c>
      <c r="E146" s="2175">
        <v>33000000</v>
      </c>
      <c r="F146" s="1512">
        <f t="shared" si="16"/>
        <v>5940000</v>
      </c>
      <c r="G146" s="2418">
        <v>41772</v>
      </c>
      <c r="H146" s="2419">
        <v>0.18</v>
      </c>
      <c r="I146" s="2164">
        <v>12</v>
      </c>
      <c r="J146" s="2164">
        <v>12</v>
      </c>
      <c r="K146" s="2164">
        <f t="shared" si="34"/>
        <v>2750000</v>
      </c>
      <c r="L146" s="2164">
        <f t="shared" si="32"/>
        <v>495000</v>
      </c>
      <c r="M146" s="1510">
        <f t="shared" si="17"/>
        <v>33000000</v>
      </c>
      <c r="N146" s="1510">
        <f t="shared" si="18"/>
        <v>5940000</v>
      </c>
      <c r="O146" s="2171">
        <v>33000000</v>
      </c>
      <c r="P146" s="2171">
        <v>5940000</v>
      </c>
      <c r="Q146" s="2171"/>
      <c r="R146" s="2171"/>
      <c r="S146" s="2171"/>
      <c r="T146" s="2173"/>
      <c r="U146" s="1495">
        <f t="shared" si="19"/>
        <v>33000000</v>
      </c>
      <c r="V146" s="1495">
        <f t="shared" si="20"/>
        <v>5940000</v>
      </c>
      <c r="W146" s="1495">
        <f t="shared" si="21"/>
        <v>0</v>
      </c>
      <c r="X146" s="1495">
        <f t="shared" si="22"/>
        <v>0</v>
      </c>
      <c r="Y146" s="1495">
        <f t="shared" si="23"/>
        <v>100</v>
      </c>
      <c r="Z146" s="1495">
        <f t="shared" si="24"/>
        <v>0</v>
      </c>
      <c r="AA146" s="1506">
        <f t="shared" si="25"/>
        <v>0</v>
      </c>
      <c r="AB146" s="1505"/>
      <c r="AC146" s="1504">
        <f t="shared" si="26"/>
        <v>0</v>
      </c>
      <c r="AD146" s="1503">
        <f t="shared" si="27"/>
        <v>0</v>
      </c>
      <c r="AE146" s="1503">
        <f t="shared" si="28"/>
        <v>0</v>
      </c>
      <c r="AF146" s="1502">
        <f t="shared" si="29"/>
        <v>0</v>
      </c>
    </row>
    <row r="147" spans="1:32" s="1474" customFormat="1" ht="23.25" customHeight="1">
      <c r="A147" s="2175">
        <v>82</v>
      </c>
      <c r="B147" s="2175" t="s">
        <v>2145</v>
      </c>
      <c r="C147" s="2416" t="s">
        <v>2537</v>
      </c>
      <c r="D147" s="2416">
        <v>10</v>
      </c>
      <c r="E147" s="2175">
        <v>30000000</v>
      </c>
      <c r="F147" s="1512">
        <f t="shared" si="16"/>
        <v>5400000</v>
      </c>
      <c r="G147" s="2418">
        <v>41772</v>
      </c>
      <c r="H147" s="2419">
        <v>0.18</v>
      </c>
      <c r="I147" s="2164">
        <v>12</v>
      </c>
      <c r="J147" s="2164">
        <v>12</v>
      </c>
      <c r="K147" s="2164">
        <f t="shared" si="34"/>
        <v>2500000</v>
      </c>
      <c r="L147" s="2164">
        <f t="shared" si="32"/>
        <v>450000</v>
      </c>
      <c r="M147" s="1510">
        <f t="shared" si="17"/>
        <v>30000000</v>
      </c>
      <c r="N147" s="1510">
        <f t="shared" si="18"/>
        <v>5400000</v>
      </c>
      <c r="O147" s="2171">
        <v>30000000</v>
      </c>
      <c r="P147" s="2171">
        <v>5400000</v>
      </c>
      <c r="Q147" s="2171"/>
      <c r="R147" s="2171"/>
      <c r="S147" s="2171"/>
      <c r="T147" s="2173"/>
      <c r="U147" s="1495">
        <f t="shared" si="19"/>
        <v>30000000</v>
      </c>
      <c r="V147" s="1495">
        <f t="shared" si="20"/>
        <v>5400000</v>
      </c>
      <c r="W147" s="1495">
        <f t="shared" si="21"/>
        <v>0</v>
      </c>
      <c r="X147" s="1495">
        <f t="shared" si="22"/>
        <v>0</v>
      </c>
      <c r="Y147" s="1495">
        <f t="shared" si="23"/>
        <v>100</v>
      </c>
      <c r="Z147" s="1495">
        <f t="shared" si="24"/>
        <v>0</v>
      </c>
      <c r="AA147" s="1506">
        <f t="shared" si="25"/>
        <v>0</v>
      </c>
      <c r="AB147" s="1505"/>
      <c r="AC147" s="1504">
        <f t="shared" si="26"/>
        <v>0</v>
      </c>
      <c r="AD147" s="1503">
        <f t="shared" si="27"/>
        <v>0</v>
      </c>
      <c r="AE147" s="1503">
        <f t="shared" si="28"/>
        <v>0</v>
      </c>
      <c r="AF147" s="1502">
        <f t="shared" si="29"/>
        <v>0</v>
      </c>
    </row>
    <row r="148" spans="1:32" s="1474" customFormat="1" ht="23.25" customHeight="1">
      <c r="A148" s="2175">
        <v>83</v>
      </c>
      <c r="B148" s="2175" t="s">
        <v>2129</v>
      </c>
      <c r="C148" s="2416" t="s">
        <v>2537</v>
      </c>
      <c r="D148" s="2416">
        <v>10</v>
      </c>
      <c r="E148" s="2175">
        <v>35000000</v>
      </c>
      <c r="F148" s="1512">
        <f t="shared" si="16"/>
        <v>6300000</v>
      </c>
      <c r="G148" s="2418">
        <v>41775</v>
      </c>
      <c r="H148" s="2419">
        <v>0.18</v>
      </c>
      <c r="I148" s="2164">
        <v>12</v>
      </c>
      <c r="J148" s="2164">
        <v>12</v>
      </c>
      <c r="K148" s="2164">
        <v>2916700</v>
      </c>
      <c r="L148" s="2164">
        <f t="shared" si="32"/>
        <v>525000</v>
      </c>
      <c r="M148" s="1510">
        <f t="shared" si="17"/>
        <v>35000000</v>
      </c>
      <c r="N148" s="1510">
        <f t="shared" si="18"/>
        <v>6300000</v>
      </c>
      <c r="O148" s="2171">
        <v>35000000</v>
      </c>
      <c r="P148" s="2171">
        <v>6300000</v>
      </c>
      <c r="Q148" s="2171"/>
      <c r="R148" s="2171"/>
      <c r="S148" s="2171"/>
      <c r="T148" s="2173"/>
      <c r="U148" s="1495">
        <f t="shared" si="19"/>
        <v>35000000</v>
      </c>
      <c r="V148" s="1495">
        <f t="shared" si="20"/>
        <v>6300000</v>
      </c>
      <c r="W148" s="1495">
        <f t="shared" si="21"/>
        <v>0</v>
      </c>
      <c r="X148" s="1495">
        <f t="shared" si="22"/>
        <v>0</v>
      </c>
      <c r="Y148" s="1495">
        <f t="shared" si="23"/>
        <v>100</v>
      </c>
      <c r="Z148" s="1495">
        <f t="shared" si="24"/>
        <v>0</v>
      </c>
      <c r="AA148" s="1506">
        <f t="shared" si="25"/>
        <v>0</v>
      </c>
      <c r="AB148" s="1505"/>
      <c r="AC148" s="1504">
        <f t="shared" si="26"/>
        <v>0</v>
      </c>
      <c r="AD148" s="1503">
        <f t="shared" si="27"/>
        <v>0</v>
      </c>
      <c r="AE148" s="1503">
        <f t="shared" si="28"/>
        <v>0</v>
      </c>
      <c r="AF148" s="1502">
        <f t="shared" si="29"/>
        <v>0</v>
      </c>
    </row>
    <row r="149" spans="1:32" s="1474" customFormat="1" ht="23.25" customHeight="1">
      <c r="A149" s="2175">
        <v>84</v>
      </c>
      <c r="B149" s="2175" t="s">
        <v>2146</v>
      </c>
      <c r="C149" s="2416" t="s">
        <v>2537</v>
      </c>
      <c r="D149" s="2416">
        <v>10</v>
      </c>
      <c r="E149" s="2175">
        <v>35000000</v>
      </c>
      <c r="F149" s="1512">
        <f t="shared" si="16"/>
        <v>6300000</v>
      </c>
      <c r="G149" s="2418">
        <v>41775</v>
      </c>
      <c r="H149" s="2419">
        <v>0.18</v>
      </c>
      <c r="I149" s="2164">
        <v>12</v>
      </c>
      <c r="J149" s="2164">
        <v>12</v>
      </c>
      <c r="K149" s="2164">
        <v>2916700</v>
      </c>
      <c r="L149" s="2164">
        <f t="shared" si="32"/>
        <v>525000</v>
      </c>
      <c r="M149" s="1510">
        <f t="shared" si="17"/>
        <v>35000000</v>
      </c>
      <c r="N149" s="1510">
        <f t="shared" si="18"/>
        <v>6300000</v>
      </c>
      <c r="O149" s="2171">
        <v>11666800</v>
      </c>
      <c r="P149" s="2171">
        <v>2100000</v>
      </c>
      <c r="Q149" s="2171"/>
      <c r="R149" s="2171"/>
      <c r="S149" s="2171"/>
      <c r="T149" s="2173"/>
      <c r="U149" s="1495">
        <f t="shared" si="19"/>
        <v>11666800</v>
      </c>
      <c r="V149" s="1495">
        <f t="shared" si="20"/>
        <v>2100000</v>
      </c>
      <c r="W149" s="1495">
        <f t="shared" si="21"/>
        <v>0</v>
      </c>
      <c r="X149" s="1495">
        <f t="shared" si="22"/>
        <v>23333200</v>
      </c>
      <c r="Y149" s="1495">
        <f t="shared" si="23"/>
        <v>33.333714285714287</v>
      </c>
      <c r="Z149" s="1495">
        <f t="shared" si="24"/>
        <v>23333200</v>
      </c>
      <c r="AA149" s="1506">
        <f t="shared" si="25"/>
        <v>4200000</v>
      </c>
      <c r="AB149" s="1505">
        <v>7</v>
      </c>
      <c r="AC149" s="1504">
        <f t="shared" si="26"/>
        <v>0</v>
      </c>
      <c r="AD149" s="1503">
        <f t="shared" si="27"/>
        <v>0</v>
      </c>
      <c r="AE149" s="1503">
        <f t="shared" si="28"/>
        <v>0</v>
      </c>
      <c r="AF149" s="1502">
        <f t="shared" si="29"/>
        <v>23333200</v>
      </c>
    </row>
    <row r="150" spans="1:32" s="1474" customFormat="1" ht="23.25" customHeight="1">
      <c r="A150" s="2175">
        <v>85</v>
      </c>
      <c r="B150" s="2175" t="s">
        <v>2144</v>
      </c>
      <c r="C150" s="2416" t="s">
        <v>2537</v>
      </c>
      <c r="D150" s="2416">
        <v>10</v>
      </c>
      <c r="E150" s="2175">
        <v>34000000</v>
      </c>
      <c r="F150" s="1512">
        <f t="shared" si="16"/>
        <v>6120000</v>
      </c>
      <c r="G150" s="2418">
        <v>41780</v>
      </c>
      <c r="H150" s="2419">
        <v>0.18</v>
      </c>
      <c r="I150" s="2164">
        <v>12</v>
      </c>
      <c r="J150" s="2164">
        <v>12</v>
      </c>
      <c r="K150" s="2164">
        <v>2833300</v>
      </c>
      <c r="L150" s="2164">
        <f t="shared" si="32"/>
        <v>510000</v>
      </c>
      <c r="M150" s="1510">
        <f t="shared" si="17"/>
        <v>34000000</v>
      </c>
      <c r="N150" s="2401">
        <f>IF(J150&lt;I150,J150*L150,IF(J150&gt;=I150,F150))-510000</f>
        <v>5610000</v>
      </c>
      <c r="O150" s="2171">
        <v>34000000</v>
      </c>
      <c r="P150" s="2171">
        <v>5610000</v>
      </c>
      <c r="Q150" s="2171"/>
      <c r="R150" s="2171"/>
      <c r="S150" s="2171"/>
      <c r="T150" s="2173"/>
      <c r="U150" s="1495">
        <f t="shared" si="19"/>
        <v>34000000</v>
      </c>
      <c r="V150" s="1495">
        <f t="shared" si="20"/>
        <v>5610000</v>
      </c>
      <c r="W150" s="1495">
        <f t="shared" si="21"/>
        <v>0</v>
      </c>
      <c r="X150" s="1495">
        <f t="shared" si="22"/>
        <v>0</v>
      </c>
      <c r="Y150" s="1495">
        <f t="shared" si="23"/>
        <v>100</v>
      </c>
      <c r="Z150" s="1495">
        <f t="shared" si="24"/>
        <v>0</v>
      </c>
      <c r="AA150" s="1506">
        <f t="shared" si="25"/>
        <v>0</v>
      </c>
      <c r="AB150" s="1505"/>
      <c r="AC150" s="1504">
        <f t="shared" si="26"/>
        <v>0</v>
      </c>
      <c r="AD150" s="1503">
        <f t="shared" si="27"/>
        <v>0</v>
      </c>
      <c r="AE150" s="1503">
        <f t="shared" si="28"/>
        <v>0</v>
      </c>
      <c r="AF150" s="1502">
        <f t="shared" si="29"/>
        <v>0</v>
      </c>
    </row>
    <row r="151" spans="1:32" s="1474" customFormat="1" ht="23.25" customHeight="1">
      <c r="A151" s="2175">
        <v>86</v>
      </c>
      <c r="B151" s="2175" t="s">
        <v>2282</v>
      </c>
      <c r="C151" s="2416" t="s">
        <v>2537</v>
      </c>
      <c r="D151" s="2416">
        <v>10</v>
      </c>
      <c r="E151" s="2175">
        <v>12000000</v>
      </c>
      <c r="F151" s="1512">
        <f t="shared" si="16"/>
        <v>2160000</v>
      </c>
      <c r="G151" s="2418">
        <v>41799</v>
      </c>
      <c r="H151" s="2419">
        <v>0.18</v>
      </c>
      <c r="I151" s="2164">
        <v>12</v>
      </c>
      <c r="J151" s="2164">
        <v>12</v>
      </c>
      <c r="K151" s="2164">
        <f t="shared" si="34"/>
        <v>1000000</v>
      </c>
      <c r="L151" s="2164">
        <f t="shared" si="32"/>
        <v>180000</v>
      </c>
      <c r="M151" s="1510">
        <f t="shared" si="17"/>
        <v>12000000</v>
      </c>
      <c r="N151" s="2401">
        <f>IF(J151&lt;I151,J151*L151,IF(J151&gt;=I151,F151))-180000</f>
        <v>1980000</v>
      </c>
      <c r="O151" s="2171">
        <v>12000000</v>
      </c>
      <c r="P151" s="2171">
        <v>1980000</v>
      </c>
      <c r="Q151" s="2171"/>
      <c r="R151" s="2171"/>
      <c r="S151" s="2171"/>
      <c r="T151" s="2173"/>
      <c r="U151" s="1495">
        <f t="shared" si="19"/>
        <v>12000000</v>
      </c>
      <c r="V151" s="1495">
        <f t="shared" si="20"/>
        <v>1980000</v>
      </c>
      <c r="W151" s="1495">
        <f t="shared" si="21"/>
        <v>0</v>
      </c>
      <c r="X151" s="1495">
        <f t="shared" si="22"/>
        <v>0</v>
      </c>
      <c r="Y151" s="1495">
        <f t="shared" si="23"/>
        <v>100</v>
      </c>
      <c r="Z151" s="1495">
        <f t="shared" si="24"/>
        <v>0</v>
      </c>
      <c r="AA151" s="1506">
        <f t="shared" si="25"/>
        <v>0</v>
      </c>
      <c r="AB151" s="1505"/>
      <c r="AC151" s="1504">
        <f t="shared" si="26"/>
        <v>0</v>
      </c>
      <c r="AD151" s="1503">
        <f t="shared" si="27"/>
        <v>0</v>
      </c>
      <c r="AE151" s="1503">
        <f t="shared" si="28"/>
        <v>0</v>
      </c>
      <c r="AF151" s="1502">
        <f t="shared" si="29"/>
        <v>0</v>
      </c>
    </row>
    <row r="152" spans="1:32" s="3182" customFormat="1" ht="23.25" customHeight="1">
      <c r="A152" s="2175">
        <v>87</v>
      </c>
      <c r="B152" s="2175" t="s">
        <v>2419</v>
      </c>
      <c r="C152" s="2416" t="s">
        <v>2537</v>
      </c>
      <c r="D152" s="2416">
        <v>10</v>
      </c>
      <c r="E152" s="2175">
        <v>16000000</v>
      </c>
      <c r="F152" s="1513">
        <f t="shared" si="16"/>
        <v>2880000</v>
      </c>
      <c r="G152" s="3208">
        <v>41799</v>
      </c>
      <c r="H152" s="3177">
        <v>0.18</v>
      </c>
      <c r="I152" s="2171">
        <v>12</v>
      </c>
      <c r="J152" s="2171">
        <v>12</v>
      </c>
      <c r="K152" s="2171">
        <v>1333300</v>
      </c>
      <c r="L152" s="2171">
        <f t="shared" si="32"/>
        <v>240000</v>
      </c>
      <c r="M152" s="1509">
        <f t="shared" si="17"/>
        <v>16000000</v>
      </c>
      <c r="N152" s="3090">
        <f>IF(J152&lt;I152,J152*L152,IF(J152&gt;=I152,F152))-240000</f>
        <v>2640000</v>
      </c>
      <c r="O152" s="2171">
        <v>16000000</v>
      </c>
      <c r="P152" s="2171">
        <v>2640000</v>
      </c>
      <c r="Q152" s="2171"/>
      <c r="R152" s="2171"/>
      <c r="S152" s="2171"/>
      <c r="T152" s="2175"/>
      <c r="U152" s="2176">
        <f t="shared" si="19"/>
        <v>16000000</v>
      </c>
      <c r="V152" s="2176">
        <f t="shared" si="20"/>
        <v>2640000</v>
      </c>
      <c r="W152" s="2176">
        <f t="shared" si="21"/>
        <v>0</v>
      </c>
      <c r="X152" s="2176">
        <f t="shared" si="22"/>
        <v>0</v>
      </c>
      <c r="Y152" s="2176">
        <f t="shared" si="23"/>
        <v>100</v>
      </c>
      <c r="Z152" s="2176">
        <f t="shared" si="24"/>
        <v>0</v>
      </c>
      <c r="AA152" s="3178">
        <f t="shared" si="25"/>
        <v>0</v>
      </c>
      <c r="AB152" s="1505"/>
      <c r="AC152" s="3179">
        <f t="shared" si="26"/>
        <v>0</v>
      </c>
      <c r="AD152" s="3180">
        <f t="shared" si="27"/>
        <v>0</v>
      </c>
      <c r="AE152" s="3180">
        <f t="shared" si="28"/>
        <v>0</v>
      </c>
      <c r="AF152" s="3181">
        <f t="shared" si="29"/>
        <v>0</v>
      </c>
    </row>
    <row r="153" spans="1:32" s="1474" customFormat="1" ht="23.25" customHeight="1">
      <c r="A153" s="2175">
        <v>88</v>
      </c>
      <c r="B153" s="2175" t="s">
        <v>2575</v>
      </c>
      <c r="C153" s="2416" t="s">
        <v>2563</v>
      </c>
      <c r="D153" s="2416">
        <v>10</v>
      </c>
      <c r="E153" s="2175">
        <v>20000000</v>
      </c>
      <c r="F153" s="1512">
        <f t="shared" si="16"/>
        <v>3600000</v>
      </c>
      <c r="G153" s="2418">
        <v>41864</v>
      </c>
      <c r="H153" s="2419">
        <v>0.18</v>
      </c>
      <c r="I153" s="2164">
        <v>12</v>
      </c>
      <c r="J153" s="2164">
        <v>12</v>
      </c>
      <c r="K153" s="2164">
        <v>1666700</v>
      </c>
      <c r="L153" s="2164">
        <f t="shared" si="32"/>
        <v>300000</v>
      </c>
      <c r="M153" s="1510">
        <f t="shared" si="17"/>
        <v>20000000</v>
      </c>
      <c r="N153" s="1510">
        <f t="shared" si="18"/>
        <v>3600000</v>
      </c>
      <c r="O153" s="2171">
        <v>20000000</v>
      </c>
      <c r="P153" s="2171">
        <v>3600000</v>
      </c>
      <c r="Q153" s="2171"/>
      <c r="R153" s="2171"/>
      <c r="S153" s="2171"/>
      <c r="T153" s="2173"/>
      <c r="U153" s="1495">
        <f t="shared" si="19"/>
        <v>20000000</v>
      </c>
      <c r="V153" s="1495">
        <f t="shared" si="20"/>
        <v>3600000</v>
      </c>
      <c r="W153" s="1495">
        <f t="shared" si="21"/>
        <v>0</v>
      </c>
      <c r="X153" s="1495">
        <f t="shared" si="22"/>
        <v>0</v>
      </c>
      <c r="Y153" s="1495">
        <f t="shared" si="23"/>
        <v>100</v>
      </c>
      <c r="Z153" s="1495">
        <f t="shared" si="24"/>
        <v>0</v>
      </c>
      <c r="AA153" s="1506">
        <f t="shared" si="25"/>
        <v>0</v>
      </c>
      <c r="AB153" s="1505"/>
      <c r="AC153" s="1504">
        <f t="shared" si="26"/>
        <v>0</v>
      </c>
      <c r="AD153" s="1503">
        <f t="shared" si="27"/>
        <v>0</v>
      </c>
      <c r="AE153" s="1503">
        <f t="shared" si="28"/>
        <v>0</v>
      </c>
      <c r="AF153" s="1502">
        <f t="shared" si="29"/>
        <v>0</v>
      </c>
    </row>
    <row r="154" spans="1:32" s="1474" customFormat="1" ht="23.25" customHeight="1">
      <c r="A154" s="2175">
        <v>89</v>
      </c>
      <c r="B154" s="2175" t="s">
        <v>2484</v>
      </c>
      <c r="C154" s="2416" t="s">
        <v>2563</v>
      </c>
      <c r="D154" s="2416">
        <v>12</v>
      </c>
      <c r="E154" s="2175">
        <v>20000000</v>
      </c>
      <c r="F154" s="1512">
        <f t="shared" si="16"/>
        <v>3600000</v>
      </c>
      <c r="G154" s="2418">
        <v>41870</v>
      </c>
      <c r="H154" s="2419">
        <v>0.18</v>
      </c>
      <c r="I154" s="2164">
        <v>12</v>
      </c>
      <c r="J154" s="2164">
        <v>12</v>
      </c>
      <c r="K154" s="2164">
        <v>1666700</v>
      </c>
      <c r="L154" s="2164">
        <f t="shared" si="32"/>
        <v>300000</v>
      </c>
      <c r="M154" s="1510">
        <f t="shared" si="17"/>
        <v>20000000</v>
      </c>
      <c r="N154" s="1510">
        <f>IF(J154&lt;I154,J154*L154,IF(J154&gt;=I154,F154))-1*L154</f>
        <v>3300000</v>
      </c>
      <c r="O154" s="2171">
        <v>20000000</v>
      </c>
      <c r="P154" s="2171">
        <v>3300000</v>
      </c>
      <c r="Q154" s="2171"/>
      <c r="R154" s="2171"/>
      <c r="S154" s="2171"/>
      <c r="T154" s="2173"/>
      <c r="U154" s="1495">
        <f t="shared" si="19"/>
        <v>20000000</v>
      </c>
      <c r="V154" s="1495">
        <f t="shared" si="20"/>
        <v>3300000</v>
      </c>
      <c r="W154" s="1495">
        <f t="shared" si="21"/>
        <v>0</v>
      </c>
      <c r="X154" s="1495">
        <f t="shared" si="22"/>
        <v>0</v>
      </c>
      <c r="Y154" s="1495">
        <f t="shared" si="23"/>
        <v>100</v>
      </c>
      <c r="Z154" s="1495">
        <f t="shared" si="24"/>
        <v>0</v>
      </c>
      <c r="AA154" s="1506">
        <f t="shared" si="25"/>
        <v>0</v>
      </c>
      <c r="AB154" s="1505"/>
      <c r="AC154" s="1504">
        <f t="shared" si="26"/>
        <v>0</v>
      </c>
      <c r="AD154" s="1503">
        <f t="shared" si="27"/>
        <v>0</v>
      </c>
      <c r="AE154" s="1503">
        <f t="shared" si="28"/>
        <v>0</v>
      </c>
      <c r="AF154" s="1502">
        <f t="shared" si="29"/>
        <v>0</v>
      </c>
    </row>
    <row r="155" spans="1:32" s="1474" customFormat="1" ht="23.25" customHeight="1">
      <c r="A155" s="2175">
        <v>90</v>
      </c>
      <c r="B155" s="2175" t="s">
        <v>2478</v>
      </c>
      <c r="C155" s="2416" t="s">
        <v>2582</v>
      </c>
      <c r="D155" s="2416">
        <v>10</v>
      </c>
      <c r="E155" s="2175">
        <v>12000000</v>
      </c>
      <c r="F155" s="1512">
        <f t="shared" si="16"/>
        <v>2160000</v>
      </c>
      <c r="G155" s="3174" t="s">
        <v>2584</v>
      </c>
      <c r="H155" s="2419">
        <v>0.18</v>
      </c>
      <c r="I155" s="2164">
        <v>12</v>
      </c>
      <c r="J155" s="2164">
        <v>12</v>
      </c>
      <c r="K155" s="2164">
        <f t="shared" ref="K155:K161" si="35">E155/I155</f>
        <v>1000000</v>
      </c>
      <c r="L155" s="2164">
        <f t="shared" si="32"/>
        <v>180000</v>
      </c>
      <c r="M155" s="1510">
        <f t="shared" si="17"/>
        <v>12000000</v>
      </c>
      <c r="N155" s="1510">
        <f t="shared" si="18"/>
        <v>2160000</v>
      </c>
      <c r="O155" s="2171">
        <v>12000000</v>
      </c>
      <c r="P155" s="2171">
        <v>2160000</v>
      </c>
      <c r="Q155" s="2171"/>
      <c r="R155" s="2171"/>
      <c r="S155" s="2171"/>
      <c r="T155" s="2173"/>
      <c r="U155" s="1495">
        <f t="shared" si="19"/>
        <v>12000000</v>
      </c>
      <c r="V155" s="1495">
        <f t="shared" si="20"/>
        <v>2160000</v>
      </c>
      <c r="W155" s="1495">
        <f t="shared" si="21"/>
        <v>0</v>
      </c>
      <c r="X155" s="1495">
        <f t="shared" si="22"/>
        <v>0</v>
      </c>
      <c r="Y155" s="1495">
        <f t="shared" si="23"/>
        <v>100</v>
      </c>
      <c r="Z155" s="1495">
        <f t="shared" si="24"/>
        <v>0</v>
      </c>
      <c r="AA155" s="1506">
        <f t="shared" si="25"/>
        <v>0</v>
      </c>
      <c r="AB155" s="1505"/>
      <c r="AC155" s="1504">
        <f t="shared" si="26"/>
        <v>0</v>
      </c>
      <c r="AD155" s="1503">
        <f t="shared" si="27"/>
        <v>0</v>
      </c>
      <c r="AE155" s="1503">
        <f t="shared" si="28"/>
        <v>0</v>
      </c>
      <c r="AF155" s="1502">
        <f t="shared" si="29"/>
        <v>0</v>
      </c>
    </row>
    <row r="156" spans="1:32" s="1474" customFormat="1" ht="23.25" customHeight="1">
      <c r="A156" s="2175">
        <v>91</v>
      </c>
      <c r="B156" s="2175" t="s">
        <v>2603</v>
      </c>
      <c r="C156" s="2416" t="s">
        <v>2582</v>
      </c>
      <c r="D156" s="2416">
        <v>10</v>
      </c>
      <c r="E156" s="2175">
        <v>9600000</v>
      </c>
      <c r="F156" s="1512">
        <f t="shared" si="16"/>
        <v>1728000</v>
      </c>
      <c r="G156" s="3174" t="s">
        <v>2602</v>
      </c>
      <c r="H156" s="2419">
        <v>0.18</v>
      </c>
      <c r="I156" s="2164">
        <v>12</v>
      </c>
      <c r="J156" s="2164">
        <v>12</v>
      </c>
      <c r="K156" s="2164">
        <f t="shared" si="35"/>
        <v>800000</v>
      </c>
      <c r="L156" s="2164">
        <f t="shared" si="32"/>
        <v>144000</v>
      </c>
      <c r="M156" s="1510">
        <f t="shared" si="17"/>
        <v>9600000</v>
      </c>
      <c r="N156" s="1510">
        <f>IF(J156&lt;I156,J156*L156,IF(J156&gt;=I156,F156))-1*L156</f>
        <v>1584000</v>
      </c>
      <c r="O156" s="2171">
        <v>9600000</v>
      </c>
      <c r="P156" s="2171">
        <v>1584000</v>
      </c>
      <c r="Q156" s="2171"/>
      <c r="R156" s="2171"/>
      <c r="S156" s="2171"/>
      <c r="T156" s="2173"/>
      <c r="U156" s="1495">
        <f t="shared" si="19"/>
        <v>9600000</v>
      </c>
      <c r="V156" s="1495">
        <f t="shared" si="20"/>
        <v>1584000</v>
      </c>
      <c r="W156" s="1495">
        <f t="shared" si="21"/>
        <v>0</v>
      </c>
      <c r="X156" s="1495">
        <f t="shared" si="22"/>
        <v>0</v>
      </c>
      <c r="Y156" s="1495">
        <f t="shared" si="23"/>
        <v>100</v>
      </c>
      <c r="Z156" s="1495">
        <f t="shared" si="24"/>
        <v>0</v>
      </c>
      <c r="AA156" s="1506">
        <f t="shared" si="25"/>
        <v>0</v>
      </c>
      <c r="AB156" s="1505"/>
      <c r="AC156" s="1504">
        <f t="shared" si="26"/>
        <v>0</v>
      </c>
      <c r="AD156" s="1503">
        <f t="shared" si="27"/>
        <v>0</v>
      </c>
      <c r="AE156" s="1503">
        <f t="shared" si="28"/>
        <v>0</v>
      </c>
      <c r="AF156" s="1502">
        <f t="shared" si="29"/>
        <v>0</v>
      </c>
    </row>
    <row r="157" spans="1:32" s="1474" customFormat="1" ht="23.25" customHeight="1">
      <c r="A157" s="2705">
        <v>92</v>
      </c>
      <c r="B157" s="1497" t="s">
        <v>2136</v>
      </c>
      <c r="C157" s="2706" t="s">
        <v>2582</v>
      </c>
      <c r="D157" s="2706">
        <v>12</v>
      </c>
      <c r="E157" s="1497">
        <v>50000000</v>
      </c>
      <c r="F157" s="1512">
        <f t="shared" si="16"/>
        <v>9000000</v>
      </c>
      <c r="G157" s="3174" t="s">
        <v>2602</v>
      </c>
      <c r="H157" s="2419">
        <v>0.18</v>
      </c>
      <c r="I157" s="2164">
        <v>12</v>
      </c>
      <c r="J157" s="2164">
        <v>12</v>
      </c>
      <c r="K157" s="2164">
        <v>4166700</v>
      </c>
      <c r="L157" s="2164">
        <f t="shared" si="32"/>
        <v>750000</v>
      </c>
      <c r="M157" s="1510">
        <f t="shared" si="17"/>
        <v>50000000</v>
      </c>
      <c r="N157" s="1510">
        <f t="shared" si="18"/>
        <v>9000000</v>
      </c>
      <c r="O157" s="2171">
        <v>50000000</v>
      </c>
      <c r="P157" s="2171">
        <v>9000000</v>
      </c>
      <c r="Q157" s="2171"/>
      <c r="R157" s="2171"/>
      <c r="S157" s="2171"/>
      <c r="T157" s="2173"/>
      <c r="U157" s="1495">
        <f t="shared" si="19"/>
        <v>50000000</v>
      </c>
      <c r="V157" s="1495">
        <f t="shared" si="20"/>
        <v>9000000</v>
      </c>
      <c r="W157" s="1495">
        <f t="shared" si="21"/>
        <v>0</v>
      </c>
      <c r="X157" s="1495">
        <f t="shared" si="22"/>
        <v>0</v>
      </c>
      <c r="Y157" s="1495">
        <f t="shared" si="23"/>
        <v>100</v>
      </c>
      <c r="Z157" s="1495">
        <f t="shared" si="24"/>
        <v>0</v>
      </c>
      <c r="AA157" s="1506">
        <f t="shared" si="25"/>
        <v>0</v>
      </c>
      <c r="AB157" s="1505"/>
      <c r="AC157" s="1504">
        <f t="shared" si="26"/>
        <v>0</v>
      </c>
      <c r="AD157" s="1503">
        <f t="shared" si="27"/>
        <v>0</v>
      </c>
      <c r="AE157" s="1503">
        <f t="shared" si="28"/>
        <v>0</v>
      </c>
      <c r="AF157" s="1502">
        <f t="shared" si="29"/>
        <v>0</v>
      </c>
    </row>
    <row r="158" spans="1:32" s="1474" customFormat="1" ht="23.25" customHeight="1">
      <c r="A158" s="2705">
        <v>93</v>
      </c>
      <c r="B158" s="1497" t="s">
        <v>2244</v>
      </c>
      <c r="C158" s="2706" t="s">
        <v>2582</v>
      </c>
      <c r="D158" s="2706">
        <v>12</v>
      </c>
      <c r="E158" s="1497">
        <v>25000000</v>
      </c>
      <c r="F158" s="1512">
        <f t="shared" si="16"/>
        <v>4500000</v>
      </c>
      <c r="G158" s="3174" t="s">
        <v>2602</v>
      </c>
      <c r="H158" s="2419">
        <v>0.18</v>
      </c>
      <c r="I158" s="2164">
        <v>12</v>
      </c>
      <c r="J158" s="2164">
        <v>12</v>
      </c>
      <c r="K158" s="2164">
        <v>2083300</v>
      </c>
      <c r="L158" s="2164">
        <f t="shared" si="32"/>
        <v>375000</v>
      </c>
      <c r="M158" s="1510">
        <f t="shared" si="17"/>
        <v>25000000</v>
      </c>
      <c r="N158" s="1510">
        <f t="shared" si="18"/>
        <v>4500000</v>
      </c>
      <c r="O158" s="2171">
        <v>25000000</v>
      </c>
      <c r="P158" s="2171">
        <v>4500000</v>
      </c>
      <c r="Q158" s="2171"/>
      <c r="R158" s="2171"/>
      <c r="S158" s="2171"/>
      <c r="T158" s="2173"/>
      <c r="U158" s="1495">
        <f t="shared" si="19"/>
        <v>25000000</v>
      </c>
      <c r="V158" s="1495">
        <f t="shared" si="20"/>
        <v>4500000</v>
      </c>
      <c r="W158" s="1495">
        <f t="shared" si="21"/>
        <v>0</v>
      </c>
      <c r="X158" s="1495">
        <f t="shared" si="22"/>
        <v>0</v>
      </c>
      <c r="Y158" s="1495">
        <f t="shared" si="23"/>
        <v>100</v>
      </c>
      <c r="Z158" s="1495">
        <f t="shared" si="24"/>
        <v>0</v>
      </c>
      <c r="AA158" s="1506">
        <f t="shared" si="25"/>
        <v>0</v>
      </c>
      <c r="AB158" s="1505"/>
      <c r="AC158" s="1504">
        <f t="shared" si="26"/>
        <v>0</v>
      </c>
      <c r="AD158" s="1503">
        <f t="shared" si="27"/>
        <v>0</v>
      </c>
      <c r="AE158" s="1503">
        <f t="shared" si="28"/>
        <v>0</v>
      </c>
      <c r="AF158" s="1502">
        <f t="shared" si="29"/>
        <v>0</v>
      </c>
    </row>
    <row r="159" spans="1:32" s="1474" customFormat="1" ht="23.25" customHeight="1">
      <c r="A159" s="2705">
        <v>94</v>
      </c>
      <c r="B159" s="2175" t="s">
        <v>2606</v>
      </c>
      <c r="C159" s="2416" t="s">
        <v>2582</v>
      </c>
      <c r="D159" s="2416">
        <v>10</v>
      </c>
      <c r="E159" s="2175">
        <v>4900000</v>
      </c>
      <c r="F159" s="1512">
        <f t="shared" si="16"/>
        <v>882000</v>
      </c>
      <c r="G159" s="3174" t="s">
        <v>2605</v>
      </c>
      <c r="H159" s="2419">
        <v>0.18</v>
      </c>
      <c r="I159" s="2164">
        <v>12</v>
      </c>
      <c r="J159" s="2164">
        <v>12</v>
      </c>
      <c r="K159" s="2164">
        <v>408300</v>
      </c>
      <c r="L159" s="2164">
        <f t="shared" si="32"/>
        <v>73500</v>
      </c>
      <c r="M159" s="1510">
        <f t="shared" si="17"/>
        <v>4900000</v>
      </c>
      <c r="N159" s="1510">
        <f t="shared" si="18"/>
        <v>882000</v>
      </c>
      <c r="O159" s="2171">
        <v>3474400</v>
      </c>
      <c r="P159" s="2171">
        <v>661000</v>
      </c>
      <c r="Q159" s="2171"/>
      <c r="R159" s="3023"/>
      <c r="S159" s="3023"/>
      <c r="T159" s="2173"/>
      <c r="U159" s="1495">
        <f t="shared" si="19"/>
        <v>3474400</v>
      </c>
      <c r="V159" s="1495">
        <f t="shared" si="20"/>
        <v>661000</v>
      </c>
      <c r="W159" s="1495">
        <f t="shared" si="21"/>
        <v>0</v>
      </c>
      <c r="X159" s="1495">
        <f t="shared" si="22"/>
        <v>1425600</v>
      </c>
      <c r="Y159" s="1495">
        <f t="shared" si="23"/>
        <v>70.906122448979588</v>
      </c>
      <c r="Z159" s="1495">
        <f t="shared" si="24"/>
        <v>1425600</v>
      </c>
      <c r="AA159" s="1506">
        <f t="shared" si="25"/>
        <v>221000</v>
      </c>
      <c r="AB159" s="1505">
        <v>2</v>
      </c>
      <c r="AC159" s="1504">
        <f t="shared" si="26"/>
        <v>1425600</v>
      </c>
      <c r="AD159" s="1503">
        <f t="shared" si="27"/>
        <v>0</v>
      </c>
      <c r="AE159" s="1503">
        <f t="shared" si="28"/>
        <v>0</v>
      </c>
      <c r="AF159" s="1502">
        <f t="shared" si="29"/>
        <v>0</v>
      </c>
    </row>
    <row r="160" spans="1:32" s="1474" customFormat="1" ht="23.25" customHeight="1">
      <c r="A160" s="2705">
        <v>95</v>
      </c>
      <c r="B160" s="2175" t="s">
        <v>2134</v>
      </c>
      <c r="C160" s="2416" t="s">
        <v>2615</v>
      </c>
      <c r="D160" s="2416">
        <v>12</v>
      </c>
      <c r="E160" s="2175">
        <v>42000000</v>
      </c>
      <c r="F160" s="1512">
        <f t="shared" si="16"/>
        <v>7560000</v>
      </c>
      <c r="G160" s="2418">
        <v>41989</v>
      </c>
      <c r="H160" s="2419">
        <v>0.18</v>
      </c>
      <c r="I160" s="2164">
        <v>12</v>
      </c>
      <c r="J160" s="2164">
        <v>12</v>
      </c>
      <c r="K160" s="2164">
        <f t="shared" si="35"/>
        <v>3500000</v>
      </c>
      <c r="L160" s="2164">
        <f t="shared" si="32"/>
        <v>630000</v>
      </c>
      <c r="M160" s="1510">
        <f t="shared" si="17"/>
        <v>42000000</v>
      </c>
      <c r="N160" s="1510">
        <f>IF(J160&lt;I160,J160*L160,IF(J160&gt;=I160,F160))-1*L160</f>
        <v>6930000</v>
      </c>
      <c r="O160" s="2171">
        <v>42000000</v>
      </c>
      <c r="P160" s="2171">
        <v>6930000</v>
      </c>
      <c r="Q160" s="2171"/>
      <c r="R160" s="2171"/>
      <c r="S160" s="2171"/>
      <c r="T160" s="2173"/>
      <c r="U160" s="1495">
        <f t="shared" si="19"/>
        <v>42000000</v>
      </c>
      <c r="V160" s="1495">
        <f t="shared" si="20"/>
        <v>6930000</v>
      </c>
      <c r="W160" s="1495">
        <f t="shared" si="21"/>
        <v>0</v>
      </c>
      <c r="X160" s="1495">
        <f t="shared" si="22"/>
        <v>0</v>
      </c>
      <c r="Y160" s="1495">
        <f t="shared" si="23"/>
        <v>100</v>
      </c>
      <c r="Z160" s="1495">
        <f t="shared" si="24"/>
        <v>0</v>
      </c>
      <c r="AA160" s="1506">
        <f t="shared" si="25"/>
        <v>0</v>
      </c>
      <c r="AB160" s="1505"/>
      <c r="AC160" s="1504">
        <f t="shared" si="26"/>
        <v>0</v>
      </c>
      <c r="AD160" s="1503">
        <f t="shared" si="27"/>
        <v>0</v>
      </c>
      <c r="AE160" s="1503">
        <f t="shared" si="28"/>
        <v>0</v>
      </c>
      <c r="AF160" s="1502">
        <f t="shared" si="29"/>
        <v>0</v>
      </c>
    </row>
    <row r="161" spans="1:32" s="1474" customFormat="1" ht="23.25" customHeight="1">
      <c r="A161" s="2705">
        <v>96</v>
      </c>
      <c r="B161" s="2175" t="s">
        <v>2149</v>
      </c>
      <c r="C161" s="2416" t="s">
        <v>2615</v>
      </c>
      <c r="D161" s="2416">
        <v>10</v>
      </c>
      <c r="E161" s="2175">
        <v>36000000</v>
      </c>
      <c r="F161" s="1512">
        <f t="shared" si="16"/>
        <v>6480000</v>
      </c>
      <c r="G161" s="2418">
        <v>41989</v>
      </c>
      <c r="H161" s="2419">
        <v>0.18</v>
      </c>
      <c r="I161" s="2164">
        <v>12</v>
      </c>
      <c r="J161" s="2164">
        <v>12</v>
      </c>
      <c r="K161" s="2164">
        <f t="shared" si="35"/>
        <v>3000000</v>
      </c>
      <c r="L161" s="2164">
        <f t="shared" si="32"/>
        <v>540000</v>
      </c>
      <c r="M161" s="1510">
        <f t="shared" si="17"/>
        <v>36000000</v>
      </c>
      <c r="N161" s="1510">
        <f t="shared" si="18"/>
        <v>6480000</v>
      </c>
      <c r="O161" s="2171">
        <v>36000000</v>
      </c>
      <c r="P161" s="2171">
        <v>6480000</v>
      </c>
      <c r="Q161" s="2171"/>
      <c r="R161" s="2171"/>
      <c r="S161" s="2171"/>
      <c r="T161" s="2173"/>
      <c r="U161" s="1495">
        <f t="shared" si="19"/>
        <v>36000000</v>
      </c>
      <c r="V161" s="1495">
        <f t="shared" si="20"/>
        <v>6480000</v>
      </c>
      <c r="W161" s="1495">
        <f t="shared" si="21"/>
        <v>0</v>
      </c>
      <c r="X161" s="1495">
        <f t="shared" si="22"/>
        <v>0</v>
      </c>
      <c r="Y161" s="1495">
        <f t="shared" si="23"/>
        <v>100</v>
      </c>
      <c r="Z161" s="1495">
        <f t="shared" si="24"/>
        <v>0</v>
      </c>
      <c r="AA161" s="1506">
        <f t="shared" si="25"/>
        <v>0</v>
      </c>
      <c r="AB161" s="1505"/>
      <c r="AC161" s="1504">
        <f t="shared" si="26"/>
        <v>0</v>
      </c>
      <c r="AD161" s="1503">
        <f t="shared" si="27"/>
        <v>0</v>
      </c>
      <c r="AE161" s="1503">
        <f t="shared" si="28"/>
        <v>0</v>
      </c>
      <c r="AF161" s="1502">
        <f t="shared" si="29"/>
        <v>0</v>
      </c>
    </row>
    <row r="162" spans="1:32" s="1474" customFormat="1" ht="23.25" customHeight="1">
      <c r="A162" s="2705">
        <v>97</v>
      </c>
      <c r="B162" s="2175" t="s">
        <v>2355</v>
      </c>
      <c r="C162" s="2416" t="s">
        <v>2615</v>
      </c>
      <c r="D162" s="2416">
        <v>12</v>
      </c>
      <c r="E162" s="2175">
        <v>44000000</v>
      </c>
      <c r="F162" s="1512">
        <f t="shared" si="16"/>
        <v>7920000</v>
      </c>
      <c r="G162" s="2418">
        <v>42047</v>
      </c>
      <c r="H162" s="2419">
        <v>0.18</v>
      </c>
      <c r="I162" s="2164">
        <v>12</v>
      </c>
      <c r="J162" s="2164">
        <v>12</v>
      </c>
      <c r="K162" s="2164">
        <v>3666700</v>
      </c>
      <c r="L162" s="2164">
        <f t="shared" si="32"/>
        <v>660000</v>
      </c>
      <c r="M162" s="1510">
        <f t="shared" si="17"/>
        <v>44000000</v>
      </c>
      <c r="N162" s="1510">
        <f>IF(J162&lt;I162,J162*L162,IF(J162&gt;=I162,F162))-1*L162</f>
        <v>7260000</v>
      </c>
      <c r="O162" s="2171">
        <v>44000000</v>
      </c>
      <c r="P162" s="2171">
        <v>7260000</v>
      </c>
      <c r="Q162" s="2171"/>
      <c r="R162" s="2171"/>
      <c r="S162" s="2171"/>
      <c r="T162" s="2173"/>
      <c r="U162" s="1495">
        <f t="shared" si="19"/>
        <v>44000000</v>
      </c>
      <c r="V162" s="1495">
        <f t="shared" si="20"/>
        <v>7260000</v>
      </c>
      <c r="W162" s="1495">
        <f t="shared" si="21"/>
        <v>0</v>
      </c>
      <c r="X162" s="1495">
        <f t="shared" si="22"/>
        <v>0</v>
      </c>
      <c r="Y162" s="1495">
        <f t="shared" si="23"/>
        <v>100</v>
      </c>
      <c r="Z162" s="1495">
        <f t="shared" si="24"/>
        <v>0</v>
      </c>
      <c r="AA162" s="1506">
        <f t="shared" si="25"/>
        <v>0</v>
      </c>
      <c r="AB162" s="1505"/>
      <c r="AC162" s="1504">
        <f t="shared" si="26"/>
        <v>0</v>
      </c>
      <c r="AD162" s="1503">
        <f t="shared" si="27"/>
        <v>0</v>
      </c>
      <c r="AE162" s="1503">
        <f t="shared" si="28"/>
        <v>0</v>
      </c>
      <c r="AF162" s="1502">
        <f t="shared" si="29"/>
        <v>0</v>
      </c>
    </row>
    <row r="163" spans="1:32" s="1474" customFormat="1" ht="23.25" customHeight="1">
      <c r="A163" s="2705">
        <v>98</v>
      </c>
      <c r="B163" s="2175" t="s">
        <v>2148</v>
      </c>
      <c r="C163" s="2416" t="s">
        <v>2615</v>
      </c>
      <c r="D163" s="2416">
        <v>10</v>
      </c>
      <c r="E163" s="2175">
        <v>32500000</v>
      </c>
      <c r="F163" s="1512">
        <f t="shared" si="16"/>
        <v>5850000</v>
      </c>
      <c r="G163" s="2418">
        <v>42051</v>
      </c>
      <c r="H163" s="2419">
        <v>0.18</v>
      </c>
      <c r="I163" s="2164">
        <v>12</v>
      </c>
      <c r="J163" s="2164">
        <v>12</v>
      </c>
      <c r="K163" s="2164">
        <v>2708300</v>
      </c>
      <c r="L163" s="2164">
        <f t="shared" si="32"/>
        <v>487500</v>
      </c>
      <c r="M163" s="1510">
        <f t="shared" si="17"/>
        <v>32500000</v>
      </c>
      <c r="N163" s="1510">
        <f t="shared" si="18"/>
        <v>5850000</v>
      </c>
      <c r="O163" s="2171">
        <v>29791300</v>
      </c>
      <c r="P163" s="2171">
        <v>5362500</v>
      </c>
      <c r="Q163" s="2171"/>
      <c r="R163" s="3023">
        <v>2708700</v>
      </c>
      <c r="S163" s="3023">
        <v>487500</v>
      </c>
      <c r="T163" s="2173"/>
      <c r="U163" s="1495">
        <f t="shared" si="19"/>
        <v>32500000</v>
      </c>
      <c r="V163" s="1495">
        <f t="shared" si="20"/>
        <v>5850000</v>
      </c>
      <c r="W163" s="1495">
        <f t="shared" si="21"/>
        <v>0</v>
      </c>
      <c r="X163" s="1495">
        <f t="shared" si="22"/>
        <v>0</v>
      </c>
      <c r="Y163" s="1495">
        <f t="shared" si="23"/>
        <v>100</v>
      </c>
      <c r="Z163" s="1495">
        <f t="shared" si="24"/>
        <v>0</v>
      </c>
      <c r="AA163" s="1506">
        <f t="shared" si="25"/>
        <v>0</v>
      </c>
      <c r="AB163" s="1505"/>
      <c r="AC163" s="1504">
        <f t="shared" si="26"/>
        <v>0</v>
      </c>
      <c r="AD163" s="1503">
        <f t="shared" si="27"/>
        <v>0</v>
      </c>
      <c r="AE163" s="1503">
        <f t="shared" si="28"/>
        <v>0</v>
      </c>
      <c r="AF163" s="1502">
        <f t="shared" si="29"/>
        <v>0</v>
      </c>
    </row>
    <row r="164" spans="1:32" s="1474" customFormat="1" ht="23.25" customHeight="1">
      <c r="A164" s="2705">
        <v>99</v>
      </c>
      <c r="B164" s="2175" t="s">
        <v>2140</v>
      </c>
      <c r="C164" s="2416" t="s">
        <v>2615</v>
      </c>
      <c r="D164" s="2416">
        <v>10</v>
      </c>
      <c r="E164" s="2175">
        <v>20000000</v>
      </c>
      <c r="F164" s="1512">
        <f t="shared" si="16"/>
        <v>3600000</v>
      </c>
      <c r="G164" s="2418">
        <v>42069</v>
      </c>
      <c r="H164" s="2419">
        <v>0.18</v>
      </c>
      <c r="I164" s="2164">
        <v>12</v>
      </c>
      <c r="J164" s="2164">
        <v>12</v>
      </c>
      <c r="K164" s="2164">
        <v>1666700</v>
      </c>
      <c r="L164" s="2164">
        <f t="shared" si="32"/>
        <v>300000</v>
      </c>
      <c r="M164" s="1510">
        <f t="shared" si="17"/>
        <v>20000000</v>
      </c>
      <c r="N164" s="1510">
        <f>IF(J164&lt;I164,J164*L164,IF(J164&gt;=I164,F164))*1-L164</f>
        <v>3300000</v>
      </c>
      <c r="O164" s="2171">
        <v>16667000</v>
      </c>
      <c r="P164" s="2171">
        <v>3000000</v>
      </c>
      <c r="Q164" s="2171"/>
      <c r="R164" s="3023">
        <v>3333000</v>
      </c>
      <c r="S164" s="3023">
        <v>300000</v>
      </c>
      <c r="T164" s="2173"/>
      <c r="U164" s="1495">
        <f t="shared" si="19"/>
        <v>20000000</v>
      </c>
      <c r="V164" s="1495">
        <f t="shared" si="20"/>
        <v>3300000</v>
      </c>
      <c r="W164" s="1495">
        <f t="shared" si="21"/>
        <v>0</v>
      </c>
      <c r="X164" s="1495">
        <f t="shared" si="22"/>
        <v>0</v>
      </c>
      <c r="Y164" s="1495">
        <f t="shared" si="23"/>
        <v>100</v>
      </c>
      <c r="Z164" s="1495">
        <f t="shared" si="24"/>
        <v>0</v>
      </c>
      <c r="AA164" s="1506">
        <f t="shared" si="25"/>
        <v>0</v>
      </c>
      <c r="AB164" s="1505"/>
      <c r="AC164" s="1504">
        <f t="shared" si="26"/>
        <v>0</v>
      </c>
      <c r="AD164" s="1503">
        <f t="shared" si="27"/>
        <v>0</v>
      </c>
      <c r="AE164" s="1503">
        <f t="shared" si="28"/>
        <v>0</v>
      </c>
      <c r="AF164" s="1502">
        <f t="shared" si="29"/>
        <v>0</v>
      </c>
    </row>
    <row r="165" spans="1:32" s="1474" customFormat="1" ht="23.25" customHeight="1">
      <c r="A165" s="2705">
        <v>100</v>
      </c>
      <c r="B165" s="2175" t="s">
        <v>2655</v>
      </c>
      <c r="C165" s="2416" t="s">
        <v>2658</v>
      </c>
      <c r="D165" s="2416">
        <v>10</v>
      </c>
      <c r="E165" s="2175">
        <v>20000000</v>
      </c>
      <c r="F165" s="1512">
        <f t="shared" si="16"/>
        <v>3600000</v>
      </c>
      <c r="G165" s="2418">
        <v>42082</v>
      </c>
      <c r="H165" s="2419">
        <v>0.18</v>
      </c>
      <c r="I165" s="2164">
        <v>12</v>
      </c>
      <c r="J165" s="2164">
        <v>11</v>
      </c>
      <c r="K165" s="2164">
        <v>1666700</v>
      </c>
      <c r="L165" s="2164">
        <f t="shared" si="32"/>
        <v>300000</v>
      </c>
      <c r="M165" s="1510">
        <f t="shared" si="17"/>
        <v>18333700</v>
      </c>
      <c r="N165" s="1510">
        <f t="shared" si="18"/>
        <v>3300000</v>
      </c>
      <c r="O165" s="2171">
        <v>16667000</v>
      </c>
      <c r="P165" s="2171">
        <v>3000000</v>
      </c>
      <c r="Q165" s="2171"/>
      <c r="R165" s="3023"/>
      <c r="S165" s="3023"/>
      <c r="T165" s="2173"/>
      <c r="U165" s="1495">
        <f t="shared" si="19"/>
        <v>16667000</v>
      </c>
      <c r="V165" s="1495">
        <f t="shared" si="20"/>
        <v>3000000</v>
      </c>
      <c r="W165" s="1495">
        <f t="shared" si="21"/>
        <v>0</v>
      </c>
      <c r="X165" s="1495">
        <f t="shared" si="22"/>
        <v>3333000</v>
      </c>
      <c r="Y165" s="1495">
        <f t="shared" si="23"/>
        <v>90.909090909090907</v>
      </c>
      <c r="Z165" s="1495">
        <f t="shared" si="24"/>
        <v>1666700</v>
      </c>
      <c r="AA165" s="1506">
        <f t="shared" si="25"/>
        <v>300000</v>
      </c>
      <c r="AB165" s="1505"/>
      <c r="AC165" s="1504">
        <f t="shared" si="26"/>
        <v>0</v>
      </c>
      <c r="AD165" s="1503">
        <f t="shared" si="27"/>
        <v>0</v>
      </c>
      <c r="AE165" s="1503">
        <f t="shared" si="28"/>
        <v>0</v>
      </c>
      <c r="AF165" s="1502">
        <f t="shared" si="29"/>
        <v>0</v>
      </c>
    </row>
    <row r="166" spans="1:32" s="1474" customFormat="1" ht="23.25" customHeight="1">
      <c r="A166" s="2705">
        <v>101</v>
      </c>
      <c r="B166" s="2175" t="s">
        <v>2278</v>
      </c>
      <c r="C166" s="2416" t="s">
        <v>2658</v>
      </c>
      <c r="D166" s="2416">
        <v>12</v>
      </c>
      <c r="E166" s="2175">
        <v>28000000</v>
      </c>
      <c r="F166" s="1512">
        <f t="shared" si="16"/>
        <v>5040000</v>
      </c>
      <c r="G166" s="2418">
        <v>42107</v>
      </c>
      <c r="H166" s="2419">
        <v>0.18</v>
      </c>
      <c r="I166" s="2164">
        <v>12</v>
      </c>
      <c r="J166" s="2164">
        <v>10</v>
      </c>
      <c r="K166" s="2164">
        <v>2333300</v>
      </c>
      <c r="L166" s="2164">
        <f t="shared" si="32"/>
        <v>420000</v>
      </c>
      <c r="M166" s="1510">
        <f t="shared" si="17"/>
        <v>23333000</v>
      </c>
      <c r="N166" s="1510">
        <f t="shared" si="18"/>
        <v>4200000</v>
      </c>
      <c r="O166" s="2171">
        <v>20999700</v>
      </c>
      <c r="P166" s="2171">
        <v>3780000</v>
      </c>
      <c r="Q166" s="2171"/>
      <c r="R166" s="3023">
        <v>2333300</v>
      </c>
      <c r="S166" s="3023">
        <v>420000</v>
      </c>
      <c r="T166" s="2173"/>
      <c r="U166" s="1495">
        <f t="shared" si="19"/>
        <v>23333000</v>
      </c>
      <c r="V166" s="1495">
        <f t="shared" si="20"/>
        <v>4200000</v>
      </c>
      <c r="W166" s="1495">
        <f t="shared" si="21"/>
        <v>0</v>
      </c>
      <c r="X166" s="1495">
        <f t="shared" si="22"/>
        <v>4667000</v>
      </c>
      <c r="Y166" s="1495">
        <f t="shared" si="23"/>
        <v>100</v>
      </c>
      <c r="Z166" s="1495">
        <f t="shared" si="24"/>
        <v>0</v>
      </c>
      <c r="AA166" s="1506">
        <f t="shared" si="25"/>
        <v>0</v>
      </c>
      <c r="AB166" s="1505"/>
      <c r="AC166" s="1504">
        <f t="shared" si="26"/>
        <v>0</v>
      </c>
      <c r="AD166" s="1503">
        <f t="shared" si="27"/>
        <v>0</v>
      </c>
      <c r="AE166" s="1503">
        <f t="shared" si="28"/>
        <v>0</v>
      </c>
      <c r="AF166" s="1502">
        <f t="shared" si="29"/>
        <v>0</v>
      </c>
    </row>
    <row r="167" spans="1:32" s="1474" customFormat="1" ht="23.25" customHeight="1">
      <c r="A167" s="2705">
        <v>102</v>
      </c>
      <c r="B167" s="2175" t="s">
        <v>2418</v>
      </c>
      <c r="C167" s="2416" t="s">
        <v>2658</v>
      </c>
      <c r="D167" s="2416">
        <v>12</v>
      </c>
      <c r="E167" s="2175">
        <v>20000000</v>
      </c>
      <c r="F167" s="1512">
        <f t="shared" si="16"/>
        <v>3600000</v>
      </c>
      <c r="G167" s="2418">
        <v>42107</v>
      </c>
      <c r="H167" s="2419">
        <v>0.18</v>
      </c>
      <c r="I167" s="2164">
        <v>12</v>
      </c>
      <c r="J167" s="2164">
        <v>10</v>
      </c>
      <c r="K167" s="2164">
        <v>1666700</v>
      </c>
      <c r="L167" s="2164">
        <f t="shared" si="32"/>
        <v>300000</v>
      </c>
      <c r="M167" s="1510">
        <f t="shared" si="17"/>
        <v>16667000</v>
      </c>
      <c r="N167" s="1510">
        <f t="shared" si="18"/>
        <v>3000000</v>
      </c>
      <c r="O167" s="2171">
        <v>15000300</v>
      </c>
      <c r="P167" s="2171">
        <v>2700000</v>
      </c>
      <c r="Q167" s="2171"/>
      <c r="R167" s="3023">
        <v>1666700</v>
      </c>
      <c r="S167" s="3023">
        <v>300000</v>
      </c>
      <c r="T167" s="2173"/>
      <c r="U167" s="1495">
        <f t="shared" si="19"/>
        <v>16667000</v>
      </c>
      <c r="V167" s="1495">
        <f t="shared" si="20"/>
        <v>3000000</v>
      </c>
      <c r="W167" s="1495">
        <f t="shared" si="21"/>
        <v>0</v>
      </c>
      <c r="X167" s="1495">
        <f t="shared" si="22"/>
        <v>3333000</v>
      </c>
      <c r="Y167" s="1495">
        <f t="shared" si="23"/>
        <v>100</v>
      </c>
      <c r="Z167" s="1495">
        <f t="shared" si="24"/>
        <v>0</v>
      </c>
      <c r="AA167" s="1506">
        <f t="shared" si="25"/>
        <v>0</v>
      </c>
      <c r="AB167" s="1505"/>
      <c r="AC167" s="1504">
        <f t="shared" si="26"/>
        <v>0</v>
      </c>
      <c r="AD167" s="1503">
        <f t="shared" si="27"/>
        <v>0</v>
      </c>
      <c r="AE167" s="1503">
        <f t="shared" si="28"/>
        <v>0</v>
      </c>
      <c r="AF167" s="1502">
        <f t="shared" si="29"/>
        <v>0</v>
      </c>
    </row>
    <row r="168" spans="1:32" s="1474" customFormat="1" ht="23.25" customHeight="1">
      <c r="A168" s="2705">
        <v>103</v>
      </c>
      <c r="B168" s="2175" t="s">
        <v>2660</v>
      </c>
      <c r="C168" s="2416" t="s">
        <v>2658</v>
      </c>
      <c r="D168" s="2416">
        <v>10</v>
      </c>
      <c r="E168" s="2175">
        <v>5000000</v>
      </c>
      <c r="F168" s="1512">
        <f t="shared" si="16"/>
        <v>900000</v>
      </c>
      <c r="G168" s="2418">
        <v>42107</v>
      </c>
      <c r="H168" s="2419">
        <v>0.18</v>
      </c>
      <c r="I168" s="2164">
        <v>12</v>
      </c>
      <c r="J168" s="2164">
        <v>10</v>
      </c>
      <c r="K168" s="2164">
        <v>416700</v>
      </c>
      <c r="L168" s="2164">
        <f t="shared" si="32"/>
        <v>75000</v>
      </c>
      <c r="M168" s="1510">
        <f t="shared" si="17"/>
        <v>4167000</v>
      </c>
      <c r="N168" s="1510">
        <f t="shared" si="18"/>
        <v>750000</v>
      </c>
      <c r="O168" s="2171">
        <v>1034900</v>
      </c>
      <c r="P168" s="2171">
        <v>225500</v>
      </c>
      <c r="Q168" s="2171"/>
      <c r="R168" s="3023"/>
      <c r="S168" s="3023"/>
      <c r="T168" s="2173"/>
      <c r="U168" s="1495">
        <f t="shared" si="19"/>
        <v>1034900</v>
      </c>
      <c r="V168" s="1495">
        <f t="shared" si="20"/>
        <v>225500</v>
      </c>
      <c r="W168" s="1495">
        <f t="shared" si="21"/>
        <v>0</v>
      </c>
      <c r="X168" s="1495">
        <f t="shared" si="22"/>
        <v>3965100</v>
      </c>
      <c r="Y168" s="1495">
        <f t="shared" si="23"/>
        <v>24.835613150947925</v>
      </c>
      <c r="Z168" s="1495">
        <f t="shared" si="24"/>
        <v>3132100</v>
      </c>
      <c r="AA168" s="1506">
        <f t="shared" si="25"/>
        <v>524500</v>
      </c>
      <c r="AB168" s="1505">
        <v>2</v>
      </c>
      <c r="AC168" s="1504">
        <f t="shared" si="26"/>
        <v>3965100</v>
      </c>
      <c r="AD168" s="1503">
        <f t="shared" si="27"/>
        <v>0</v>
      </c>
      <c r="AE168" s="1503">
        <f t="shared" si="28"/>
        <v>0</v>
      </c>
      <c r="AF168" s="1502">
        <f t="shared" si="29"/>
        <v>0</v>
      </c>
    </row>
    <row r="169" spans="1:32" s="1474" customFormat="1" ht="23.25" customHeight="1">
      <c r="A169" s="2705">
        <v>104</v>
      </c>
      <c r="B169" s="2175" t="s">
        <v>2279</v>
      </c>
      <c r="C169" s="2416" t="s">
        <v>2658</v>
      </c>
      <c r="D169" s="2416">
        <v>12</v>
      </c>
      <c r="E169" s="2175">
        <v>37000000</v>
      </c>
      <c r="F169" s="1512">
        <f t="shared" si="16"/>
        <v>6660000</v>
      </c>
      <c r="G169" s="2418">
        <v>42107</v>
      </c>
      <c r="H169" s="2419">
        <v>0.18</v>
      </c>
      <c r="I169" s="2164">
        <v>12</v>
      </c>
      <c r="J169" s="2164">
        <v>10</v>
      </c>
      <c r="K169" s="2164">
        <v>3083300</v>
      </c>
      <c r="L169" s="2164">
        <f t="shared" si="32"/>
        <v>555000</v>
      </c>
      <c r="M169" s="1510">
        <f t="shared" si="17"/>
        <v>30833000</v>
      </c>
      <c r="N169" s="1510">
        <f t="shared" si="18"/>
        <v>5550000</v>
      </c>
      <c r="O169" s="2171">
        <v>27749700</v>
      </c>
      <c r="P169" s="2171">
        <v>4995000</v>
      </c>
      <c r="Q169" s="2171"/>
      <c r="R169" s="3023">
        <v>3083300</v>
      </c>
      <c r="S169" s="3023">
        <v>555000</v>
      </c>
      <c r="T169" s="2173"/>
      <c r="U169" s="1495">
        <f t="shared" si="19"/>
        <v>30833000</v>
      </c>
      <c r="V169" s="1495">
        <f t="shared" si="20"/>
        <v>5550000</v>
      </c>
      <c r="W169" s="1495">
        <f t="shared" si="21"/>
        <v>0</v>
      </c>
      <c r="X169" s="1495">
        <f t="shared" si="22"/>
        <v>6167000</v>
      </c>
      <c r="Y169" s="1495">
        <f t="shared" si="23"/>
        <v>100</v>
      </c>
      <c r="Z169" s="1495">
        <f t="shared" si="24"/>
        <v>0</v>
      </c>
      <c r="AA169" s="1506">
        <f t="shared" si="25"/>
        <v>0</v>
      </c>
      <c r="AB169" s="1505"/>
      <c r="AC169" s="1504">
        <f t="shared" si="26"/>
        <v>0</v>
      </c>
      <c r="AD169" s="1503">
        <f t="shared" si="27"/>
        <v>0</v>
      </c>
      <c r="AE169" s="1503">
        <f t="shared" si="28"/>
        <v>0</v>
      </c>
      <c r="AF169" s="1502">
        <f t="shared" si="29"/>
        <v>0</v>
      </c>
    </row>
    <row r="170" spans="1:32" s="1474" customFormat="1" ht="23.25" customHeight="1">
      <c r="A170" s="2705">
        <v>105</v>
      </c>
      <c r="B170" s="2175" t="s">
        <v>2667</v>
      </c>
      <c r="C170" s="2416" t="s">
        <v>2658</v>
      </c>
      <c r="D170" s="2416">
        <v>10</v>
      </c>
      <c r="E170" s="2175">
        <v>16000000</v>
      </c>
      <c r="F170" s="1512">
        <f t="shared" si="16"/>
        <v>2880000</v>
      </c>
      <c r="G170" s="2418">
        <v>42142</v>
      </c>
      <c r="H170" s="2419">
        <v>0.18</v>
      </c>
      <c r="I170" s="2164">
        <v>12</v>
      </c>
      <c r="J170" s="2164">
        <v>9</v>
      </c>
      <c r="K170" s="2164">
        <v>1333300</v>
      </c>
      <c r="L170" s="2164">
        <f t="shared" si="32"/>
        <v>240000</v>
      </c>
      <c r="M170" s="1510">
        <f t="shared" si="17"/>
        <v>11999700</v>
      </c>
      <c r="N170" s="1510">
        <f t="shared" si="18"/>
        <v>2160000</v>
      </c>
      <c r="O170" s="2171">
        <v>10666400</v>
      </c>
      <c r="P170" s="2171">
        <v>1920000</v>
      </c>
      <c r="Q170" s="2171"/>
      <c r="R170" s="3023">
        <v>1333300</v>
      </c>
      <c r="S170" s="3023">
        <v>240000</v>
      </c>
      <c r="T170" s="2173"/>
      <c r="U170" s="1495">
        <f t="shared" si="19"/>
        <v>11999700</v>
      </c>
      <c r="V170" s="1495">
        <f t="shared" si="20"/>
        <v>2160000</v>
      </c>
      <c r="W170" s="1495">
        <f t="shared" si="21"/>
        <v>0</v>
      </c>
      <c r="X170" s="1495">
        <f t="shared" si="22"/>
        <v>4000300</v>
      </c>
      <c r="Y170" s="1495">
        <f t="shared" si="23"/>
        <v>100</v>
      </c>
      <c r="Z170" s="1495">
        <f t="shared" si="24"/>
        <v>0</v>
      </c>
      <c r="AA170" s="1506">
        <f t="shared" si="25"/>
        <v>0</v>
      </c>
      <c r="AB170" s="1505"/>
      <c r="AC170" s="1504">
        <f t="shared" si="26"/>
        <v>0</v>
      </c>
      <c r="AD170" s="1503">
        <f t="shared" si="27"/>
        <v>0</v>
      </c>
      <c r="AE170" s="1503">
        <f t="shared" si="28"/>
        <v>0</v>
      </c>
      <c r="AF170" s="1502">
        <f t="shared" si="29"/>
        <v>0</v>
      </c>
    </row>
    <row r="171" spans="1:32" s="1474" customFormat="1" ht="23.25" customHeight="1">
      <c r="A171" s="2705">
        <v>106</v>
      </c>
      <c r="B171" s="2175" t="s">
        <v>2668</v>
      </c>
      <c r="C171" s="2416" t="s">
        <v>2658</v>
      </c>
      <c r="D171" s="2416">
        <v>10</v>
      </c>
      <c r="E171" s="2175">
        <v>20000000</v>
      </c>
      <c r="F171" s="1512">
        <f t="shared" si="16"/>
        <v>3600000</v>
      </c>
      <c r="G171" s="2418">
        <v>42142</v>
      </c>
      <c r="H171" s="2419">
        <v>0.18</v>
      </c>
      <c r="I171" s="2164">
        <v>12</v>
      </c>
      <c r="J171" s="2164">
        <v>9</v>
      </c>
      <c r="K171" s="2164">
        <v>1666700</v>
      </c>
      <c r="L171" s="2164">
        <f t="shared" si="32"/>
        <v>300000</v>
      </c>
      <c r="M171" s="1510">
        <f t="shared" si="17"/>
        <v>15000300</v>
      </c>
      <c r="N171" s="1510">
        <f t="shared" si="18"/>
        <v>2700000</v>
      </c>
      <c r="O171" s="2171">
        <v>13333600</v>
      </c>
      <c r="P171" s="2171">
        <v>2400000</v>
      </c>
      <c r="Q171" s="2171"/>
      <c r="R171" s="3023">
        <v>1666700</v>
      </c>
      <c r="S171" s="3023">
        <v>300000</v>
      </c>
      <c r="T171" s="2173"/>
      <c r="U171" s="1495">
        <f t="shared" si="19"/>
        <v>15000300</v>
      </c>
      <c r="V171" s="1495">
        <f t="shared" si="20"/>
        <v>2700000</v>
      </c>
      <c r="W171" s="1495">
        <f t="shared" si="21"/>
        <v>0</v>
      </c>
      <c r="X171" s="1495">
        <f t="shared" si="22"/>
        <v>4999700</v>
      </c>
      <c r="Y171" s="1495">
        <f t="shared" si="23"/>
        <v>100</v>
      </c>
      <c r="Z171" s="1495">
        <f t="shared" si="24"/>
        <v>0</v>
      </c>
      <c r="AA171" s="1506">
        <f t="shared" si="25"/>
        <v>0</v>
      </c>
      <c r="AB171" s="1505"/>
      <c r="AC171" s="1504">
        <f t="shared" si="26"/>
        <v>0</v>
      </c>
      <c r="AD171" s="1503">
        <f t="shared" si="27"/>
        <v>0</v>
      </c>
      <c r="AE171" s="1503">
        <f t="shared" si="28"/>
        <v>0</v>
      </c>
      <c r="AF171" s="1502">
        <f t="shared" si="29"/>
        <v>0</v>
      </c>
    </row>
    <row r="172" spans="1:32" s="1474" customFormat="1" ht="23.25" customHeight="1">
      <c r="A172" s="2705">
        <v>107</v>
      </c>
      <c r="B172" s="2175" t="s">
        <v>2144</v>
      </c>
      <c r="C172" s="2416" t="s">
        <v>2658</v>
      </c>
      <c r="D172" s="2416">
        <v>12</v>
      </c>
      <c r="E172" s="2175">
        <v>38000000</v>
      </c>
      <c r="F172" s="1512">
        <f t="shared" si="16"/>
        <v>6840000</v>
      </c>
      <c r="G172" s="2418">
        <v>42142</v>
      </c>
      <c r="H172" s="2419">
        <v>0.18</v>
      </c>
      <c r="I172" s="2164">
        <v>12</v>
      </c>
      <c r="J172" s="2164">
        <v>9</v>
      </c>
      <c r="K172" s="2164">
        <v>3166700</v>
      </c>
      <c r="L172" s="2164">
        <f t="shared" si="32"/>
        <v>570000</v>
      </c>
      <c r="M172" s="1510">
        <f t="shared" si="17"/>
        <v>28500300</v>
      </c>
      <c r="N172" s="1510">
        <f t="shared" si="18"/>
        <v>5130000</v>
      </c>
      <c r="O172" s="2171">
        <v>25333600</v>
      </c>
      <c r="P172" s="2171">
        <v>4560000</v>
      </c>
      <c r="Q172" s="2171"/>
      <c r="R172" s="3023">
        <v>3166700</v>
      </c>
      <c r="S172" s="3023">
        <v>570000</v>
      </c>
      <c r="T172" s="2173"/>
      <c r="U172" s="1495">
        <f t="shared" si="19"/>
        <v>28500300</v>
      </c>
      <c r="V172" s="1495">
        <f t="shared" si="20"/>
        <v>5130000</v>
      </c>
      <c r="W172" s="1495">
        <f t="shared" si="21"/>
        <v>0</v>
      </c>
      <c r="X172" s="1495">
        <f t="shared" si="22"/>
        <v>9499700</v>
      </c>
      <c r="Y172" s="1495">
        <f t="shared" si="23"/>
        <v>100</v>
      </c>
      <c r="Z172" s="1495">
        <f t="shared" si="24"/>
        <v>0</v>
      </c>
      <c r="AA172" s="1506">
        <f t="shared" si="25"/>
        <v>0</v>
      </c>
      <c r="AB172" s="1505"/>
      <c r="AC172" s="1504">
        <f t="shared" si="26"/>
        <v>0</v>
      </c>
      <c r="AD172" s="1503">
        <f t="shared" si="27"/>
        <v>0</v>
      </c>
      <c r="AE172" s="1503">
        <f t="shared" si="28"/>
        <v>0</v>
      </c>
      <c r="AF172" s="1502">
        <f t="shared" si="29"/>
        <v>0</v>
      </c>
    </row>
    <row r="173" spans="1:32" s="1474" customFormat="1" ht="23.25" customHeight="1">
      <c r="A173" s="2705">
        <v>108</v>
      </c>
      <c r="B173" s="2175" t="s">
        <v>2128</v>
      </c>
      <c r="C173" s="2416" t="s">
        <v>2670</v>
      </c>
      <c r="D173" s="2416">
        <v>12</v>
      </c>
      <c r="E173" s="2175">
        <v>35000000</v>
      </c>
      <c r="F173" s="1512">
        <f t="shared" si="16"/>
        <v>6300000</v>
      </c>
      <c r="G173" s="2418">
        <v>42069</v>
      </c>
      <c r="H173" s="2419">
        <v>0.18</v>
      </c>
      <c r="I173" s="2164">
        <v>12</v>
      </c>
      <c r="J173" s="2164">
        <v>8</v>
      </c>
      <c r="K173" s="2164">
        <v>2916700</v>
      </c>
      <c r="L173" s="2164">
        <f t="shared" si="32"/>
        <v>525000</v>
      </c>
      <c r="M173" s="1510">
        <f t="shared" si="17"/>
        <v>23333600</v>
      </c>
      <c r="N173" s="1510">
        <f t="shared" si="18"/>
        <v>4200000</v>
      </c>
      <c r="O173" s="2171">
        <v>20416900</v>
      </c>
      <c r="P173" s="2171">
        <v>3675000</v>
      </c>
      <c r="Q173" s="2171"/>
      <c r="R173" s="3023">
        <v>2916700</v>
      </c>
      <c r="S173" s="3023">
        <v>525000</v>
      </c>
      <c r="T173" s="2173"/>
      <c r="U173" s="1495">
        <f t="shared" si="19"/>
        <v>23333600</v>
      </c>
      <c r="V173" s="1495">
        <f t="shared" si="20"/>
        <v>4200000</v>
      </c>
      <c r="W173" s="1495">
        <f t="shared" si="21"/>
        <v>0</v>
      </c>
      <c r="X173" s="1495">
        <f t="shared" si="22"/>
        <v>11666400</v>
      </c>
      <c r="Y173" s="1495">
        <f t="shared" si="23"/>
        <v>100</v>
      </c>
      <c r="Z173" s="1495">
        <f t="shared" si="24"/>
        <v>0</v>
      </c>
      <c r="AA173" s="1506">
        <f t="shared" si="25"/>
        <v>0</v>
      </c>
      <c r="AB173" s="1505"/>
      <c r="AC173" s="1504">
        <f t="shared" si="26"/>
        <v>0</v>
      </c>
      <c r="AD173" s="1503">
        <f t="shared" si="27"/>
        <v>0</v>
      </c>
      <c r="AE173" s="1503">
        <f t="shared" si="28"/>
        <v>0</v>
      </c>
      <c r="AF173" s="1502">
        <f t="shared" si="29"/>
        <v>0</v>
      </c>
    </row>
    <row r="174" spans="1:32" s="1474" customFormat="1" ht="23.25" customHeight="1">
      <c r="A174" s="2705">
        <v>109</v>
      </c>
      <c r="B174" s="2175" t="s">
        <v>2145</v>
      </c>
      <c r="C174" s="2416" t="s">
        <v>2670</v>
      </c>
      <c r="D174" s="2416">
        <v>12</v>
      </c>
      <c r="E174" s="2175">
        <v>35000000</v>
      </c>
      <c r="F174" s="1512">
        <f t="shared" si="16"/>
        <v>6300000</v>
      </c>
      <c r="G174" s="2418">
        <v>42069</v>
      </c>
      <c r="H174" s="2419">
        <v>0.18</v>
      </c>
      <c r="I174" s="2164">
        <v>12</v>
      </c>
      <c r="J174" s="2164">
        <v>8</v>
      </c>
      <c r="K174" s="2164">
        <v>2916700</v>
      </c>
      <c r="L174" s="2164">
        <f t="shared" si="32"/>
        <v>525000</v>
      </c>
      <c r="M174" s="1510">
        <f t="shared" si="17"/>
        <v>23333600</v>
      </c>
      <c r="N174" s="1510">
        <f t="shared" si="18"/>
        <v>4200000</v>
      </c>
      <c r="O174" s="2171">
        <v>20416900</v>
      </c>
      <c r="P174" s="2171">
        <v>3675000</v>
      </c>
      <c r="Q174" s="2171"/>
      <c r="R174" s="3023">
        <v>2916700</v>
      </c>
      <c r="S174" s="3023">
        <v>525000</v>
      </c>
      <c r="T174" s="2173"/>
      <c r="U174" s="1495">
        <f t="shared" si="19"/>
        <v>23333600</v>
      </c>
      <c r="V174" s="1495">
        <f t="shared" si="20"/>
        <v>4200000</v>
      </c>
      <c r="W174" s="1495">
        <f t="shared" si="21"/>
        <v>0</v>
      </c>
      <c r="X174" s="1495">
        <f t="shared" si="22"/>
        <v>11666400</v>
      </c>
      <c r="Y174" s="1495">
        <f t="shared" si="23"/>
        <v>100</v>
      </c>
      <c r="Z174" s="1495">
        <f t="shared" si="24"/>
        <v>0</v>
      </c>
      <c r="AA174" s="1506">
        <f t="shared" si="25"/>
        <v>0</v>
      </c>
      <c r="AB174" s="1505"/>
      <c r="AC174" s="1504">
        <f t="shared" si="26"/>
        <v>0</v>
      </c>
      <c r="AD174" s="1503">
        <f t="shared" si="27"/>
        <v>0</v>
      </c>
      <c r="AE174" s="1503">
        <f t="shared" si="28"/>
        <v>0</v>
      </c>
      <c r="AF174" s="1502">
        <f t="shared" si="29"/>
        <v>0</v>
      </c>
    </row>
    <row r="175" spans="1:32" s="1474" customFormat="1" ht="23.25" customHeight="1">
      <c r="A175" s="2705">
        <v>110</v>
      </c>
      <c r="B175" s="2175" t="s">
        <v>2129</v>
      </c>
      <c r="C175" s="2416" t="s">
        <v>2658</v>
      </c>
      <c r="D175" s="2416">
        <v>12</v>
      </c>
      <c r="E175" s="2175">
        <v>42000000</v>
      </c>
      <c r="F175" s="1512">
        <f t="shared" si="16"/>
        <v>7560000</v>
      </c>
      <c r="G175" s="2418">
        <v>42253</v>
      </c>
      <c r="H175" s="2419">
        <v>0.18</v>
      </c>
      <c r="I175" s="2164">
        <v>12</v>
      </c>
      <c r="J175" s="2164">
        <v>8</v>
      </c>
      <c r="K175" s="2164">
        <f t="shared" ref="K175" si="36">E175/I174</f>
        <v>3500000</v>
      </c>
      <c r="L175" s="2164">
        <f t="shared" si="32"/>
        <v>630000</v>
      </c>
      <c r="M175" s="1510">
        <f t="shared" si="17"/>
        <v>28000000</v>
      </c>
      <c r="N175" s="1510">
        <f t="shared" si="18"/>
        <v>5040000</v>
      </c>
      <c r="O175" s="2171">
        <v>24500000</v>
      </c>
      <c r="P175" s="2171">
        <v>4410000</v>
      </c>
      <c r="Q175" s="2171"/>
      <c r="R175" s="3023">
        <v>3500000</v>
      </c>
      <c r="S175" s="3023">
        <v>630000</v>
      </c>
      <c r="T175" s="2173"/>
      <c r="U175" s="1495">
        <f t="shared" si="19"/>
        <v>28000000</v>
      </c>
      <c r="V175" s="1495">
        <f t="shared" si="20"/>
        <v>5040000</v>
      </c>
      <c r="W175" s="1495">
        <f t="shared" si="21"/>
        <v>0</v>
      </c>
      <c r="X175" s="1495">
        <f t="shared" si="22"/>
        <v>14000000</v>
      </c>
      <c r="Y175" s="1495">
        <f t="shared" si="23"/>
        <v>100</v>
      </c>
      <c r="Z175" s="1495">
        <f t="shared" si="24"/>
        <v>0</v>
      </c>
      <c r="AA175" s="1506">
        <f t="shared" si="25"/>
        <v>0</v>
      </c>
      <c r="AB175" s="1505"/>
      <c r="AC175" s="1504">
        <f t="shared" si="26"/>
        <v>0</v>
      </c>
      <c r="AD175" s="1503">
        <f t="shared" si="27"/>
        <v>0</v>
      </c>
      <c r="AE175" s="1503">
        <f t="shared" si="28"/>
        <v>0</v>
      </c>
      <c r="AF175" s="1502">
        <f t="shared" si="29"/>
        <v>0</v>
      </c>
    </row>
    <row r="176" spans="1:32" s="1474" customFormat="1" ht="23.25" customHeight="1">
      <c r="A176" s="2705">
        <v>111</v>
      </c>
      <c r="B176" s="2175" t="s">
        <v>2699</v>
      </c>
      <c r="C176" s="2416" t="s">
        <v>2670</v>
      </c>
      <c r="D176" s="2416">
        <v>10</v>
      </c>
      <c r="E176" s="2175">
        <v>25000000</v>
      </c>
      <c r="F176" s="1512">
        <f t="shared" si="16"/>
        <v>4500000</v>
      </c>
      <c r="G176" s="2418">
        <v>42235</v>
      </c>
      <c r="H176" s="2419">
        <v>0.18</v>
      </c>
      <c r="I176" s="2164">
        <v>12</v>
      </c>
      <c r="J176" s="2164">
        <v>6</v>
      </c>
      <c r="K176" s="2164">
        <f>ROUND(E176/I175,-2)</f>
        <v>2083300</v>
      </c>
      <c r="L176" s="2164">
        <f t="shared" ref="L176:L177" si="37">F176/I176</f>
        <v>375000</v>
      </c>
      <c r="M176" s="1510">
        <f t="shared" si="17"/>
        <v>12499800</v>
      </c>
      <c r="N176" s="1510">
        <f t="shared" si="18"/>
        <v>2250000</v>
      </c>
      <c r="O176" s="2171">
        <v>10416500</v>
      </c>
      <c r="P176" s="2171">
        <v>1875000</v>
      </c>
      <c r="Q176" s="2171"/>
      <c r="R176" s="3023">
        <v>2083300</v>
      </c>
      <c r="S176" s="3023">
        <v>375000</v>
      </c>
      <c r="T176" s="2173"/>
      <c r="U176" s="1495">
        <f t="shared" si="19"/>
        <v>12499800</v>
      </c>
      <c r="V176" s="1495">
        <f t="shared" si="20"/>
        <v>2250000</v>
      </c>
      <c r="W176" s="1495">
        <f t="shared" si="21"/>
        <v>0</v>
      </c>
      <c r="X176" s="1495">
        <f t="shared" si="22"/>
        <v>12500200</v>
      </c>
      <c r="Y176" s="1495">
        <f t="shared" si="23"/>
        <v>100</v>
      </c>
      <c r="Z176" s="1495">
        <f t="shared" si="24"/>
        <v>0</v>
      </c>
      <c r="AA176" s="1506">
        <f t="shared" si="25"/>
        <v>0</v>
      </c>
      <c r="AB176" s="1505"/>
      <c r="AC176" s="1504">
        <f t="shared" si="26"/>
        <v>0</v>
      </c>
      <c r="AD176" s="1503">
        <f t="shared" si="27"/>
        <v>0</v>
      </c>
      <c r="AE176" s="1503">
        <f t="shared" si="28"/>
        <v>0</v>
      </c>
      <c r="AF176" s="1502">
        <f t="shared" si="29"/>
        <v>0</v>
      </c>
    </row>
    <row r="177" spans="1:32" s="1474" customFormat="1" ht="23.25" customHeight="1">
      <c r="A177" s="2705">
        <v>112</v>
      </c>
      <c r="B177" s="2175" t="s">
        <v>2458</v>
      </c>
      <c r="C177" s="2416" t="s">
        <v>2670</v>
      </c>
      <c r="D177" s="2416">
        <v>13</v>
      </c>
      <c r="E177" s="2175">
        <v>30000000</v>
      </c>
      <c r="F177" s="1512">
        <f t="shared" si="16"/>
        <v>5400000</v>
      </c>
      <c r="G177" s="2418">
        <v>42228</v>
      </c>
      <c r="H177" s="2419">
        <v>0.18</v>
      </c>
      <c r="I177" s="2164">
        <v>12</v>
      </c>
      <c r="J177" s="2164">
        <v>6</v>
      </c>
      <c r="K177" s="2164">
        <f t="shared" ref="K177:K186" si="38">ROUND(E177/I176,-2)</f>
        <v>2500000</v>
      </c>
      <c r="L177" s="2164">
        <f t="shared" si="37"/>
        <v>450000</v>
      </c>
      <c r="M177" s="1510">
        <f t="shared" si="17"/>
        <v>15000000</v>
      </c>
      <c r="N177" s="1510">
        <f t="shared" si="18"/>
        <v>2700000</v>
      </c>
      <c r="O177" s="2171">
        <v>12500000</v>
      </c>
      <c r="P177" s="2171">
        <v>2250000</v>
      </c>
      <c r="Q177" s="2171"/>
      <c r="R177" s="3023">
        <v>2500000</v>
      </c>
      <c r="S177" s="3023">
        <v>450000</v>
      </c>
      <c r="T177" s="2173"/>
      <c r="U177" s="1495">
        <f t="shared" si="19"/>
        <v>15000000</v>
      </c>
      <c r="V177" s="1495">
        <f t="shared" si="20"/>
        <v>2700000</v>
      </c>
      <c r="W177" s="1495">
        <f t="shared" si="21"/>
        <v>0</v>
      </c>
      <c r="X177" s="1495">
        <f t="shared" si="22"/>
        <v>15000000</v>
      </c>
      <c r="Y177" s="1495">
        <f t="shared" si="23"/>
        <v>100</v>
      </c>
      <c r="Z177" s="1495">
        <f t="shared" si="24"/>
        <v>0</v>
      </c>
      <c r="AA177" s="1506">
        <f t="shared" si="25"/>
        <v>0</v>
      </c>
      <c r="AB177" s="1505"/>
      <c r="AC177" s="1504">
        <f t="shared" si="26"/>
        <v>0</v>
      </c>
      <c r="AD177" s="1503">
        <f t="shared" si="27"/>
        <v>0</v>
      </c>
      <c r="AE177" s="1503">
        <f t="shared" si="28"/>
        <v>0</v>
      </c>
      <c r="AF177" s="1502">
        <f t="shared" si="29"/>
        <v>0</v>
      </c>
    </row>
    <row r="178" spans="1:32" s="1474" customFormat="1" ht="23.25" customHeight="1">
      <c r="A178" s="2705">
        <v>113</v>
      </c>
      <c r="B178" s="2175" t="s">
        <v>2478</v>
      </c>
      <c r="C178" s="2416" t="s">
        <v>2689</v>
      </c>
      <c r="D178" s="2416">
        <v>12</v>
      </c>
      <c r="E178" s="2175">
        <v>18000000</v>
      </c>
      <c r="F178" s="1512">
        <f t="shared" si="16"/>
        <v>3240000</v>
      </c>
      <c r="G178" s="2418">
        <v>42324</v>
      </c>
      <c r="H178" s="2419">
        <v>0.18</v>
      </c>
      <c r="I178" s="2164">
        <v>12</v>
      </c>
      <c r="J178" s="2164">
        <v>3</v>
      </c>
      <c r="K178" s="2164">
        <f t="shared" si="38"/>
        <v>1500000</v>
      </c>
      <c r="L178" s="2164">
        <f t="shared" ref="L178:L187" si="39">F178/I178</f>
        <v>270000</v>
      </c>
      <c r="M178" s="1510">
        <f t="shared" si="17"/>
        <v>4500000</v>
      </c>
      <c r="N178" s="1510">
        <f t="shared" si="18"/>
        <v>810000</v>
      </c>
      <c r="O178" s="2171">
        <v>3000000</v>
      </c>
      <c r="P178" s="2171">
        <v>540000</v>
      </c>
      <c r="Q178" s="2171"/>
      <c r="R178" s="3023">
        <v>1500000</v>
      </c>
      <c r="S178" s="3023">
        <v>270000</v>
      </c>
      <c r="T178" s="2173"/>
      <c r="U178" s="1495">
        <f t="shared" si="19"/>
        <v>4500000</v>
      </c>
      <c r="V178" s="1495">
        <f t="shared" si="20"/>
        <v>810000</v>
      </c>
      <c r="W178" s="1495">
        <f t="shared" si="21"/>
        <v>0</v>
      </c>
      <c r="X178" s="1495">
        <f t="shared" si="22"/>
        <v>13500000</v>
      </c>
      <c r="Y178" s="1495">
        <f t="shared" si="23"/>
        <v>100</v>
      </c>
      <c r="Z178" s="1495">
        <f t="shared" si="24"/>
        <v>0</v>
      </c>
      <c r="AA178" s="1506">
        <f t="shared" si="25"/>
        <v>0</v>
      </c>
      <c r="AB178" s="1505"/>
      <c r="AC178" s="1504">
        <f t="shared" si="26"/>
        <v>0</v>
      </c>
      <c r="AD178" s="1503">
        <f t="shared" si="27"/>
        <v>0</v>
      </c>
      <c r="AE178" s="1503">
        <f t="shared" si="28"/>
        <v>0</v>
      </c>
      <c r="AF178" s="1502">
        <f t="shared" si="29"/>
        <v>0</v>
      </c>
    </row>
    <row r="179" spans="1:32" s="1474" customFormat="1" ht="23.25" customHeight="1">
      <c r="A179" s="2705">
        <v>114</v>
      </c>
      <c r="B179" s="2175" t="s">
        <v>2718</v>
      </c>
      <c r="C179" s="2416" t="s">
        <v>2689</v>
      </c>
      <c r="D179" s="2416">
        <v>16</v>
      </c>
      <c r="E179" s="2175">
        <v>16000000</v>
      </c>
      <c r="F179" s="1512">
        <f t="shared" si="16"/>
        <v>2880000</v>
      </c>
      <c r="G179" s="2418">
        <v>42324</v>
      </c>
      <c r="H179" s="2419">
        <v>0.18</v>
      </c>
      <c r="I179" s="2164">
        <v>12</v>
      </c>
      <c r="J179" s="2164">
        <v>3</v>
      </c>
      <c r="K179" s="2164">
        <f t="shared" si="38"/>
        <v>1333300</v>
      </c>
      <c r="L179" s="2164">
        <f t="shared" si="39"/>
        <v>240000</v>
      </c>
      <c r="M179" s="1510">
        <f t="shared" si="17"/>
        <v>3999900</v>
      </c>
      <c r="N179" s="1510">
        <f t="shared" si="18"/>
        <v>720000</v>
      </c>
      <c r="O179" s="2171">
        <v>2666600</v>
      </c>
      <c r="P179" s="2171">
        <v>480000</v>
      </c>
      <c r="Q179" s="2171"/>
      <c r="R179" s="3023">
        <v>1333300</v>
      </c>
      <c r="S179" s="3023">
        <v>240000</v>
      </c>
      <c r="T179" s="2173"/>
      <c r="U179" s="1495">
        <f t="shared" si="19"/>
        <v>3999900</v>
      </c>
      <c r="V179" s="1495">
        <f t="shared" si="20"/>
        <v>720000</v>
      </c>
      <c r="W179" s="1495">
        <f t="shared" si="21"/>
        <v>0</v>
      </c>
      <c r="X179" s="1495">
        <f t="shared" si="22"/>
        <v>12000100</v>
      </c>
      <c r="Y179" s="1495">
        <f t="shared" si="23"/>
        <v>100</v>
      </c>
      <c r="Z179" s="1495">
        <f t="shared" si="24"/>
        <v>0</v>
      </c>
      <c r="AA179" s="1506">
        <f t="shared" si="25"/>
        <v>0</v>
      </c>
      <c r="AB179" s="1505"/>
      <c r="AC179" s="1504">
        <f t="shared" si="26"/>
        <v>0</v>
      </c>
      <c r="AD179" s="1503">
        <f t="shared" si="27"/>
        <v>0</v>
      </c>
      <c r="AE179" s="1503">
        <f t="shared" si="28"/>
        <v>0</v>
      </c>
      <c r="AF179" s="1502">
        <f t="shared" si="29"/>
        <v>0</v>
      </c>
    </row>
    <row r="180" spans="1:32" s="1474" customFormat="1" ht="23.25" customHeight="1">
      <c r="A180" s="2705">
        <v>115</v>
      </c>
      <c r="B180" s="2175" t="s">
        <v>2728</v>
      </c>
      <c r="C180" s="2416" t="s">
        <v>2689</v>
      </c>
      <c r="D180" s="2416">
        <v>10</v>
      </c>
      <c r="E180" s="2175">
        <v>30000000</v>
      </c>
      <c r="F180" s="1512">
        <f t="shared" si="16"/>
        <v>5400000</v>
      </c>
      <c r="G180" s="2418">
        <v>42324</v>
      </c>
      <c r="H180" s="2419">
        <v>0.18</v>
      </c>
      <c r="I180" s="2164">
        <v>12</v>
      </c>
      <c r="J180" s="2164">
        <v>3</v>
      </c>
      <c r="K180" s="2164">
        <f t="shared" si="38"/>
        <v>2500000</v>
      </c>
      <c r="L180" s="2164">
        <f t="shared" si="39"/>
        <v>450000</v>
      </c>
      <c r="M180" s="1510">
        <f t="shared" ref="M180:M187" si="40">IF(J180&lt;I180,J180*K180,IF(J180&gt;=I180,E180))</f>
        <v>7500000</v>
      </c>
      <c r="N180" s="1510">
        <f t="shared" ref="N180:N187" si="41">IF(J180&lt;I180,J180*L180,IF(J180&gt;=I180,F180))</f>
        <v>1350000</v>
      </c>
      <c r="O180" s="2171">
        <v>5000000</v>
      </c>
      <c r="P180" s="2171">
        <v>900000</v>
      </c>
      <c r="Q180" s="2171"/>
      <c r="R180" s="3023">
        <v>2500000</v>
      </c>
      <c r="S180" s="3023">
        <v>450000</v>
      </c>
      <c r="T180" s="2173"/>
      <c r="U180" s="1495">
        <f t="shared" ref="U180:U188" si="42">SUM(O180+R180)</f>
        <v>7500000</v>
      </c>
      <c r="V180" s="1495">
        <f t="shared" ref="V180:V188" si="43">SUM(P180+S180)</f>
        <v>1350000</v>
      </c>
      <c r="W180" s="1495">
        <f t="shared" ref="W180:W188" si="44">SUM(Q180+T180)</f>
        <v>0</v>
      </c>
      <c r="X180" s="1495">
        <f t="shared" ref="X180:X188" si="45">SUM(E180-U180)</f>
        <v>22500000</v>
      </c>
      <c r="Y180" s="1495">
        <f t="shared" ref="Y180:Y188" si="46">SUM(U180/M180)*100</f>
        <v>100</v>
      </c>
      <c r="Z180" s="1495">
        <f t="shared" ref="Z180:Z187" si="47">SUM(M180-U180)</f>
        <v>0</v>
      </c>
      <c r="AA180" s="1506">
        <f t="shared" ref="AA180:AA187" si="48">SUM(N180-V180)</f>
        <v>0</v>
      </c>
      <c r="AB180" s="1505"/>
      <c r="AC180" s="1504">
        <f t="shared" ref="AC180:AC188" si="49">IF(AND(AB180&gt;0,AB180&lt;=2),X180,0)</f>
        <v>0</v>
      </c>
      <c r="AD180" s="1503">
        <f t="shared" ref="AD180:AD188" si="50">IF(AND(AB180&gt;=3,AB180&lt;=4),X180,0)</f>
        <v>0</v>
      </c>
      <c r="AE180" s="1503">
        <f t="shared" ref="AE180:AE188" si="51">IF(AND(AB180&gt;=5,AB180&lt;=6),X180,0)</f>
        <v>0</v>
      </c>
      <c r="AF180" s="1502">
        <f t="shared" ref="AF180:AF188" si="52">IF(AB180&gt;6,X180,0)</f>
        <v>0</v>
      </c>
    </row>
    <row r="181" spans="1:32" s="1474" customFormat="1" ht="23.25" customHeight="1">
      <c r="A181" s="2705">
        <v>116</v>
      </c>
      <c r="B181" s="2175" t="s">
        <v>2720</v>
      </c>
      <c r="C181" s="2416" t="s">
        <v>2689</v>
      </c>
      <c r="D181" s="2416">
        <v>10</v>
      </c>
      <c r="E181" s="2175">
        <v>30000000</v>
      </c>
      <c r="F181" s="1512">
        <f t="shared" si="16"/>
        <v>5400000</v>
      </c>
      <c r="G181" s="2418">
        <v>42324</v>
      </c>
      <c r="H181" s="2419">
        <v>0.18</v>
      </c>
      <c r="I181" s="2164">
        <v>12</v>
      </c>
      <c r="J181" s="2164">
        <v>3</v>
      </c>
      <c r="K181" s="2164">
        <f t="shared" si="38"/>
        <v>2500000</v>
      </c>
      <c r="L181" s="2164">
        <f t="shared" si="39"/>
        <v>450000</v>
      </c>
      <c r="M181" s="1510">
        <f t="shared" si="40"/>
        <v>7500000</v>
      </c>
      <c r="N181" s="1510">
        <f t="shared" si="41"/>
        <v>1350000</v>
      </c>
      <c r="O181" s="2171">
        <v>5000000</v>
      </c>
      <c r="P181" s="2171">
        <v>900000</v>
      </c>
      <c r="Q181" s="2171"/>
      <c r="R181" s="3023">
        <v>2500000</v>
      </c>
      <c r="S181" s="3023">
        <v>450000</v>
      </c>
      <c r="T181" s="2173"/>
      <c r="U181" s="1495">
        <f t="shared" si="42"/>
        <v>7500000</v>
      </c>
      <c r="V181" s="1495">
        <f t="shared" si="43"/>
        <v>1350000</v>
      </c>
      <c r="W181" s="1495">
        <f t="shared" si="44"/>
        <v>0</v>
      </c>
      <c r="X181" s="1495">
        <f t="shared" si="45"/>
        <v>22500000</v>
      </c>
      <c r="Y181" s="1495">
        <f t="shared" si="46"/>
        <v>100</v>
      </c>
      <c r="Z181" s="1495">
        <f t="shared" si="47"/>
        <v>0</v>
      </c>
      <c r="AA181" s="1506">
        <f t="shared" si="48"/>
        <v>0</v>
      </c>
      <c r="AB181" s="1505"/>
      <c r="AC181" s="1504">
        <f t="shared" si="49"/>
        <v>0</v>
      </c>
      <c r="AD181" s="1503">
        <f t="shared" si="50"/>
        <v>0</v>
      </c>
      <c r="AE181" s="1503">
        <f t="shared" si="51"/>
        <v>0</v>
      </c>
      <c r="AF181" s="1502">
        <f t="shared" si="52"/>
        <v>0</v>
      </c>
    </row>
    <row r="182" spans="1:32" s="1474" customFormat="1" ht="23.25" customHeight="1">
      <c r="A182" s="2705">
        <v>117</v>
      </c>
      <c r="B182" s="2175" t="s">
        <v>2719</v>
      </c>
      <c r="C182" s="2416" t="s">
        <v>2689</v>
      </c>
      <c r="D182" s="2416">
        <v>9</v>
      </c>
      <c r="E182" s="2175">
        <v>10000000</v>
      </c>
      <c r="F182" s="1512">
        <f t="shared" si="16"/>
        <v>1800000</v>
      </c>
      <c r="G182" s="2418">
        <v>42324</v>
      </c>
      <c r="H182" s="2419">
        <v>0.18</v>
      </c>
      <c r="I182" s="2164">
        <v>12</v>
      </c>
      <c r="J182" s="2164">
        <v>3</v>
      </c>
      <c r="K182" s="2164">
        <f t="shared" si="38"/>
        <v>833300</v>
      </c>
      <c r="L182" s="2164">
        <f t="shared" si="39"/>
        <v>150000</v>
      </c>
      <c r="M182" s="1510">
        <f t="shared" si="40"/>
        <v>2499900</v>
      </c>
      <c r="N182" s="1510">
        <f t="shared" si="41"/>
        <v>450000</v>
      </c>
      <c r="O182" s="2171">
        <v>1666600</v>
      </c>
      <c r="P182" s="2171">
        <v>300000</v>
      </c>
      <c r="Q182" s="2171"/>
      <c r="R182" s="3023">
        <v>833300</v>
      </c>
      <c r="S182" s="3023">
        <v>150000</v>
      </c>
      <c r="T182" s="2173"/>
      <c r="U182" s="1495">
        <f t="shared" si="42"/>
        <v>2499900</v>
      </c>
      <c r="V182" s="1495">
        <f t="shared" si="43"/>
        <v>450000</v>
      </c>
      <c r="W182" s="1495">
        <f t="shared" si="44"/>
        <v>0</v>
      </c>
      <c r="X182" s="1495">
        <f t="shared" si="45"/>
        <v>7500100</v>
      </c>
      <c r="Y182" s="1495">
        <f t="shared" si="46"/>
        <v>100</v>
      </c>
      <c r="Z182" s="1495">
        <f t="shared" si="47"/>
        <v>0</v>
      </c>
      <c r="AA182" s="1506">
        <f t="shared" si="48"/>
        <v>0</v>
      </c>
      <c r="AB182" s="1505"/>
      <c r="AC182" s="1504">
        <f t="shared" si="49"/>
        <v>0</v>
      </c>
      <c r="AD182" s="1503">
        <f t="shared" si="50"/>
        <v>0</v>
      </c>
      <c r="AE182" s="1503">
        <f t="shared" si="51"/>
        <v>0</v>
      </c>
      <c r="AF182" s="1502">
        <f t="shared" si="52"/>
        <v>0</v>
      </c>
    </row>
    <row r="183" spans="1:32" s="1474" customFormat="1" ht="23.25" customHeight="1">
      <c r="A183" s="2705">
        <v>118</v>
      </c>
      <c r="B183" s="2175" t="s">
        <v>2149</v>
      </c>
      <c r="C183" s="2416" t="s">
        <v>2689</v>
      </c>
      <c r="D183" s="2416">
        <v>15</v>
      </c>
      <c r="E183" s="2175">
        <v>42000000</v>
      </c>
      <c r="F183" s="1512">
        <f t="shared" si="16"/>
        <v>7560000</v>
      </c>
      <c r="G183" s="2418">
        <v>42345</v>
      </c>
      <c r="H183" s="2419">
        <v>0.18</v>
      </c>
      <c r="I183" s="2164">
        <v>12</v>
      </c>
      <c r="J183" s="2164">
        <v>2</v>
      </c>
      <c r="K183" s="2164">
        <f t="shared" si="38"/>
        <v>3500000</v>
      </c>
      <c r="L183" s="2164">
        <f t="shared" si="39"/>
        <v>630000</v>
      </c>
      <c r="M183" s="1510">
        <f t="shared" si="40"/>
        <v>7000000</v>
      </c>
      <c r="N183" s="1510">
        <f t="shared" si="41"/>
        <v>1260000</v>
      </c>
      <c r="O183" s="2171">
        <v>3500000</v>
      </c>
      <c r="P183" s="2171">
        <v>630000</v>
      </c>
      <c r="Q183" s="2171"/>
      <c r="R183" s="3023">
        <v>3500000</v>
      </c>
      <c r="S183" s="3023">
        <v>630000</v>
      </c>
      <c r="T183" s="2173"/>
      <c r="U183" s="1495">
        <f t="shared" si="42"/>
        <v>7000000</v>
      </c>
      <c r="V183" s="1495">
        <f t="shared" si="43"/>
        <v>1260000</v>
      </c>
      <c r="W183" s="1495">
        <f t="shared" si="44"/>
        <v>0</v>
      </c>
      <c r="X183" s="1495">
        <f t="shared" si="45"/>
        <v>35000000</v>
      </c>
      <c r="Y183" s="1495">
        <f t="shared" si="46"/>
        <v>100</v>
      </c>
      <c r="Z183" s="1495">
        <f t="shared" si="47"/>
        <v>0</v>
      </c>
      <c r="AA183" s="1506">
        <f t="shared" si="48"/>
        <v>0</v>
      </c>
      <c r="AB183" s="1505"/>
      <c r="AC183" s="1504">
        <f t="shared" si="49"/>
        <v>0</v>
      </c>
      <c r="AD183" s="1503">
        <f t="shared" si="50"/>
        <v>0</v>
      </c>
      <c r="AE183" s="1503">
        <f t="shared" si="51"/>
        <v>0</v>
      </c>
      <c r="AF183" s="1502">
        <f t="shared" si="52"/>
        <v>0</v>
      </c>
    </row>
    <row r="184" spans="1:32" s="1474" customFormat="1" ht="23.25" customHeight="1">
      <c r="A184" s="2705">
        <v>119</v>
      </c>
      <c r="B184" s="2175" t="s">
        <v>2134</v>
      </c>
      <c r="C184" s="2416" t="s">
        <v>2689</v>
      </c>
      <c r="D184" s="2416">
        <v>13</v>
      </c>
      <c r="E184" s="2175">
        <v>50000000</v>
      </c>
      <c r="F184" s="1512">
        <f t="shared" si="16"/>
        <v>9000000</v>
      </c>
      <c r="G184" s="2418">
        <v>42359</v>
      </c>
      <c r="H184" s="2419">
        <v>0.18</v>
      </c>
      <c r="I184" s="2164">
        <v>12</v>
      </c>
      <c r="J184" s="2164">
        <v>2</v>
      </c>
      <c r="K184" s="2164">
        <f t="shared" si="38"/>
        <v>4166700</v>
      </c>
      <c r="L184" s="2164">
        <f t="shared" si="39"/>
        <v>750000</v>
      </c>
      <c r="M184" s="1510">
        <f t="shared" si="40"/>
        <v>8333400</v>
      </c>
      <c r="N184" s="1510">
        <f t="shared" si="41"/>
        <v>1500000</v>
      </c>
      <c r="O184" s="2171">
        <v>4166700</v>
      </c>
      <c r="P184" s="2171">
        <v>750000</v>
      </c>
      <c r="Q184" s="2171"/>
      <c r="R184" s="3023">
        <v>4166700</v>
      </c>
      <c r="S184" s="3023">
        <v>750000</v>
      </c>
      <c r="T184" s="2173"/>
      <c r="U184" s="1495">
        <f t="shared" si="42"/>
        <v>8333400</v>
      </c>
      <c r="V184" s="1495">
        <f t="shared" si="43"/>
        <v>1500000</v>
      </c>
      <c r="W184" s="1495">
        <f t="shared" si="44"/>
        <v>0</v>
      </c>
      <c r="X184" s="1495">
        <f t="shared" si="45"/>
        <v>41666600</v>
      </c>
      <c r="Y184" s="1495">
        <f t="shared" si="46"/>
        <v>100</v>
      </c>
      <c r="Z184" s="1495">
        <f t="shared" si="47"/>
        <v>0</v>
      </c>
      <c r="AA184" s="1506">
        <f t="shared" si="48"/>
        <v>0</v>
      </c>
      <c r="AB184" s="1505"/>
      <c r="AC184" s="1504">
        <f t="shared" si="49"/>
        <v>0</v>
      </c>
      <c r="AD184" s="1503">
        <f t="shared" si="50"/>
        <v>0</v>
      </c>
      <c r="AE184" s="1503">
        <f t="shared" si="51"/>
        <v>0</v>
      </c>
      <c r="AF184" s="1502">
        <f t="shared" si="52"/>
        <v>0</v>
      </c>
    </row>
    <row r="185" spans="1:32" s="1474" customFormat="1" ht="23.25" customHeight="1">
      <c r="A185" s="2705">
        <v>120</v>
      </c>
      <c r="B185" s="2175" t="s">
        <v>2244</v>
      </c>
      <c r="C185" s="2416" t="s">
        <v>2714</v>
      </c>
      <c r="D185" s="2416">
        <v>10</v>
      </c>
      <c r="E185" s="2175">
        <v>25000000</v>
      </c>
      <c r="F185" s="1512">
        <f t="shared" si="16"/>
        <v>4500000</v>
      </c>
      <c r="G185" s="2418">
        <v>42359</v>
      </c>
      <c r="H185" s="2419">
        <v>0.18</v>
      </c>
      <c r="I185" s="2164">
        <v>12</v>
      </c>
      <c r="J185" s="2164">
        <v>2</v>
      </c>
      <c r="K185" s="2164">
        <f t="shared" si="38"/>
        <v>2083300</v>
      </c>
      <c r="L185" s="2164">
        <f t="shared" si="39"/>
        <v>375000</v>
      </c>
      <c r="M185" s="1510">
        <f t="shared" si="40"/>
        <v>4166600</v>
      </c>
      <c r="N185" s="1510">
        <f t="shared" si="41"/>
        <v>750000</v>
      </c>
      <c r="O185" s="2171">
        <v>2083300</v>
      </c>
      <c r="P185" s="2171">
        <v>375000</v>
      </c>
      <c r="Q185" s="2171"/>
      <c r="R185" s="3023"/>
      <c r="S185" s="3023"/>
      <c r="T185" s="2173"/>
      <c r="U185" s="1495">
        <f t="shared" si="42"/>
        <v>2083300</v>
      </c>
      <c r="V185" s="1495">
        <f t="shared" si="43"/>
        <v>375000</v>
      </c>
      <c r="W185" s="1495">
        <f t="shared" si="44"/>
        <v>0</v>
      </c>
      <c r="X185" s="1495">
        <f t="shared" si="45"/>
        <v>22916700</v>
      </c>
      <c r="Y185" s="1495">
        <f t="shared" si="46"/>
        <v>50</v>
      </c>
      <c r="Z185" s="1495">
        <f t="shared" si="47"/>
        <v>2083300</v>
      </c>
      <c r="AA185" s="1506">
        <f t="shared" si="48"/>
        <v>375000</v>
      </c>
      <c r="AB185" s="1505"/>
      <c r="AC185" s="1504">
        <f t="shared" si="49"/>
        <v>0</v>
      </c>
      <c r="AD185" s="1503">
        <f t="shared" si="50"/>
        <v>0</v>
      </c>
      <c r="AE185" s="1503">
        <f t="shared" si="51"/>
        <v>0</v>
      </c>
      <c r="AF185" s="1502">
        <f t="shared" si="52"/>
        <v>0</v>
      </c>
    </row>
    <row r="186" spans="1:32" s="1474" customFormat="1" ht="23.25" customHeight="1">
      <c r="A186" s="2705">
        <v>120</v>
      </c>
      <c r="B186" s="2175" t="s">
        <v>2729</v>
      </c>
      <c r="C186" s="2416" t="s">
        <v>2714</v>
      </c>
      <c r="D186" s="2416">
        <v>11</v>
      </c>
      <c r="E186" s="2175">
        <v>50000000</v>
      </c>
      <c r="F186" s="1512">
        <f t="shared" si="16"/>
        <v>9000000</v>
      </c>
      <c r="G186" s="2418">
        <v>42388</v>
      </c>
      <c r="H186" s="2419">
        <v>0.18</v>
      </c>
      <c r="I186" s="2164">
        <v>12</v>
      </c>
      <c r="J186" s="2164">
        <v>1</v>
      </c>
      <c r="K186" s="2164">
        <f t="shared" si="38"/>
        <v>4166700</v>
      </c>
      <c r="L186" s="2164">
        <f t="shared" si="39"/>
        <v>750000</v>
      </c>
      <c r="M186" s="1510">
        <f t="shared" si="40"/>
        <v>4166700</v>
      </c>
      <c r="N186" s="1510">
        <f t="shared" si="41"/>
        <v>750000</v>
      </c>
      <c r="O186" s="2171"/>
      <c r="P186" s="2171"/>
      <c r="Q186" s="2171"/>
      <c r="R186" s="3023">
        <v>4166700</v>
      </c>
      <c r="S186" s="3023">
        <v>750000</v>
      </c>
      <c r="T186" s="2173"/>
      <c r="U186" s="1495">
        <f t="shared" si="42"/>
        <v>4166700</v>
      </c>
      <c r="V186" s="1495">
        <f t="shared" si="43"/>
        <v>750000</v>
      </c>
      <c r="W186" s="1495">
        <f t="shared" si="44"/>
        <v>0</v>
      </c>
      <c r="X186" s="1495">
        <f t="shared" si="45"/>
        <v>45833300</v>
      </c>
      <c r="Y186" s="1495">
        <f t="shared" si="46"/>
        <v>100</v>
      </c>
      <c r="Z186" s="1495">
        <f t="shared" si="47"/>
        <v>0</v>
      </c>
      <c r="AA186" s="1506">
        <f t="shared" si="48"/>
        <v>0</v>
      </c>
      <c r="AB186" s="1505"/>
      <c r="AC186" s="1504">
        <f t="shared" si="49"/>
        <v>0</v>
      </c>
      <c r="AD186" s="1503">
        <f t="shared" si="50"/>
        <v>0</v>
      </c>
      <c r="AE186" s="1503">
        <f t="shared" si="51"/>
        <v>0</v>
      </c>
      <c r="AF186" s="1502">
        <f t="shared" si="52"/>
        <v>0</v>
      </c>
    </row>
    <row r="187" spans="1:32" s="1474" customFormat="1" ht="23.25" customHeight="1">
      <c r="A187" s="2705">
        <v>120</v>
      </c>
      <c r="B187" s="2175" t="s">
        <v>2148</v>
      </c>
      <c r="C187" s="2416" t="s">
        <v>2714</v>
      </c>
      <c r="D187" s="2416">
        <v>13</v>
      </c>
      <c r="E187" s="2175">
        <v>38000000</v>
      </c>
      <c r="F187" s="1512">
        <f t="shared" si="16"/>
        <v>6840000</v>
      </c>
      <c r="G187" s="2418">
        <v>42422</v>
      </c>
      <c r="H187" s="2419">
        <v>0.18</v>
      </c>
      <c r="I187" s="2164">
        <v>12</v>
      </c>
      <c r="J187" s="2164"/>
      <c r="K187" s="2164"/>
      <c r="L187" s="2164">
        <f t="shared" si="39"/>
        <v>570000</v>
      </c>
      <c r="M187" s="1510">
        <f t="shared" si="40"/>
        <v>0</v>
      </c>
      <c r="N187" s="1510">
        <f t="shared" si="41"/>
        <v>0</v>
      </c>
      <c r="O187" s="2171"/>
      <c r="P187" s="2171"/>
      <c r="Q187" s="2171"/>
      <c r="R187" s="2649"/>
      <c r="S187" s="2649"/>
      <c r="T187" s="2173"/>
      <c r="U187" s="1495">
        <f t="shared" si="42"/>
        <v>0</v>
      </c>
      <c r="V187" s="1495">
        <f t="shared" si="43"/>
        <v>0</v>
      </c>
      <c r="W187" s="1495">
        <f t="shared" si="44"/>
        <v>0</v>
      </c>
      <c r="X187" s="1495">
        <f t="shared" si="45"/>
        <v>38000000</v>
      </c>
      <c r="Y187" s="1495" t="e">
        <f t="shared" si="46"/>
        <v>#DIV/0!</v>
      </c>
      <c r="Z187" s="1495">
        <f t="shared" si="47"/>
        <v>0</v>
      </c>
      <c r="AA187" s="1506">
        <f t="shared" si="48"/>
        <v>0</v>
      </c>
      <c r="AB187" s="1505"/>
      <c r="AC187" s="1504">
        <f t="shared" si="49"/>
        <v>0</v>
      </c>
      <c r="AD187" s="1503">
        <f t="shared" si="50"/>
        <v>0</v>
      </c>
      <c r="AE187" s="1503">
        <f t="shared" si="51"/>
        <v>0</v>
      </c>
      <c r="AF187" s="1502">
        <f t="shared" si="52"/>
        <v>0</v>
      </c>
    </row>
    <row r="188" spans="1:32" s="1474" customFormat="1" ht="23.25" customHeight="1">
      <c r="A188" s="2175"/>
      <c r="B188" s="2175"/>
      <c r="C188" s="2416"/>
      <c r="D188" s="2416"/>
      <c r="E188" s="2175"/>
      <c r="F188" s="1512">
        <f t="shared" si="16"/>
        <v>0</v>
      </c>
      <c r="G188" s="2418"/>
      <c r="H188" s="2419"/>
      <c r="I188" s="2164"/>
      <c r="J188" s="2164"/>
      <c r="K188" s="2164"/>
      <c r="L188" s="2164"/>
      <c r="M188" s="1510">
        <f t="shared" si="17"/>
        <v>0</v>
      </c>
      <c r="N188" s="1510">
        <f t="shared" si="18"/>
        <v>0</v>
      </c>
      <c r="O188" s="2171"/>
      <c r="P188" s="2171"/>
      <c r="Q188" s="2171"/>
      <c r="R188" s="2649"/>
      <c r="S188" s="2649"/>
      <c r="T188" s="2173"/>
      <c r="U188" s="1495">
        <f t="shared" si="42"/>
        <v>0</v>
      </c>
      <c r="V188" s="1495">
        <f t="shared" si="43"/>
        <v>0</v>
      </c>
      <c r="W188" s="1495">
        <f t="shared" si="44"/>
        <v>0</v>
      </c>
      <c r="X188" s="1495">
        <f t="shared" si="45"/>
        <v>0</v>
      </c>
      <c r="Y188" s="1495" t="e">
        <f t="shared" si="46"/>
        <v>#DIV/0!</v>
      </c>
      <c r="Z188" s="1495">
        <f t="shared" si="24"/>
        <v>0</v>
      </c>
      <c r="AA188" s="1506">
        <f t="shared" si="25"/>
        <v>0</v>
      </c>
      <c r="AB188" s="1505"/>
      <c r="AC188" s="1504">
        <f t="shared" si="49"/>
        <v>0</v>
      </c>
      <c r="AD188" s="1503">
        <f t="shared" si="50"/>
        <v>0</v>
      </c>
      <c r="AE188" s="1503">
        <f t="shared" si="51"/>
        <v>0</v>
      </c>
      <c r="AF188" s="1502">
        <f t="shared" si="52"/>
        <v>0</v>
      </c>
    </row>
    <row r="189" spans="1:32" s="1474" customFormat="1" ht="23.25" customHeight="1">
      <c r="A189" s="2175"/>
      <c r="B189" s="2175"/>
      <c r="C189" s="2416"/>
      <c r="D189" s="2416"/>
      <c r="E189" s="2175"/>
      <c r="F189" s="1512">
        <f t="shared" si="16"/>
        <v>0</v>
      </c>
      <c r="G189" s="2418"/>
      <c r="H189" s="2419"/>
      <c r="I189" s="2164"/>
      <c r="J189" s="2164"/>
      <c r="K189" s="2164"/>
      <c r="L189" s="2164"/>
      <c r="M189" s="1510">
        <f t="shared" si="17"/>
        <v>0</v>
      </c>
      <c r="N189" s="1510">
        <f t="shared" si="18"/>
        <v>0</v>
      </c>
      <c r="O189" s="2171"/>
      <c r="P189" s="2171"/>
      <c r="Q189" s="2171"/>
      <c r="R189" s="2164"/>
      <c r="S189" s="2164"/>
      <c r="T189" s="2173"/>
      <c r="U189" s="1495">
        <f t="shared" si="19"/>
        <v>0</v>
      </c>
      <c r="V189" s="1495">
        <f t="shared" si="20"/>
        <v>0</v>
      </c>
      <c r="W189" s="1495">
        <f t="shared" si="21"/>
        <v>0</v>
      </c>
      <c r="X189" s="1495">
        <f t="shared" si="22"/>
        <v>0</v>
      </c>
      <c r="Y189" s="1495" t="e">
        <f t="shared" si="23"/>
        <v>#DIV/0!</v>
      </c>
      <c r="Z189" s="1495">
        <f t="shared" si="24"/>
        <v>0</v>
      </c>
      <c r="AA189" s="1506">
        <f t="shared" si="25"/>
        <v>0</v>
      </c>
      <c r="AB189" s="1505"/>
      <c r="AC189" s="1504">
        <f t="shared" si="26"/>
        <v>0</v>
      </c>
      <c r="AD189" s="1503">
        <f t="shared" si="27"/>
        <v>0</v>
      </c>
      <c r="AE189" s="1503">
        <f t="shared" si="28"/>
        <v>0</v>
      </c>
      <c r="AF189" s="1502">
        <f t="shared" si="29"/>
        <v>0</v>
      </c>
    </row>
    <row r="190" spans="1:32" s="1474" customFormat="1" ht="23.25" customHeight="1" thickBot="1">
      <c r="A190" s="1501"/>
      <c r="B190" s="1496"/>
      <c r="C190" s="1499"/>
      <c r="D190" s="1499"/>
      <c r="E190" s="1496"/>
      <c r="F190" s="1512">
        <f t="shared" si="16"/>
        <v>0</v>
      </c>
      <c r="G190" s="2423"/>
      <c r="H190" s="2433"/>
      <c r="I190" s="2423"/>
      <c r="J190" s="2423"/>
      <c r="K190" s="2423"/>
      <c r="L190" s="2423"/>
      <c r="M190" s="1510">
        <f t="shared" si="17"/>
        <v>0</v>
      </c>
      <c r="N190" s="1510">
        <f t="shared" si="18"/>
        <v>0</v>
      </c>
      <c r="O190" s="2175"/>
      <c r="P190" s="2175"/>
      <c r="Q190" s="2175"/>
      <c r="R190" s="2173"/>
      <c r="S190" s="2173"/>
      <c r="T190" s="2173"/>
      <c r="U190" s="1495">
        <f t="shared" si="19"/>
        <v>0</v>
      </c>
      <c r="V190" s="1495">
        <f t="shared" si="20"/>
        <v>0</v>
      </c>
      <c r="W190" s="1495">
        <f t="shared" si="21"/>
        <v>0</v>
      </c>
      <c r="X190" s="1495">
        <f t="shared" si="22"/>
        <v>0</v>
      </c>
      <c r="Y190" s="1495" t="e">
        <f t="shared" si="23"/>
        <v>#DIV/0!</v>
      </c>
      <c r="Z190" s="1495">
        <f t="shared" si="24"/>
        <v>0</v>
      </c>
      <c r="AA190" s="1506">
        <f t="shared" si="25"/>
        <v>0</v>
      </c>
      <c r="AB190" s="1492"/>
      <c r="AC190" s="1504">
        <f t="shared" si="26"/>
        <v>0</v>
      </c>
      <c r="AD190" s="1503">
        <f t="shared" si="27"/>
        <v>0</v>
      </c>
      <c r="AE190" s="1503">
        <f t="shared" si="28"/>
        <v>0</v>
      </c>
      <c r="AF190" s="1502">
        <f t="shared" si="29"/>
        <v>0</v>
      </c>
    </row>
    <row r="191" spans="1:32" s="1474" customFormat="1" ht="11.25" customHeight="1" thickTop="1" thickBot="1">
      <c r="A191" s="1488"/>
      <c r="B191" s="1486"/>
      <c r="C191" s="1487"/>
      <c r="D191" s="1487"/>
      <c r="E191" s="1486"/>
      <c r="F191" s="1486"/>
      <c r="G191" s="2430"/>
      <c r="H191" s="2430"/>
      <c r="I191" s="2430"/>
      <c r="J191" s="2430"/>
      <c r="K191" s="2430"/>
      <c r="L191" s="2430"/>
      <c r="M191" s="1486"/>
      <c r="N191" s="1486"/>
      <c r="O191" s="2430"/>
      <c r="P191" s="2430"/>
      <c r="Q191" s="2430"/>
      <c r="R191" s="2430"/>
      <c r="S191" s="2430"/>
      <c r="T191" s="2430"/>
      <c r="U191" s="1486"/>
      <c r="V191" s="1486"/>
      <c r="W191" s="1486"/>
      <c r="X191" s="1486"/>
      <c r="Y191" s="1486"/>
      <c r="Z191" s="1486"/>
      <c r="AA191" s="1485"/>
      <c r="AB191" s="1484"/>
      <c r="AC191" s="1483"/>
      <c r="AD191" s="1483"/>
      <c r="AE191" s="1483"/>
      <c r="AF191" s="1482"/>
    </row>
    <row r="192" spans="1:32" s="1474" customFormat="1" ht="33" customHeight="1" thickTop="1" thickBot="1">
      <c r="A192" s="3764" t="s">
        <v>934</v>
      </c>
      <c r="B192" s="3765"/>
      <c r="C192" s="3766"/>
      <c r="D192" s="2546">
        <f>SUM(D66:D190)</f>
        <v>790</v>
      </c>
      <c r="E192" s="1480">
        <f>SUM(E66:E190)</f>
        <v>2557400000</v>
      </c>
      <c r="F192" s="1480">
        <f>SUM(F66:F190)</f>
        <v>460332000</v>
      </c>
      <c r="G192" s="1481"/>
      <c r="H192" s="1481"/>
      <c r="I192" s="1481"/>
      <c r="J192" s="1481"/>
      <c r="K192" s="1481"/>
      <c r="L192" s="1481"/>
      <c r="M192" s="1480">
        <f t="shared" ref="M192:X192" si="53">SUM(M66:M190)</f>
        <v>2198067500</v>
      </c>
      <c r="N192" s="1480">
        <f t="shared" si="53"/>
        <v>380418000</v>
      </c>
      <c r="O192" s="1480">
        <f t="shared" si="53"/>
        <v>2083009100</v>
      </c>
      <c r="P192" s="1480">
        <f t="shared" si="53"/>
        <v>360480000</v>
      </c>
      <c r="Q192" s="1480">
        <f t="shared" si="53"/>
        <v>0</v>
      </c>
      <c r="R192" s="1480">
        <f>SUM(R66:R190)</f>
        <v>53708400</v>
      </c>
      <c r="S192" s="1480">
        <f>SUM(S66:S190)</f>
        <v>9367500</v>
      </c>
      <c r="T192" s="1480">
        <f t="shared" si="53"/>
        <v>0</v>
      </c>
      <c r="U192" s="1480">
        <f t="shared" si="53"/>
        <v>2136717500</v>
      </c>
      <c r="V192" s="1480">
        <f t="shared" si="53"/>
        <v>369847500</v>
      </c>
      <c r="W192" s="1480">
        <f t="shared" si="53"/>
        <v>0</v>
      </c>
      <c r="X192" s="1480">
        <f t="shared" si="53"/>
        <v>420682500</v>
      </c>
      <c r="Y192" s="1480">
        <f>SUM(U192/M192)*100</f>
        <v>97.208911919219958</v>
      </c>
      <c r="Z192" s="1480">
        <f>SUM(Z66:Z190)</f>
        <v>61350000</v>
      </c>
      <c r="AA192" s="1479">
        <f>SUM(AA66:AA190)</f>
        <v>10570500</v>
      </c>
      <c r="AB192" s="1478"/>
      <c r="AC192" s="1477">
        <f>SUM(AC66:AC190)</f>
        <v>5390700</v>
      </c>
      <c r="AD192" s="1476">
        <f>SUM(AD66:AD190)</f>
        <v>0</v>
      </c>
      <c r="AE192" s="1476">
        <f>SUM(AE66:AE190)</f>
        <v>0</v>
      </c>
      <c r="AF192" s="1475">
        <f>SUM(AF66:AF190)</f>
        <v>53042300</v>
      </c>
    </row>
    <row r="193" spans="1:32" s="1461" customFormat="1" ht="17.25" thickTop="1" thickBot="1">
      <c r="A193" s="3767" t="s">
        <v>1464</v>
      </c>
      <c r="B193" s="3768"/>
      <c r="C193" s="3769"/>
      <c r="D193" s="2550">
        <f>COUNT(D66:D190)</f>
        <v>74</v>
      </c>
      <c r="G193" s="1462"/>
      <c r="H193" s="1462"/>
      <c r="I193" s="1462"/>
      <c r="J193" s="1462"/>
      <c r="K193" s="1472"/>
      <c r="L193" s="1472"/>
      <c r="AB193" s="1462"/>
    </row>
    <row r="194" spans="1:32" s="1461" customFormat="1" ht="18.75" thickTop="1">
      <c r="A194" s="1465"/>
      <c r="B194" s="1465"/>
      <c r="C194" s="1466"/>
      <c r="D194" s="1466"/>
      <c r="E194" s="3410" t="s">
        <v>1463</v>
      </c>
      <c r="F194" s="3410"/>
      <c r="G194" s="3410"/>
      <c r="H194" s="3410"/>
      <c r="I194" s="3410"/>
      <c r="J194" s="3410"/>
      <c r="K194" s="3410"/>
      <c r="L194" s="3410"/>
      <c r="M194" s="3410"/>
      <c r="N194" s="3410"/>
      <c r="O194" s="1467"/>
      <c r="P194" s="1467"/>
      <c r="Q194" s="1467"/>
      <c r="R194" s="1467"/>
      <c r="S194" s="1467"/>
      <c r="T194" s="1467"/>
      <c r="U194" s="1471"/>
      <c r="V194" s="3410" t="s">
        <v>1462</v>
      </c>
      <c r="W194" s="3410"/>
      <c r="X194" s="3410"/>
      <c r="Y194" s="3410"/>
      <c r="Z194" s="1465"/>
      <c r="AA194" s="1465"/>
      <c r="AB194" s="1462"/>
    </row>
    <row r="195" spans="1:32" s="1461" customFormat="1" ht="57" customHeight="1">
      <c r="A195" s="1468"/>
      <c r="B195" s="1468"/>
      <c r="C195" s="1470"/>
      <c r="D195" s="1470"/>
      <c r="E195" s="1468"/>
      <c r="F195" s="1468"/>
      <c r="G195" s="1470"/>
      <c r="H195" s="1470"/>
      <c r="I195" s="1470"/>
      <c r="J195" s="1470"/>
      <c r="K195" s="1469"/>
      <c r="L195" s="1469"/>
      <c r="M195" s="1468"/>
      <c r="N195" s="1468"/>
      <c r="O195" s="1468"/>
      <c r="P195" s="1468"/>
      <c r="Q195" s="1468"/>
      <c r="R195" s="1468"/>
      <c r="S195" s="1468"/>
      <c r="T195" s="1468"/>
      <c r="U195" s="1468"/>
      <c r="V195" s="1468"/>
      <c r="W195" s="1468"/>
      <c r="X195" s="1468"/>
      <c r="Y195" s="1468"/>
      <c r="Z195" s="1468"/>
      <c r="AA195" s="1468"/>
      <c r="AB195" s="1462"/>
    </row>
    <row r="196" spans="1:32" s="1461" customFormat="1" ht="18">
      <c r="A196" s="1465"/>
      <c r="B196" s="1465"/>
      <c r="C196" s="1466"/>
      <c r="D196" s="1466"/>
      <c r="E196" s="3410" t="str">
        <f>E52</f>
        <v>Endang Taryana</v>
      </c>
      <c r="F196" s="3410"/>
      <c r="G196" s="3410"/>
      <c r="H196" s="3410"/>
      <c r="I196" s="3410"/>
      <c r="J196" s="3410"/>
      <c r="K196" s="3410"/>
      <c r="L196" s="3410"/>
      <c r="M196" s="3410"/>
      <c r="N196" s="3410"/>
      <c r="O196" s="1467" t="s">
        <v>1461</v>
      </c>
      <c r="P196" s="3410"/>
      <c r="Q196" s="3410"/>
      <c r="R196" s="3410"/>
      <c r="S196" s="1465"/>
      <c r="T196" s="1465"/>
      <c r="U196" s="1465"/>
      <c r="V196" s="3410" t="str">
        <f>V52</f>
        <v>Arin Yustini, SE</v>
      </c>
      <c r="W196" s="3410"/>
      <c r="X196" s="3410"/>
      <c r="Y196" s="3410"/>
      <c r="Z196" s="1465"/>
      <c r="AA196" s="1465"/>
      <c r="AB196" s="1462"/>
    </row>
    <row r="197" spans="1:32" ht="18">
      <c r="A197" s="1465"/>
      <c r="B197" s="1465"/>
      <c r="C197" s="1466"/>
      <c r="D197" s="1466"/>
      <c r="E197" s="3410" t="s">
        <v>23</v>
      </c>
      <c r="F197" s="3410"/>
      <c r="G197" s="3410"/>
      <c r="H197" s="3410"/>
      <c r="I197" s="3410"/>
      <c r="J197" s="3410"/>
      <c r="K197" s="3410"/>
      <c r="L197" s="3410"/>
      <c r="M197" s="3410"/>
      <c r="N197" s="3410"/>
      <c r="O197" s="1465"/>
      <c r="P197" s="3410"/>
      <c r="Q197" s="3410"/>
      <c r="R197" s="3410"/>
      <c r="S197" s="1465"/>
      <c r="T197" s="1465"/>
      <c r="U197" s="1465"/>
      <c r="V197" s="3410" t="s">
        <v>24</v>
      </c>
      <c r="W197" s="3410"/>
      <c r="X197" s="3410"/>
      <c r="Y197" s="3410"/>
      <c r="Z197" s="1465"/>
      <c r="AA197" s="1465"/>
      <c r="AE197" s="1461"/>
      <c r="AF197" s="1461"/>
    </row>
    <row r="199" spans="1:32">
      <c r="R199" s="3214"/>
    </row>
  </sheetData>
  <protectedRanges>
    <protectedRange sqref="W13:W46 W66:W190" name="Range1_1"/>
  </protectedRanges>
  <mergeCells count="74">
    <mergeCell ref="E197:N197"/>
    <mergeCell ref="K63:L63"/>
    <mergeCell ref="E63:F63"/>
    <mergeCell ref="G63:G64"/>
    <mergeCell ref="E196:N196"/>
    <mergeCell ref="E194:N19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94:Y194"/>
    <mergeCell ref="U63:W63"/>
    <mergeCell ref="E52:N52"/>
    <mergeCell ref="A55:AA55"/>
    <mergeCell ref="E53:N53"/>
    <mergeCell ref="P53:R53"/>
    <mergeCell ref="R63:T63"/>
    <mergeCell ref="A193:C193"/>
    <mergeCell ref="A59:C59"/>
    <mergeCell ref="A60:C60"/>
    <mergeCell ref="A61:C61"/>
    <mergeCell ref="H63:H65"/>
    <mergeCell ref="V197:Y197"/>
    <mergeCell ref="Z63:AA63"/>
    <mergeCell ref="P52:R52"/>
    <mergeCell ref="V52:Y52"/>
    <mergeCell ref="V196:Y196"/>
    <mergeCell ref="P196:R196"/>
    <mergeCell ref="P197:R197"/>
    <mergeCell ref="V53:Y53"/>
    <mergeCell ref="A54:AA54"/>
    <mergeCell ref="A192:C19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ageMargins left="0.15748031496062992" right="0.15748031496062992" top="0.51181102362204722" bottom="1.0629921259842521" header="0.51181102362204722" footer="1.0236220472440944"/>
  <pageSetup paperSize="5" scale="39" orientation="landscape" horizontalDpi="4294967293" verticalDpi="4294967293" r:id="rId1"/>
  <headerFooter alignWithMargins="0"/>
  <drawing r:id="rId2"/>
  <legacyDrawing r:id="rId3"/>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107"/>
  <sheetViews>
    <sheetView zoomScale="55" zoomScaleNormal="55" workbookViewId="0">
      <selection activeCell="A27" sqref="A27"/>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'LPP-SPP'!A2:W2</f>
        <v>LAPORAN PERKEMBANGAN PINJAMAN  SPP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"&amp;DT!I13</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0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107"/>
  <sheetViews>
    <sheetView zoomScale="55" zoomScaleNormal="55" workbookViewId="0">
      <selection sqref="A1:AA1"/>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'LPP-SPP'!A2:W2</f>
        <v>LAPORAN PERKEMBANGAN PINJAMAN  SPP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"&amp;DT!I14</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0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107"/>
  <sheetViews>
    <sheetView topLeftCell="A22"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'LPP-SPP'!A2:W2</f>
        <v>LAPORAN PERKEMBANGAN PINJAMAN  SPP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"&amp;DT!I15</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107"/>
  <sheetViews>
    <sheetView topLeftCell="A28"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'LPP-SPP'!A2:W2</f>
        <v>LAPORAN PERKEMBANGAN PINJAMAN  SPP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"&amp;DT!I16</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8"/>
      <c r="S13" s="1508"/>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7:N107"/>
    <mergeCell ref="K63:L63"/>
    <mergeCell ref="E63:F63"/>
    <mergeCell ref="G63:G64"/>
    <mergeCell ref="E106:N106"/>
    <mergeCell ref="E104:N104"/>
    <mergeCell ref="A1:AA1"/>
    <mergeCell ref="A2:AA2"/>
    <mergeCell ref="A3:AA3"/>
    <mergeCell ref="A4:AA4"/>
    <mergeCell ref="M10:N10"/>
    <mergeCell ref="O10:Q10"/>
    <mergeCell ref="R10:T10"/>
    <mergeCell ref="U10:W10"/>
    <mergeCell ref="A10:A11"/>
    <mergeCell ref="A5:C5"/>
    <mergeCell ref="A6:C6"/>
    <mergeCell ref="A7:C7"/>
    <mergeCell ref="I10:I12"/>
    <mergeCell ref="J10:J12"/>
    <mergeCell ref="Z10:AA10"/>
    <mergeCell ref="X10:X11"/>
    <mergeCell ref="A8:C8"/>
    <mergeCell ref="AB10:AB11"/>
    <mergeCell ref="K11:K12"/>
    <mergeCell ref="L11:L12"/>
    <mergeCell ref="E50:N50"/>
    <mergeCell ref="V50:Y50"/>
    <mergeCell ref="K10:L10"/>
    <mergeCell ref="H10:H12"/>
    <mergeCell ref="A49:C49"/>
    <mergeCell ref="B10:C10"/>
    <mergeCell ref="D10:D12"/>
    <mergeCell ref="E10:F10"/>
    <mergeCell ref="G10:G11"/>
    <mergeCell ref="Y10:Y11"/>
    <mergeCell ref="A48:C48"/>
    <mergeCell ref="V104:Y104"/>
    <mergeCell ref="U63:W63"/>
    <mergeCell ref="E52:N52"/>
    <mergeCell ref="A55:AA55"/>
    <mergeCell ref="E53:N53"/>
    <mergeCell ref="P53:R53"/>
    <mergeCell ref="R63:T63"/>
    <mergeCell ref="A103:C103"/>
    <mergeCell ref="A59:C59"/>
    <mergeCell ref="A60:C60"/>
    <mergeCell ref="A61:C61"/>
    <mergeCell ref="H63:H65"/>
    <mergeCell ref="V107:Y107"/>
    <mergeCell ref="Z63:AA63"/>
    <mergeCell ref="P52:R52"/>
    <mergeCell ref="V52:Y52"/>
    <mergeCell ref="V106:Y106"/>
    <mergeCell ref="P106:R106"/>
    <mergeCell ref="P107:R107"/>
    <mergeCell ref="V53:Y53"/>
    <mergeCell ref="A54:AA54"/>
    <mergeCell ref="A102:C102"/>
    <mergeCell ref="A56:AA56"/>
    <mergeCell ref="A58:C58"/>
    <mergeCell ref="A57:AA57"/>
    <mergeCell ref="A63:A64"/>
    <mergeCell ref="B63:C63"/>
    <mergeCell ref="D63:D65"/>
    <mergeCell ref="AB63:AB64"/>
    <mergeCell ref="K64:K65"/>
    <mergeCell ref="L64:L65"/>
    <mergeCell ref="I63:I65"/>
    <mergeCell ref="J63:J65"/>
    <mergeCell ref="X63:X64"/>
    <mergeCell ref="M63:N63"/>
    <mergeCell ref="Y63:Y64"/>
    <mergeCell ref="O63:Q63"/>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0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107"/>
  <sheetViews>
    <sheetView topLeftCell="A27"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'LPP-SPP'!A2:W2</f>
        <v>LAPORAN PERKEMBANGAN PINJAMAN  SPP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"&amp;DT!I17</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9"/>
      <c r="S13" s="1509"/>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0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66"/>
  </sheetPr>
  <dimension ref="A1:AF107"/>
  <sheetViews>
    <sheetView topLeftCell="C26" zoomScale="55" zoomScaleNormal="55"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'LPP-SPP'!A2:W2</f>
        <v>LAPORAN PERKEMBANGAN PINJAMAN  SPP</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"&amp;DT!I18</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 t="shared" ref="F13:F46" si="0">E13*H13</f>
        <v>0</v>
      </c>
      <c r="G13" s="1508"/>
      <c r="H13" s="1511"/>
      <c r="I13" s="1508"/>
      <c r="J13" s="1569"/>
      <c r="K13" s="1568"/>
      <c r="L13" s="1568"/>
      <c r="M13" s="1567">
        <f t="shared" ref="M13:M46" si="1">IF(J13&lt;I13,J13*K13,IF(J13&gt;=I13,E13))</f>
        <v>0</v>
      </c>
      <c r="N13" s="1510">
        <f t="shared" ref="N13:N46" si="2">IF(J13&lt;I13,J13*L13,IF(J13&gt;=I13,F13))</f>
        <v>0</v>
      </c>
      <c r="O13" s="1509"/>
      <c r="P13" s="1509"/>
      <c r="Q13" s="1509"/>
      <c r="R13" s="1509"/>
      <c r="S13" s="1509"/>
      <c r="T13" s="1507"/>
      <c r="U13" s="1495">
        <f t="shared" ref="U13:U46" si="3">SUM(O13+R13)</f>
        <v>0</v>
      </c>
      <c r="V13" s="1495">
        <f t="shared" ref="V13:V46" si="4">SUM(P13+S13)</f>
        <v>0</v>
      </c>
      <c r="W13" s="1495">
        <f t="shared" ref="W13:W46" si="5">SUM(Q13+T13)</f>
        <v>0</v>
      </c>
      <c r="X13" s="1495">
        <f t="shared" ref="X13:X46" si="6">SUM(E13-U13)</f>
        <v>0</v>
      </c>
      <c r="Y13" s="1495" t="e">
        <f t="shared" ref="Y13:Y46" si="7">SUM(U13/M13)*100</f>
        <v>#DIV/0!</v>
      </c>
      <c r="Z13" s="1495">
        <f t="shared" ref="Z13:Z46" si="8">SUM(M13-U13)</f>
        <v>0</v>
      </c>
      <c r="AA13" s="1506">
        <f t="shared" ref="AA13:AA46" si="9">SUM(N13-V13)</f>
        <v>0</v>
      </c>
      <c r="AB13" s="1505"/>
      <c r="AC13" s="1504">
        <f t="shared" ref="AC13:AC46" si="10">IF(AND(AB13&gt;0,AB13&lt;=2),X13,0)</f>
        <v>0</v>
      </c>
      <c r="AD13" s="1503">
        <f t="shared" ref="AD13:AD46" si="11">IF(AND(AB13&gt;=3,AB13&lt;=4),X13,0)</f>
        <v>0</v>
      </c>
      <c r="AE13" s="1503">
        <f t="shared" ref="AE13:AE46" si="12">IF(AND(AB13&gt;=5,AB13&lt;=6),X13,0)</f>
        <v>0</v>
      </c>
      <c r="AF13" s="1502">
        <f t="shared" ref="AF13:AF46" si="13">IF(AB13&gt;6,X13,0)</f>
        <v>0</v>
      </c>
    </row>
    <row r="14" spans="1:32" s="1474" customFormat="1" ht="23.25" customHeight="1">
      <c r="A14" s="1515"/>
      <c r="B14" s="1513"/>
      <c r="C14" s="1514"/>
      <c r="D14" s="1514"/>
      <c r="E14" s="1513"/>
      <c r="F14" s="1512">
        <f t="shared" si="0"/>
        <v>0</v>
      </c>
      <c r="G14" s="1508"/>
      <c r="H14" s="1511"/>
      <c r="I14" s="1508"/>
      <c r="J14" s="1508"/>
      <c r="K14" s="1508"/>
      <c r="L14" s="1508"/>
      <c r="M14" s="1510">
        <f t="shared" si="1"/>
        <v>0</v>
      </c>
      <c r="N14" s="1510">
        <f t="shared" si="2"/>
        <v>0</v>
      </c>
      <c r="O14" s="1509"/>
      <c r="P14" s="1509"/>
      <c r="Q14" s="1509"/>
      <c r="R14" s="1508"/>
      <c r="S14" s="1508"/>
      <c r="T14" s="1507"/>
      <c r="U14" s="1495">
        <f t="shared" si="3"/>
        <v>0</v>
      </c>
      <c r="V14" s="1495">
        <f t="shared" si="4"/>
        <v>0</v>
      </c>
      <c r="W14" s="1495">
        <f t="shared" si="5"/>
        <v>0</v>
      </c>
      <c r="X14" s="1495">
        <f t="shared" si="6"/>
        <v>0</v>
      </c>
      <c r="Y14" s="1495" t="e">
        <f t="shared" si="7"/>
        <v>#DIV/0!</v>
      </c>
      <c r="Z14" s="1495">
        <f t="shared" si="8"/>
        <v>0</v>
      </c>
      <c r="AA14" s="1506">
        <f t="shared" si="9"/>
        <v>0</v>
      </c>
      <c r="AB14" s="1505"/>
      <c r="AC14" s="1504">
        <f t="shared" si="10"/>
        <v>0</v>
      </c>
      <c r="AD14" s="1503">
        <f t="shared" si="11"/>
        <v>0</v>
      </c>
      <c r="AE14" s="1503">
        <f t="shared" si="12"/>
        <v>0</v>
      </c>
      <c r="AF14" s="1502">
        <f t="shared" si="13"/>
        <v>0</v>
      </c>
    </row>
    <row r="15" spans="1:32" s="1474" customFormat="1" ht="23.25" customHeight="1">
      <c r="A15" s="1515"/>
      <c r="B15" s="1513"/>
      <c r="C15" s="1514"/>
      <c r="D15" s="1514"/>
      <c r="E15" s="1513"/>
      <c r="F15" s="1512">
        <f t="shared" si="0"/>
        <v>0</v>
      </c>
      <c r="G15" s="1508"/>
      <c r="H15" s="1511"/>
      <c r="I15" s="1508"/>
      <c r="J15" s="1508"/>
      <c r="K15" s="1508"/>
      <c r="L15" s="1508"/>
      <c r="M15" s="1510">
        <f t="shared" si="1"/>
        <v>0</v>
      </c>
      <c r="N15" s="1510">
        <f t="shared" si="2"/>
        <v>0</v>
      </c>
      <c r="O15" s="1509"/>
      <c r="P15" s="1509"/>
      <c r="Q15" s="1509"/>
      <c r="R15" s="1508"/>
      <c r="S15" s="1508"/>
      <c r="T15" s="1507"/>
      <c r="U15" s="1495">
        <f t="shared" si="3"/>
        <v>0</v>
      </c>
      <c r="V15" s="1495">
        <f t="shared" si="4"/>
        <v>0</v>
      </c>
      <c r="W15" s="1495">
        <f t="shared" si="5"/>
        <v>0</v>
      </c>
      <c r="X15" s="1495">
        <f t="shared" si="6"/>
        <v>0</v>
      </c>
      <c r="Y15" s="1495" t="e">
        <f t="shared" si="7"/>
        <v>#DIV/0!</v>
      </c>
      <c r="Z15" s="1495">
        <f t="shared" si="8"/>
        <v>0</v>
      </c>
      <c r="AA15" s="1506">
        <f t="shared" si="9"/>
        <v>0</v>
      </c>
      <c r="AB15" s="1505"/>
      <c r="AC15" s="1504">
        <f t="shared" si="10"/>
        <v>0</v>
      </c>
      <c r="AD15" s="1503">
        <f t="shared" si="11"/>
        <v>0</v>
      </c>
      <c r="AE15" s="1503">
        <f t="shared" si="12"/>
        <v>0</v>
      </c>
      <c r="AF15" s="1502">
        <f t="shared" si="13"/>
        <v>0</v>
      </c>
    </row>
    <row r="16" spans="1:32" s="1474" customFormat="1" ht="23.25" customHeight="1">
      <c r="A16" s="1515"/>
      <c r="B16" s="1513"/>
      <c r="C16" s="1514"/>
      <c r="D16" s="1514"/>
      <c r="E16" s="1513"/>
      <c r="F16" s="1512">
        <f t="shared" si="0"/>
        <v>0</v>
      </c>
      <c r="G16" s="1508"/>
      <c r="H16" s="1511"/>
      <c r="I16" s="1508"/>
      <c r="J16" s="1508"/>
      <c r="K16" s="1508"/>
      <c r="L16" s="1508"/>
      <c r="M16" s="1510">
        <f t="shared" si="1"/>
        <v>0</v>
      </c>
      <c r="N16" s="1510">
        <f t="shared" si="2"/>
        <v>0</v>
      </c>
      <c r="O16" s="1509"/>
      <c r="P16" s="1509"/>
      <c r="Q16" s="1509"/>
      <c r="R16" s="1508"/>
      <c r="S16" s="1508"/>
      <c r="T16" s="1507"/>
      <c r="U16" s="1495">
        <f t="shared" si="3"/>
        <v>0</v>
      </c>
      <c r="V16" s="1495">
        <f t="shared" si="4"/>
        <v>0</v>
      </c>
      <c r="W16" s="1495">
        <f t="shared" si="5"/>
        <v>0</v>
      </c>
      <c r="X16" s="1495">
        <f t="shared" si="6"/>
        <v>0</v>
      </c>
      <c r="Y16" s="1495" t="e">
        <f t="shared" si="7"/>
        <v>#DIV/0!</v>
      </c>
      <c r="Z16" s="1495">
        <f t="shared" si="8"/>
        <v>0</v>
      </c>
      <c r="AA16" s="1506">
        <f t="shared" si="9"/>
        <v>0</v>
      </c>
      <c r="AB16" s="1505"/>
      <c r="AC16" s="1504">
        <f t="shared" si="10"/>
        <v>0</v>
      </c>
      <c r="AD16" s="1503">
        <f t="shared" si="11"/>
        <v>0</v>
      </c>
      <c r="AE16" s="1503">
        <f t="shared" si="12"/>
        <v>0</v>
      </c>
      <c r="AF16" s="1502">
        <f t="shared" si="13"/>
        <v>0</v>
      </c>
    </row>
    <row r="17" spans="1:32" s="1474" customFormat="1" ht="23.25" customHeight="1">
      <c r="A17" s="1515"/>
      <c r="B17" s="1513"/>
      <c r="C17" s="1514"/>
      <c r="D17" s="1514"/>
      <c r="E17" s="1513"/>
      <c r="F17" s="1512">
        <f t="shared" si="0"/>
        <v>0</v>
      </c>
      <c r="G17" s="1508"/>
      <c r="H17" s="1511"/>
      <c r="I17" s="1508"/>
      <c r="J17" s="1508"/>
      <c r="K17" s="1508"/>
      <c r="L17" s="1508"/>
      <c r="M17" s="1510">
        <f t="shared" si="1"/>
        <v>0</v>
      </c>
      <c r="N17" s="1510">
        <f t="shared" si="2"/>
        <v>0</v>
      </c>
      <c r="O17" s="1509"/>
      <c r="P17" s="1509"/>
      <c r="Q17" s="1509"/>
      <c r="R17" s="1508"/>
      <c r="S17" s="1508"/>
      <c r="T17" s="1507"/>
      <c r="U17" s="1495">
        <f t="shared" si="3"/>
        <v>0</v>
      </c>
      <c r="V17" s="1495">
        <f t="shared" si="4"/>
        <v>0</v>
      </c>
      <c r="W17" s="1495">
        <f t="shared" si="5"/>
        <v>0</v>
      </c>
      <c r="X17" s="1495">
        <f t="shared" si="6"/>
        <v>0</v>
      </c>
      <c r="Y17" s="1495" t="e">
        <f t="shared" si="7"/>
        <v>#DIV/0!</v>
      </c>
      <c r="Z17" s="1495">
        <f t="shared" si="8"/>
        <v>0</v>
      </c>
      <c r="AA17" s="1506">
        <f t="shared" si="9"/>
        <v>0</v>
      </c>
      <c r="AB17" s="1505"/>
      <c r="AC17" s="1504">
        <f t="shared" si="10"/>
        <v>0</v>
      </c>
      <c r="AD17" s="1503">
        <f t="shared" si="11"/>
        <v>0</v>
      </c>
      <c r="AE17" s="1503">
        <f t="shared" si="12"/>
        <v>0</v>
      </c>
      <c r="AF17" s="1502">
        <f t="shared" si="13"/>
        <v>0</v>
      </c>
    </row>
    <row r="18" spans="1:32" s="1474" customFormat="1" ht="23.25" customHeight="1">
      <c r="A18" s="1515"/>
      <c r="B18" s="1513"/>
      <c r="C18" s="1514"/>
      <c r="D18" s="1514"/>
      <c r="E18" s="1513"/>
      <c r="F18" s="1512">
        <f t="shared" si="0"/>
        <v>0</v>
      </c>
      <c r="G18" s="1508"/>
      <c r="H18" s="1511"/>
      <c r="I18" s="1508"/>
      <c r="J18" s="1508"/>
      <c r="K18" s="1508"/>
      <c r="L18" s="1508"/>
      <c r="M18" s="1510">
        <f t="shared" si="1"/>
        <v>0</v>
      </c>
      <c r="N18" s="1510">
        <f t="shared" si="2"/>
        <v>0</v>
      </c>
      <c r="O18" s="1509"/>
      <c r="P18" s="1509"/>
      <c r="Q18" s="1509"/>
      <c r="R18" s="1508"/>
      <c r="S18" s="1508"/>
      <c r="T18" s="1507"/>
      <c r="U18" s="1495">
        <f t="shared" si="3"/>
        <v>0</v>
      </c>
      <c r="V18" s="1495">
        <f t="shared" si="4"/>
        <v>0</v>
      </c>
      <c r="W18" s="1495">
        <f t="shared" si="5"/>
        <v>0</v>
      </c>
      <c r="X18" s="1495">
        <f t="shared" si="6"/>
        <v>0</v>
      </c>
      <c r="Y18" s="1495" t="e">
        <f t="shared" si="7"/>
        <v>#DIV/0!</v>
      </c>
      <c r="Z18" s="1495">
        <f t="shared" si="8"/>
        <v>0</v>
      </c>
      <c r="AA18" s="1506">
        <f t="shared" si="9"/>
        <v>0</v>
      </c>
      <c r="AB18" s="1505"/>
      <c r="AC18" s="1504">
        <f t="shared" si="10"/>
        <v>0</v>
      </c>
      <c r="AD18" s="1503">
        <f t="shared" si="11"/>
        <v>0</v>
      </c>
      <c r="AE18" s="1503">
        <f t="shared" si="12"/>
        <v>0</v>
      </c>
      <c r="AF18" s="1502">
        <f t="shared" si="13"/>
        <v>0</v>
      </c>
    </row>
    <row r="19" spans="1:32" s="1474" customFormat="1" ht="23.25" customHeight="1">
      <c r="A19" s="1515"/>
      <c r="B19" s="1513"/>
      <c r="C19" s="1514"/>
      <c r="D19" s="1514"/>
      <c r="E19" s="1513"/>
      <c r="F19" s="1512">
        <f t="shared" si="0"/>
        <v>0</v>
      </c>
      <c r="G19" s="1508"/>
      <c r="H19" s="1511"/>
      <c r="I19" s="1508"/>
      <c r="J19" s="1508"/>
      <c r="K19" s="1508"/>
      <c r="L19" s="1508"/>
      <c r="M19" s="1510">
        <f t="shared" si="1"/>
        <v>0</v>
      </c>
      <c r="N19" s="1510">
        <f t="shared" si="2"/>
        <v>0</v>
      </c>
      <c r="O19" s="1509"/>
      <c r="P19" s="1509"/>
      <c r="Q19" s="1509"/>
      <c r="R19" s="1508"/>
      <c r="S19" s="1508"/>
      <c r="T19" s="1507"/>
      <c r="U19" s="1495">
        <f t="shared" si="3"/>
        <v>0</v>
      </c>
      <c r="V19" s="1495">
        <f t="shared" si="4"/>
        <v>0</v>
      </c>
      <c r="W19" s="1495">
        <f t="shared" si="5"/>
        <v>0</v>
      </c>
      <c r="X19" s="1495">
        <f t="shared" si="6"/>
        <v>0</v>
      </c>
      <c r="Y19" s="1495" t="e">
        <f t="shared" si="7"/>
        <v>#DIV/0!</v>
      </c>
      <c r="Z19" s="1495">
        <f t="shared" si="8"/>
        <v>0</v>
      </c>
      <c r="AA19" s="1506">
        <f t="shared" si="9"/>
        <v>0</v>
      </c>
      <c r="AB19" s="1505"/>
      <c r="AC19" s="1504">
        <f t="shared" si="10"/>
        <v>0</v>
      </c>
      <c r="AD19" s="1503">
        <f t="shared" si="11"/>
        <v>0</v>
      </c>
      <c r="AE19" s="1503">
        <f t="shared" si="12"/>
        <v>0</v>
      </c>
      <c r="AF19" s="1502">
        <f t="shared" si="13"/>
        <v>0</v>
      </c>
    </row>
    <row r="20" spans="1:32" s="1474" customFormat="1" ht="23.25" customHeight="1">
      <c r="A20" s="1515"/>
      <c r="B20" s="1513"/>
      <c r="C20" s="1514"/>
      <c r="D20" s="1514"/>
      <c r="E20" s="1513"/>
      <c r="F20" s="1512">
        <f t="shared" si="0"/>
        <v>0</v>
      </c>
      <c r="G20" s="1508"/>
      <c r="H20" s="1511"/>
      <c r="I20" s="1508"/>
      <c r="J20" s="1508"/>
      <c r="K20" s="1508"/>
      <c r="L20" s="1508"/>
      <c r="M20" s="1510">
        <f t="shared" si="1"/>
        <v>0</v>
      </c>
      <c r="N20" s="1510">
        <f t="shared" si="2"/>
        <v>0</v>
      </c>
      <c r="O20" s="1509"/>
      <c r="P20" s="1509"/>
      <c r="Q20" s="1509"/>
      <c r="R20" s="1508"/>
      <c r="S20" s="1508"/>
      <c r="T20" s="1507"/>
      <c r="U20" s="1495">
        <f t="shared" si="3"/>
        <v>0</v>
      </c>
      <c r="V20" s="1495">
        <f t="shared" si="4"/>
        <v>0</v>
      </c>
      <c r="W20" s="1495">
        <f t="shared" si="5"/>
        <v>0</v>
      </c>
      <c r="X20" s="1495">
        <f t="shared" si="6"/>
        <v>0</v>
      </c>
      <c r="Y20" s="1495" t="e">
        <f t="shared" si="7"/>
        <v>#DIV/0!</v>
      </c>
      <c r="Z20" s="1495">
        <f t="shared" si="8"/>
        <v>0</v>
      </c>
      <c r="AA20" s="1506">
        <f t="shared" si="9"/>
        <v>0</v>
      </c>
      <c r="AB20" s="1505"/>
      <c r="AC20" s="1504">
        <f t="shared" si="10"/>
        <v>0</v>
      </c>
      <c r="AD20" s="1503">
        <f t="shared" si="11"/>
        <v>0</v>
      </c>
      <c r="AE20" s="1503">
        <f t="shared" si="12"/>
        <v>0</v>
      </c>
      <c r="AF20" s="1502">
        <f t="shared" si="13"/>
        <v>0</v>
      </c>
    </row>
    <row r="21" spans="1:32" s="1474" customFormat="1" ht="23.25" customHeight="1">
      <c r="A21" s="1515"/>
      <c r="B21" s="1513"/>
      <c r="C21" s="1514"/>
      <c r="D21" s="1514"/>
      <c r="E21" s="1513"/>
      <c r="F21" s="1512">
        <f t="shared" si="0"/>
        <v>0</v>
      </c>
      <c r="G21" s="1508"/>
      <c r="H21" s="1511"/>
      <c r="I21" s="1508"/>
      <c r="J21" s="1508"/>
      <c r="K21" s="1508"/>
      <c r="L21" s="1508"/>
      <c r="M21" s="1510">
        <f t="shared" si="1"/>
        <v>0</v>
      </c>
      <c r="N21" s="1510">
        <f t="shared" si="2"/>
        <v>0</v>
      </c>
      <c r="O21" s="1509"/>
      <c r="P21" s="1509"/>
      <c r="Q21" s="1509"/>
      <c r="R21" s="1508"/>
      <c r="S21" s="1508"/>
      <c r="T21" s="1507"/>
      <c r="U21" s="1495">
        <f t="shared" si="3"/>
        <v>0</v>
      </c>
      <c r="V21" s="1495">
        <f t="shared" si="4"/>
        <v>0</v>
      </c>
      <c r="W21" s="1495">
        <f t="shared" si="5"/>
        <v>0</v>
      </c>
      <c r="X21" s="1495">
        <f t="shared" si="6"/>
        <v>0</v>
      </c>
      <c r="Y21" s="1495" t="e">
        <f t="shared" si="7"/>
        <v>#DIV/0!</v>
      </c>
      <c r="Z21" s="1495">
        <f t="shared" si="8"/>
        <v>0</v>
      </c>
      <c r="AA21" s="1506">
        <f t="shared" si="9"/>
        <v>0</v>
      </c>
      <c r="AB21" s="1505"/>
      <c r="AC21" s="1504">
        <f t="shared" si="10"/>
        <v>0</v>
      </c>
      <c r="AD21" s="1503">
        <f t="shared" si="11"/>
        <v>0</v>
      </c>
      <c r="AE21" s="1503">
        <f t="shared" si="12"/>
        <v>0</v>
      </c>
      <c r="AF21" s="1502">
        <f t="shared" si="13"/>
        <v>0</v>
      </c>
    </row>
    <row r="22" spans="1:32" s="1474" customFormat="1" ht="23.25" customHeight="1">
      <c r="A22" s="1515"/>
      <c r="B22" s="1513"/>
      <c r="C22" s="1514"/>
      <c r="D22" s="1514"/>
      <c r="E22" s="1513"/>
      <c r="F22" s="1512">
        <f t="shared" si="0"/>
        <v>0</v>
      </c>
      <c r="G22" s="1508"/>
      <c r="H22" s="1511"/>
      <c r="I22" s="1508"/>
      <c r="J22" s="1508"/>
      <c r="K22" s="1508"/>
      <c r="L22" s="1508"/>
      <c r="M22" s="1510">
        <f t="shared" si="1"/>
        <v>0</v>
      </c>
      <c r="N22" s="1510">
        <f t="shared" si="2"/>
        <v>0</v>
      </c>
      <c r="O22" s="1509"/>
      <c r="P22" s="1509"/>
      <c r="Q22" s="1509"/>
      <c r="R22" s="1508"/>
      <c r="S22" s="1508"/>
      <c r="T22" s="1507"/>
      <c r="U22" s="1495">
        <f t="shared" si="3"/>
        <v>0</v>
      </c>
      <c r="V22" s="1495">
        <f t="shared" si="4"/>
        <v>0</v>
      </c>
      <c r="W22" s="1495">
        <f t="shared" si="5"/>
        <v>0</v>
      </c>
      <c r="X22" s="1495">
        <f t="shared" si="6"/>
        <v>0</v>
      </c>
      <c r="Y22" s="1495" t="e">
        <f t="shared" si="7"/>
        <v>#DIV/0!</v>
      </c>
      <c r="Z22" s="1495">
        <f t="shared" si="8"/>
        <v>0</v>
      </c>
      <c r="AA22" s="1506">
        <f t="shared" si="9"/>
        <v>0</v>
      </c>
      <c r="AB22" s="1505"/>
      <c r="AC22" s="1504">
        <f t="shared" si="10"/>
        <v>0</v>
      </c>
      <c r="AD22" s="1503">
        <f t="shared" si="11"/>
        <v>0</v>
      </c>
      <c r="AE22" s="1503">
        <f t="shared" si="12"/>
        <v>0</v>
      </c>
      <c r="AF22" s="1502">
        <f t="shared" si="13"/>
        <v>0</v>
      </c>
    </row>
    <row r="23" spans="1:32" s="1474" customFormat="1" ht="23.25" customHeight="1">
      <c r="A23" s="1515"/>
      <c r="B23" s="1513"/>
      <c r="C23" s="1514"/>
      <c r="D23" s="1514"/>
      <c r="E23" s="1513"/>
      <c r="F23" s="1512">
        <f t="shared" si="0"/>
        <v>0</v>
      </c>
      <c r="G23" s="1508"/>
      <c r="H23" s="1511"/>
      <c r="I23" s="1508"/>
      <c r="J23" s="1508"/>
      <c r="K23" s="1508"/>
      <c r="L23" s="1508"/>
      <c r="M23" s="1510">
        <f t="shared" si="1"/>
        <v>0</v>
      </c>
      <c r="N23" s="1510">
        <f t="shared" si="2"/>
        <v>0</v>
      </c>
      <c r="O23" s="1509"/>
      <c r="P23" s="1509"/>
      <c r="Q23" s="1509"/>
      <c r="R23" s="1508"/>
      <c r="S23" s="1508"/>
      <c r="T23" s="1507"/>
      <c r="U23" s="1495">
        <f t="shared" si="3"/>
        <v>0</v>
      </c>
      <c r="V23" s="1495">
        <f t="shared" si="4"/>
        <v>0</v>
      </c>
      <c r="W23" s="1495">
        <f t="shared" si="5"/>
        <v>0</v>
      </c>
      <c r="X23" s="1495">
        <f t="shared" si="6"/>
        <v>0</v>
      </c>
      <c r="Y23" s="1495" t="e">
        <f t="shared" si="7"/>
        <v>#DIV/0!</v>
      </c>
      <c r="Z23" s="1495">
        <f t="shared" si="8"/>
        <v>0</v>
      </c>
      <c r="AA23" s="1506">
        <f t="shared" si="9"/>
        <v>0</v>
      </c>
      <c r="AB23" s="1505"/>
      <c r="AC23" s="1504">
        <f t="shared" si="10"/>
        <v>0</v>
      </c>
      <c r="AD23" s="1503">
        <f t="shared" si="11"/>
        <v>0</v>
      </c>
      <c r="AE23" s="1503">
        <f t="shared" si="12"/>
        <v>0</v>
      </c>
      <c r="AF23" s="1502">
        <f t="shared" si="13"/>
        <v>0</v>
      </c>
    </row>
    <row r="24" spans="1:32" s="1474" customFormat="1" ht="23.25" customHeight="1">
      <c r="A24" s="1515"/>
      <c r="B24" s="1513"/>
      <c r="C24" s="1514"/>
      <c r="D24" s="1514"/>
      <c r="E24" s="1513"/>
      <c r="F24" s="1512">
        <f t="shared" si="0"/>
        <v>0</v>
      </c>
      <c r="G24" s="1508"/>
      <c r="H24" s="1511"/>
      <c r="I24" s="1508"/>
      <c r="J24" s="1508"/>
      <c r="K24" s="1508"/>
      <c r="L24" s="1508"/>
      <c r="M24" s="1510">
        <f t="shared" si="1"/>
        <v>0</v>
      </c>
      <c r="N24" s="1510">
        <f t="shared" si="2"/>
        <v>0</v>
      </c>
      <c r="O24" s="1509"/>
      <c r="P24" s="1509"/>
      <c r="Q24" s="1509"/>
      <c r="R24" s="1508"/>
      <c r="S24" s="1508"/>
      <c r="T24" s="1507"/>
      <c r="U24" s="1495">
        <f t="shared" si="3"/>
        <v>0</v>
      </c>
      <c r="V24" s="1495">
        <f t="shared" si="4"/>
        <v>0</v>
      </c>
      <c r="W24" s="1495">
        <f t="shared" si="5"/>
        <v>0</v>
      </c>
      <c r="X24" s="1495">
        <f t="shared" si="6"/>
        <v>0</v>
      </c>
      <c r="Y24" s="1495" t="e">
        <f t="shared" si="7"/>
        <v>#DIV/0!</v>
      </c>
      <c r="Z24" s="1495">
        <f t="shared" si="8"/>
        <v>0</v>
      </c>
      <c r="AA24" s="1506">
        <f t="shared" si="9"/>
        <v>0</v>
      </c>
      <c r="AB24" s="1505"/>
      <c r="AC24" s="1504">
        <f t="shared" si="10"/>
        <v>0</v>
      </c>
      <c r="AD24" s="1503">
        <f t="shared" si="11"/>
        <v>0</v>
      </c>
      <c r="AE24" s="1503">
        <f t="shared" si="12"/>
        <v>0</v>
      </c>
      <c r="AF24" s="1502">
        <f t="shared" si="13"/>
        <v>0</v>
      </c>
    </row>
    <row r="25" spans="1:32" s="1474" customFormat="1" ht="23.25" customHeight="1">
      <c r="A25" s="1515"/>
      <c r="B25" s="1513"/>
      <c r="C25" s="1514"/>
      <c r="D25" s="1514"/>
      <c r="E25" s="1513"/>
      <c r="F25" s="1512">
        <f t="shared" si="0"/>
        <v>0</v>
      </c>
      <c r="G25" s="1508"/>
      <c r="H25" s="1511"/>
      <c r="I25" s="1508"/>
      <c r="J25" s="1508"/>
      <c r="K25" s="1508"/>
      <c r="L25" s="1508"/>
      <c r="M25" s="1510">
        <f t="shared" si="1"/>
        <v>0</v>
      </c>
      <c r="N25" s="1510">
        <f t="shared" si="2"/>
        <v>0</v>
      </c>
      <c r="O25" s="1509"/>
      <c r="P25" s="1509"/>
      <c r="Q25" s="1509"/>
      <c r="R25" s="1508"/>
      <c r="S25" s="1508"/>
      <c r="T25" s="1507"/>
      <c r="U25" s="1495">
        <f t="shared" si="3"/>
        <v>0</v>
      </c>
      <c r="V25" s="1495">
        <f t="shared" si="4"/>
        <v>0</v>
      </c>
      <c r="W25" s="1495">
        <f t="shared" si="5"/>
        <v>0</v>
      </c>
      <c r="X25" s="1495">
        <f t="shared" si="6"/>
        <v>0</v>
      </c>
      <c r="Y25" s="1495" t="e">
        <f t="shared" si="7"/>
        <v>#DIV/0!</v>
      </c>
      <c r="Z25" s="1495">
        <f t="shared" si="8"/>
        <v>0</v>
      </c>
      <c r="AA25" s="1506">
        <f t="shared" si="9"/>
        <v>0</v>
      </c>
      <c r="AB25" s="1505"/>
      <c r="AC25" s="1504">
        <f t="shared" si="10"/>
        <v>0</v>
      </c>
      <c r="AD25" s="1503">
        <f t="shared" si="11"/>
        <v>0</v>
      </c>
      <c r="AE25" s="1503">
        <f t="shared" si="12"/>
        <v>0</v>
      </c>
      <c r="AF25" s="1502">
        <f t="shared" si="13"/>
        <v>0</v>
      </c>
    </row>
    <row r="26" spans="1:32" s="1474" customFormat="1" ht="23.25" customHeight="1">
      <c r="A26" s="1515"/>
      <c r="B26" s="1513"/>
      <c r="C26" s="1514"/>
      <c r="D26" s="1514"/>
      <c r="E26" s="1513"/>
      <c r="F26" s="1512">
        <f t="shared" si="0"/>
        <v>0</v>
      </c>
      <c r="G26" s="1508"/>
      <c r="H26" s="1511"/>
      <c r="I26" s="1508"/>
      <c r="J26" s="1508"/>
      <c r="K26" s="1508"/>
      <c r="L26" s="1508"/>
      <c r="M26" s="1510">
        <f t="shared" si="1"/>
        <v>0</v>
      </c>
      <c r="N26" s="1510">
        <f t="shared" si="2"/>
        <v>0</v>
      </c>
      <c r="O26" s="1509"/>
      <c r="P26" s="1509"/>
      <c r="Q26" s="1509"/>
      <c r="R26" s="1508"/>
      <c r="S26" s="1508"/>
      <c r="T26" s="1507"/>
      <c r="U26" s="1495">
        <f t="shared" si="3"/>
        <v>0</v>
      </c>
      <c r="V26" s="1495">
        <f t="shared" si="4"/>
        <v>0</v>
      </c>
      <c r="W26" s="1495">
        <f t="shared" si="5"/>
        <v>0</v>
      </c>
      <c r="X26" s="1495">
        <f t="shared" si="6"/>
        <v>0</v>
      </c>
      <c r="Y26" s="1495" t="e">
        <f t="shared" si="7"/>
        <v>#DIV/0!</v>
      </c>
      <c r="Z26" s="1495">
        <f t="shared" si="8"/>
        <v>0</v>
      </c>
      <c r="AA26" s="1506">
        <f t="shared" si="9"/>
        <v>0</v>
      </c>
      <c r="AB26" s="1505"/>
      <c r="AC26" s="1504">
        <f t="shared" si="10"/>
        <v>0</v>
      </c>
      <c r="AD26" s="1503">
        <f t="shared" si="11"/>
        <v>0</v>
      </c>
      <c r="AE26" s="1503">
        <f t="shared" si="12"/>
        <v>0</v>
      </c>
      <c r="AF26" s="1502">
        <f t="shared" si="13"/>
        <v>0</v>
      </c>
    </row>
    <row r="27" spans="1:32" s="1474" customFormat="1" ht="23.25" customHeight="1">
      <c r="A27" s="1515"/>
      <c r="B27" s="1513"/>
      <c r="C27" s="1514"/>
      <c r="D27" s="1514"/>
      <c r="E27" s="1513"/>
      <c r="F27" s="1512">
        <f t="shared" si="0"/>
        <v>0</v>
      </c>
      <c r="G27" s="1508"/>
      <c r="H27" s="1511"/>
      <c r="I27" s="1508"/>
      <c r="J27" s="1508"/>
      <c r="K27" s="1508"/>
      <c r="L27" s="1508"/>
      <c r="M27" s="1510">
        <f t="shared" si="1"/>
        <v>0</v>
      </c>
      <c r="N27" s="1510">
        <f t="shared" si="2"/>
        <v>0</v>
      </c>
      <c r="O27" s="1509"/>
      <c r="P27" s="1509"/>
      <c r="Q27" s="1509"/>
      <c r="R27" s="1508"/>
      <c r="S27" s="1508"/>
      <c r="T27" s="1507"/>
      <c r="U27" s="1495">
        <f t="shared" si="3"/>
        <v>0</v>
      </c>
      <c r="V27" s="1495">
        <f t="shared" si="4"/>
        <v>0</v>
      </c>
      <c r="W27" s="1495">
        <f t="shared" si="5"/>
        <v>0</v>
      </c>
      <c r="X27" s="1495">
        <f t="shared" si="6"/>
        <v>0</v>
      </c>
      <c r="Y27" s="1495" t="e">
        <f t="shared" si="7"/>
        <v>#DIV/0!</v>
      </c>
      <c r="Z27" s="1495">
        <f t="shared" si="8"/>
        <v>0</v>
      </c>
      <c r="AA27" s="1506">
        <f t="shared" si="9"/>
        <v>0</v>
      </c>
      <c r="AB27" s="1505"/>
      <c r="AC27" s="1504">
        <f t="shared" si="10"/>
        <v>0</v>
      </c>
      <c r="AD27" s="1503">
        <f t="shared" si="11"/>
        <v>0</v>
      </c>
      <c r="AE27" s="1503">
        <f t="shared" si="12"/>
        <v>0</v>
      </c>
      <c r="AF27" s="1502">
        <f t="shared" si="13"/>
        <v>0</v>
      </c>
    </row>
    <row r="28" spans="1:32" s="1474" customFormat="1" ht="23.25" customHeight="1">
      <c r="A28" s="1515"/>
      <c r="B28" s="1513"/>
      <c r="C28" s="1514"/>
      <c r="D28" s="1514"/>
      <c r="E28" s="1513"/>
      <c r="F28" s="1512">
        <f t="shared" si="0"/>
        <v>0</v>
      </c>
      <c r="G28" s="1508"/>
      <c r="H28" s="1511"/>
      <c r="I28" s="1508"/>
      <c r="J28" s="1508"/>
      <c r="K28" s="1508"/>
      <c r="L28" s="1508"/>
      <c r="M28" s="1510">
        <f t="shared" si="1"/>
        <v>0</v>
      </c>
      <c r="N28" s="1510">
        <f t="shared" si="2"/>
        <v>0</v>
      </c>
      <c r="O28" s="1509"/>
      <c r="P28" s="1509"/>
      <c r="Q28" s="1509"/>
      <c r="R28" s="1508"/>
      <c r="S28" s="1508"/>
      <c r="T28" s="1507"/>
      <c r="U28" s="1495">
        <f t="shared" si="3"/>
        <v>0</v>
      </c>
      <c r="V28" s="1495">
        <f t="shared" si="4"/>
        <v>0</v>
      </c>
      <c r="W28" s="1495">
        <f t="shared" si="5"/>
        <v>0</v>
      </c>
      <c r="X28" s="1495">
        <f t="shared" si="6"/>
        <v>0</v>
      </c>
      <c r="Y28" s="1495" t="e">
        <f t="shared" si="7"/>
        <v>#DIV/0!</v>
      </c>
      <c r="Z28" s="1495">
        <f t="shared" si="8"/>
        <v>0</v>
      </c>
      <c r="AA28" s="1506">
        <f t="shared" si="9"/>
        <v>0</v>
      </c>
      <c r="AB28" s="1505"/>
      <c r="AC28" s="1504">
        <f t="shared" si="10"/>
        <v>0</v>
      </c>
      <c r="AD28" s="1503">
        <f t="shared" si="11"/>
        <v>0</v>
      </c>
      <c r="AE28" s="1503">
        <f t="shared" si="12"/>
        <v>0</v>
      </c>
      <c r="AF28" s="1502">
        <f t="shared" si="13"/>
        <v>0</v>
      </c>
    </row>
    <row r="29" spans="1:32" s="1474" customFormat="1" ht="23.25" customHeight="1">
      <c r="A29" s="1515"/>
      <c r="B29" s="1513"/>
      <c r="C29" s="1514"/>
      <c r="D29" s="1514"/>
      <c r="E29" s="1513"/>
      <c r="F29" s="1512">
        <f t="shared" si="0"/>
        <v>0</v>
      </c>
      <c r="G29" s="1508"/>
      <c r="H29" s="1511"/>
      <c r="I29" s="1508"/>
      <c r="J29" s="1508"/>
      <c r="K29" s="1508"/>
      <c r="L29" s="1508"/>
      <c r="M29" s="1510">
        <f t="shared" si="1"/>
        <v>0</v>
      </c>
      <c r="N29" s="1510">
        <f t="shared" si="2"/>
        <v>0</v>
      </c>
      <c r="O29" s="1509"/>
      <c r="P29" s="1509"/>
      <c r="Q29" s="1509"/>
      <c r="R29" s="1508"/>
      <c r="S29" s="1508"/>
      <c r="T29" s="1507"/>
      <c r="U29" s="1495">
        <f t="shared" si="3"/>
        <v>0</v>
      </c>
      <c r="V29" s="1495">
        <f t="shared" si="4"/>
        <v>0</v>
      </c>
      <c r="W29" s="1495">
        <f t="shared" si="5"/>
        <v>0</v>
      </c>
      <c r="X29" s="1495">
        <f t="shared" si="6"/>
        <v>0</v>
      </c>
      <c r="Y29" s="1495" t="e">
        <f t="shared" si="7"/>
        <v>#DIV/0!</v>
      </c>
      <c r="Z29" s="1495">
        <f t="shared" si="8"/>
        <v>0</v>
      </c>
      <c r="AA29" s="1506">
        <f t="shared" si="9"/>
        <v>0</v>
      </c>
      <c r="AB29" s="1505"/>
      <c r="AC29" s="1504">
        <f t="shared" si="10"/>
        <v>0</v>
      </c>
      <c r="AD29" s="1503">
        <f t="shared" si="11"/>
        <v>0</v>
      </c>
      <c r="AE29" s="1503">
        <f t="shared" si="12"/>
        <v>0</v>
      </c>
      <c r="AF29" s="1502">
        <f t="shared" si="13"/>
        <v>0</v>
      </c>
    </row>
    <row r="30" spans="1:32" s="1474" customFormat="1" ht="23.25" customHeight="1">
      <c r="A30" s="1515"/>
      <c r="B30" s="1513"/>
      <c r="C30" s="1514"/>
      <c r="D30" s="1514"/>
      <c r="E30" s="1513"/>
      <c r="F30" s="1512">
        <f t="shared" si="0"/>
        <v>0</v>
      </c>
      <c r="G30" s="1508"/>
      <c r="H30" s="1511"/>
      <c r="I30" s="1508"/>
      <c r="J30" s="1508"/>
      <c r="K30" s="1508"/>
      <c r="L30" s="1508"/>
      <c r="M30" s="1510">
        <f t="shared" si="1"/>
        <v>0</v>
      </c>
      <c r="N30" s="1510">
        <f t="shared" si="2"/>
        <v>0</v>
      </c>
      <c r="O30" s="1509"/>
      <c r="P30" s="1509"/>
      <c r="Q30" s="1509"/>
      <c r="R30" s="1508"/>
      <c r="S30" s="1508"/>
      <c r="T30" s="1507"/>
      <c r="U30" s="1495">
        <f t="shared" si="3"/>
        <v>0</v>
      </c>
      <c r="V30" s="1495">
        <f t="shared" si="4"/>
        <v>0</v>
      </c>
      <c r="W30" s="1495">
        <f t="shared" si="5"/>
        <v>0</v>
      </c>
      <c r="X30" s="1495">
        <f t="shared" si="6"/>
        <v>0</v>
      </c>
      <c r="Y30" s="1495" t="e">
        <f t="shared" si="7"/>
        <v>#DIV/0!</v>
      </c>
      <c r="Z30" s="1495">
        <f t="shared" si="8"/>
        <v>0</v>
      </c>
      <c r="AA30" s="1506">
        <f t="shared" si="9"/>
        <v>0</v>
      </c>
      <c r="AB30" s="1505"/>
      <c r="AC30" s="1504">
        <f t="shared" si="10"/>
        <v>0</v>
      </c>
      <c r="AD30" s="1503">
        <f t="shared" si="11"/>
        <v>0</v>
      </c>
      <c r="AE30" s="1503">
        <f t="shared" si="12"/>
        <v>0</v>
      </c>
      <c r="AF30" s="1502">
        <f t="shared" si="13"/>
        <v>0</v>
      </c>
    </row>
    <row r="31" spans="1:32" s="1474" customFormat="1" ht="23.25" customHeight="1">
      <c r="A31" s="1515"/>
      <c r="B31" s="1513"/>
      <c r="C31" s="1514"/>
      <c r="D31" s="1514"/>
      <c r="E31" s="1513"/>
      <c r="F31" s="1512">
        <f t="shared" si="0"/>
        <v>0</v>
      </c>
      <c r="G31" s="1508"/>
      <c r="H31" s="1511"/>
      <c r="I31" s="1508"/>
      <c r="J31" s="1508"/>
      <c r="K31" s="1508"/>
      <c r="L31" s="1508"/>
      <c r="M31" s="1510">
        <f t="shared" si="1"/>
        <v>0</v>
      </c>
      <c r="N31" s="1510">
        <f t="shared" si="2"/>
        <v>0</v>
      </c>
      <c r="O31" s="1509"/>
      <c r="P31" s="1509"/>
      <c r="Q31" s="1509"/>
      <c r="R31" s="1508"/>
      <c r="S31" s="1508"/>
      <c r="T31" s="1507"/>
      <c r="U31" s="1495">
        <f t="shared" si="3"/>
        <v>0</v>
      </c>
      <c r="V31" s="1495">
        <f t="shared" si="4"/>
        <v>0</v>
      </c>
      <c r="W31" s="1495">
        <f t="shared" si="5"/>
        <v>0</v>
      </c>
      <c r="X31" s="1495">
        <f t="shared" si="6"/>
        <v>0</v>
      </c>
      <c r="Y31" s="1495" t="e">
        <f t="shared" si="7"/>
        <v>#DIV/0!</v>
      </c>
      <c r="Z31" s="1495">
        <f t="shared" si="8"/>
        <v>0</v>
      </c>
      <c r="AA31" s="1506">
        <f t="shared" si="9"/>
        <v>0</v>
      </c>
      <c r="AB31" s="1505"/>
      <c r="AC31" s="1504">
        <f t="shared" si="10"/>
        <v>0</v>
      </c>
      <c r="AD31" s="1503">
        <f t="shared" si="11"/>
        <v>0</v>
      </c>
      <c r="AE31" s="1503">
        <f t="shared" si="12"/>
        <v>0</v>
      </c>
      <c r="AF31" s="1502">
        <f t="shared" si="13"/>
        <v>0</v>
      </c>
    </row>
    <row r="32" spans="1:32" s="1474" customFormat="1" ht="23.25" customHeight="1">
      <c r="A32" s="1515"/>
      <c r="B32" s="1513"/>
      <c r="C32" s="1514"/>
      <c r="D32" s="1514"/>
      <c r="E32" s="1513"/>
      <c r="F32" s="1512">
        <f t="shared" si="0"/>
        <v>0</v>
      </c>
      <c r="G32" s="1508"/>
      <c r="H32" s="1511"/>
      <c r="I32" s="1508"/>
      <c r="J32" s="1508"/>
      <c r="K32" s="1508"/>
      <c r="L32" s="1508"/>
      <c r="M32" s="1510">
        <f t="shared" si="1"/>
        <v>0</v>
      </c>
      <c r="N32" s="1510">
        <f t="shared" si="2"/>
        <v>0</v>
      </c>
      <c r="O32" s="1509"/>
      <c r="P32" s="1509"/>
      <c r="Q32" s="1509"/>
      <c r="R32" s="1508"/>
      <c r="S32" s="1508"/>
      <c r="T32" s="1507"/>
      <c r="U32" s="1495">
        <f t="shared" si="3"/>
        <v>0</v>
      </c>
      <c r="V32" s="1495">
        <f t="shared" si="4"/>
        <v>0</v>
      </c>
      <c r="W32" s="1495">
        <f t="shared" si="5"/>
        <v>0</v>
      </c>
      <c r="X32" s="1495">
        <f t="shared" si="6"/>
        <v>0</v>
      </c>
      <c r="Y32" s="1495" t="e">
        <f t="shared" si="7"/>
        <v>#DIV/0!</v>
      </c>
      <c r="Z32" s="1495">
        <f t="shared" si="8"/>
        <v>0</v>
      </c>
      <c r="AA32" s="1506">
        <f t="shared" si="9"/>
        <v>0</v>
      </c>
      <c r="AB32" s="1505"/>
      <c r="AC32" s="1504">
        <f t="shared" si="10"/>
        <v>0</v>
      </c>
      <c r="AD32" s="1503">
        <f t="shared" si="11"/>
        <v>0</v>
      </c>
      <c r="AE32" s="1503">
        <f t="shared" si="12"/>
        <v>0</v>
      </c>
      <c r="AF32" s="1502">
        <f t="shared" si="13"/>
        <v>0</v>
      </c>
    </row>
    <row r="33" spans="1:32" s="1474" customFormat="1" ht="23.25" customHeight="1">
      <c r="A33" s="1515"/>
      <c r="B33" s="1513"/>
      <c r="C33" s="1514"/>
      <c r="D33" s="1514"/>
      <c r="E33" s="1513"/>
      <c r="F33" s="1512">
        <f t="shared" si="0"/>
        <v>0</v>
      </c>
      <c r="G33" s="1508"/>
      <c r="H33" s="1511"/>
      <c r="I33" s="1508"/>
      <c r="J33" s="1508"/>
      <c r="K33" s="1508"/>
      <c r="L33" s="1508"/>
      <c r="M33" s="1510">
        <f t="shared" si="1"/>
        <v>0</v>
      </c>
      <c r="N33" s="1510">
        <f t="shared" si="2"/>
        <v>0</v>
      </c>
      <c r="O33" s="1509"/>
      <c r="P33" s="1509"/>
      <c r="Q33" s="1509"/>
      <c r="R33" s="1508"/>
      <c r="S33" s="1508"/>
      <c r="T33" s="1507"/>
      <c r="U33" s="1495">
        <f t="shared" si="3"/>
        <v>0</v>
      </c>
      <c r="V33" s="1495">
        <f t="shared" si="4"/>
        <v>0</v>
      </c>
      <c r="W33" s="1495">
        <f t="shared" si="5"/>
        <v>0</v>
      </c>
      <c r="X33" s="1495">
        <f t="shared" si="6"/>
        <v>0</v>
      </c>
      <c r="Y33" s="1495" t="e">
        <f t="shared" si="7"/>
        <v>#DIV/0!</v>
      </c>
      <c r="Z33" s="1495">
        <f t="shared" si="8"/>
        <v>0</v>
      </c>
      <c r="AA33" s="1506">
        <f t="shared" si="9"/>
        <v>0</v>
      </c>
      <c r="AB33" s="1505"/>
      <c r="AC33" s="1504">
        <f t="shared" si="10"/>
        <v>0</v>
      </c>
      <c r="AD33" s="1503">
        <f t="shared" si="11"/>
        <v>0</v>
      </c>
      <c r="AE33" s="1503">
        <f t="shared" si="12"/>
        <v>0</v>
      </c>
      <c r="AF33" s="1502">
        <f t="shared" si="13"/>
        <v>0</v>
      </c>
    </row>
    <row r="34" spans="1:32" s="1474" customFormat="1" ht="23.25" customHeight="1">
      <c r="A34" s="1515"/>
      <c r="B34" s="1513"/>
      <c r="C34" s="1514"/>
      <c r="D34" s="1514"/>
      <c r="E34" s="1513"/>
      <c r="F34" s="1512">
        <f t="shared" si="0"/>
        <v>0</v>
      </c>
      <c r="G34" s="1508"/>
      <c r="H34" s="1511"/>
      <c r="I34" s="1508"/>
      <c r="J34" s="1508"/>
      <c r="K34" s="1508"/>
      <c r="L34" s="1508"/>
      <c r="M34" s="1510">
        <f t="shared" si="1"/>
        <v>0</v>
      </c>
      <c r="N34" s="1510">
        <f t="shared" si="2"/>
        <v>0</v>
      </c>
      <c r="O34" s="1509"/>
      <c r="P34" s="1509"/>
      <c r="Q34" s="1509"/>
      <c r="R34" s="1508"/>
      <c r="S34" s="1508"/>
      <c r="T34" s="1507"/>
      <c r="U34" s="1495">
        <f t="shared" si="3"/>
        <v>0</v>
      </c>
      <c r="V34" s="1495">
        <f t="shared" si="4"/>
        <v>0</v>
      </c>
      <c r="W34" s="1495">
        <f t="shared" si="5"/>
        <v>0</v>
      </c>
      <c r="X34" s="1495">
        <f t="shared" si="6"/>
        <v>0</v>
      </c>
      <c r="Y34" s="1495" t="e">
        <f t="shared" si="7"/>
        <v>#DIV/0!</v>
      </c>
      <c r="Z34" s="1495">
        <f t="shared" si="8"/>
        <v>0</v>
      </c>
      <c r="AA34" s="1506">
        <f t="shared" si="9"/>
        <v>0</v>
      </c>
      <c r="AB34" s="1505"/>
      <c r="AC34" s="1504">
        <f t="shared" si="10"/>
        <v>0</v>
      </c>
      <c r="AD34" s="1503">
        <f t="shared" si="11"/>
        <v>0</v>
      </c>
      <c r="AE34" s="1503">
        <f t="shared" si="12"/>
        <v>0</v>
      </c>
      <c r="AF34" s="1502">
        <f t="shared" si="13"/>
        <v>0</v>
      </c>
    </row>
    <row r="35" spans="1:32" s="1474" customFormat="1" ht="23.25" customHeight="1">
      <c r="A35" s="1515"/>
      <c r="B35" s="1513"/>
      <c r="C35" s="1514"/>
      <c r="D35" s="1514"/>
      <c r="E35" s="1513"/>
      <c r="F35" s="1512">
        <f t="shared" si="0"/>
        <v>0</v>
      </c>
      <c r="G35" s="1508"/>
      <c r="H35" s="1511"/>
      <c r="I35" s="1508"/>
      <c r="J35" s="1508"/>
      <c r="K35" s="1508"/>
      <c r="L35" s="1508"/>
      <c r="M35" s="1510">
        <f t="shared" si="1"/>
        <v>0</v>
      </c>
      <c r="N35" s="1510">
        <f t="shared" si="2"/>
        <v>0</v>
      </c>
      <c r="O35" s="1509"/>
      <c r="P35" s="1509"/>
      <c r="Q35" s="1509"/>
      <c r="R35" s="1508"/>
      <c r="S35" s="1508"/>
      <c r="T35" s="1507"/>
      <c r="U35" s="1495">
        <f t="shared" si="3"/>
        <v>0</v>
      </c>
      <c r="V35" s="1495">
        <f t="shared" si="4"/>
        <v>0</v>
      </c>
      <c r="W35" s="1495">
        <f t="shared" si="5"/>
        <v>0</v>
      </c>
      <c r="X35" s="1495">
        <f t="shared" si="6"/>
        <v>0</v>
      </c>
      <c r="Y35" s="1495" t="e">
        <f t="shared" si="7"/>
        <v>#DIV/0!</v>
      </c>
      <c r="Z35" s="1495">
        <f t="shared" si="8"/>
        <v>0</v>
      </c>
      <c r="AA35" s="1506">
        <f t="shared" si="9"/>
        <v>0</v>
      </c>
      <c r="AB35" s="1505"/>
      <c r="AC35" s="1504">
        <f t="shared" si="10"/>
        <v>0</v>
      </c>
      <c r="AD35" s="1503">
        <f t="shared" si="11"/>
        <v>0</v>
      </c>
      <c r="AE35" s="1503">
        <f t="shared" si="12"/>
        <v>0</v>
      </c>
      <c r="AF35" s="1502">
        <f t="shared" si="13"/>
        <v>0</v>
      </c>
    </row>
    <row r="36" spans="1:32" s="1474" customFormat="1" ht="23.25" customHeight="1">
      <c r="A36" s="1515"/>
      <c r="B36" s="1513"/>
      <c r="C36" s="1514"/>
      <c r="D36" s="1514"/>
      <c r="E36" s="1513"/>
      <c r="F36" s="1512">
        <f t="shared" si="0"/>
        <v>0</v>
      </c>
      <c r="G36" s="1508"/>
      <c r="H36" s="1511"/>
      <c r="I36" s="1508"/>
      <c r="J36" s="1508"/>
      <c r="K36" s="1508"/>
      <c r="L36" s="1508"/>
      <c r="M36" s="1510">
        <f t="shared" si="1"/>
        <v>0</v>
      </c>
      <c r="N36" s="1510">
        <f t="shared" si="2"/>
        <v>0</v>
      </c>
      <c r="O36" s="1509"/>
      <c r="P36" s="1509"/>
      <c r="Q36" s="1509"/>
      <c r="R36" s="1508"/>
      <c r="S36" s="1508"/>
      <c r="T36" s="1507"/>
      <c r="U36" s="1495">
        <f t="shared" si="3"/>
        <v>0</v>
      </c>
      <c r="V36" s="1495">
        <f t="shared" si="4"/>
        <v>0</v>
      </c>
      <c r="W36" s="1495">
        <f t="shared" si="5"/>
        <v>0</v>
      </c>
      <c r="X36" s="1495">
        <f t="shared" si="6"/>
        <v>0</v>
      </c>
      <c r="Y36" s="1495" t="e">
        <f t="shared" si="7"/>
        <v>#DIV/0!</v>
      </c>
      <c r="Z36" s="1495">
        <f t="shared" si="8"/>
        <v>0</v>
      </c>
      <c r="AA36" s="1506">
        <f t="shared" si="9"/>
        <v>0</v>
      </c>
      <c r="AB36" s="1505"/>
      <c r="AC36" s="1504">
        <f t="shared" si="10"/>
        <v>0</v>
      </c>
      <c r="AD36" s="1503">
        <f t="shared" si="11"/>
        <v>0</v>
      </c>
      <c r="AE36" s="1503">
        <f t="shared" si="12"/>
        <v>0</v>
      </c>
      <c r="AF36" s="1502">
        <f t="shared" si="13"/>
        <v>0</v>
      </c>
    </row>
    <row r="37" spans="1:32" s="1474" customFormat="1" ht="23.25" customHeight="1">
      <c r="A37" s="1515"/>
      <c r="B37" s="1513"/>
      <c r="C37" s="1514"/>
      <c r="D37" s="1514"/>
      <c r="E37" s="1513"/>
      <c r="F37" s="1512">
        <f t="shared" si="0"/>
        <v>0</v>
      </c>
      <c r="G37" s="1508"/>
      <c r="H37" s="1511"/>
      <c r="I37" s="1508"/>
      <c r="J37" s="1508"/>
      <c r="K37" s="1508"/>
      <c r="L37" s="1508"/>
      <c r="M37" s="1510">
        <f t="shared" si="1"/>
        <v>0</v>
      </c>
      <c r="N37" s="1510">
        <f t="shared" si="2"/>
        <v>0</v>
      </c>
      <c r="O37" s="1509"/>
      <c r="P37" s="1509"/>
      <c r="Q37" s="1509"/>
      <c r="R37" s="1508"/>
      <c r="S37" s="1508"/>
      <c r="T37" s="1507"/>
      <c r="U37" s="1495">
        <f t="shared" si="3"/>
        <v>0</v>
      </c>
      <c r="V37" s="1495">
        <f t="shared" si="4"/>
        <v>0</v>
      </c>
      <c r="W37" s="1495">
        <f t="shared" si="5"/>
        <v>0</v>
      </c>
      <c r="X37" s="1495">
        <f t="shared" si="6"/>
        <v>0</v>
      </c>
      <c r="Y37" s="1495" t="e">
        <f t="shared" si="7"/>
        <v>#DIV/0!</v>
      </c>
      <c r="Z37" s="1495">
        <f t="shared" si="8"/>
        <v>0</v>
      </c>
      <c r="AA37" s="1506">
        <f t="shared" si="9"/>
        <v>0</v>
      </c>
      <c r="AB37" s="1505"/>
      <c r="AC37" s="1504">
        <f t="shared" si="10"/>
        <v>0</v>
      </c>
      <c r="AD37" s="1503">
        <f t="shared" si="11"/>
        <v>0</v>
      </c>
      <c r="AE37" s="1503">
        <f t="shared" si="12"/>
        <v>0</v>
      </c>
      <c r="AF37" s="1502">
        <f t="shared" si="13"/>
        <v>0</v>
      </c>
    </row>
    <row r="38" spans="1:32" s="1474" customFormat="1" ht="23.25" customHeight="1">
      <c r="A38" s="1515"/>
      <c r="B38" s="1513"/>
      <c r="C38" s="1514"/>
      <c r="D38" s="1514"/>
      <c r="E38" s="1513"/>
      <c r="F38" s="1512">
        <f t="shared" si="0"/>
        <v>0</v>
      </c>
      <c r="G38" s="1508"/>
      <c r="H38" s="1511"/>
      <c r="I38" s="1508"/>
      <c r="J38" s="1508"/>
      <c r="K38" s="1508"/>
      <c r="L38" s="1508"/>
      <c r="M38" s="1510">
        <f t="shared" si="1"/>
        <v>0</v>
      </c>
      <c r="N38" s="1510">
        <f t="shared" si="2"/>
        <v>0</v>
      </c>
      <c r="O38" s="1509"/>
      <c r="P38" s="1509"/>
      <c r="Q38" s="1509"/>
      <c r="R38" s="1508"/>
      <c r="S38" s="1508"/>
      <c r="T38" s="1507"/>
      <c r="U38" s="1495">
        <f t="shared" si="3"/>
        <v>0</v>
      </c>
      <c r="V38" s="1495">
        <f t="shared" si="4"/>
        <v>0</v>
      </c>
      <c r="W38" s="1495">
        <f t="shared" si="5"/>
        <v>0</v>
      </c>
      <c r="X38" s="1495">
        <f t="shared" si="6"/>
        <v>0</v>
      </c>
      <c r="Y38" s="1495" t="e">
        <f t="shared" si="7"/>
        <v>#DIV/0!</v>
      </c>
      <c r="Z38" s="1495">
        <f t="shared" si="8"/>
        <v>0</v>
      </c>
      <c r="AA38" s="1506">
        <f t="shared" si="9"/>
        <v>0</v>
      </c>
      <c r="AB38" s="1505"/>
      <c r="AC38" s="1504">
        <f t="shared" si="10"/>
        <v>0</v>
      </c>
      <c r="AD38" s="1503">
        <f t="shared" si="11"/>
        <v>0</v>
      </c>
      <c r="AE38" s="1503">
        <f t="shared" si="12"/>
        <v>0</v>
      </c>
      <c r="AF38" s="1502">
        <f t="shared" si="13"/>
        <v>0</v>
      </c>
    </row>
    <row r="39" spans="1:32" s="1474" customFormat="1" ht="23.25" customHeight="1">
      <c r="A39" s="1515"/>
      <c r="B39" s="1513"/>
      <c r="C39" s="1514"/>
      <c r="D39" s="1514"/>
      <c r="E39" s="1513"/>
      <c r="F39" s="1512">
        <f t="shared" si="0"/>
        <v>0</v>
      </c>
      <c r="G39" s="1508"/>
      <c r="H39" s="1511"/>
      <c r="I39" s="1508"/>
      <c r="J39" s="1508"/>
      <c r="K39" s="1508"/>
      <c r="L39" s="1508"/>
      <c r="M39" s="1510">
        <f t="shared" si="1"/>
        <v>0</v>
      </c>
      <c r="N39" s="1510">
        <f t="shared" si="2"/>
        <v>0</v>
      </c>
      <c r="O39" s="1509"/>
      <c r="P39" s="1509"/>
      <c r="Q39" s="1509"/>
      <c r="R39" s="1508"/>
      <c r="S39" s="1508"/>
      <c r="T39" s="1507"/>
      <c r="U39" s="1495">
        <f t="shared" si="3"/>
        <v>0</v>
      </c>
      <c r="V39" s="1495">
        <f t="shared" si="4"/>
        <v>0</v>
      </c>
      <c r="W39" s="1495">
        <f t="shared" si="5"/>
        <v>0</v>
      </c>
      <c r="X39" s="1495">
        <f t="shared" si="6"/>
        <v>0</v>
      </c>
      <c r="Y39" s="1495" t="e">
        <f t="shared" si="7"/>
        <v>#DIV/0!</v>
      </c>
      <c r="Z39" s="1495">
        <f t="shared" si="8"/>
        <v>0</v>
      </c>
      <c r="AA39" s="1506">
        <f t="shared" si="9"/>
        <v>0</v>
      </c>
      <c r="AB39" s="1505"/>
      <c r="AC39" s="1504">
        <f t="shared" si="10"/>
        <v>0</v>
      </c>
      <c r="AD39" s="1503">
        <f t="shared" si="11"/>
        <v>0</v>
      </c>
      <c r="AE39" s="1503">
        <f t="shared" si="12"/>
        <v>0</v>
      </c>
      <c r="AF39" s="1502">
        <f t="shared" si="13"/>
        <v>0</v>
      </c>
    </row>
    <row r="40" spans="1:32" s="1474" customFormat="1" ht="23.25" customHeight="1">
      <c r="A40" s="1515"/>
      <c r="B40" s="1513"/>
      <c r="C40" s="1514"/>
      <c r="D40" s="1514"/>
      <c r="E40" s="1513"/>
      <c r="F40" s="1512">
        <f t="shared" si="0"/>
        <v>0</v>
      </c>
      <c r="G40" s="1508"/>
      <c r="H40" s="1511"/>
      <c r="I40" s="1508"/>
      <c r="J40" s="1508"/>
      <c r="K40" s="1508"/>
      <c r="L40" s="1508"/>
      <c r="M40" s="1510">
        <f t="shared" si="1"/>
        <v>0</v>
      </c>
      <c r="N40" s="1510">
        <f t="shared" si="2"/>
        <v>0</v>
      </c>
      <c r="O40" s="1509"/>
      <c r="P40" s="1509"/>
      <c r="Q40" s="1509"/>
      <c r="R40" s="1508"/>
      <c r="S40" s="1508"/>
      <c r="T40" s="1507"/>
      <c r="U40" s="1495">
        <f t="shared" si="3"/>
        <v>0</v>
      </c>
      <c r="V40" s="1495">
        <f t="shared" si="4"/>
        <v>0</v>
      </c>
      <c r="W40" s="1495">
        <f t="shared" si="5"/>
        <v>0</v>
      </c>
      <c r="X40" s="1495">
        <f t="shared" si="6"/>
        <v>0</v>
      </c>
      <c r="Y40" s="1495" t="e">
        <f t="shared" si="7"/>
        <v>#DIV/0!</v>
      </c>
      <c r="Z40" s="1495">
        <f t="shared" si="8"/>
        <v>0</v>
      </c>
      <c r="AA40" s="1506">
        <f t="shared" si="9"/>
        <v>0</v>
      </c>
      <c r="AB40" s="1505"/>
      <c r="AC40" s="1504">
        <f t="shared" si="10"/>
        <v>0</v>
      </c>
      <c r="AD40" s="1503">
        <f t="shared" si="11"/>
        <v>0</v>
      </c>
      <c r="AE40" s="1503">
        <f t="shared" si="12"/>
        <v>0</v>
      </c>
      <c r="AF40" s="1502">
        <f t="shared" si="13"/>
        <v>0</v>
      </c>
    </row>
    <row r="41" spans="1:32" s="1474" customFormat="1" ht="23.25" customHeight="1">
      <c r="A41" s="1515"/>
      <c r="B41" s="1513"/>
      <c r="C41" s="1514"/>
      <c r="D41" s="1514"/>
      <c r="E41" s="1513"/>
      <c r="F41" s="1512">
        <f t="shared" si="0"/>
        <v>0</v>
      </c>
      <c r="G41" s="1508"/>
      <c r="H41" s="1511"/>
      <c r="I41" s="1508"/>
      <c r="J41" s="1508"/>
      <c r="K41" s="1508"/>
      <c r="L41" s="1508"/>
      <c r="M41" s="1510">
        <f t="shared" si="1"/>
        <v>0</v>
      </c>
      <c r="N41" s="1510">
        <f t="shared" si="2"/>
        <v>0</v>
      </c>
      <c r="O41" s="1509"/>
      <c r="P41" s="1509"/>
      <c r="Q41" s="1509"/>
      <c r="R41" s="1508"/>
      <c r="S41" s="1508"/>
      <c r="T41" s="1507"/>
      <c r="U41" s="1495">
        <f t="shared" si="3"/>
        <v>0</v>
      </c>
      <c r="V41" s="1495">
        <f t="shared" si="4"/>
        <v>0</v>
      </c>
      <c r="W41" s="1495">
        <f t="shared" si="5"/>
        <v>0</v>
      </c>
      <c r="X41" s="1495">
        <f t="shared" si="6"/>
        <v>0</v>
      </c>
      <c r="Y41" s="1495" t="e">
        <f t="shared" si="7"/>
        <v>#DIV/0!</v>
      </c>
      <c r="Z41" s="1495">
        <f t="shared" si="8"/>
        <v>0</v>
      </c>
      <c r="AA41" s="1506">
        <f t="shared" si="9"/>
        <v>0</v>
      </c>
      <c r="AB41" s="1505"/>
      <c r="AC41" s="1504">
        <f t="shared" si="10"/>
        <v>0</v>
      </c>
      <c r="AD41" s="1503">
        <f t="shared" si="11"/>
        <v>0</v>
      </c>
      <c r="AE41" s="1503">
        <f t="shared" si="12"/>
        <v>0</v>
      </c>
      <c r="AF41" s="1502">
        <f t="shared" si="13"/>
        <v>0</v>
      </c>
    </row>
    <row r="42" spans="1:32" s="1474" customFormat="1" ht="23.25" customHeight="1">
      <c r="A42" s="1515"/>
      <c r="B42" s="1513"/>
      <c r="C42" s="1514"/>
      <c r="D42" s="1514"/>
      <c r="E42" s="1513"/>
      <c r="F42" s="1512">
        <f t="shared" si="0"/>
        <v>0</v>
      </c>
      <c r="G42" s="1508"/>
      <c r="H42" s="1511"/>
      <c r="I42" s="1508"/>
      <c r="J42" s="1508"/>
      <c r="K42" s="1508"/>
      <c r="L42" s="1508"/>
      <c r="M42" s="1510">
        <f t="shared" si="1"/>
        <v>0</v>
      </c>
      <c r="N42" s="1510">
        <f t="shared" si="2"/>
        <v>0</v>
      </c>
      <c r="O42" s="1509"/>
      <c r="P42" s="1509"/>
      <c r="Q42" s="1509"/>
      <c r="R42" s="1508"/>
      <c r="S42" s="1508"/>
      <c r="T42" s="1507"/>
      <c r="U42" s="1495">
        <f t="shared" si="3"/>
        <v>0</v>
      </c>
      <c r="V42" s="1495">
        <f t="shared" si="4"/>
        <v>0</v>
      </c>
      <c r="W42" s="1495">
        <f t="shared" si="5"/>
        <v>0</v>
      </c>
      <c r="X42" s="1495">
        <f t="shared" si="6"/>
        <v>0</v>
      </c>
      <c r="Y42" s="1495" t="e">
        <f t="shared" si="7"/>
        <v>#DIV/0!</v>
      </c>
      <c r="Z42" s="1495">
        <f t="shared" si="8"/>
        <v>0</v>
      </c>
      <c r="AA42" s="1506">
        <f t="shared" si="9"/>
        <v>0</v>
      </c>
      <c r="AB42" s="1505"/>
      <c r="AC42" s="1504">
        <f t="shared" si="10"/>
        <v>0</v>
      </c>
      <c r="AD42" s="1503">
        <f t="shared" si="11"/>
        <v>0</v>
      </c>
      <c r="AE42" s="1503">
        <f t="shared" si="12"/>
        <v>0</v>
      </c>
      <c r="AF42" s="1502">
        <f t="shared" si="13"/>
        <v>0</v>
      </c>
    </row>
    <row r="43" spans="1:32" s="1474" customFormat="1" ht="23.25" customHeight="1">
      <c r="A43" s="1515"/>
      <c r="B43" s="1513"/>
      <c r="C43" s="1514"/>
      <c r="D43" s="1514"/>
      <c r="E43" s="1513"/>
      <c r="F43" s="1512">
        <f t="shared" si="0"/>
        <v>0</v>
      </c>
      <c r="G43" s="1508"/>
      <c r="H43" s="1511"/>
      <c r="I43" s="1508"/>
      <c r="J43" s="1508"/>
      <c r="K43" s="1508"/>
      <c r="L43" s="1508"/>
      <c r="M43" s="1510">
        <f t="shared" si="1"/>
        <v>0</v>
      </c>
      <c r="N43" s="1510">
        <f t="shared" si="2"/>
        <v>0</v>
      </c>
      <c r="O43" s="1509"/>
      <c r="P43" s="1509"/>
      <c r="Q43" s="1509"/>
      <c r="R43" s="1508"/>
      <c r="S43" s="1508"/>
      <c r="T43" s="1507"/>
      <c r="U43" s="1495">
        <f t="shared" si="3"/>
        <v>0</v>
      </c>
      <c r="V43" s="1495">
        <f t="shared" si="4"/>
        <v>0</v>
      </c>
      <c r="W43" s="1495">
        <f t="shared" si="5"/>
        <v>0</v>
      </c>
      <c r="X43" s="1495">
        <f t="shared" si="6"/>
        <v>0</v>
      </c>
      <c r="Y43" s="1495" t="e">
        <f t="shared" si="7"/>
        <v>#DIV/0!</v>
      </c>
      <c r="Z43" s="1495">
        <f t="shared" si="8"/>
        <v>0</v>
      </c>
      <c r="AA43" s="1506">
        <f t="shared" si="9"/>
        <v>0</v>
      </c>
      <c r="AB43" s="1505"/>
      <c r="AC43" s="1504">
        <f t="shared" si="10"/>
        <v>0</v>
      </c>
      <c r="AD43" s="1503">
        <f t="shared" si="11"/>
        <v>0</v>
      </c>
      <c r="AE43" s="1503">
        <f t="shared" si="12"/>
        <v>0</v>
      </c>
      <c r="AF43" s="1502">
        <f t="shared" si="13"/>
        <v>0</v>
      </c>
    </row>
    <row r="44" spans="1:32" s="1474" customFormat="1" ht="23.25" customHeight="1">
      <c r="A44" s="1515"/>
      <c r="B44" s="1513"/>
      <c r="C44" s="1514"/>
      <c r="D44" s="1514"/>
      <c r="E44" s="1513"/>
      <c r="F44" s="1512">
        <f t="shared" si="0"/>
        <v>0</v>
      </c>
      <c r="G44" s="1508"/>
      <c r="H44" s="1511"/>
      <c r="I44" s="1508"/>
      <c r="J44" s="1508"/>
      <c r="K44" s="1508"/>
      <c r="L44" s="1508"/>
      <c r="M44" s="1510">
        <f t="shared" si="1"/>
        <v>0</v>
      </c>
      <c r="N44" s="1510">
        <f t="shared" si="2"/>
        <v>0</v>
      </c>
      <c r="O44" s="1509"/>
      <c r="P44" s="1509"/>
      <c r="Q44" s="1509"/>
      <c r="R44" s="1508"/>
      <c r="S44" s="1508"/>
      <c r="T44" s="1507"/>
      <c r="U44" s="1495">
        <f t="shared" si="3"/>
        <v>0</v>
      </c>
      <c r="V44" s="1495">
        <f t="shared" si="4"/>
        <v>0</v>
      </c>
      <c r="W44" s="1495">
        <f t="shared" si="5"/>
        <v>0</v>
      </c>
      <c r="X44" s="1495">
        <f t="shared" si="6"/>
        <v>0</v>
      </c>
      <c r="Y44" s="1495" t="e">
        <f t="shared" si="7"/>
        <v>#DIV/0!</v>
      </c>
      <c r="Z44" s="1495">
        <f t="shared" si="8"/>
        <v>0</v>
      </c>
      <c r="AA44" s="1506">
        <f t="shared" si="9"/>
        <v>0</v>
      </c>
      <c r="AB44" s="1505"/>
      <c r="AC44" s="1504">
        <f t="shared" si="10"/>
        <v>0</v>
      </c>
      <c r="AD44" s="1503">
        <f t="shared" si="11"/>
        <v>0</v>
      </c>
      <c r="AE44" s="1503">
        <f t="shared" si="12"/>
        <v>0</v>
      </c>
      <c r="AF44" s="1502">
        <f t="shared" si="13"/>
        <v>0</v>
      </c>
    </row>
    <row r="45" spans="1:32" s="1474" customFormat="1" ht="23.25" customHeight="1">
      <c r="A45" s="1515"/>
      <c r="B45" s="1513"/>
      <c r="C45" s="1514"/>
      <c r="D45" s="1514"/>
      <c r="E45" s="1513"/>
      <c r="F45" s="1512">
        <f t="shared" si="0"/>
        <v>0</v>
      </c>
      <c r="G45" s="1508"/>
      <c r="H45" s="1511"/>
      <c r="I45" s="1508"/>
      <c r="J45" s="1508"/>
      <c r="K45" s="1508"/>
      <c r="L45" s="1508"/>
      <c r="M45" s="1510">
        <f t="shared" si="1"/>
        <v>0</v>
      </c>
      <c r="N45" s="1510">
        <f t="shared" si="2"/>
        <v>0</v>
      </c>
      <c r="O45" s="1509"/>
      <c r="P45" s="1509"/>
      <c r="Q45" s="1509"/>
      <c r="R45" s="1508"/>
      <c r="S45" s="1508"/>
      <c r="T45" s="1507"/>
      <c r="U45" s="1495">
        <f t="shared" si="3"/>
        <v>0</v>
      </c>
      <c r="V45" s="1495">
        <f t="shared" si="4"/>
        <v>0</v>
      </c>
      <c r="W45" s="1495">
        <f t="shared" si="5"/>
        <v>0</v>
      </c>
      <c r="X45" s="1495">
        <f t="shared" si="6"/>
        <v>0</v>
      </c>
      <c r="Y45" s="1495" t="e">
        <f t="shared" si="7"/>
        <v>#DIV/0!</v>
      </c>
      <c r="Z45" s="1495">
        <f t="shared" si="8"/>
        <v>0</v>
      </c>
      <c r="AA45" s="1506">
        <f t="shared" si="9"/>
        <v>0</v>
      </c>
      <c r="AB45" s="1505"/>
      <c r="AC45" s="1504">
        <f t="shared" si="10"/>
        <v>0</v>
      </c>
      <c r="AD45" s="1503">
        <f t="shared" si="11"/>
        <v>0</v>
      </c>
      <c r="AE45" s="1503">
        <f t="shared" si="12"/>
        <v>0</v>
      </c>
      <c r="AF45" s="1502">
        <f t="shared" si="13"/>
        <v>0</v>
      </c>
    </row>
    <row r="46" spans="1:32" s="1474" customFormat="1" ht="23.25" customHeight="1" thickBot="1">
      <c r="A46" s="1501"/>
      <c r="B46" s="1496"/>
      <c r="C46" s="1499"/>
      <c r="D46" s="1499"/>
      <c r="E46" s="1496"/>
      <c r="F46" s="1498">
        <f t="shared" si="0"/>
        <v>0</v>
      </c>
      <c r="G46" s="1499"/>
      <c r="H46" s="1500"/>
      <c r="I46" s="1499"/>
      <c r="J46" s="1499"/>
      <c r="K46" s="1499"/>
      <c r="L46" s="1499"/>
      <c r="M46" s="1498">
        <f t="shared" si="1"/>
        <v>0</v>
      </c>
      <c r="N46" s="1498">
        <f t="shared" si="2"/>
        <v>0</v>
      </c>
      <c r="O46" s="1497"/>
      <c r="P46" s="1497"/>
      <c r="Q46" s="1497"/>
      <c r="R46" s="1496"/>
      <c r="S46" s="1496"/>
      <c r="T46" s="1496"/>
      <c r="U46" s="1494">
        <f t="shared" si="3"/>
        <v>0</v>
      </c>
      <c r="V46" s="1494">
        <f t="shared" si="4"/>
        <v>0</v>
      </c>
      <c r="W46" s="1494">
        <f t="shared" si="5"/>
        <v>0</v>
      </c>
      <c r="X46" s="1494">
        <f t="shared" si="6"/>
        <v>0</v>
      </c>
      <c r="Y46" s="1495" t="e">
        <f t="shared" si="7"/>
        <v>#DIV/0!</v>
      </c>
      <c r="Z46" s="1494">
        <f t="shared" si="8"/>
        <v>0</v>
      </c>
      <c r="AA46" s="1493">
        <f t="shared" si="9"/>
        <v>0</v>
      </c>
      <c r="AB46" s="1492"/>
      <c r="AC46" s="1491">
        <f t="shared" si="10"/>
        <v>0</v>
      </c>
      <c r="AD46" s="1490">
        <f t="shared" si="11"/>
        <v>0</v>
      </c>
      <c r="AE46" s="1490">
        <f t="shared" si="12"/>
        <v>0</v>
      </c>
      <c r="AF46" s="1489">
        <f t="shared" si="13"/>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4">SUM(M13:M46)</f>
        <v>0</v>
      </c>
      <c r="N48" s="1480">
        <f t="shared" si="14"/>
        <v>0</v>
      </c>
      <c r="O48" s="1480">
        <f t="shared" si="14"/>
        <v>0</v>
      </c>
      <c r="P48" s="1480">
        <f t="shared" si="14"/>
        <v>0</v>
      </c>
      <c r="Q48" s="1480">
        <f t="shared" si="14"/>
        <v>0</v>
      </c>
      <c r="R48" s="1480">
        <f t="shared" si="14"/>
        <v>0</v>
      </c>
      <c r="S48" s="1480">
        <f t="shared" si="14"/>
        <v>0</v>
      </c>
      <c r="T48" s="1480">
        <f t="shared" si="14"/>
        <v>0</v>
      </c>
      <c r="U48" s="1480">
        <f t="shared" si="14"/>
        <v>0</v>
      </c>
      <c r="V48" s="1480">
        <f t="shared" si="14"/>
        <v>0</v>
      </c>
      <c r="W48" s="1480">
        <f t="shared" si="14"/>
        <v>0</v>
      </c>
      <c r="X48" s="1480">
        <f t="shared" si="14"/>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'LPP-SPP'!G39</f>
        <v>Endang Taryana</v>
      </c>
      <c r="F52" s="3410"/>
      <c r="G52" s="3410"/>
      <c r="H52" s="3410"/>
      <c r="I52" s="3410"/>
      <c r="J52" s="3410"/>
      <c r="K52" s="3410"/>
      <c r="L52" s="3410"/>
      <c r="M52" s="3410"/>
      <c r="N52" s="3410"/>
      <c r="O52" s="1467" t="s">
        <v>1461</v>
      </c>
      <c r="P52" s="3410"/>
      <c r="Q52" s="3410"/>
      <c r="R52" s="3410"/>
      <c r="S52" s="1465"/>
      <c r="T52" s="1465"/>
      <c r="U52" s="1465"/>
      <c r="V52" s="3410" t="str">
        <f>'LPP-SPP'!T39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5">E66*H66</f>
        <v>0</v>
      </c>
      <c r="G66" s="1508"/>
      <c r="H66" s="1511"/>
      <c r="I66" s="1508"/>
      <c r="J66" s="1508"/>
      <c r="K66" s="1508"/>
      <c r="L66" s="1508"/>
      <c r="M66" s="1510">
        <f t="shared" ref="M66:M100" si="16">IF(J66&lt;I66,J66*K66,IF(J66&gt;=I66,E66))</f>
        <v>0</v>
      </c>
      <c r="N66" s="1510">
        <f t="shared" ref="N66:N100" si="17">IF(J66&lt;I66,J66*L66,IF(J66&gt;=I66,F66))</f>
        <v>0</v>
      </c>
      <c r="O66" s="1509"/>
      <c r="P66" s="1509"/>
      <c r="Q66" s="1509"/>
      <c r="R66" s="1508"/>
      <c r="S66" s="1508"/>
      <c r="T66" s="1507"/>
      <c r="U66" s="1495">
        <f t="shared" ref="U66:U100" si="18">SUM(O66+R66)</f>
        <v>0</v>
      </c>
      <c r="V66" s="1495">
        <f t="shared" ref="V66:V100" si="19">SUM(P66+S66)</f>
        <v>0</v>
      </c>
      <c r="W66" s="1495">
        <f t="shared" ref="W66:W100" si="20">SUM(Q66+T66)</f>
        <v>0</v>
      </c>
      <c r="X66" s="1495">
        <f t="shared" ref="X66:X100" si="21">SUM(E66-U66)</f>
        <v>0</v>
      </c>
      <c r="Y66" s="1495" t="e">
        <f t="shared" ref="Y66:Y100" si="22">SUM(U66/M66)*100</f>
        <v>#DIV/0!</v>
      </c>
      <c r="Z66" s="1495">
        <f t="shared" ref="Z66:Z100" si="23">SUM(M66-U66)</f>
        <v>0</v>
      </c>
      <c r="AA66" s="1506">
        <f t="shared" ref="AA66:AA100" si="24">SUM(N66-V66)</f>
        <v>0</v>
      </c>
      <c r="AB66" s="1505"/>
      <c r="AC66" s="1504">
        <f t="shared" ref="AC66:AC100" si="25">IF(AND(AB66&gt;0,AB66&lt;=2),X66,0)</f>
        <v>0</v>
      </c>
      <c r="AD66" s="1503">
        <f t="shared" ref="AD66:AD100" si="26">IF(AND(AB66&gt;=3,AB66&lt;=4),X66,0)</f>
        <v>0</v>
      </c>
      <c r="AE66" s="1503">
        <f t="shared" ref="AE66:AE100" si="27">IF(AND(AB66&gt;=5,AB66&lt;=6),X66,0)</f>
        <v>0</v>
      </c>
      <c r="AF66" s="1502">
        <f t="shared" ref="AF66:AF100" si="28">IF(AB66&gt;6,X66,0)</f>
        <v>0</v>
      </c>
    </row>
    <row r="67" spans="1:32" s="1474" customFormat="1" ht="23.25" customHeight="1">
      <c r="A67" s="1515"/>
      <c r="B67" s="1513"/>
      <c r="C67" s="1514"/>
      <c r="D67" s="1514"/>
      <c r="E67" s="1513"/>
      <c r="F67" s="1512">
        <f t="shared" si="15"/>
        <v>0</v>
      </c>
      <c r="G67" s="1508"/>
      <c r="H67" s="1511"/>
      <c r="I67" s="1508"/>
      <c r="J67" s="1508"/>
      <c r="K67" s="1508"/>
      <c r="L67" s="1508"/>
      <c r="M67" s="1510">
        <f t="shared" si="16"/>
        <v>0</v>
      </c>
      <c r="N67" s="1510">
        <f t="shared" si="17"/>
        <v>0</v>
      </c>
      <c r="O67" s="1509"/>
      <c r="P67" s="1509"/>
      <c r="Q67" s="1509"/>
      <c r="R67" s="1508"/>
      <c r="S67" s="1508"/>
      <c r="T67" s="1507"/>
      <c r="U67" s="1495">
        <f t="shared" si="18"/>
        <v>0</v>
      </c>
      <c r="V67" s="1495">
        <f t="shared" si="19"/>
        <v>0</v>
      </c>
      <c r="W67" s="1495">
        <f t="shared" si="20"/>
        <v>0</v>
      </c>
      <c r="X67" s="1495">
        <f t="shared" si="21"/>
        <v>0</v>
      </c>
      <c r="Y67" s="1495" t="e">
        <f t="shared" si="22"/>
        <v>#DIV/0!</v>
      </c>
      <c r="Z67" s="1495">
        <f t="shared" si="23"/>
        <v>0</v>
      </c>
      <c r="AA67" s="1506">
        <f t="shared" si="24"/>
        <v>0</v>
      </c>
      <c r="AB67" s="1505"/>
      <c r="AC67" s="1504">
        <f t="shared" si="25"/>
        <v>0</v>
      </c>
      <c r="AD67" s="1503">
        <f t="shared" si="26"/>
        <v>0</v>
      </c>
      <c r="AE67" s="1503">
        <f t="shared" si="27"/>
        <v>0</v>
      </c>
      <c r="AF67" s="1502">
        <f t="shared" si="28"/>
        <v>0</v>
      </c>
    </row>
    <row r="68" spans="1:32" s="1474" customFormat="1" ht="23.25" customHeight="1">
      <c r="A68" s="1515"/>
      <c r="B68" s="1513"/>
      <c r="C68" s="1514"/>
      <c r="D68" s="1514"/>
      <c r="E68" s="1513"/>
      <c r="F68" s="1512">
        <f t="shared" si="15"/>
        <v>0</v>
      </c>
      <c r="G68" s="1508"/>
      <c r="H68" s="1511"/>
      <c r="I68" s="1508"/>
      <c r="J68" s="1508"/>
      <c r="K68" s="1508"/>
      <c r="L68" s="1508"/>
      <c r="M68" s="1510">
        <f t="shared" si="16"/>
        <v>0</v>
      </c>
      <c r="N68" s="1510">
        <f t="shared" si="17"/>
        <v>0</v>
      </c>
      <c r="O68" s="1509"/>
      <c r="P68" s="1509"/>
      <c r="Q68" s="1509"/>
      <c r="R68" s="1508"/>
      <c r="S68" s="1508"/>
      <c r="T68" s="1507"/>
      <c r="U68" s="1495">
        <f t="shared" si="18"/>
        <v>0</v>
      </c>
      <c r="V68" s="1495">
        <f t="shared" si="19"/>
        <v>0</v>
      </c>
      <c r="W68" s="1495">
        <f t="shared" si="20"/>
        <v>0</v>
      </c>
      <c r="X68" s="1495">
        <f t="shared" si="21"/>
        <v>0</v>
      </c>
      <c r="Y68" s="1495" t="e">
        <f t="shared" si="22"/>
        <v>#DIV/0!</v>
      </c>
      <c r="Z68" s="1495">
        <f t="shared" si="23"/>
        <v>0</v>
      </c>
      <c r="AA68" s="1506">
        <f t="shared" si="24"/>
        <v>0</v>
      </c>
      <c r="AB68" s="1505"/>
      <c r="AC68" s="1504">
        <f t="shared" si="25"/>
        <v>0</v>
      </c>
      <c r="AD68" s="1503">
        <f t="shared" si="26"/>
        <v>0</v>
      </c>
      <c r="AE68" s="1503">
        <f t="shared" si="27"/>
        <v>0</v>
      </c>
      <c r="AF68" s="1502">
        <f t="shared" si="28"/>
        <v>0</v>
      </c>
    </row>
    <row r="69" spans="1:32" s="1474" customFormat="1" ht="23.25" customHeight="1">
      <c r="A69" s="1515"/>
      <c r="B69" s="1513"/>
      <c r="C69" s="1514"/>
      <c r="D69" s="1514"/>
      <c r="E69" s="1513"/>
      <c r="F69" s="1512">
        <f t="shared" si="15"/>
        <v>0</v>
      </c>
      <c r="G69" s="1508"/>
      <c r="H69" s="1511"/>
      <c r="I69" s="1508"/>
      <c r="J69" s="1508"/>
      <c r="K69" s="1508"/>
      <c r="L69" s="1508"/>
      <c r="M69" s="1510">
        <f t="shared" si="16"/>
        <v>0</v>
      </c>
      <c r="N69" s="1510">
        <f t="shared" si="17"/>
        <v>0</v>
      </c>
      <c r="O69" s="1509"/>
      <c r="P69" s="1509"/>
      <c r="Q69" s="1509"/>
      <c r="R69" s="1508"/>
      <c r="S69" s="1508"/>
      <c r="T69" s="1507"/>
      <c r="U69" s="1495">
        <f t="shared" si="18"/>
        <v>0</v>
      </c>
      <c r="V69" s="1495">
        <f t="shared" si="19"/>
        <v>0</v>
      </c>
      <c r="W69" s="1495">
        <f t="shared" si="20"/>
        <v>0</v>
      </c>
      <c r="X69" s="1495">
        <f t="shared" si="21"/>
        <v>0</v>
      </c>
      <c r="Y69" s="1495" t="e">
        <f t="shared" si="22"/>
        <v>#DIV/0!</v>
      </c>
      <c r="Z69" s="1495">
        <f t="shared" si="23"/>
        <v>0</v>
      </c>
      <c r="AA69" s="1506">
        <f t="shared" si="24"/>
        <v>0</v>
      </c>
      <c r="AB69" s="1505"/>
      <c r="AC69" s="1504">
        <f t="shared" si="25"/>
        <v>0</v>
      </c>
      <c r="AD69" s="1503">
        <f t="shared" si="26"/>
        <v>0</v>
      </c>
      <c r="AE69" s="1503">
        <f t="shared" si="27"/>
        <v>0</v>
      </c>
      <c r="AF69" s="1502">
        <f t="shared" si="28"/>
        <v>0</v>
      </c>
    </row>
    <row r="70" spans="1:32" s="1474" customFormat="1" ht="23.25" customHeight="1">
      <c r="A70" s="1515"/>
      <c r="B70" s="1513"/>
      <c r="C70" s="1514"/>
      <c r="D70" s="1514"/>
      <c r="E70" s="1513"/>
      <c r="F70" s="1512">
        <f t="shared" si="15"/>
        <v>0</v>
      </c>
      <c r="G70" s="1508"/>
      <c r="H70" s="1511"/>
      <c r="I70" s="1508"/>
      <c r="J70" s="1508"/>
      <c r="K70" s="1508"/>
      <c r="L70" s="1508"/>
      <c r="M70" s="1510">
        <f t="shared" si="16"/>
        <v>0</v>
      </c>
      <c r="N70" s="1510">
        <f t="shared" si="17"/>
        <v>0</v>
      </c>
      <c r="O70" s="1509"/>
      <c r="P70" s="1509"/>
      <c r="Q70" s="1509"/>
      <c r="R70" s="1508"/>
      <c r="S70" s="1508"/>
      <c r="T70" s="1507"/>
      <c r="U70" s="1495">
        <f t="shared" si="18"/>
        <v>0</v>
      </c>
      <c r="V70" s="1495">
        <f t="shared" si="19"/>
        <v>0</v>
      </c>
      <c r="W70" s="1495">
        <f t="shared" si="20"/>
        <v>0</v>
      </c>
      <c r="X70" s="1495">
        <f t="shared" si="21"/>
        <v>0</v>
      </c>
      <c r="Y70" s="1495" t="e">
        <f t="shared" si="22"/>
        <v>#DIV/0!</v>
      </c>
      <c r="Z70" s="1495">
        <f t="shared" si="23"/>
        <v>0</v>
      </c>
      <c r="AA70" s="1506">
        <f t="shared" si="24"/>
        <v>0</v>
      </c>
      <c r="AB70" s="1505"/>
      <c r="AC70" s="1504">
        <f t="shared" si="25"/>
        <v>0</v>
      </c>
      <c r="AD70" s="1503">
        <f t="shared" si="26"/>
        <v>0</v>
      </c>
      <c r="AE70" s="1503">
        <f t="shared" si="27"/>
        <v>0</v>
      </c>
      <c r="AF70" s="1502">
        <f t="shared" si="28"/>
        <v>0</v>
      </c>
    </row>
    <row r="71" spans="1:32" s="1474" customFormat="1" ht="23.25" customHeight="1">
      <c r="A71" s="1515"/>
      <c r="B71" s="1513"/>
      <c r="C71" s="1514"/>
      <c r="D71" s="1514"/>
      <c r="E71" s="1513"/>
      <c r="F71" s="1512">
        <f t="shared" si="15"/>
        <v>0</v>
      </c>
      <c r="G71" s="1508"/>
      <c r="H71" s="1511"/>
      <c r="I71" s="1508"/>
      <c r="J71" s="1508"/>
      <c r="K71" s="1508"/>
      <c r="L71" s="1508"/>
      <c r="M71" s="1510">
        <f t="shared" si="16"/>
        <v>0</v>
      </c>
      <c r="N71" s="1510">
        <f t="shared" si="17"/>
        <v>0</v>
      </c>
      <c r="O71" s="1509"/>
      <c r="P71" s="1509"/>
      <c r="Q71" s="1509"/>
      <c r="R71" s="1508"/>
      <c r="S71" s="1508"/>
      <c r="T71" s="1507"/>
      <c r="U71" s="1495">
        <f t="shared" si="18"/>
        <v>0</v>
      </c>
      <c r="V71" s="1495">
        <f t="shared" si="19"/>
        <v>0</v>
      </c>
      <c r="W71" s="1495">
        <f t="shared" si="20"/>
        <v>0</v>
      </c>
      <c r="X71" s="1495">
        <f t="shared" si="21"/>
        <v>0</v>
      </c>
      <c r="Y71" s="1495" t="e">
        <f t="shared" si="22"/>
        <v>#DIV/0!</v>
      </c>
      <c r="Z71" s="1495">
        <f t="shared" si="23"/>
        <v>0</v>
      </c>
      <c r="AA71" s="1506">
        <f t="shared" si="24"/>
        <v>0</v>
      </c>
      <c r="AB71" s="1505"/>
      <c r="AC71" s="1504">
        <f t="shared" si="25"/>
        <v>0</v>
      </c>
      <c r="AD71" s="1503">
        <f t="shared" si="26"/>
        <v>0</v>
      </c>
      <c r="AE71" s="1503">
        <f t="shared" si="27"/>
        <v>0</v>
      </c>
      <c r="AF71" s="1502">
        <f t="shared" si="28"/>
        <v>0</v>
      </c>
    </row>
    <row r="72" spans="1:32" s="1474" customFormat="1" ht="23.25" customHeight="1">
      <c r="A72" s="1515"/>
      <c r="B72" s="1513"/>
      <c r="C72" s="1514"/>
      <c r="D72" s="1514"/>
      <c r="E72" s="1513"/>
      <c r="F72" s="1512">
        <f t="shared" si="15"/>
        <v>0</v>
      </c>
      <c r="G72" s="1508"/>
      <c r="H72" s="1511"/>
      <c r="I72" s="1508"/>
      <c r="J72" s="1508"/>
      <c r="K72" s="1508"/>
      <c r="L72" s="1508"/>
      <c r="M72" s="1510">
        <f t="shared" si="16"/>
        <v>0</v>
      </c>
      <c r="N72" s="1510">
        <f t="shared" si="17"/>
        <v>0</v>
      </c>
      <c r="O72" s="1509"/>
      <c r="P72" s="1509"/>
      <c r="Q72" s="1509"/>
      <c r="R72" s="1508"/>
      <c r="S72" s="1508"/>
      <c r="T72" s="1507"/>
      <c r="U72" s="1495">
        <f t="shared" si="18"/>
        <v>0</v>
      </c>
      <c r="V72" s="1495">
        <f t="shared" si="19"/>
        <v>0</v>
      </c>
      <c r="W72" s="1495">
        <f t="shared" si="20"/>
        <v>0</v>
      </c>
      <c r="X72" s="1495">
        <f t="shared" si="21"/>
        <v>0</v>
      </c>
      <c r="Y72" s="1495" t="e">
        <f t="shared" si="22"/>
        <v>#DIV/0!</v>
      </c>
      <c r="Z72" s="1495">
        <f t="shared" si="23"/>
        <v>0</v>
      </c>
      <c r="AA72" s="1506">
        <f t="shared" si="24"/>
        <v>0</v>
      </c>
      <c r="AB72" s="1505"/>
      <c r="AC72" s="1504">
        <f t="shared" si="25"/>
        <v>0</v>
      </c>
      <c r="AD72" s="1503">
        <f t="shared" si="26"/>
        <v>0</v>
      </c>
      <c r="AE72" s="1503">
        <f t="shared" si="27"/>
        <v>0</v>
      </c>
      <c r="AF72" s="1502">
        <f t="shared" si="28"/>
        <v>0</v>
      </c>
    </row>
    <row r="73" spans="1:32" s="1474" customFormat="1" ht="23.25" customHeight="1">
      <c r="A73" s="1515"/>
      <c r="B73" s="1513"/>
      <c r="C73" s="1514"/>
      <c r="D73" s="1514"/>
      <c r="E73" s="1513"/>
      <c r="F73" s="1512">
        <f t="shared" si="15"/>
        <v>0</v>
      </c>
      <c r="G73" s="1508"/>
      <c r="H73" s="1511"/>
      <c r="I73" s="1508"/>
      <c r="J73" s="1508"/>
      <c r="K73" s="1508"/>
      <c r="L73" s="1508"/>
      <c r="M73" s="1510">
        <f t="shared" si="16"/>
        <v>0</v>
      </c>
      <c r="N73" s="1510">
        <f t="shared" si="17"/>
        <v>0</v>
      </c>
      <c r="O73" s="1509"/>
      <c r="P73" s="1509"/>
      <c r="Q73" s="1509"/>
      <c r="R73" s="1508"/>
      <c r="S73" s="1508"/>
      <c r="T73" s="1507"/>
      <c r="U73" s="1495">
        <f t="shared" si="18"/>
        <v>0</v>
      </c>
      <c r="V73" s="1495">
        <f t="shared" si="19"/>
        <v>0</v>
      </c>
      <c r="W73" s="1495">
        <f t="shared" si="20"/>
        <v>0</v>
      </c>
      <c r="X73" s="1495">
        <f t="shared" si="21"/>
        <v>0</v>
      </c>
      <c r="Y73" s="1495" t="e">
        <f t="shared" si="22"/>
        <v>#DIV/0!</v>
      </c>
      <c r="Z73" s="1495">
        <f t="shared" si="23"/>
        <v>0</v>
      </c>
      <c r="AA73" s="1506">
        <f t="shared" si="24"/>
        <v>0</v>
      </c>
      <c r="AB73" s="1505"/>
      <c r="AC73" s="1504">
        <f t="shared" si="25"/>
        <v>0</v>
      </c>
      <c r="AD73" s="1503">
        <f t="shared" si="26"/>
        <v>0</v>
      </c>
      <c r="AE73" s="1503">
        <f t="shared" si="27"/>
        <v>0</v>
      </c>
      <c r="AF73" s="1502">
        <f t="shared" si="28"/>
        <v>0</v>
      </c>
    </row>
    <row r="74" spans="1:32" s="1474" customFormat="1" ht="23.25" customHeight="1">
      <c r="A74" s="1515"/>
      <c r="B74" s="1513"/>
      <c r="C74" s="1514"/>
      <c r="D74" s="1514"/>
      <c r="E74" s="1513"/>
      <c r="F74" s="1512">
        <f t="shared" si="15"/>
        <v>0</v>
      </c>
      <c r="G74" s="1508"/>
      <c r="H74" s="1511"/>
      <c r="I74" s="1508"/>
      <c r="J74" s="1508"/>
      <c r="K74" s="1508"/>
      <c r="L74" s="1508"/>
      <c r="M74" s="1510">
        <f t="shared" si="16"/>
        <v>0</v>
      </c>
      <c r="N74" s="1510">
        <f t="shared" si="17"/>
        <v>0</v>
      </c>
      <c r="O74" s="1509"/>
      <c r="P74" s="1509"/>
      <c r="Q74" s="1509"/>
      <c r="R74" s="1508"/>
      <c r="S74" s="1508"/>
      <c r="T74" s="1507"/>
      <c r="U74" s="1495">
        <f t="shared" si="18"/>
        <v>0</v>
      </c>
      <c r="V74" s="1495">
        <f t="shared" si="19"/>
        <v>0</v>
      </c>
      <c r="W74" s="1495">
        <f t="shared" si="20"/>
        <v>0</v>
      </c>
      <c r="X74" s="1495">
        <f t="shared" si="21"/>
        <v>0</v>
      </c>
      <c r="Y74" s="1495" t="e">
        <f t="shared" si="22"/>
        <v>#DIV/0!</v>
      </c>
      <c r="Z74" s="1495">
        <f t="shared" si="23"/>
        <v>0</v>
      </c>
      <c r="AA74" s="1506">
        <f t="shared" si="24"/>
        <v>0</v>
      </c>
      <c r="AB74" s="1505"/>
      <c r="AC74" s="1504">
        <f t="shared" si="25"/>
        <v>0</v>
      </c>
      <c r="AD74" s="1503">
        <f t="shared" si="26"/>
        <v>0</v>
      </c>
      <c r="AE74" s="1503">
        <f t="shared" si="27"/>
        <v>0</v>
      </c>
      <c r="AF74" s="1502">
        <f t="shared" si="28"/>
        <v>0</v>
      </c>
    </row>
    <row r="75" spans="1:32" s="1474" customFormat="1" ht="23.25" customHeight="1">
      <c r="A75" s="1515"/>
      <c r="B75" s="1513"/>
      <c r="C75" s="1514"/>
      <c r="D75" s="1514"/>
      <c r="E75" s="1513"/>
      <c r="F75" s="1512">
        <f t="shared" si="15"/>
        <v>0</v>
      </c>
      <c r="G75" s="1508"/>
      <c r="H75" s="1511"/>
      <c r="I75" s="1508"/>
      <c r="J75" s="1508"/>
      <c r="K75" s="1508"/>
      <c r="L75" s="1508"/>
      <c r="M75" s="1510">
        <f t="shared" si="16"/>
        <v>0</v>
      </c>
      <c r="N75" s="1510">
        <f t="shared" si="17"/>
        <v>0</v>
      </c>
      <c r="O75" s="1509"/>
      <c r="P75" s="1509"/>
      <c r="Q75" s="1509"/>
      <c r="R75" s="1508"/>
      <c r="S75" s="1508"/>
      <c r="T75" s="1507"/>
      <c r="U75" s="1495">
        <f t="shared" si="18"/>
        <v>0</v>
      </c>
      <c r="V75" s="1495">
        <f t="shared" si="19"/>
        <v>0</v>
      </c>
      <c r="W75" s="1495">
        <f t="shared" si="20"/>
        <v>0</v>
      </c>
      <c r="X75" s="1495">
        <f t="shared" si="21"/>
        <v>0</v>
      </c>
      <c r="Y75" s="1495" t="e">
        <f t="shared" si="22"/>
        <v>#DIV/0!</v>
      </c>
      <c r="Z75" s="1495">
        <f t="shared" si="23"/>
        <v>0</v>
      </c>
      <c r="AA75" s="1506">
        <f t="shared" si="24"/>
        <v>0</v>
      </c>
      <c r="AB75" s="1505"/>
      <c r="AC75" s="1504">
        <f t="shared" si="25"/>
        <v>0</v>
      </c>
      <c r="AD75" s="1503">
        <f t="shared" si="26"/>
        <v>0</v>
      </c>
      <c r="AE75" s="1503">
        <f t="shared" si="27"/>
        <v>0</v>
      </c>
      <c r="AF75" s="1502">
        <f t="shared" si="28"/>
        <v>0</v>
      </c>
    </row>
    <row r="76" spans="1:32" s="1474" customFormat="1" ht="23.25" customHeight="1">
      <c r="A76" s="1515"/>
      <c r="B76" s="1513"/>
      <c r="C76" s="1514"/>
      <c r="D76" s="1514"/>
      <c r="E76" s="1513"/>
      <c r="F76" s="1512">
        <f t="shared" si="15"/>
        <v>0</v>
      </c>
      <c r="G76" s="1508"/>
      <c r="H76" s="1511"/>
      <c r="I76" s="1508"/>
      <c r="J76" s="1508"/>
      <c r="K76" s="1508"/>
      <c r="L76" s="1508"/>
      <c r="M76" s="1510">
        <f t="shared" si="16"/>
        <v>0</v>
      </c>
      <c r="N76" s="1510">
        <f t="shared" si="17"/>
        <v>0</v>
      </c>
      <c r="O76" s="1509"/>
      <c r="P76" s="1509"/>
      <c r="Q76" s="1509"/>
      <c r="R76" s="1508"/>
      <c r="S76" s="1508"/>
      <c r="T76" s="1507"/>
      <c r="U76" s="1495">
        <f t="shared" si="18"/>
        <v>0</v>
      </c>
      <c r="V76" s="1495">
        <f t="shared" si="19"/>
        <v>0</v>
      </c>
      <c r="W76" s="1495">
        <f t="shared" si="20"/>
        <v>0</v>
      </c>
      <c r="X76" s="1495">
        <f t="shared" si="21"/>
        <v>0</v>
      </c>
      <c r="Y76" s="1495" t="e">
        <f t="shared" si="22"/>
        <v>#DIV/0!</v>
      </c>
      <c r="Z76" s="1495">
        <f t="shared" si="23"/>
        <v>0</v>
      </c>
      <c r="AA76" s="1506">
        <f t="shared" si="24"/>
        <v>0</v>
      </c>
      <c r="AB76" s="1505"/>
      <c r="AC76" s="1504">
        <f t="shared" si="25"/>
        <v>0</v>
      </c>
      <c r="AD76" s="1503">
        <f t="shared" si="26"/>
        <v>0</v>
      </c>
      <c r="AE76" s="1503">
        <f t="shared" si="27"/>
        <v>0</v>
      </c>
      <c r="AF76" s="1502">
        <f t="shared" si="28"/>
        <v>0</v>
      </c>
    </row>
    <row r="77" spans="1:32" s="1474" customFormat="1" ht="23.25" customHeight="1">
      <c r="A77" s="1515"/>
      <c r="B77" s="1513"/>
      <c r="C77" s="1514"/>
      <c r="D77" s="1514"/>
      <c r="E77" s="1513"/>
      <c r="F77" s="1512">
        <f t="shared" si="15"/>
        <v>0</v>
      </c>
      <c r="G77" s="1508"/>
      <c r="H77" s="1511"/>
      <c r="I77" s="1508"/>
      <c r="J77" s="1508"/>
      <c r="K77" s="1508"/>
      <c r="L77" s="1508"/>
      <c r="M77" s="1510">
        <f t="shared" si="16"/>
        <v>0</v>
      </c>
      <c r="N77" s="1510">
        <f t="shared" si="17"/>
        <v>0</v>
      </c>
      <c r="O77" s="1509"/>
      <c r="P77" s="1509"/>
      <c r="Q77" s="1509"/>
      <c r="R77" s="1508"/>
      <c r="S77" s="1508"/>
      <c r="T77" s="1507"/>
      <c r="U77" s="1495">
        <f t="shared" si="18"/>
        <v>0</v>
      </c>
      <c r="V77" s="1495">
        <f t="shared" si="19"/>
        <v>0</v>
      </c>
      <c r="W77" s="1495">
        <f t="shared" si="20"/>
        <v>0</v>
      </c>
      <c r="X77" s="1495">
        <f t="shared" si="21"/>
        <v>0</v>
      </c>
      <c r="Y77" s="1495" t="e">
        <f t="shared" si="22"/>
        <v>#DIV/0!</v>
      </c>
      <c r="Z77" s="1495">
        <f t="shared" si="23"/>
        <v>0</v>
      </c>
      <c r="AA77" s="1506">
        <f t="shared" si="24"/>
        <v>0</v>
      </c>
      <c r="AB77" s="1505"/>
      <c r="AC77" s="1504">
        <f t="shared" si="25"/>
        <v>0</v>
      </c>
      <c r="AD77" s="1503">
        <f t="shared" si="26"/>
        <v>0</v>
      </c>
      <c r="AE77" s="1503">
        <f t="shared" si="27"/>
        <v>0</v>
      </c>
      <c r="AF77" s="1502">
        <f t="shared" si="28"/>
        <v>0</v>
      </c>
    </row>
    <row r="78" spans="1:32" s="1474" customFormat="1" ht="23.25" customHeight="1">
      <c r="A78" s="1515"/>
      <c r="B78" s="1513"/>
      <c r="C78" s="1514"/>
      <c r="D78" s="1514"/>
      <c r="E78" s="1513"/>
      <c r="F78" s="1512">
        <f t="shared" si="15"/>
        <v>0</v>
      </c>
      <c r="G78" s="1508"/>
      <c r="H78" s="1511"/>
      <c r="I78" s="1508"/>
      <c r="J78" s="1508"/>
      <c r="K78" s="1508"/>
      <c r="L78" s="1508"/>
      <c r="M78" s="1510">
        <f t="shared" si="16"/>
        <v>0</v>
      </c>
      <c r="N78" s="1510">
        <f t="shared" si="17"/>
        <v>0</v>
      </c>
      <c r="O78" s="1509"/>
      <c r="P78" s="1509"/>
      <c r="Q78" s="1509"/>
      <c r="R78" s="1508"/>
      <c r="S78" s="1508"/>
      <c r="T78" s="1507"/>
      <c r="U78" s="1495">
        <f t="shared" si="18"/>
        <v>0</v>
      </c>
      <c r="V78" s="1495">
        <f t="shared" si="19"/>
        <v>0</v>
      </c>
      <c r="W78" s="1495">
        <f t="shared" si="20"/>
        <v>0</v>
      </c>
      <c r="X78" s="1495">
        <f t="shared" si="21"/>
        <v>0</v>
      </c>
      <c r="Y78" s="1495" t="e">
        <f t="shared" si="22"/>
        <v>#DIV/0!</v>
      </c>
      <c r="Z78" s="1495">
        <f t="shared" si="23"/>
        <v>0</v>
      </c>
      <c r="AA78" s="1506">
        <f t="shared" si="24"/>
        <v>0</v>
      </c>
      <c r="AB78" s="1505"/>
      <c r="AC78" s="1504">
        <f t="shared" si="25"/>
        <v>0</v>
      </c>
      <c r="AD78" s="1503">
        <f t="shared" si="26"/>
        <v>0</v>
      </c>
      <c r="AE78" s="1503">
        <f t="shared" si="27"/>
        <v>0</v>
      </c>
      <c r="AF78" s="1502">
        <f t="shared" si="28"/>
        <v>0</v>
      </c>
    </row>
    <row r="79" spans="1:32" s="1474" customFormat="1" ht="23.25" customHeight="1">
      <c r="A79" s="1515"/>
      <c r="B79" s="1513"/>
      <c r="C79" s="1514"/>
      <c r="D79" s="1514"/>
      <c r="E79" s="1513"/>
      <c r="F79" s="1512">
        <f t="shared" si="15"/>
        <v>0</v>
      </c>
      <c r="G79" s="1508"/>
      <c r="H79" s="1511"/>
      <c r="I79" s="1508"/>
      <c r="J79" s="1508"/>
      <c r="K79" s="1508"/>
      <c r="L79" s="1508"/>
      <c r="M79" s="1510">
        <f t="shared" si="16"/>
        <v>0</v>
      </c>
      <c r="N79" s="1510">
        <f t="shared" si="17"/>
        <v>0</v>
      </c>
      <c r="O79" s="1509"/>
      <c r="P79" s="1509"/>
      <c r="Q79" s="1509"/>
      <c r="R79" s="1508"/>
      <c r="S79" s="1508"/>
      <c r="T79" s="1507"/>
      <c r="U79" s="1495">
        <f t="shared" si="18"/>
        <v>0</v>
      </c>
      <c r="V79" s="1495">
        <f t="shared" si="19"/>
        <v>0</v>
      </c>
      <c r="W79" s="1495">
        <f t="shared" si="20"/>
        <v>0</v>
      </c>
      <c r="X79" s="1495">
        <f t="shared" si="21"/>
        <v>0</v>
      </c>
      <c r="Y79" s="1495" t="e">
        <f t="shared" si="22"/>
        <v>#DIV/0!</v>
      </c>
      <c r="Z79" s="1495">
        <f t="shared" si="23"/>
        <v>0</v>
      </c>
      <c r="AA79" s="1506">
        <f t="shared" si="24"/>
        <v>0</v>
      </c>
      <c r="AB79" s="1505"/>
      <c r="AC79" s="1504">
        <f t="shared" si="25"/>
        <v>0</v>
      </c>
      <c r="AD79" s="1503">
        <f t="shared" si="26"/>
        <v>0</v>
      </c>
      <c r="AE79" s="1503">
        <f t="shared" si="27"/>
        <v>0</v>
      </c>
      <c r="AF79" s="1502">
        <f t="shared" si="28"/>
        <v>0</v>
      </c>
    </row>
    <row r="80" spans="1:32" s="1474" customFormat="1" ht="23.25" customHeight="1">
      <c r="A80" s="1515"/>
      <c r="B80" s="1513"/>
      <c r="C80" s="1514"/>
      <c r="D80" s="1514"/>
      <c r="E80" s="1513"/>
      <c r="F80" s="1512">
        <f t="shared" si="15"/>
        <v>0</v>
      </c>
      <c r="G80" s="1508"/>
      <c r="H80" s="1511"/>
      <c r="I80" s="1508"/>
      <c r="J80" s="1508"/>
      <c r="K80" s="1508"/>
      <c r="L80" s="1508"/>
      <c r="M80" s="1510">
        <f t="shared" si="16"/>
        <v>0</v>
      </c>
      <c r="N80" s="1510">
        <f t="shared" si="17"/>
        <v>0</v>
      </c>
      <c r="O80" s="1509"/>
      <c r="P80" s="1509"/>
      <c r="Q80" s="1509"/>
      <c r="R80" s="1508"/>
      <c r="S80" s="1508"/>
      <c r="T80" s="1507"/>
      <c r="U80" s="1495">
        <f t="shared" si="18"/>
        <v>0</v>
      </c>
      <c r="V80" s="1495">
        <f t="shared" si="19"/>
        <v>0</v>
      </c>
      <c r="W80" s="1495">
        <f t="shared" si="20"/>
        <v>0</v>
      </c>
      <c r="X80" s="1495">
        <f t="shared" si="21"/>
        <v>0</v>
      </c>
      <c r="Y80" s="1495" t="e">
        <f t="shared" si="22"/>
        <v>#DIV/0!</v>
      </c>
      <c r="Z80" s="1495">
        <f t="shared" si="23"/>
        <v>0</v>
      </c>
      <c r="AA80" s="1506">
        <f t="shared" si="24"/>
        <v>0</v>
      </c>
      <c r="AB80" s="1505"/>
      <c r="AC80" s="1504">
        <f t="shared" si="25"/>
        <v>0</v>
      </c>
      <c r="AD80" s="1503">
        <f t="shared" si="26"/>
        <v>0</v>
      </c>
      <c r="AE80" s="1503">
        <f t="shared" si="27"/>
        <v>0</v>
      </c>
      <c r="AF80" s="1502">
        <f t="shared" si="28"/>
        <v>0</v>
      </c>
    </row>
    <row r="81" spans="1:32" s="1474" customFormat="1" ht="23.25" customHeight="1">
      <c r="A81" s="1515"/>
      <c r="B81" s="1513"/>
      <c r="C81" s="1514"/>
      <c r="D81" s="1514"/>
      <c r="E81" s="1513"/>
      <c r="F81" s="1512">
        <f t="shared" si="15"/>
        <v>0</v>
      </c>
      <c r="G81" s="1508"/>
      <c r="H81" s="1511"/>
      <c r="I81" s="1508"/>
      <c r="J81" s="1508"/>
      <c r="K81" s="1508"/>
      <c r="L81" s="1508"/>
      <c r="M81" s="1510">
        <f t="shared" si="16"/>
        <v>0</v>
      </c>
      <c r="N81" s="1510">
        <f t="shared" si="17"/>
        <v>0</v>
      </c>
      <c r="O81" s="1509"/>
      <c r="P81" s="1509"/>
      <c r="Q81" s="1509"/>
      <c r="R81" s="1508"/>
      <c r="S81" s="1508"/>
      <c r="T81" s="1507"/>
      <c r="U81" s="1495">
        <f t="shared" si="18"/>
        <v>0</v>
      </c>
      <c r="V81" s="1495">
        <f t="shared" si="19"/>
        <v>0</v>
      </c>
      <c r="W81" s="1495">
        <f t="shared" si="20"/>
        <v>0</v>
      </c>
      <c r="X81" s="1495">
        <f t="shared" si="21"/>
        <v>0</v>
      </c>
      <c r="Y81" s="1495" t="e">
        <f t="shared" si="22"/>
        <v>#DIV/0!</v>
      </c>
      <c r="Z81" s="1495">
        <f t="shared" si="23"/>
        <v>0</v>
      </c>
      <c r="AA81" s="1506">
        <f t="shared" si="24"/>
        <v>0</v>
      </c>
      <c r="AB81" s="1505"/>
      <c r="AC81" s="1504">
        <f t="shared" si="25"/>
        <v>0</v>
      </c>
      <c r="AD81" s="1503">
        <f t="shared" si="26"/>
        <v>0</v>
      </c>
      <c r="AE81" s="1503">
        <f t="shared" si="27"/>
        <v>0</v>
      </c>
      <c r="AF81" s="1502">
        <f t="shared" si="28"/>
        <v>0</v>
      </c>
    </row>
    <row r="82" spans="1:32" s="1474" customFormat="1" ht="23.25" customHeight="1">
      <c r="A82" s="1515"/>
      <c r="B82" s="1513"/>
      <c r="C82" s="1514"/>
      <c r="D82" s="1514"/>
      <c r="E82" s="1513"/>
      <c r="F82" s="1512">
        <f t="shared" si="15"/>
        <v>0</v>
      </c>
      <c r="G82" s="1508"/>
      <c r="H82" s="1511"/>
      <c r="I82" s="1508"/>
      <c r="J82" s="1508"/>
      <c r="K82" s="1508"/>
      <c r="L82" s="1508"/>
      <c r="M82" s="1510">
        <f t="shared" si="16"/>
        <v>0</v>
      </c>
      <c r="N82" s="1510">
        <f t="shared" si="17"/>
        <v>0</v>
      </c>
      <c r="O82" s="1509"/>
      <c r="P82" s="1509"/>
      <c r="Q82" s="1509"/>
      <c r="R82" s="1508"/>
      <c r="S82" s="1508"/>
      <c r="T82" s="1507"/>
      <c r="U82" s="1495">
        <f t="shared" si="18"/>
        <v>0</v>
      </c>
      <c r="V82" s="1495">
        <f t="shared" si="19"/>
        <v>0</v>
      </c>
      <c r="W82" s="1495">
        <f t="shared" si="20"/>
        <v>0</v>
      </c>
      <c r="X82" s="1495">
        <f t="shared" si="21"/>
        <v>0</v>
      </c>
      <c r="Y82" s="1495" t="e">
        <f t="shared" si="22"/>
        <v>#DIV/0!</v>
      </c>
      <c r="Z82" s="1495">
        <f t="shared" si="23"/>
        <v>0</v>
      </c>
      <c r="AA82" s="1506">
        <f t="shared" si="24"/>
        <v>0</v>
      </c>
      <c r="AB82" s="1505"/>
      <c r="AC82" s="1504">
        <f t="shared" si="25"/>
        <v>0</v>
      </c>
      <c r="AD82" s="1503">
        <f t="shared" si="26"/>
        <v>0</v>
      </c>
      <c r="AE82" s="1503">
        <f t="shared" si="27"/>
        <v>0</v>
      </c>
      <c r="AF82" s="1502">
        <f t="shared" si="28"/>
        <v>0</v>
      </c>
    </row>
    <row r="83" spans="1:32" s="1474" customFormat="1" ht="23.25" customHeight="1">
      <c r="A83" s="1515"/>
      <c r="B83" s="1513"/>
      <c r="C83" s="1514"/>
      <c r="D83" s="1514"/>
      <c r="E83" s="1513"/>
      <c r="F83" s="1512">
        <f t="shared" si="15"/>
        <v>0</v>
      </c>
      <c r="G83" s="1508"/>
      <c r="H83" s="1511"/>
      <c r="I83" s="1508"/>
      <c r="J83" s="1508"/>
      <c r="K83" s="1508"/>
      <c r="L83" s="1508"/>
      <c r="M83" s="1510">
        <f t="shared" si="16"/>
        <v>0</v>
      </c>
      <c r="N83" s="1510">
        <f t="shared" si="17"/>
        <v>0</v>
      </c>
      <c r="O83" s="1509"/>
      <c r="P83" s="1509"/>
      <c r="Q83" s="1509"/>
      <c r="R83" s="1508"/>
      <c r="S83" s="1508"/>
      <c r="T83" s="1507"/>
      <c r="U83" s="1495">
        <f t="shared" si="18"/>
        <v>0</v>
      </c>
      <c r="V83" s="1495">
        <f t="shared" si="19"/>
        <v>0</v>
      </c>
      <c r="W83" s="1495">
        <f t="shared" si="20"/>
        <v>0</v>
      </c>
      <c r="X83" s="1495">
        <f t="shared" si="21"/>
        <v>0</v>
      </c>
      <c r="Y83" s="1495" t="e">
        <f t="shared" si="22"/>
        <v>#DIV/0!</v>
      </c>
      <c r="Z83" s="1495">
        <f t="shared" si="23"/>
        <v>0</v>
      </c>
      <c r="AA83" s="1506">
        <f t="shared" si="24"/>
        <v>0</v>
      </c>
      <c r="AB83" s="1505"/>
      <c r="AC83" s="1504">
        <f t="shared" si="25"/>
        <v>0</v>
      </c>
      <c r="AD83" s="1503">
        <f t="shared" si="26"/>
        <v>0</v>
      </c>
      <c r="AE83" s="1503">
        <f t="shared" si="27"/>
        <v>0</v>
      </c>
      <c r="AF83" s="1502">
        <f t="shared" si="28"/>
        <v>0</v>
      </c>
    </row>
    <row r="84" spans="1:32" s="1474" customFormat="1" ht="23.25" customHeight="1">
      <c r="A84" s="1515"/>
      <c r="B84" s="1513"/>
      <c r="C84" s="1514"/>
      <c r="D84" s="1514"/>
      <c r="E84" s="1513"/>
      <c r="F84" s="1512">
        <f t="shared" si="15"/>
        <v>0</v>
      </c>
      <c r="G84" s="1508"/>
      <c r="H84" s="1511"/>
      <c r="I84" s="1508"/>
      <c r="J84" s="1508"/>
      <c r="K84" s="1508"/>
      <c r="L84" s="1508"/>
      <c r="M84" s="1510">
        <f t="shared" si="16"/>
        <v>0</v>
      </c>
      <c r="N84" s="1510">
        <f t="shared" si="17"/>
        <v>0</v>
      </c>
      <c r="O84" s="1509"/>
      <c r="P84" s="1509"/>
      <c r="Q84" s="1509"/>
      <c r="R84" s="1508"/>
      <c r="S84" s="1508"/>
      <c r="T84" s="1507"/>
      <c r="U84" s="1495">
        <f t="shared" si="18"/>
        <v>0</v>
      </c>
      <c r="V84" s="1495">
        <f t="shared" si="19"/>
        <v>0</v>
      </c>
      <c r="W84" s="1495">
        <f t="shared" si="20"/>
        <v>0</v>
      </c>
      <c r="X84" s="1495">
        <f t="shared" si="21"/>
        <v>0</v>
      </c>
      <c r="Y84" s="1495" t="e">
        <f t="shared" si="22"/>
        <v>#DIV/0!</v>
      </c>
      <c r="Z84" s="1495">
        <f t="shared" si="23"/>
        <v>0</v>
      </c>
      <c r="AA84" s="1506">
        <f t="shared" si="24"/>
        <v>0</v>
      </c>
      <c r="AB84" s="1505"/>
      <c r="AC84" s="1504">
        <f t="shared" si="25"/>
        <v>0</v>
      </c>
      <c r="AD84" s="1503">
        <f t="shared" si="26"/>
        <v>0</v>
      </c>
      <c r="AE84" s="1503">
        <f t="shared" si="27"/>
        <v>0</v>
      </c>
      <c r="AF84" s="1502">
        <f t="shared" si="28"/>
        <v>0</v>
      </c>
    </row>
    <row r="85" spans="1:32" s="1474" customFormat="1" ht="23.25" customHeight="1">
      <c r="A85" s="1515"/>
      <c r="B85" s="1513"/>
      <c r="C85" s="1514"/>
      <c r="D85" s="1514"/>
      <c r="E85" s="1513"/>
      <c r="F85" s="1512">
        <f t="shared" si="15"/>
        <v>0</v>
      </c>
      <c r="G85" s="1508"/>
      <c r="H85" s="1511"/>
      <c r="I85" s="1508"/>
      <c r="J85" s="1508"/>
      <c r="K85" s="1508"/>
      <c r="L85" s="1508"/>
      <c r="M85" s="1510">
        <f t="shared" si="16"/>
        <v>0</v>
      </c>
      <c r="N85" s="1510">
        <f t="shared" si="17"/>
        <v>0</v>
      </c>
      <c r="O85" s="1509"/>
      <c r="P85" s="1509"/>
      <c r="Q85" s="1509"/>
      <c r="R85" s="1508"/>
      <c r="S85" s="1508"/>
      <c r="T85" s="1507"/>
      <c r="U85" s="1495">
        <f t="shared" si="18"/>
        <v>0</v>
      </c>
      <c r="V85" s="1495">
        <f t="shared" si="19"/>
        <v>0</v>
      </c>
      <c r="W85" s="1495">
        <f t="shared" si="20"/>
        <v>0</v>
      </c>
      <c r="X85" s="1495">
        <f t="shared" si="21"/>
        <v>0</v>
      </c>
      <c r="Y85" s="1495" t="e">
        <f t="shared" si="22"/>
        <v>#DIV/0!</v>
      </c>
      <c r="Z85" s="1495">
        <f t="shared" si="23"/>
        <v>0</v>
      </c>
      <c r="AA85" s="1506">
        <f t="shared" si="24"/>
        <v>0</v>
      </c>
      <c r="AB85" s="1505"/>
      <c r="AC85" s="1504">
        <f t="shared" si="25"/>
        <v>0</v>
      </c>
      <c r="AD85" s="1503">
        <f t="shared" si="26"/>
        <v>0</v>
      </c>
      <c r="AE85" s="1503">
        <f t="shared" si="27"/>
        <v>0</v>
      </c>
      <c r="AF85" s="1502">
        <f t="shared" si="28"/>
        <v>0</v>
      </c>
    </row>
    <row r="86" spans="1:32" s="1474" customFormat="1" ht="23.25" customHeight="1">
      <c r="A86" s="1515"/>
      <c r="B86" s="1513"/>
      <c r="C86" s="1514"/>
      <c r="D86" s="1514"/>
      <c r="E86" s="1513"/>
      <c r="F86" s="1512">
        <f t="shared" si="15"/>
        <v>0</v>
      </c>
      <c r="G86" s="1508"/>
      <c r="H86" s="1511"/>
      <c r="I86" s="1508"/>
      <c r="J86" s="1508"/>
      <c r="K86" s="1508"/>
      <c r="L86" s="1508"/>
      <c r="M86" s="1510">
        <f t="shared" si="16"/>
        <v>0</v>
      </c>
      <c r="N86" s="1510">
        <f t="shared" si="17"/>
        <v>0</v>
      </c>
      <c r="O86" s="1509"/>
      <c r="P86" s="1509"/>
      <c r="Q86" s="1509"/>
      <c r="R86" s="1508"/>
      <c r="S86" s="1508"/>
      <c r="T86" s="1507"/>
      <c r="U86" s="1495">
        <f t="shared" si="18"/>
        <v>0</v>
      </c>
      <c r="V86" s="1495">
        <f t="shared" si="19"/>
        <v>0</v>
      </c>
      <c r="W86" s="1495">
        <f t="shared" si="20"/>
        <v>0</v>
      </c>
      <c r="X86" s="1495">
        <f t="shared" si="21"/>
        <v>0</v>
      </c>
      <c r="Y86" s="1495" t="e">
        <f t="shared" si="22"/>
        <v>#DIV/0!</v>
      </c>
      <c r="Z86" s="1495">
        <f t="shared" si="23"/>
        <v>0</v>
      </c>
      <c r="AA86" s="1506">
        <f t="shared" si="24"/>
        <v>0</v>
      </c>
      <c r="AB86" s="1505"/>
      <c r="AC86" s="1504">
        <f t="shared" si="25"/>
        <v>0</v>
      </c>
      <c r="AD86" s="1503">
        <f t="shared" si="26"/>
        <v>0</v>
      </c>
      <c r="AE86" s="1503">
        <f t="shared" si="27"/>
        <v>0</v>
      </c>
      <c r="AF86" s="1502">
        <f t="shared" si="28"/>
        <v>0</v>
      </c>
    </row>
    <row r="87" spans="1:32" s="1474" customFormat="1" ht="23.25" customHeight="1">
      <c r="A87" s="1515"/>
      <c r="B87" s="1513"/>
      <c r="C87" s="1514"/>
      <c r="D87" s="1514"/>
      <c r="E87" s="1513"/>
      <c r="F87" s="1512">
        <f t="shared" si="15"/>
        <v>0</v>
      </c>
      <c r="G87" s="1508"/>
      <c r="H87" s="1511"/>
      <c r="I87" s="1508"/>
      <c r="J87" s="1508"/>
      <c r="K87" s="1508"/>
      <c r="L87" s="1508"/>
      <c r="M87" s="1510">
        <f t="shared" si="16"/>
        <v>0</v>
      </c>
      <c r="N87" s="1510">
        <f t="shared" si="17"/>
        <v>0</v>
      </c>
      <c r="O87" s="1509"/>
      <c r="P87" s="1509"/>
      <c r="Q87" s="1509"/>
      <c r="R87" s="1508"/>
      <c r="S87" s="1508"/>
      <c r="T87" s="1507"/>
      <c r="U87" s="1495">
        <f t="shared" si="18"/>
        <v>0</v>
      </c>
      <c r="V87" s="1495">
        <f t="shared" si="19"/>
        <v>0</v>
      </c>
      <c r="W87" s="1495">
        <f t="shared" si="20"/>
        <v>0</v>
      </c>
      <c r="X87" s="1495">
        <f t="shared" si="21"/>
        <v>0</v>
      </c>
      <c r="Y87" s="1495" t="e">
        <f t="shared" si="22"/>
        <v>#DIV/0!</v>
      </c>
      <c r="Z87" s="1495">
        <f t="shared" si="23"/>
        <v>0</v>
      </c>
      <c r="AA87" s="1506">
        <f t="shared" si="24"/>
        <v>0</v>
      </c>
      <c r="AB87" s="1505"/>
      <c r="AC87" s="1504">
        <f t="shared" si="25"/>
        <v>0</v>
      </c>
      <c r="AD87" s="1503">
        <f t="shared" si="26"/>
        <v>0</v>
      </c>
      <c r="AE87" s="1503">
        <f t="shared" si="27"/>
        <v>0</v>
      </c>
      <c r="AF87" s="1502">
        <f t="shared" si="28"/>
        <v>0</v>
      </c>
    </row>
    <row r="88" spans="1:32" s="1474" customFormat="1" ht="23.25" customHeight="1">
      <c r="A88" s="1515"/>
      <c r="B88" s="1513"/>
      <c r="C88" s="1514"/>
      <c r="D88" s="1514"/>
      <c r="E88" s="1513"/>
      <c r="F88" s="1512">
        <f t="shared" si="15"/>
        <v>0</v>
      </c>
      <c r="G88" s="1508"/>
      <c r="H88" s="1511"/>
      <c r="I88" s="1508"/>
      <c r="J88" s="1508"/>
      <c r="K88" s="1508"/>
      <c r="L88" s="1508"/>
      <c r="M88" s="1510">
        <f t="shared" si="16"/>
        <v>0</v>
      </c>
      <c r="N88" s="1510">
        <f t="shared" si="17"/>
        <v>0</v>
      </c>
      <c r="O88" s="1509"/>
      <c r="P88" s="1509"/>
      <c r="Q88" s="1509"/>
      <c r="R88" s="1508"/>
      <c r="S88" s="1508"/>
      <c r="T88" s="1507"/>
      <c r="U88" s="1495">
        <f t="shared" si="18"/>
        <v>0</v>
      </c>
      <c r="V88" s="1495">
        <f t="shared" si="19"/>
        <v>0</v>
      </c>
      <c r="W88" s="1495">
        <f t="shared" si="20"/>
        <v>0</v>
      </c>
      <c r="X88" s="1495">
        <f t="shared" si="21"/>
        <v>0</v>
      </c>
      <c r="Y88" s="1495" t="e">
        <f t="shared" si="22"/>
        <v>#DIV/0!</v>
      </c>
      <c r="Z88" s="1495">
        <f t="shared" si="23"/>
        <v>0</v>
      </c>
      <c r="AA88" s="1506">
        <f t="shared" si="24"/>
        <v>0</v>
      </c>
      <c r="AB88" s="1505"/>
      <c r="AC88" s="1504">
        <f t="shared" si="25"/>
        <v>0</v>
      </c>
      <c r="AD88" s="1503">
        <f t="shared" si="26"/>
        <v>0</v>
      </c>
      <c r="AE88" s="1503">
        <f t="shared" si="27"/>
        <v>0</v>
      </c>
      <c r="AF88" s="1502">
        <f t="shared" si="28"/>
        <v>0</v>
      </c>
    </row>
    <row r="89" spans="1:32" s="1474" customFormat="1" ht="23.25" customHeight="1">
      <c r="A89" s="1515"/>
      <c r="B89" s="1513"/>
      <c r="C89" s="1514"/>
      <c r="D89" s="1514"/>
      <c r="E89" s="1513"/>
      <c r="F89" s="1512">
        <f t="shared" si="15"/>
        <v>0</v>
      </c>
      <c r="G89" s="1508"/>
      <c r="H89" s="1511"/>
      <c r="I89" s="1508"/>
      <c r="J89" s="1508"/>
      <c r="K89" s="1508"/>
      <c r="L89" s="1508"/>
      <c r="M89" s="1510">
        <f t="shared" si="16"/>
        <v>0</v>
      </c>
      <c r="N89" s="1510">
        <f t="shared" si="17"/>
        <v>0</v>
      </c>
      <c r="O89" s="1509"/>
      <c r="P89" s="1509"/>
      <c r="Q89" s="1509"/>
      <c r="R89" s="1508"/>
      <c r="S89" s="1508"/>
      <c r="T89" s="1507"/>
      <c r="U89" s="1495">
        <f t="shared" si="18"/>
        <v>0</v>
      </c>
      <c r="V89" s="1495">
        <f t="shared" si="19"/>
        <v>0</v>
      </c>
      <c r="W89" s="1495">
        <f t="shared" si="20"/>
        <v>0</v>
      </c>
      <c r="X89" s="1495">
        <f t="shared" si="21"/>
        <v>0</v>
      </c>
      <c r="Y89" s="1495" t="e">
        <f t="shared" si="22"/>
        <v>#DIV/0!</v>
      </c>
      <c r="Z89" s="1495">
        <f t="shared" si="23"/>
        <v>0</v>
      </c>
      <c r="AA89" s="1506">
        <f t="shared" si="24"/>
        <v>0</v>
      </c>
      <c r="AB89" s="1505"/>
      <c r="AC89" s="1504">
        <f t="shared" si="25"/>
        <v>0</v>
      </c>
      <c r="AD89" s="1503">
        <f t="shared" si="26"/>
        <v>0</v>
      </c>
      <c r="AE89" s="1503">
        <f t="shared" si="27"/>
        <v>0</v>
      </c>
      <c r="AF89" s="1502">
        <f t="shared" si="28"/>
        <v>0</v>
      </c>
    </row>
    <row r="90" spans="1:32" s="1474" customFormat="1" ht="23.25" customHeight="1">
      <c r="A90" s="1515"/>
      <c r="B90" s="1513"/>
      <c r="C90" s="1514"/>
      <c r="D90" s="1514"/>
      <c r="E90" s="1513"/>
      <c r="F90" s="1512">
        <f t="shared" si="15"/>
        <v>0</v>
      </c>
      <c r="G90" s="1508"/>
      <c r="H90" s="1511"/>
      <c r="I90" s="1508"/>
      <c r="J90" s="1508"/>
      <c r="K90" s="1508"/>
      <c r="L90" s="1508"/>
      <c r="M90" s="1510">
        <f t="shared" si="16"/>
        <v>0</v>
      </c>
      <c r="N90" s="1510">
        <f t="shared" si="17"/>
        <v>0</v>
      </c>
      <c r="O90" s="1509"/>
      <c r="P90" s="1509"/>
      <c r="Q90" s="1509"/>
      <c r="R90" s="1508"/>
      <c r="S90" s="1508"/>
      <c r="T90" s="1507"/>
      <c r="U90" s="1495">
        <f t="shared" si="18"/>
        <v>0</v>
      </c>
      <c r="V90" s="1495">
        <f t="shared" si="19"/>
        <v>0</v>
      </c>
      <c r="W90" s="1495">
        <f t="shared" si="20"/>
        <v>0</v>
      </c>
      <c r="X90" s="1495">
        <f t="shared" si="21"/>
        <v>0</v>
      </c>
      <c r="Y90" s="1495" t="e">
        <f t="shared" si="22"/>
        <v>#DIV/0!</v>
      </c>
      <c r="Z90" s="1495">
        <f t="shared" si="23"/>
        <v>0</v>
      </c>
      <c r="AA90" s="1506">
        <f t="shared" si="24"/>
        <v>0</v>
      </c>
      <c r="AB90" s="1505"/>
      <c r="AC90" s="1504">
        <f t="shared" si="25"/>
        <v>0</v>
      </c>
      <c r="AD90" s="1503">
        <f t="shared" si="26"/>
        <v>0</v>
      </c>
      <c r="AE90" s="1503">
        <f t="shared" si="27"/>
        <v>0</v>
      </c>
      <c r="AF90" s="1502">
        <f t="shared" si="28"/>
        <v>0</v>
      </c>
    </row>
    <row r="91" spans="1:32" s="1474" customFormat="1" ht="23.25" customHeight="1">
      <c r="A91" s="1515"/>
      <c r="B91" s="1513"/>
      <c r="C91" s="1514"/>
      <c r="D91" s="1514"/>
      <c r="E91" s="1513"/>
      <c r="F91" s="1512">
        <f t="shared" si="15"/>
        <v>0</v>
      </c>
      <c r="G91" s="1508"/>
      <c r="H91" s="1511"/>
      <c r="I91" s="1508"/>
      <c r="J91" s="1508"/>
      <c r="K91" s="1508"/>
      <c r="L91" s="1508"/>
      <c r="M91" s="1510">
        <f t="shared" si="16"/>
        <v>0</v>
      </c>
      <c r="N91" s="1510">
        <f t="shared" si="17"/>
        <v>0</v>
      </c>
      <c r="O91" s="1509"/>
      <c r="P91" s="1509"/>
      <c r="Q91" s="1509"/>
      <c r="R91" s="1508"/>
      <c r="S91" s="1508"/>
      <c r="T91" s="1507"/>
      <c r="U91" s="1495">
        <f t="shared" si="18"/>
        <v>0</v>
      </c>
      <c r="V91" s="1495">
        <f t="shared" si="19"/>
        <v>0</v>
      </c>
      <c r="W91" s="1495">
        <f t="shared" si="20"/>
        <v>0</v>
      </c>
      <c r="X91" s="1495">
        <f t="shared" si="21"/>
        <v>0</v>
      </c>
      <c r="Y91" s="1495" t="e">
        <f t="shared" si="22"/>
        <v>#DIV/0!</v>
      </c>
      <c r="Z91" s="1495">
        <f t="shared" si="23"/>
        <v>0</v>
      </c>
      <c r="AA91" s="1506">
        <f t="shared" si="24"/>
        <v>0</v>
      </c>
      <c r="AB91" s="1505"/>
      <c r="AC91" s="1504">
        <f t="shared" si="25"/>
        <v>0</v>
      </c>
      <c r="AD91" s="1503">
        <f t="shared" si="26"/>
        <v>0</v>
      </c>
      <c r="AE91" s="1503">
        <f t="shared" si="27"/>
        <v>0</v>
      </c>
      <c r="AF91" s="1502">
        <f t="shared" si="28"/>
        <v>0</v>
      </c>
    </row>
    <row r="92" spans="1:32" s="1474" customFormat="1" ht="23.25" customHeight="1">
      <c r="A92" s="1515"/>
      <c r="B92" s="1513"/>
      <c r="C92" s="1514"/>
      <c r="D92" s="1514"/>
      <c r="E92" s="1513"/>
      <c r="F92" s="1512">
        <f t="shared" si="15"/>
        <v>0</v>
      </c>
      <c r="G92" s="1508"/>
      <c r="H92" s="1511"/>
      <c r="I92" s="1508"/>
      <c r="J92" s="1508"/>
      <c r="K92" s="1508"/>
      <c r="L92" s="1508"/>
      <c r="M92" s="1510">
        <f t="shared" si="16"/>
        <v>0</v>
      </c>
      <c r="N92" s="1510">
        <f t="shared" si="17"/>
        <v>0</v>
      </c>
      <c r="O92" s="1509"/>
      <c r="P92" s="1509"/>
      <c r="Q92" s="1509"/>
      <c r="R92" s="1508"/>
      <c r="S92" s="1508"/>
      <c r="T92" s="1507"/>
      <c r="U92" s="1495">
        <f t="shared" si="18"/>
        <v>0</v>
      </c>
      <c r="V92" s="1495">
        <f t="shared" si="19"/>
        <v>0</v>
      </c>
      <c r="W92" s="1495">
        <f t="shared" si="20"/>
        <v>0</v>
      </c>
      <c r="X92" s="1495">
        <f t="shared" si="21"/>
        <v>0</v>
      </c>
      <c r="Y92" s="1495" t="e">
        <f t="shared" si="22"/>
        <v>#DIV/0!</v>
      </c>
      <c r="Z92" s="1495">
        <f t="shared" si="23"/>
        <v>0</v>
      </c>
      <c r="AA92" s="1506">
        <f t="shared" si="24"/>
        <v>0</v>
      </c>
      <c r="AB92" s="1505"/>
      <c r="AC92" s="1504">
        <f t="shared" si="25"/>
        <v>0</v>
      </c>
      <c r="AD92" s="1503">
        <f t="shared" si="26"/>
        <v>0</v>
      </c>
      <c r="AE92" s="1503">
        <f t="shared" si="27"/>
        <v>0</v>
      </c>
      <c r="AF92" s="1502">
        <f t="shared" si="28"/>
        <v>0</v>
      </c>
    </row>
    <row r="93" spans="1:32" s="1474" customFormat="1" ht="23.25" customHeight="1">
      <c r="A93" s="1515"/>
      <c r="B93" s="1513"/>
      <c r="C93" s="1514"/>
      <c r="D93" s="1514"/>
      <c r="E93" s="1513"/>
      <c r="F93" s="1512">
        <f t="shared" si="15"/>
        <v>0</v>
      </c>
      <c r="G93" s="1508"/>
      <c r="H93" s="1511"/>
      <c r="I93" s="1508"/>
      <c r="J93" s="1508"/>
      <c r="K93" s="1508"/>
      <c r="L93" s="1508"/>
      <c r="M93" s="1510">
        <f t="shared" si="16"/>
        <v>0</v>
      </c>
      <c r="N93" s="1510">
        <f t="shared" si="17"/>
        <v>0</v>
      </c>
      <c r="O93" s="1509"/>
      <c r="P93" s="1509"/>
      <c r="Q93" s="1509"/>
      <c r="R93" s="1508"/>
      <c r="S93" s="1508"/>
      <c r="T93" s="1507"/>
      <c r="U93" s="1495">
        <f t="shared" si="18"/>
        <v>0</v>
      </c>
      <c r="V93" s="1495">
        <f t="shared" si="19"/>
        <v>0</v>
      </c>
      <c r="W93" s="1495">
        <f t="shared" si="20"/>
        <v>0</v>
      </c>
      <c r="X93" s="1495">
        <f t="shared" si="21"/>
        <v>0</v>
      </c>
      <c r="Y93" s="1495" t="e">
        <f t="shared" si="22"/>
        <v>#DIV/0!</v>
      </c>
      <c r="Z93" s="1495">
        <f t="shared" si="23"/>
        <v>0</v>
      </c>
      <c r="AA93" s="1506">
        <f t="shared" si="24"/>
        <v>0</v>
      </c>
      <c r="AB93" s="1505"/>
      <c r="AC93" s="1504">
        <f t="shared" si="25"/>
        <v>0</v>
      </c>
      <c r="AD93" s="1503">
        <f t="shared" si="26"/>
        <v>0</v>
      </c>
      <c r="AE93" s="1503">
        <f t="shared" si="27"/>
        <v>0</v>
      </c>
      <c r="AF93" s="1502">
        <f t="shared" si="28"/>
        <v>0</v>
      </c>
    </row>
    <row r="94" spans="1:32" s="1474" customFormat="1" ht="23.25" customHeight="1">
      <c r="A94" s="1515"/>
      <c r="B94" s="1513"/>
      <c r="C94" s="1514"/>
      <c r="D94" s="1514"/>
      <c r="E94" s="1513"/>
      <c r="F94" s="1512">
        <f t="shared" si="15"/>
        <v>0</v>
      </c>
      <c r="G94" s="1508"/>
      <c r="H94" s="1511"/>
      <c r="I94" s="1508"/>
      <c r="J94" s="1508"/>
      <c r="K94" s="1508"/>
      <c r="L94" s="1508"/>
      <c r="M94" s="1510">
        <f t="shared" si="16"/>
        <v>0</v>
      </c>
      <c r="N94" s="1510">
        <f t="shared" si="17"/>
        <v>0</v>
      </c>
      <c r="O94" s="1509"/>
      <c r="P94" s="1509"/>
      <c r="Q94" s="1509"/>
      <c r="R94" s="1508"/>
      <c r="S94" s="1508"/>
      <c r="T94" s="1507"/>
      <c r="U94" s="1495">
        <f t="shared" si="18"/>
        <v>0</v>
      </c>
      <c r="V94" s="1495">
        <f t="shared" si="19"/>
        <v>0</v>
      </c>
      <c r="W94" s="1495">
        <f t="shared" si="20"/>
        <v>0</v>
      </c>
      <c r="X94" s="1495">
        <f t="shared" si="21"/>
        <v>0</v>
      </c>
      <c r="Y94" s="1495" t="e">
        <f t="shared" si="22"/>
        <v>#DIV/0!</v>
      </c>
      <c r="Z94" s="1495">
        <f t="shared" si="23"/>
        <v>0</v>
      </c>
      <c r="AA94" s="1506">
        <f t="shared" si="24"/>
        <v>0</v>
      </c>
      <c r="AB94" s="1505"/>
      <c r="AC94" s="1504">
        <f t="shared" si="25"/>
        <v>0</v>
      </c>
      <c r="AD94" s="1503">
        <f t="shared" si="26"/>
        <v>0</v>
      </c>
      <c r="AE94" s="1503">
        <f t="shared" si="27"/>
        <v>0</v>
      </c>
      <c r="AF94" s="1502">
        <f t="shared" si="28"/>
        <v>0</v>
      </c>
    </row>
    <row r="95" spans="1:32" s="1474" customFormat="1" ht="23.25" customHeight="1">
      <c r="A95" s="1515"/>
      <c r="B95" s="1513"/>
      <c r="C95" s="1514"/>
      <c r="D95" s="1514"/>
      <c r="E95" s="1513"/>
      <c r="F95" s="1512">
        <f t="shared" si="15"/>
        <v>0</v>
      </c>
      <c r="G95" s="1508"/>
      <c r="H95" s="1511"/>
      <c r="I95" s="1508"/>
      <c r="J95" s="1508"/>
      <c r="K95" s="1508"/>
      <c r="L95" s="1508"/>
      <c r="M95" s="1510">
        <f t="shared" si="16"/>
        <v>0</v>
      </c>
      <c r="N95" s="1510">
        <f t="shared" si="17"/>
        <v>0</v>
      </c>
      <c r="O95" s="1509"/>
      <c r="P95" s="1509"/>
      <c r="Q95" s="1509"/>
      <c r="R95" s="1508"/>
      <c r="S95" s="1508"/>
      <c r="T95" s="1507"/>
      <c r="U95" s="1495">
        <f t="shared" si="18"/>
        <v>0</v>
      </c>
      <c r="V95" s="1495">
        <f t="shared" si="19"/>
        <v>0</v>
      </c>
      <c r="W95" s="1495">
        <f t="shared" si="20"/>
        <v>0</v>
      </c>
      <c r="X95" s="1495">
        <f t="shared" si="21"/>
        <v>0</v>
      </c>
      <c r="Y95" s="1495" t="e">
        <f t="shared" si="22"/>
        <v>#DIV/0!</v>
      </c>
      <c r="Z95" s="1495">
        <f t="shared" si="23"/>
        <v>0</v>
      </c>
      <c r="AA95" s="1506">
        <f t="shared" si="24"/>
        <v>0</v>
      </c>
      <c r="AB95" s="1505"/>
      <c r="AC95" s="1504">
        <f t="shared" si="25"/>
        <v>0</v>
      </c>
      <c r="AD95" s="1503">
        <f t="shared" si="26"/>
        <v>0</v>
      </c>
      <c r="AE95" s="1503">
        <f t="shared" si="27"/>
        <v>0</v>
      </c>
      <c r="AF95" s="1502">
        <f t="shared" si="28"/>
        <v>0</v>
      </c>
    </row>
    <row r="96" spans="1:32" s="1474" customFormat="1" ht="23.25" customHeight="1">
      <c r="A96" s="1515"/>
      <c r="B96" s="1513"/>
      <c r="C96" s="1514"/>
      <c r="D96" s="1514"/>
      <c r="E96" s="1513"/>
      <c r="F96" s="1512">
        <f t="shared" si="15"/>
        <v>0</v>
      </c>
      <c r="G96" s="1508"/>
      <c r="H96" s="1511"/>
      <c r="I96" s="1508"/>
      <c r="J96" s="1508"/>
      <c r="K96" s="1508"/>
      <c r="L96" s="1508"/>
      <c r="M96" s="1510">
        <f t="shared" si="16"/>
        <v>0</v>
      </c>
      <c r="N96" s="1510">
        <f t="shared" si="17"/>
        <v>0</v>
      </c>
      <c r="O96" s="1509"/>
      <c r="P96" s="1509"/>
      <c r="Q96" s="1509"/>
      <c r="R96" s="1508"/>
      <c r="S96" s="1508"/>
      <c r="T96" s="1507"/>
      <c r="U96" s="1495">
        <f t="shared" si="18"/>
        <v>0</v>
      </c>
      <c r="V96" s="1495">
        <f t="shared" si="19"/>
        <v>0</v>
      </c>
      <c r="W96" s="1495">
        <f t="shared" si="20"/>
        <v>0</v>
      </c>
      <c r="X96" s="1495">
        <f t="shared" si="21"/>
        <v>0</v>
      </c>
      <c r="Y96" s="1495" t="e">
        <f t="shared" si="22"/>
        <v>#DIV/0!</v>
      </c>
      <c r="Z96" s="1495">
        <f t="shared" si="23"/>
        <v>0</v>
      </c>
      <c r="AA96" s="1506">
        <f t="shared" si="24"/>
        <v>0</v>
      </c>
      <c r="AB96" s="1505"/>
      <c r="AC96" s="1504">
        <f t="shared" si="25"/>
        <v>0</v>
      </c>
      <c r="AD96" s="1503">
        <f t="shared" si="26"/>
        <v>0</v>
      </c>
      <c r="AE96" s="1503">
        <f t="shared" si="27"/>
        <v>0</v>
      </c>
      <c r="AF96" s="1502">
        <f t="shared" si="28"/>
        <v>0</v>
      </c>
    </row>
    <row r="97" spans="1:32" s="1474" customFormat="1" ht="23.25" customHeight="1">
      <c r="A97" s="1515"/>
      <c r="B97" s="1513"/>
      <c r="C97" s="1514"/>
      <c r="D97" s="1514"/>
      <c r="E97" s="1513"/>
      <c r="F97" s="1512">
        <f t="shared" si="15"/>
        <v>0</v>
      </c>
      <c r="G97" s="1508"/>
      <c r="H97" s="1511"/>
      <c r="I97" s="1508"/>
      <c r="J97" s="1508"/>
      <c r="K97" s="1508"/>
      <c r="L97" s="1508"/>
      <c r="M97" s="1510">
        <f t="shared" si="16"/>
        <v>0</v>
      </c>
      <c r="N97" s="1510">
        <f t="shared" si="17"/>
        <v>0</v>
      </c>
      <c r="O97" s="1509"/>
      <c r="P97" s="1509"/>
      <c r="Q97" s="1509"/>
      <c r="R97" s="1508"/>
      <c r="S97" s="1508"/>
      <c r="T97" s="1507"/>
      <c r="U97" s="1495">
        <f t="shared" si="18"/>
        <v>0</v>
      </c>
      <c r="V97" s="1495">
        <f t="shared" si="19"/>
        <v>0</v>
      </c>
      <c r="W97" s="1495">
        <f t="shared" si="20"/>
        <v>0</v>
      </c>
      <c r="X97" s="1495">
        <f t="shared" si="21"/>
        <v>0</v>
      </c>
      <c r="Y97" s="1495" t="e">
        <f t="shared" si="22"/>
        <v>#DIV/0!</v>
      </c>
      <c r="Z97" s="1495">
        <f t="shared" si="23"/>
        <v>0</v>
      </c>
      <c r="AA97" s="1506">
        <f t="shared" si="24"/>
        <v>0</v>
      </c>
      <c r="AB97" s="1505"/>
      <c r="AC97" s="1504">
        <f t="shared" si="25"/>
        <v>0</v>
      </c>
      <c r="AD97" s="1503">
        <f t="shared" si="26"/>
        <v>0</v>
      </c>
      <c r="AE97" s="1503">
        <f t="shared" si="27"/>
        <v>0</v>
      </c>
      <c r="AF97" s="1502">
        <f t="shared" si="28"/>
        <v>0</v>
      </c>
    </row>
    <row r="98" spans="1:32" s="1474" customFormat="1" ht="23.25" customHeight="1">
      <c r="A98" s="1515"/>
      <c r="B98" s="1513"/>
      <c r="C98" s="1514"/>
      <c r="D98" s="1514"/>
      <c r="E98" s="1513"/>
      <c r="F98" s="1512">
        <f t="shared" si="15"/>
        <v>0</v>
      </c>
      <c r="G98" s="1508"/>
      <c r="H98" s="1511"/>
      <c r="I98" s="1508"/>
      <c r="J98" s="1508"/>
      <c r="K98" s="1508"/>
      <c r="L98" s="1508"/>
      <c r="M98" s="1510">
        <f t="shared" si="16"/>
        <v>0</v>
      </c>
      <c r="N98" s="1510">
        <f t="shared" si="17"/>
        <v>0</v>
      </c>
      <c r="O98" s="1509"/>
      <c r="P98" s="1509"/>
      <c r="Q98" s="1509"/>
      <c r="R98" s="1508"/>
      <c r="S98" s="1508"/>
      <c r="T98" s="1507"/>
      <c r="U98" s="1495">
        <f t="shared" si="18"/>
        <v>0</v>
      </c>
      <c r="V98" s="1495">
        <f t="shared" si="19"/>
        <v>0</v>
      </c>
      <c r="W98" s="1495">
        <f t="shared" si="20"/>
        <v>0</v>
      </c>
      <c r="X98" s="1495">
        <f t="shared" si="21"/>
        <v>0</v>
      </c>
      <c r="Y98" s="1495" t="e">
        <f t="shared" si="22"/>
        <v>#DIV/0!</v>
      </c>
      <c r="Z98" s="1495">
        <f t="shared" si="23"/>
        <v>0</v>
      </c>
      <c r="AA98" s="1506">
        <f t="shared" si="24"/>
        <v>0</v>
      </c>
      <c r="AB98" s="1505"/>
      <c r="AC98" s="1504">
        <f t="shared" si="25"/>
        <v>0</v>
      </c>
      <c r="AD98" s="1503">
        <f t="shared" si="26"/>
        <v>0</v>
      </c>
      <c r="AE98" s="1503">
        <f t="shared" si="27"/>
        <v>0</v>
      </c>
      <c r="AF98" s="1502">
        <f t="shared" si="28"/>
        <v>0</v>
      </c>
    </row>
    <row r="99" spans="1:32" s="1474" customFormat="1" ht="23.25" customHeight="1">
      <c r="A99" s="1515"/>
      <c r="B99" s="1513"/>
      <c r="C99" s="1514"/>
      <c r="D99" s="1514"/>
      <c r="E99" s="1513"/>
      <c r="F99" s="1512">
        <f t="shared" si="15"/>
        <v>0</v>
      </c>
      <c r="G99" s="1508"/>
      <c r="H99" s="1511"/>
      <c r="I99" s="1508"/>
      <c r="J99" s="1508"/>
      <c r="K99" s="1508"/>
      <c r="L99" s="1508"/>
      <c r="M99" s="1510">
        <f t="shared" si="16"/>
        <v>0</v>
      </c>
      <c r="N99" s="1510">
        <f t="shared" si="17"/>
        <v>0</v>
      </c>
      <c r="O99" s="1509"/>
      <c r="P99" s="1509"/>
      <c r="Q99" s="1509"/>
      <c r="R99" s="1508"/>
      <c r="S99" s="1508"/>
      <c r="T99" s="1507"/>
      <c r="U99" s="1495">
        <f t="shared" si="18"/>
        <v>0</v>
      </c>
      <c r="V99" s="1495">
        <f t="shared" si="19"/>
        <v>0</v>
      </c>
      <c r="W99" s="1495">
        <f t="shared" si="20"/>
        <v>0</v>
      </c>
      <c r="X99" s="1495">
        <f t="shared" si="21"/>
        <v>0</v>
      </c>
      <c r="Y99" s="1495" t="e">
        <f t="shared" si="22"/>
        <v>#DIV/0!</v>
      </c>
      <c r="Z99" s="1495">
        <f t="shared" si="23"/>
        <v>0</v>
      </c>
      <c r="AA99" s="1506">
        <f t="shared" si="24"/>
        <v>0</v>
      </c>
      <c r="AB99" s="1505"/>
      <c r="AC99" s="1504">
        <f t="shared" si="25"/>
        <v>0</v>
      </c>
      <c r="AD99" s="1503">
        <f t="shared" si="26"/>
        <v>0</v>
      </c>
      <c r="AE99" s="1503">
        <f t="shared" si="27"/>
        <v>0</v>
      </c>
      <c r="AF99" s="1502">
        <f t="shared" si="28"/>
        <v>0</v>
      </c>
    </row>
    <row r="100" spans="1:32" s="1474" customFormat="1" ht="23.25" customHeight="1" thickBot="1">
      <c r="A100" s="1501"/>
      <c r="B100" s="1496"/>
      <c r="C100" s="1499"/>
      <c r="D100" s="1499"/>
      <c r="E100" s="1496"/>
      <c r="F100" s="1498">
        <f t="shared" si="15"/>
        <v>0</v>
      </c>
      <c r="G100" s="1499"/>
      <c r="H100" s="1500"/>
      <c r="I100" s="1499"/>
      <c r="J100" s="1499"/>
      <c r="K100" s="1499"/>
      <c r="L100" s="1499"/>
      <c r="M100" s="1498">
        <f t="shared" si="16"/>
        <v>0</v>
      </c>
      <c r="N100" s="1498">
        <f t="shared" si="17"/>
        <v>0</v>
      </c>
      <c r="O100" s="1497"/>
      <c r="P100" s="1497"/>
      <c r="Q100" s="1497"/>
      <c r="R100" s="1496"/>
      <c r="S100" s="1496"/>
      <c r="T100" s="1496"/>
      <c r="U100" s="1494">
        <f t="shared" si="18"/>
        <v>0</v>
      </c>
      <c r="V100" s="1494">
        <f t="shared" si="19"/>
        <v>0</v>
      </c>
      <c r="W100" s="1494">
        <f t="shared" si="20"/>
        <v>0</v>
      </c>
      <c r="X100" s="1494">
        <f t="shared" si="21"/>
        <v>0</v>
      </c>
      <c r="Y100" s="1495" t="e">
        <f t="shared" si="22"/>
        <v>#DIV/0!</v>
      </c>
      <c r="Z100" s="1494">
        <f t="shared" si="23"/>
        <v>0</v>
      </c>
      <c r="AA100" s="1493">
        <f t="shared" si="24"/>
        <v>0</v>
      </c>
      <c r="AB100" s="1492"/>
      <c r="AC100" s="1491">
        <f t="shared" si="25"/>
        <v>0</v>
      </c>
      <c r="AD100" s="1490">
        <f t="shared" si="26"/>
        <v>0</v>
      </c>
      <c r="AE100" s="1490">
        <f t="shared" si="27"/>
        <v>0</v>
      </c>
      <c r="AF100" s="1489">
        <f t="shared" si="28"/>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9">SUM(M66:M100)</f>
        <v>0</v>
      </c>
      <c r="N102" s="1480">
        <f t="shared" si="29"/>
        <v>0</v>
      </c>
      <c r="O102" s="1480">
        <f t="shared" si="29"/>
        <v>0</v>
      </c>
      <c r="P102" s="1480">
        <f t="shared" si="29"/>
        <v>0</v>
      </c>
      <c r="Q102" s="1480">
        <f t="shared" si="29"/>
        <v>0</v>
      </c>
      <c r="R102" s="1480">
        <f t="shared" si="29"/>
        <v>0</v>
      </c>
      <c r="S102" s="1480">
        <f t="shared" si="29"/>
        <v>0</v>
      </c>
      <c r="T102" s="1480">
        <f t="shared" si="29"/>
        <v>0</v>
      </c>
      <c r="U102" s="1480">
        <f t="shared" si="29"/>
        <v>0</v>
      </c>
      <c r="V102" s="1480">
        <f t="shared" si="29"/>
        <v>0</v>
      </c>
      <c r="W102" s="1480">
        <f t="shared" si="29"/>
        <v>0</v>
      </c>
      <c r="X102" s="1480">
        <f t="shared" si="29"/>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0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C26" zoomScale="50" zoomScaleNormal="50" zoomScaleSheetLayoutView="40"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"&amp;DT!I3</f>
        <v>:  CIHANYAWAR</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CIHANYAWAR</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31.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38" orientation="landscape" r:id="rId1"/>
  <headerFooter alignWithMargins="0"/>
  <rowBreaks count="1" manualBreakCount="1">
    <brk id="53" max="24" man="1"/>
  </rowBreaks>
  <drawing r:id="rId2"/>
  <legacyDrawing r:id="rId3"/>
</worksheet>
</file>

<file path=xl/worksheets/sheet1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A23" zoomScale="50" zoomScaleNormal="50"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"&amp;DT!I4</f>
        <v>:  NAGRAK UTARA</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NAGRAK UTARA</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A13:E46 G13:J46 M13:R46 Z13:Z46 A66:E100 G66:J100 M66:R100 Z66:Z100" name="Range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1" orientation="landscape" r:id="rId1"/>
  <headerFooter alignWithMargins="0"/>
  <rowBreaks count="1" manualBreakCount="1">
    <brk id="53" max="24" man="1"/>
  </rowBreaks>
  <drawing r:id="rId2"/>
  <legacyDrawing r:id="rId3"/>
</worksheet>
</file>

<file path=xl/worksheets/sheet1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A23" zoomScale="50" zoomScaleNormal="50"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"&amp;DT!I5</f>
        <v>:  DARMAREJA</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DARMAREJA</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A13:E46 G13:J46 M13:R46 Z13:Z46 A66:E100 G66:J100 M66:R100 Z66:Z100" name="Range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1" orientation="landscape" r:id="rId1"/>
  <headerFooter alignWithMargins="0"/>
  <rowBreaks count="1" manualBreakCount="1">
    <brk id="53" max="24" man="1"/>
  </rowBreaks>
  <drawing r:id="rId2"/>
  <legacyDrawing r:id="rId3"/>
</worksheet>
</file>

<file path=xl/worksheets/sheet1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A79" zoomScale="50" zoomScaleNormal="50"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"&amp;DT!I6</f>
        <v>:  BALEKAMBANG</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BALEKAMBANG</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A13:E46 G13:J46 M13:R46 Z13:Z46 A66:E100 G66:J100 M66:R100 Z66:Z100" name="Range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1" orientation="landscape" r:id="rId1"/>
  <headerFooter alignWithMargins="0"/>
  <rowBreaks count="1" manualBreakCount="1">
    <brk id="53" max="24" man="1"/>
  </rowBreaks>
  <drawing r:id="rId2"/>
  <legacyDrawing r:id="rId3"/>
</worksheet>
</file>

<file path=xl/worksheets/sheet1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A22" zoomScale="50" zoomScaleNormal="50"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"&amp;DT!I7</f>
        <v>:  NAGRAK SELATAN</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NAGRAK SELATAN</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zoomScale="50" zoomScaleNormal="50" workbookViewId="0">
      <selection sqref="A1:AA1"/>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"&amp;DT!I8</f>
        <v>:  KALAPAREA</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KALAPAREA</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A20" zoomScale="50" zoomScaleNormal="50"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"&amp;DT!I9</f>
        <v>:  BABAKAN PANJANG</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BABAKAN PANJANG</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A20" zoomScale="50" zoomScaleNormal="50"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"&amp;DT!I10</f>
        <v>:  PAWENANG</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PAWENANG</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A25" zoomScale="50" zoomScaleNormal="50"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"&amp;DT!I11</f>
        <v>:  CISARUA</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CISARUA</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A23" zoomScale="50" zoomScaleNormal="50"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"&amp;DT!I12</f>
        <v>:  GIRIJAYA</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GIRIJAYA</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A20" zoomScale="50" zoomScaleNormal="50"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"&amp;DT!I13</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A19" zoomScale="50" zoomScaleNormal="50"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"&amp;DT!I14</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A22" zoomScale="50" zoomScaleNormal="50"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"&amp;DT!I15</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A22" zoomScale="50" zoomScaleNormal="50"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"&amp;DT!I16</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A27" zoomScale="50" zoomScaleNormal="50" workbookViewId="0">
      <selection activeCell="E49" sqref="E49"/>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"&amp;DT!I17</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7030A0"/>
  </sheetPr>
  <dimension ref="A1:AF107"/>
  <sheetViews>
    <sheetView topLeftCell="A2" zoomScale="50" zoomScaleNormal="50" workbookViewId="0">
      <selection activeCell="E13" sqref="E13"/>
    </sheetView>
  </sheetViews>
  <sheetFormatPr defaultColWidth="9.140625" defaultRowHeight="15.75"/>
  <cols>
    <col min="1" max="1" width="5" style="1460" customWidth="1"/>
    <col min="2" max="2" width="20.85546875" style="1460" customWidth="1"/>
    <col min="3" max="3" width="12.5703125" style="1464" bestFit="1" customWidth="1"/>
    <col min="4" max="4" width="6.7109375" style="1464" customWidth="1"/>
    <col min="5" max="5" width="18.140625" style="1461" customWidth="1"/>
    <col min="6" max="6" width="16.42578125" style="1461" customWidth="1"/>
    <col min="7" max="7" width="18.85546875" style="1464" customWidth="1"/>
    <col min="8" max="9" width="7.140625" style="1464" customWidth="1"/>
    <col min="10" max="10" width="6.42578125" style="1464" bestFit="1" customWidth="1"/>
    <col min="11" max="12" width="14.7109375" style="1463" bestFit="1" customWidth="1"/>
    <col min="13" max="13" width="18.140625" style="1461" customWidth="1"/>
    <col min="14" max="14" width="16.42578125" style="1461" customWidth="1"/>
    <col min="15" max="15" width="18.140625" style="1461" customWidth="1"/>
    <col min="16" max="16" width="16.42578125" style="1461" customWidth="1"/>
    <col min="17" max="17" width="9.42578125" style="1461" customWidth="1"/>
    <col min="18" max="18" width="15.7109375" style="1461" customWidth="1"/>
    <col min="19" max="19" width="14.42578125" style="1461" customWidth="1"/>
    <col min="20" max="20" width="9.42578125" style="1461" customWidth="1"/>
    <col min="21" max="21" width="18.140625" style="1461" customWidth="1"/>
    <col min="22" max="22" width="16.42578125" style="1461" customWidth="1"/>
    <col min="23" max="23" width="9.42578125" style="1461" customWidth="1"/>
    <col min="24" max="24" width="19.140625" style="1461" customWidth="1"/>
    <col min="25" max="25" width="10.42578125" style="1461" customWidth="1"/>
    <col min="26" max="26" width="16.42578125" style="1461" customWidth="1"/>
    <col min="27" max="27" width="15.85546875" style="1461" customWidth="1"/>
    <col min="28" max="28" width="10.28515625" style="1462" customWidth="1"/>
    <col min="29" max="30" width="15.5703125" style="1461" customWidth="1"/>
    <col min="31" max="32" width="15.5703125" style="1460" customWidth="1"/>
    <col min="33" max="33" width="9.140625" style="1460"/>
    <col min="34" max="34" width="16.140625" style="1460" bestFit="1" customWidth="1"/>
    <col min="35" max="35" width="15.28515625" style="1460" bestFit="1" customWidth="1"/>
    <col min="36" max="16384" width="9.140625" style="1460"/>
  </cols>
  <sheetData>
    <row r="1" spans="1:32" s="1559" customFormat="1" ht="24.75" customHeight="1">
      <c r="A1" s="3410" t="s">
        <v>0</v>
      </c>
      <c r="B1" s="3410"/>
      <c r="C1" s="3410"/>
      <c r="D1" s="3410"/>
      <c r="E1" s="3410"/>
      <c r="F1" s="3410"/>
      <c r="G1" s="3410"/>
      <c r="H1" s="3410"/>
      <c r="I1" s="3410"/>
      <c r="J1" s="3410"/>
      <c r="K1" s="3410"/>
      <c r="L1" s="3410"/>
      <c r="M1" s="3410"/>
      <c r="N1" s="3410"/>
      <c r="O1" s="3410"/>
      <c r="P1" s="3410"/>
      <c r="Q1" s="3410"/>
      <c r="R1" s="3410"/>
      <c r="S1" s="3410"/>
      <c r="T1" s="3410"/>
      <c r="U1" s="3410"/>
      <c r="V1" s="3410"/>
      <c r="W1" s="3410"/>
      <c r="X1" s="3410"/>
      <c r="Y1" s="3410"/>
      <c r="Z1" s="3410"/>
      <c r="AA1" s="3410"/>
      <c r="AB1" s="1562"/>
      <c r="AC1" s="1560"/>
      <c r="AD1" s="1560"/>
      <c r="AE1" s="1560"/>
      <c r="AF1" s="1560"/>
    </row>
    <row r="2" spans="1:32" s="1559" customFormat="1" ht="24.75" customHeight="1">
      <c r="A2" s="3410" t="str">
        <f>'LPP-SPP PIHAK KE-3'!A2:W2</f>
        <v>LAPORAN PERKEMBANGAN PINJAMAN  SPP PIHAK KE-3</v>
      </c>
      <c r="B2" s="3410"/>
      <c r="C2" s="3410"/>
      <c r="D2" s="3410"/>
      <c r="E2" s="3410"/>
      <c r="F2" s="3410"/>
      <c r="G2" s="3410"/>
      <c r="H2" s="3410"/>
      <c r="I2" s="3410"/>
      <c r="J2" s="3410"/>
      <c r="K2" s="3410"/>
      <c r="L2" s="3410"/>
      <c r="M2" s="3410"/>
      <c r="N2" s="3410"/>
      <c r="O2" s="3410"/>
      <c r="P2" s="3410"/>
      <c r="Q2" s="3410"/>
      <c r="R2" s="3410"/>
      <c r="S2" s="3410"/>
      <c r="T2" s="3410"/>
      <c r="U2" s="3410"/>
      <c r="V2" s="3410"/>
      <c r="W2" s="3410"/>
      <c r="X2" s="3410"/>
      <c r="Y2" s="3410"/>
      <c r="Z2" s="3410"/>
      <c r="AA2" s="3410"/>
      <c r="AB2" s="1562"/>
      <c r="AC2" s="1560"/>
      <c r="AD2" s="1560"/>
      <c r="AE2" s="1560"/>
      <c r="AF2" s="1560"/>
    </row>
    <row r="3" spans="1:32" s="1559" customFormat="1" ht="34.5">
      <c r="A3" s="3410" t="s">
        <v>1506</v>
      </c>
      <c r="B3" s="3410"/>
      <c r="C3" s="3410"/>
      <c r="D3" s="3410"/>
      <c r="E3" s="3410"/>
      <c r="F3" s="3410"/>
      <c r="G3" s="3410"/>
      <c r="H3" s="3410"/>
      <c r="I3" s="3410"/>
      <c r="J3" s="3410"/>
      <c r="K3" s="3410"/>
      <c r="L3" s="3410"/>
      <c r="M3" s="3410"/>
      <c r="N3" s="3410"/>
      <c r="O3" s="3410"/>
      <c r="P3" s="3410"/>
      <c r="Q3" s="3410"/>
      <c r="R3" s="3410"/>
      <c r="S3" s="3410"/>
      <c r="T3" s="3410"/>
      <c r="U3" s="3410"/>
      <c r="V3" s="3410"/>
      <c r="W3" s="3410"/>
      <c r="X3" s="3410"/>
      <c r="Y3" s="3410"/>
      <c r="Z3" s="3410"/>
      <c r="AA3" s="3410"/>
      <c r="AB3" s="1561"/>
      <c r="AC3" s="1560"/>
      <c r="AD3" s="1560"/>
      <c r="AE3" s="1560"/>
      <c r="AF3" s="1560"/>
    </row>
    <row r="4" spans="1:32" s="1542" customFormat="1" ht="24.75" customHeight="1">
      <c r="A4" s="3410" t="str">
        <f>'LPP-SPP PIHAK KE-3'!A4</f>
        <v>Per - Februari 2016 2016</v>
      </c>
      <c r="B4" s="3410"/>
      <c r="C4" s="3410"/>
      <c r="D4" s="3410"/>
      <c r="E4" s="3410"/>
      <c r="F4" s="3410"/>
      <c r="G4" s="3410"/>
      <c r="H4" s="3410"/>
      <c r="I4" s="3410"/>
      <c r="J4" s="3410"/>
      <c r="K4" s="3410"/>
      <c r="L4" s="3410"/>
      <c r="M4" s="3410"/>
      <c r="N4" s="3410"/>
      <c r="O4" s="3410"/>
      <c r="P4" s="3410"/>
      <c r="Q4" s="3410"/>
      <c r="R4" s="3410"/>
      <c r="S4" s="3410"/>
      <c r="T4" s="3410"/>
      <c r="U4" s="3410"/>
      <c r="V4" s="3410"/>
      <c r="W4" s="3410"/>
      <c r="X4" s="3410"/>
      <c r="Y4" s="3410"/>
      <c r="Z4" s="3410"/>
      <c r="AA4" s="3410"/>
      <c r="AB4" s="1556"/>
      <c r="AC4" s="1555"/>
      <c r="AD4" s="1555"/>
      <c r="AE4" s="1555"/>
      <c r="AF4" s="1555"/>
    </row>
    <row r="5" spans="1:32" s="1542" customFormat="1" ht="24.75" customHeight="1">
      <c r="A5" s="3410" t="s">
        <v>1503</v>
      </c>
      <c r="B5" s="3410"/>
      <c r="C5" s="3410"/>
      <c r="D5" s="1553"/>
      <c r="E5" s="1558" t="str">
        <f>":  "&amp;DT!I18</f>
        <v xml:space="preserve">:  </v>
      </c>
      <c r="F5" s="1556"/>
      <c r="G5" s="1556"/>
      <c r="H5" s="1556"/>
      <c r="I5" s="1556"/>
      <c r="J5" s="1556"/>
      <c r="K5" s="1557"/>
      <c r="L5" s="1557"/>
      <c r="M5" s="1556"/>
      <c r="N5" s="1556"/>
      <c r="O5" s="1556"/>
      <c r="P5" s="1556"/>
      <c r="Q5" s="1556"/>
      <c r="R5" s="1556"/>
      <c r="S5" s="1556"/>
      <c r="T5" s="1556"/>
      <c r="U5" s="1556"/>
      <c r="V5" s="1556"/>
      <c r="W5" s="1556"/>
      <c r="X5" s="1556"/>
      <c r="Y5" s="1556"/>
      <c r="Z5" s="1556"/>
      <c r="AA5" s="1556"/>
      <c r="AB5" s="1556"/>
      <c r="AC5" s="1555"/>
      <c r="AD5" s="1555"/>
      <c r="AE5" s="1555"/>
      <c r="AF5" s="1555"/>
    </row>
    <row r="6" spans="1:32" s="1547" customFormat="1" ht="18.75" customHeight="1">
      <c r="A6" s="3410" t="s">
        <v>1502</v>
      </c>
      <c r="B6" s="3410"/>
      <c r="C6" s="3410"/>
      <c r="D6" s="1553"/>
      <c r="E6" s="1552" t="str">
        <f>'LPP-SPP PIHAK KE-3'!F6</f>
        <v>:  Nagrak</v>
      </c>
      <c r="F6" s="1552"/>
      <c r="G6" s="1551"/>
      <c r="H6" s="1551"/>
      <c r="I6" s="1551"/>
      <c r="J6" s="1551"/>
      <c r="K6" s="1550"/>
      <c r="L6" s="1550"/>
      <c r="M6" s="1548"/>
      <c r="N6" s="1548"/>
      <c r="O6" s="1548"/>
      <c r="P6" s="1548"/>
      <c r="Q6" s="1548"/>
      <c r="R6" s="1548"/>
      <c r="S6" s="1548"/>
      <c r="T6" s="1548"/>
      <c r="U6" s="1548"/>
      <c r="V6" s="1548"/>
      <c r="W6" s="1548"/>
      <c r="X6" s="1548"/>
      <c r="Y6" s="1548"/>
      <c r="Z6" s="1548"/>
      <c r="AA6" s="1548"/>
      <c r="AB6" s="1549"/>
      <c r="AC6" s="1548"/>
      <c r="AD6" s="1548"/>
    </row>
    <row r="7" spans="1:32" s="1547" customFormat="1" ht="18.75" customHeight="1">
      <c r="A7" s="3410" t="s">
        <v>1501</v>
      </c>
      <c r="B7" s="3410"/>
      <c r="C7" s="3410"/>
      <c r="D7" s="1553"/>
      <c r="E7" s="1552" t="str">
        <f>'LPP-SPP PIHAK KE-3'!F7</f>
        <v>:  Sukabumi</v>
      </c>
      <c r="F7" s="1552"/>
      <c r="G7" s="1551"/>
      <c r="H7" s="1551"/>
      <c r="I7" s="1551"/>
      <c r="J7" s="1551"/>
      <c r="K7" s="1550"/>
      <c r="L7" s="1550"/>
      <c r="M7" s="1554"/>
      <c r="N7" s="1548"/>
      <c r="O7" s="1548"/>
      <c r="P7" s="1548"/>
      <c r="Q7" s="1548"/>
      <c r="R7" s="1548"/>
      <c r="S7" s="1548"/>
      <c r="T7" s="1548"/>
      <c r="U7" s="1548"/>
      <c r="V7" s="1548"/>
      <c r="W7" s="1548"/>
      <c r="X7" s="1548"/>
      <c r="Y7" s="1548"/>
      <c r="Z7" s="1548"/>
      <c r="AA7" s="1548"/>
      <c r="AB7" s="1549"/>
      <c r="AC7" s="1548"/>
      <c r="AD7" s="1548"/>
    </row>
    <row r="8" spans="1:32" s="1547" customFormat="1" ht="18.75" customHeight="1">
      <c r="A8" s="3410" t="s">
        <v>1500</v>
      </c>
      <c r="B8" s="3410"/>
      <c r="C8" s="3410"/>
      <c r="D8" s="1553"/>
      <c r="E8" s="1552" t="str">
        <f>'LPP-SPP PIHAK KE-3'!F8</f>
        <v>:  Jawa Barat</v>
      </c>
      <c r="F8" s="1552"/>
      <c r="G8" s="1551"/>
      <c r="H8" s="1551"/>
      <c r="I8" s="1551"/>
      <c r="J8" s="1551"/>
      <c r="K8" s="1550"/>
      <c r="L8" s="1550"/>
      <c r="O8" s="1548"/>
      <c r="P8" s="1474"/>
      <c r="Q8" s="1548"/>
      <c r="R8" s="1548"/>
      <c r="S8" s="1548"/>
      <c r="T8" s="1548"/>
      <c r="U8" s="1548"/>
      <c r="V8" s="1548"/>
      <c r="W8" s="1548"/>
      <c r="X8" s="1548"/>
      <c r="Y8" s="1548"/>
      <c r="Z8" s="1548"/>
      <c r="AA8" s="1548"/>
      <c r="AB8" s="1549"/>
      <c r="AC8" s="1548"/>
      <c r="AD8" s="1548"/>
    </row>
    <row r="9" spans="1:32" s="1542" customFormat="1" ht="24" customHeight="1" thickBot="1">
      <c r="A9" s="1546" t="s">
        <v>1461</v>
      </c>
      <c r="B9" s="1546"/>
      <c r="C9" s="1545"/>
      <c r="D9" s="1545"/>
      <c r="E9" s="1543"/>
      <c r="F9" s="1543"/>
      <c r="G9" s="1545"/>
      <c r="H9" s="1545"/>
      <c r="I9" s="1545"/>
      <c r="J9" s="1545"/>
      <c r="K9" s="1463"/>
      <c r="L9" s="1463"/>
      <c r="M9" s="1543"/>
      <c r="N9" s="1543"/>
      <c r="O9" s="1543"/>
      <c r="P9" s="1543"/>
      <c r="Q9" s="1543"/>
      <c r="R9" s="1543"/>
      <c r="S9" s="1543"/>
      <c r="T9" s="1543"/>
      <c r="U9" s="1543"/>
      <c r="V9" s="1543"/>
      <c r="W9" s="1543"/>
      <c r="X9" s="1543"/>
      <c r="Y9" s="1543"/>
      <c r="Z9" s="1543"/>
      <c r="AA9" s="1543"/>
      <c r="AB9" s="1544"/>
      <c r="AC9" s="1543"/>
      <c r="AD9" s="1543"/>
    </row>
    <row r="10" spans="1:32" ht="65.25" customHeight="1" thickTop="1">
      <c r="A10" s="3410" t="s">
        <v>36</v>
      </c>
      <c r="B10" s="3410" t="s">
        <v>1499</v>
      </c>
      <c r="C10" s="3410"/>
      <c r="D10" s="3410" t="s">
        <v>1498</v>
      </c>
      <c r="E10" s="3410" t="s">
        <v>1497</v>
      </c>
      <c r="F10" s="3410"/>
      <c r="G10" s="3410" t="s">
        <v>1496</v>
      </c>
      <c r="H10" s="3410" t="s">
        <v>1495</v>
      </c>
      <c r="I10" s="3410" t="s">
        <v>1494</v>
      </c>
      <c r="J10" s="3410" t="s">
        <v>1493</v>
      </c>
      <c r="K10" s="3410" t="s">
        <v>1492</v>
      </c>
      <c r="L10" s="3410"/>
      <c r="M10" s="3410" t="s">
        <v>1491</v>
      </c>
      <c r="N10" s="3410"/>
      <c r="O10" s="3410" t="s">
        <v>1490</v>
      </c>
      <c r="P10" s="3410"/>
      <c r="Q10" s="3410"/>
      <c r="R10" s="3410" t="s">
        <v>1489</v>
      </c>
      <c r="S10" s="3410"/>
      <c r="T10" s="3410"/>
      <c r="U10" s="3410" t="s">
        <v>1488</v>
      </c>
      <c r="V10" s="3410"/>
      <c r="W10" s="3410"/>
      <c r="X10" s="3410" t="s">
        <v>1487</v>
      </c>
      <c r="Y10" s="3410" t="s">
        <v>1486</v>
      </c>
      <c r="Z10" s="3410" t="s">
        <v>1485</v>
      </c>
      <c r="AA10" s="3410"/>
      <c r="AB10" s="3410" t="s">
        <v>1484</v>
      </c>
      <c r="AC10" s="1541" t="s">
        <v>1483</v>
      </c>
      <c r="AD10" s="1540" t="s">
        <v>1482</v>
      </c>
      <c r="AE10" s="1540" t="s">
        <v>1481</v>
      </c>
      <c r="AF10" s="1539" t="s">
        <v>1480</v>
      </c>
    </row>
    <row r="11" spans="1:32" ht="31.5" customHeight="1">
      <c r="A11" s="3410"/>
      <c r="B11" s="1536" t="s">
        <v>1479</v>
      </c>
      <c r="C11" s="1538" t="s">
        <v>1478</v>
      </c>
      <c r="D11" s="3410"/>
      <c r="E11" s="1537" t="s">
        <v>16</v>
      </c>
      <c r="F11" s="1537" t="s">
        <v>1476</v>
      </c>
      <c r="G11" s="3410"/>
      <c r="H11" s="3410"/>
      <c r="I11" s="3410"/>
      <c r="J11" s="3410"/>
      <c r="K11" s="3410" t="s">
        <v>16</v>
      </c>
      <c r="L11" s="3410" t="s">
        <v>1476</v>
      </c>
      <c r="M11" s="1535" t="s">
        <v>16</v>
      </c>
      <c r="N11" s="1535" t="s">
        <v>1476</v>
      </c>
      <c r="O11" s="1535" t="s">
        <v>16</v>
      </c>
      <c r="P11" s="1535" t="s">
        <v>1476</v>
      </c>
      <c r="Q11" s="1535" t="s">
        <v>1477</v>
      </c>
      <c r="R11" s="1535" t="s">
        <v>16</v>
      </c>
      <c r="S11" s="1535" t="s">
        <v>1476</v>
      </c>
      <c r="T11" s="1535" t="s">
        <v>1477</v>
      </c>
      <c r="U11" s="1535" t="s">
        <v>16</v>
      </c>
      <c r="V11" s="1535" t="s">
        <v>1476</v>
      </c>
      <c r="W11" s="1534" t="s">
        <v>1477</v>
      </c>
      <c r="X11" s="3410"/>
      <c r="Y11" s="3410"/>
      <c r="Z11" s="1535" t="s">
        <v>16</v>
      </c>
      <c r="AA11" s="1532" t="s">
        <v>1476</v>
      </c>
      <c r="AB11" s="3410"/>
      <c r="AC11" s="1531" t="s">
        <v>1475</v>
      </c>
      <c r="AD11" s="1530" t="s">
        <v>1474</v>
      </c>
      <c r="AE11" s="1530" t="s">
        <v>1473</v>
      </c>
      <c r="AF11" s="1529" t="s">
        <v>1472</v>
      </c>
    </row>
    <row r="12" spans="1:32" s="1528" customFormat="1" ht="14.25" customHeight="1" thickBot="1">
      <c r="A12" s="1527">
        <v>1</v>
      </c>
      <c r="B12" s="1526">
        <v>2</v>
      </c>
      <c r="C12" s="1524">
        <v>3</v>
      </c>
      <c r="D12" s="3410"/>
      <c r="E12" s="1524">
        <v>4</v>
      </c>
      <c r="F12" s="1525">
        <v>5</v>
      </c>
      <c r="G12" s="1524">
        <v>6</v>
      </c>
      <c r="H12" s="3410"/>
      <c r="I12" s="3410"/>
      <c r="J12" s="3410"/>
      <c r="K12" s="3410"/>
      <c r="L12" s="3410"/>
      <c r="M12" s="1524">
        <v>7</v>
      </c>
      <c r="N12" s="1524">
        <v>8</v>
      </c>
      <c r="O12" s="1524">
        <v>9</v>
      </c>
      <c r="P12" s="1524">
        <v>10</v>
      </c>
      <c r="Q12" s="1524">
        <v>11</v>
      </c>
      <c r="R12" s="1524">
        <v>12</v>
      </c>
      <c r="S12" s="1524">
        <v>13</v>
      </c>
      <c r="T12" s="1524">
        <v>14</v>
      </c>
      <c r="U12" s="1524" t="s">
        <v>1471</v>
      </c>
      <c r="V12" s="1524" t="s">
        <v>1470</v>
      </c>
      <c r="W12" s="1523" t="s">
        <v>1469</v>
      </c>
      <c r="X12" s="1523" t="s">
        <v>1468</v>
      </c>
      <c r="Y12" s="1522" t="s">
        <v>1467</v>
      </c>
      <c r="Z12" s="1523" t="s">
        <v>1466</v>
      </c>
      <c r="AA12" s="1520" t="s">
        <v>1465</v>
      </c>
      <c r="AB12" s="1519">
        <v>22</v>
      </c>
      <c r="AC12" s="1518">
        <v>23</v>
      </c>
      <c r="AD12" s="1517">
        <v>24</v>
      </c>
      <c r="AE12" s="1517">
        <v>25</v>
      </c>
      <c r="AF12" s="1516">
        <v>26</v>
      </c>
    </row>
    <row r="13" spans="1:32" s="1474" customFormat="1" ht="23.25" customHeight="1" thickTop="1">
      <c r="A13" s="1515"/>
      <c r="B13" s="1513"/>
      <c r="C13" s="1514"/>
      <c r="D13" s="1514"/>
      <c r="E13" s="1513"/>
      <c r="F13" s="1512">
        <f>E13*H13</f>
        <v>0</v>
      </c>
      <c r="G13" s="1508"/>
      <c r="H13" s="1511"/>
      <c r="I13" s="1508"/>
      <c r="J13" s="1569"/>
      <c r="K13" s="1568"/>
      <c r="L13" s="1568"/>
      <c r="M13" s="1567">
        <f>IF(J13&lt;I13,J13*K13,IF(J13&gt;=I13,E13))</f>
        <v>0</v>
      </c>
      <c r="N13" s="1510">
        <f>IF(J13&lt;I13,J13*L13,IF(J13&gt;=I13,F13))</f>
        <v>0</v>
      </c>
      <c r="O13" s="1509"/>
      <c r="P13" s="1509"/>
      <c r="Q13" s="1509"/>
      <c r="R13" s="1508"/>
      <c r="S13" s="1508"/>
      <c r="T13" s="1507"/>
      <c r="U13" s="1495">
        <f t="shared" ref="U13:W46" si="0">SUM(O13+R13)</f>
        <v>0</v>
      </c>
      <c r="V13" s="1495">
        <f t="shared" si="0"/>
        <v>0</v>
      </c>
      <c r="W13" s="1495">
        <f t="shared" si="0"/>
        <v>0</v>
      </c>
      <c r="X13" s="1495">
        <f t="shared" ref="X13:X46" si="1">SUM(E13-U13)</f>
        <v>0</v>
      </c>
      <c r="Y13" s="1495" t="e">
        <f t="shared" ref="Y13:Y46" si="2">SUM(U13/M13)*100</f>
        <v>#DIV/0!</v>
      </c>
      <c r="Z13" s="1495">
        <f t="shared" ref="Z13:AA46" si="3">SUM(M13-U13)</f>
        <v>0</v>
      </c>
      <c r="AA13" s="1506">
        <f t="shared" si="3"/>
        <v>0</v>
      </c>
      <c r="AB13" s="1505"/>
      <c r="AC13" s="1504">
        <f t="shared" ref="AC13:AC46" si="4">IF(AND(AB13&gt;0,AB13&lt;=2),X13,0)</f>
        <v>0</v>
      </c>
      <c r="AD13" s="1503">
        <f t="shared" ref="AD13:AD46" si="5">IF(AND(AB13&gt;=3,AB13&lt;=4),X13,0)</f>
        <v>0</v>
      </c>
      <c r="AE13" s="1503">
        <f t="shared" ref="AE13:AE46" si="6">IF(AND(AB13&gt;=5,AB13&lt;=6),X13,0)</f>
        <v>0</v>
      </c>
      <c r="AF13" s="1502">
        <f t="shared" ref="AF13:AF46" si="7">IF(AB13&gt;6,X13,0)</f>
        <v>0</v>
      </c>
    </row>
    <row r="14" spans="1:32" s="1474" customFormat="1" ht="23.25" customHeight="1">
      <c r="A14" s="1515"/>
      <c r="B14" s="1513"/>
      <c r="C14" s="1514"/>
      <c r="D14" s="1514"/>
      <c r="E14" s="1513"/>
      <c r="F14" s="1512">
        <f>E14*H14</f>
        <v>0</v>
      </c>
      <c r="G14" s="1508"/>
      <c r="H14" s="1511"/>
      <c r="I14" s="1508"/>
      <c r="J14" s="1508"/>
      <c r="K14" s="1508"/>
      <c r="L14" s="1508"/>
      <c r="M14" s="1510">
        <f t="shared" ref="M14:M46" si="8">IF(J14&lt;I14,J14*K14,IF(J14&gt;=I14,E14))</f>
        <v>0</v>
      </c>
      <c r="N14" s="1510">
        <f t="shared" ref="N14:N46" si="9">IF(J14&lt;I14,J14*L14,IF(J14&gt;=I14,F14))</f>
        <v>0</v>
      </c>
      <c r="O14" s="1509"/>
      <c r="P14" s="1509"/>
      <c r="Q14" s="1509"/>
      <c r="R14" s="1508"/>
      <c r="S14" s="1508"/>
      <c r="T14" s="1507"/>
      <c r="U14" s="1495">
        <f t="shared" si="0"/>
        <v>0</v>
      </c>
      <c r="V14" s="1495">
        <f t="shared" si="0"/>
        <v>0</v>
      </c>
      <c r="W14" s="1495">
        <f t="shared" si="0"/>
        <v>0</v>
      </c>
      <c r="X14" s="1495">
        <f t="shared" si="1"/>
        <v>0</v>
      </c>
      <c r="Y14" s="1495" t="e">
        <f t="shared" si="2"/>
        <v>#DIV/0!</v>
      </c>
      <c r="Z14" s="1495">
        <f t="shared" si="3"/>
        <v>0</v>
      </c>
      <c r="AA14" s="1506">
        <f t="shared" si="3"/>
        <v>0</v>
      </c>
      <c r="AB14" s="1505"/>
      <c r="AC14" s="1504">
        <f t="shared" si="4"/>
        <v>0</v>
      </c>
      <c r="AD14" s="1503">
        <f t="shared" si="5"/>
        <v>0</v>
      </c>
      <c r="AE14" s="1503">
        <f t="shared" si="6"/>
        <v>0</v>
      </c>
      <c r="AF14" s="1502">
        <f t="shared" si="7"/>
        <v>0</v>
      </c>
    </row>
    <row r="15" spans="1:32" s="1474" customFormat="1" ht="23.25" customHeight="1">
      <c r="A15" s="1515"/>
      <c r="B15" s="1513"/>
      <c r="C15" s="1514"/>
      <c r="D15" s="1514"/>
      <c r="E15" s="1513"/>
      <c r="F15" s="1512">
        <f t="shared" ref="F15:F46" si="10">E15*H15</f>
        <v>0</v>
      </c>
      <c r="G15" s="1508"/>
      <c r="H15" s="1511"/>
      <c r="I15" s="1508"/>
      <c r="J15" s="1508"/>
      <c r="K15" s="1508"/>
      <c r="L15" s="1508"/>
      <c r="M15" s="1510">
        <f t="shared" si="8"/>
        <v>0</v>
      </c>
      <c r="N15" s="1510">
        <f t="shared" si="9"/>
        <v>0</v>
      </c>
      <c r="O15" s="1509"/>
      <c r="P15" s="1509"/>
      <c r="Q15" s="1509"/>
      <c r="R15" s="1508"/>
      <c r="S15" s="1508"/>
      <c r="T15" s="1507"/>
      <c r="U15" s="1495">
        <f t="shared" si="0"/>
        <v>0</v>
      </c>
      <c r="V15" s="1495">
        <f t="shared" si="0"/>
        <v>0</v>
      </c>
      <c r="W15" s="1495">
        <f t="shared" si="0"/>
        <v>0</v>
      </c>
      <c r="X15" s="1495">
        <f t="shared" si="1"/>
        <v>0</v>
      </c>
      <c r="Y15" s="1495" t="e">
        <f t="shared" si="2"/>
        <v>#DIV/0!</v>
      </c>
      <c r="Z15" s="1495">
        <f t="shared" si="3"/>
        <v>0</v>
      </c>
      <c r="AA15" s="1506">
        <f t="shared" si="3"/>
        <v>0</v>
      </c>
      <c r="AB15" s="1505"/>
      <c r="AC15" s="1504">
        <f t="shared" si="4"/>
        <v>0</v>
      </c>
      <c r="AD15" s="1503">
        <f t="shared" si="5"/>
        <v>0</v>
      </c>
      <c r="AE15" s="1503">
        <f t="shared" si="6"/>
        <v>0</v>
      </c>
      <c r="AF15" s="1502">
        <f t="shared" si="7"/>
        <v>0</v>
      </c>
    </row>
    <row r="16" spans="1:32" s="1474" customFormat="1" ht="23.25" customHeight="1">
      <c r="A16" s="1515"/>
      <c r="B16" s="1513"/>
      <c r="C16" s="1514"/>
      <c r="D16" s="1514"/>
      <c r="E16" s="1513"/>
      <c r="F16" s="1512">
        <f>E16*H16</f>
        <v>0</v>
      </c>
      <c r="G16" s="1508"/>
      <c r="H16" s="1511"/>
      <c r="I16" s="1508"/>
      <c r="J16" s="1508"/>
      <c r="K16" s="1508"/>
      <c r="L16" s="1508"/>
      <c r="M16" s="1510">
        <f t="shared" si="8"/>
        <v>0</v>
      </c>
      <c r="N16" s="1510">
        <f t="shared" si="9"/>
        <v>0</v>
      </c>
      <c r="O16" s="1509"/>
      <c r="P16" s="1509"/>
      <c r="Q16" s="1509"/>
      <c r="R16" s="1508"/>
      <c r="S16" s="1508"/>
      <c r="T16" s="1507"/>
      <c r="U16" s="1495">
        <f t="shared" si="0"/>
        <v>0</v>
      </c>
      <c r="V16" s="1495">
        <f t="shared" si="0"/>
        <v>0</v>
      </c>
      <c r="W16" s="1495">
        <f t="shared" si="0"/>
        <v>0</v>
      </c>
      <c r="X16" s="1495">
        <f t="shared" si="1"/>
        <v>0</v>
      </c>
      <c r="Y16" s="1495" t="e">
        <f t="shared" si="2"/>
        <v>#DIV/0!</v>
      </c>
      <c r="Z16" s="1495">
        <f t="shared" si="3"/>
        <v>0</v>
      </c>
      <c r="AA16" s="1506">
        <f t="shared" si="3"/>
        <v>0</v>
      </c>
      <c r="AB16" s="1505"/>
      <c r="AC16" s="1504">
        <f t="shared" si="4"/>
        <v>0</v>
      </c>
      <c r="AD16" s="1503">
        <f t="shared" si="5"/>
        <v>0</v>
      </c>
      <c r="AE16" s="1503">
        <f t="shared" si="6"/>
        <v>0</v>
      </c>
      <c r="AF16" s="1502">
        <f t="shared" si="7"/>
        <v>0</v>
      </c>
    </row>
    <row r="17" spans="1:32" s="1474" customFormat="1" ht="23.25" customHeight="1">
      <c r="A17" s="1515"/>
      <c r="B17" s="1513"/>
      <c r="C17" s="1514"/>
      <c r="D17" s="1514"/>
      <c r="E17" s="1513"/>
      <c r="F17" s="1512">
        <f t="shared" si="10"/>
        <v>0</v>
      </c>
      <c r="G17" s="1508"/>
      <c r="H17" s="1511"/>
      <c r="I17" s="1508"/>
      <c r="J17" s="1508"/>
      <c r="K17" s="1508"/>
      <c r="L17" s="1508"/>
      <c r="M17" s="1510">
        <f t="shared" si="8"/>
        <v>0</v>
      </c>
      <c r="N17" s="1510">
        <f t="shared" si="9"/>
        <v>0</v>
      </c>
      <c r="O17" s="1509"/>
      <c r="P17" s="1509"/>
      <c r="Q17" s="1509"/>
      <c r="R17" s="1508"/>
      <c r="S17" s="1508"/>
      <c r="T17" s="1507"/>
      <c r="U17" s="1495">
        <f t="shared" si="0"/>
        <v>0</v>
      </c>
      <c r="V17" s="1495">
        <f t="shared" si="0"/>
        <v>0</v>
      </c>
      <c r="W17" s="1495">
        <f t="shared" si="0"/>
        <v>0</v>
      </c>
      <c r="X17" s="1495">
        <f t="shared" si="1"/>
        <v>0</v>
      </c>
      <c r="Y17" s="1495" t="e">
        <f t="shared" si="2"/>
        <v>#DIV/0!</v>
      </c>
      <c r="Z17" s="1495">
        <f t="shared" si="3"/>
        <v>0</v>
      </c>
      <c r="AA17" s="1506">
        <f t="shared" si="3"/>
        <v>0</v>
      </c>
      <c r="AB17" s="1505"/>
      <c r="AC17" s="1504">
        <f t="shared" si="4"/>
        <v>0</v>
      </c>
      <c r="AD17" s="1503">
        <f t="shared" si="5"/>
        <v>0</v>
      </c>
      <c r="AE17" s="1503">
        <f t="shared" si="6"/>
        <v>0</v>
      </c>
      <c r="AF17" s="1502">
        <f t="shared" si="7"/>
        <v>0</v>
      </c>
    </row>
    <row r="18" spans="1:32" s="1474" customFormat="1" ht="23.25" customHeight="1">
      <c r="A18" s="1515"/>
      <c r="B18" s="1513"/>
      <c r="C18" s="1514"/>
      <c r="D18" s="1514"/>
      <c r="E18" s="1513"/>
      <c r="F18" s="1512">
        <f t="shared" si="10"/>
        <v>0</v>
      </c>
      <c r="G18" s="1508"/>
      <c r="H18" s="1511"/>
      <c r="I18" s="1508"/>
      <c r="J18" s="1508"/>
      <c r="K18" s="1508"/>
      <c r="L18" s="1508"/>
      <c r="M18" s="1510">
        <f t="shared" si="8"/>
        <v>0</v>
      </c>
      <c r="N18" s="1510">
        <f t="shared" si="9"/>
        <v>0</v>
      </c>
      <c r="O18" s="1509"/>
      <c r="P18" s="1509"/>
      <c r="Q18" s="1509"/>
      <c r="R18" s="1508"/>
      <c r="S18" s="1508"/>
      <c r="T18" s="1507"/>
      <c r="U18" s="1495">
        <f t="shared" si="0"/>
        <v>0</v>
      </c>
      <c r="V18" s="1495">
        <f t="shared" si="0"/>
        <v>0</v>
      </c>
      <c r="W18" s="1495">
        <f t="shared" si="0"/>
        <v>0</v>
      </c>
      <c r="X18" s="1495">
        <f t="shared" si="1"/>
        <v>0</v>
      </c>
      <c r="Y18" s="1495" t="e">
        <f t="shared" si="2"/>
        <v>#DIV/0!</v>
      </c>
      <c r="Z18" s="1495">
        <f t="shared" si="3"/>
        <v>0</v>
      </c>
      <c r="AA18" s="1506">
        <f t="shared" si="3"/>
        <v>0</v>
      </c>
      <c r="AB18" s="1505"/>
      <c r="AC18" s="1504">
        <f t="shared" si="4"/>
        <v>0</v>
      </c>
      <c r="AD18" s="1503">
        <f t="shared" si="5"/>
        <v>0</v>
      </c>
      <c r="AE18" s="1503">
        <f t="shared" si="6"/>
        <v>0</v>
      </c>
      <c r="AF18" s="1502">
        <f t="shared" si="7"/>
        <v>0</v>
      </c>
    </row>
    <row r="19" spans="1:32" s="1474" customFormat="1" ht="23.25" customHeight="1">
      <c r="A19" s="1515"/>
      <c r="B19" s="1513"/>
      <c r="C19" s="1514"/>
      <c r="D19" s="1514"/>
      <c r="E19" s="1513"/>
      <c r="F19" s="1512">
        <f t="shared" si="10"/>
        <v>0</v>
      </c>
      <c r="G19" s="1508"/>
      <c r="H19" s="1511"/>
      <c r="I19" s="1508"/>
      <c r="J19" s="1508"/>
      <c r="K19" s="1508"/>
      <c r="L19" s="1508"/>
      <c r="M19" s="1510">
        <f t="shared" si="8"/>
        <v>0</v>
      </c>
      <c r="N19" s="1510">
        <f t="shared" si="9"/>
        <v>0</v>
      </c>
      <c r="O19" s="1509"/>
      <c r="P19" s="1509"/>
      <c r="Q19" s="1509"/>
      <c r="R19" s="1508"/>
      <c r="S19" s="1508"/>
      <c r="T19" s="1507"/>
      <c r="U19" s="1495">
        <f t="shared" si="0"/>
        <v>0</v>
      </c>
      <c r="V19" s="1495">
        <f t="shared" si="0"/>
        <v>0</v>
      </c>
      <c r="W19" s="1495">
        <f t="shared" si="0"/>
        <v>0</v>
      </c>
      <c r="X19" s="1495">
        <f t="shared" si="1"/>
        <v>0</v>
      </c>
      <c r="Y19" s="1495" t="e">
        <f t="shared" si="2"/>
        <v>#DIV/0!</v>
      </c>
      <c r="Z19" s="1495">
        <f t="shared" si="3"/>
        <v>0</v>
      </c>
      <c r="AA19" s="1506">
        <f t="shared" si="3"/>
        <v>0</v>
      </c>
      <c r="AB19" s="1505"/>
      <c r="AC19" s="1504">
        <f t="shared" si="4"/>
        <v>0</v>
      </c>
      <c r="AD19" s="1503">
        <f t="shared" si="5"/>
        <v>0</v>
      </c>
      <c r="AE19" s="1503">
        <f t="shared" si="6"/>
        <v>0</v>
      </c>
      <c r="AF19" s="1502">
        <f t="shared" si="7"/>
        <v>0</v>
      </c>
    </row>
    <row r="20" spans="1:32" s="1474" customFormat="1" ht="23.25" customHeight="1">
      <c r="A20" s="1515"/>
      <c r="B20" s="1513"/>
      <c r="C20" s="1514"/>
      <c r="D20" s="1514"/>
      <c r="E20" s="1513"/>
      <c r="F20" s="1512">
        <f t="shared" si="10"/>
        <v>0</v>
      </c>
      <c r="G20" s="1508"/>
      <c r="H20" s="1511"/>
      <c r="I20" s="1508"/>
      <c r="J20" s="1508"/>
      <c r="K20" s="1508"/>
      <c r="L20" s="1508"/>
      <c r="M20" s="1510">
        <f t="shared" si="8"/>
        <v>0</v>
      </c>
      <c r="N20" s="1510">
        <f t="shared" si="9"/>
        <v>0</v>
      </c>
      <c r="O20" s="1509"/>
      <c r="P20" s="1509"/>
      <c r="Q20" s="1509"/>
      <c r="R20" s="1508"/>
      <c r="S20" s="1508"/>
      <c r="T20" s="1507"/>
      <c r="U20" s="1495">
        <f t="shared" si="0"/>
        <v>0</v>
      </c>
      <c r="V20" s="1495">
        <f t="shared" si="0"/>
        <v>0</v>
      </c>
      <c r="W20" s="1495">
        <f t="shared" si="0"/>
        <v>0</v>
      </c>
      <c r="X20" s="1495">
        <f t="shared" si="1"/>
        <v>0</v>
      </c>
      <c r="Y20" s="1495" t="e">
        <f t="shared" si="2"/>
        <v>#DIV/0!</v>
      </c>
      <c r="Z20" s="1495">
        <f t="shared" si="3"/>
        <v>0</v>
      </c>
      <c r="AA20" s="1506">
        <f t="shared" si="3"/>
        <v>0</v>
      </c>
      <c r="AB20" s="1505"/>
      <c r="AC20" s="1504">
        <f t="shared" si="4"/>
        <v>0</v>
      </c>
      <c r="AD20" s="1503">
        <f t="shared" si="5"/>
        <v>0</v>
      </c>
      <c r="AE20" s="1503">
        <f t="shared" si="6"/>
        <v>0</v>
      </c>
      <c r="AF20" s="1502">
        <f t="shared" si="7"/>
        <v>0</v>
      </c>
    </row>
    <row r="21" spans="1:32" s="1474" customFormat="1" ht="23.25" customHeight="1">
      <c r="A21" s="1515"/>
      <c r="B21" s="1513"/>
      <c r="C21" s="1514"/>
      <c r="D21" s="1514"/>
      <c r="E21" s="1513"/>
      <c r="F21" s="1512">
        <f t="shared" si="10"/>
        <v>0</v>
      </c>
      <c r="G21" s="1508"/>
      <c r="H21" s="1511"/>
      <c r="I21" s="1508"/>
      <c r="J21" s="1508"/>
      <c r="K21" s="1508"/>
      <c r="L21" s="1508"/>
      <c r="M21" s="1510">
        <f t="shared" si="8"/>
        <v>0</v>
      </c>
      <c r="N21" s="1510">
        <f t="shared" si="9"/>
        <v>0</v>
      </c>
      <c r="O21" s="1509"/>
      <c r="P21" s="1509"/>
      <c r="Q21" s="1509"/>
      <c r="R21" s="1508"/>
      <c r="S21" s="1508"/>
      <c r="T21" s="1507"/>
      <c r="U21" s="1495">
        <f t="shared" si="0"/>
        <v>0</v>
      </c>
      <c r="V21" s="1495">
        <f t="shared" si="0"/>
        <v>0</v>
      </c>
      <c r="W21" s="1495">
        <f t="shared" si="0"/>
        <v>0</v>
      </c>
      <c r="X21" s="1495">
        <f t="shared" si="1"/>
        <v>0</v>
      </c>
      <c r="Y21" s="1495" t="e">
        <f t="shared" si="2"/>
        <v>#DIV/0!</v>
      </c>
      <c r="Z21" s="1495">
        <f t="shared" si="3"/>
        <v>0</v>
      </c>
      <c r="AA21" s="1506">
        <f t="shared" si="3"/>
        <v>0</v>
      </c>
      <c r="AB21" s="1505"/>
      <c r="AC21" s="1504">
        <f t="shared" si="4"/>
        <v>0</v>
      </c>
      <c r="AD21" s="1503">
        <f t="shared" si="5"/>
        <v>0</v>
      </c>
      <c r="AE21" s="1503">
        <f t="shared" si="6"/>
        <v>0</v>
      </c>
      <c r="AF21" s="1502">
        <f t="shared" si="7"/>
        <v>0</v>
      </c>
    </row>
    <row r="22" spans="1:32" s="1474" customFormat="1" ht="23.25" customHeight="1">
      <c r="A22" s="1515"/>
      <c r="B22" s="1513"/>
      <c r="C22" s="1514"/>
      <c r="D22" s="1514"/>
      <c r="E22" s="1513"/>
      <c r="F22" s="1512">
        <f t="shared" si="10"/>
        <v>0</v>
      </c>
      <c r="G22" s="1508"/>
      <c r="H22" s="1511"/>
      <c r="I22" s="1508"/>
      <c r="J22" s="1508"/>
      <c r="K22" s="1508"/>
      <c r="L22" s="1508"/>
      <c r="M22" s="1510">
        <f t="shared" si="8"/>
        <v>0</v>
      </c>
      <c r="N22" s="1510">
        <f t="shared" si="9"/>
        <v>0</v>
      </c>
      <c r="O22" s="1509"/>
      <c r="P22" s="1509"/>
      <c r="Q22" s="1509"/>
      <c r="R22" s="1508"/>
      <c r="S22" s="1508"/>
      <c r="T22" s="1507"/>
      <c r="U22" s="1495">
        <f t="shared" si="0"/>
        <v>0</v>
      </c>
      <c r="V22" s="1495">
        <f t="shared" si="0"/>
        <v>0</v>
      </c>
      <c r="W22" s="1495">
        <f t="shared" si="0"/>
        <v>0</v>
      </c>
      <c r="X22" s="1495">
        <f t="shared" si="1"/>
        <v>0</v>
      </c>
      <c r="Y22" s="1495" t="e">
        <f t="shared" si="2"/>
        <v>#DIV/0!</v>
      </c>
      <c r="Z22" s="1495">
        <f t="shared" si="3"/>
        <v>0</v>
      </c>
      <c r="AA22" s="1506">
        <f t="shared" si="3"/>
        <v>0</v>
      </c>
      <c r="AB22" s="1505"/>
      <c r="AC22" s="1504">
        <f t="shared" si="4"/>
        <v>0</v>
      </c>
      <c r="AD22" s="1503">
        <f t="shared" si="5"/>
        <v>0</v>
      </c>
      <c r="AE22" s="1503">
        <f t="shared" si="6"/>
        <v>0</v>
      </c>
      <c r="AF22" s="1502">
        <f t="shared" si="7"/>
        <v>0</v>
      </c>
    </row>
    <row r="23" spans="1:32" s="1474" customFormat="1" ht="23.25" customHeight="1">
      <c r="A23" s="1515"/>
      <c r="B23" s="1513"/>
      <c r="C23" s="1514"/>
      <c r="D23" s="1514"/>
      <c r="E23" s="1513"/>
      <c r="F23" s="1512">
        <f t="shared" si="10"/>
        <v>0</v>
      </c>
      <c r="G23" s="1508"/>
      <c r="H23" s="1511"/>
      <c r="I23" s="1508"/>
      <c r="J23" s="1508"/>
      <c r="K23" s="1508"/>
      <c r="L23" s="1508"/>
      <c r="M23" s="1510">
        <f t="shared" si="8"/>
        <v>0</v>
      </c>
      <c r="N23" s="1510">
        <f t="shared" si="9"/>
        <v>0</v>
      </c>
      <c r="O23" s="1509"/>
      <c r="P23" s="1509"/>
      <c r="Q23" s="1509"/>
      <c r="R23" s="1508"/>
      <c r="S23" s="1508"/>
      <c r="T23" s="1507"/>
      <c r="U23" s="1495">
        <f t="shared" si="0"/>
        <v>0</v>
      </c>
      <c r="V23" s="1495">
        <f t="shared" si="0"/>
        <v>0</v>
      </c>
      <c r="W23" s="1495">
        <f t="shared" si="0"/>
        <v>0</v>
      </c>
      <c r="X23" s="1495">
        <f t="shared" si="1"/>
        <v>0</v>
      </c>
      <c r="Y23" s="1495" t="e">
        <f t="shared" si="2"/>
        <v>#DIV/0!</v>
      </c>
      <c r="Z23" s="1495">
        <f t="shared" si="3"/>
        <v>0</v>
      </c>
      <c r="AA23" s="1506">
        <f t="shared" si="3"/>
        <v>0</v>
      </c>
      <c r="AB23" s="1505"/>
      <c r="AC23" s="1504">
        <f t="shared" si="4"/>
        <v>0</v>
      </c>
      <c r="AD23" s="1503">
        <f t="shared" si="5"/>
        <v>0</v>
      </c>
      <c r="AE23" s="1503">
        <f t="shared" si="6"/>
        <v>0</v>
      </c>
      <c r="AF23" s="1502">
        <f t="shared" si="7"/>
        <v>0</v>
      </c>
    </row>
    <row r="24" spans="1:32" s="1474" customFormat="1" ht="23.25" customHeight="1">
      <c r="A24" s="1515"/>
      <c r="B24" s="1513"/>
      <c r="C24" s="1514"/>
      <c r="D24" s="1514"/>
      <c r="E24" s="1513"/>
      <c r="F24" s="1512">
        <f t="shared" si="10"/>
        <v>0</v>
      </c>
      <c r="G24" s="1508"/>
      <c r="H24" s="1511"/>
      <c r="I24" s="1508"/>
      <c r="J24" s="1508"/>
      <c r="K24" s="1508"/>
      <c r="L24" s="1508"/>
      <c r="M24" s="1510">
        <f t="shared" si="8"/>
        <v>0</v>
      </c>
      <c r="N24" s="1510">
        <f t="shared" si="9"/>
        <v>0</v>
      </c>
      <c r="O24" s="1509"/>
      <c r="P24" s="1509"/>
      <c r="Q24" s="1509"/>
      <c r="R24" s="1508"/>
      <c r="S24" s="1508"/>
      <c r="T24" s="1507"/>
      <c r="U24" s="1495">
        <f t="shared" si="0"/>
        <v>0</v>
      </c>
      <c r="V24" s="1495">
        <f t="shared" si="0"/>
        <v>0</v>
      </c>
      <c r="W24" s="1495">
        <f t="shared" si="0"/>
        <v>0</v>
      </c>
      <c r="X24" s="1495">
        <f t="shared" si="1"/>
        <v>0</v>
      </c>
      <c r="Y24" s="1495" t="e">
        <f t="shared" si="2"/>
        <v>#DIV/0!</v>
      </c>
      <c r="Z24" s="1495">
        <f t="shared" si="3"/>
        <v>0</v>
      </c>
      <c r="AA24" s="1506">
        <f t="shared" si="3"/>
        <v>0</v>
      </c>
      <c r="AB24" s="1505"/>
      <c r="AC24" s="1504">
        <f t="shared" si="4"/>
        <v>0</v>
      </c>
      <c r="AD24" s="1503">
        <f t="shared" si="5"/>
        <v>0</v>
      </c>
      <c r="AE24" s="1503">
        <f t="shared" si="6"/>
        <v>0</v>
      </c>
      <c r="AF24" s="1502">
        <f t="shared" si="7"/>
        <v>0</v>
      </c>
    </row>
    <row r="25" spans="1:32" s="1474" customFormat="1" ht="23.25" customHeight="1">
      <c r="A25" s="1515"/>
      <c r="B25" s="1513"/>
      <c r="C25" s="1514"/>
      <c r="D25" s="1514"/>
      <c r="E25" s="1513"/>
      <c r="F25" s="1512">
        <f t="shared" si="10"/>
        <v>0</v>
      </c>
      <c r="G25" s="1508"/>
      <c r="H25" s="1511"/>
      <c r="I25" s="1508"/>
      <c r="J25" s="1508"/>
      <c r="K25" s="1508"/>
      <c r="L25" s="1508"/>
      <c r="M25" s="1510">
        <f t="shared" si="8"/>
        <v>0</v>
      </c>
      <c r="N25" s="1510">
        <f t="shared" si="9"/>
        <v>0</v>
      </c>
      <c r="O25" s="1509"/>
      <c r="P25" s="1509"/>
      <c r="Q25" s="1509"/>
      <c r="R25" s="1508"/>
      <c r="S25" s="1508"/>
      <c r="T25" s="1507"/>
      <c r="U25" s="1495">
        <f t="shared" si="0"/>
        <v>0</v>
      </c>
      <c r="V25" s="1495">
        <f t="shared" si="0"/>
        <v>0</v>
      </c>
      <c r="W25" s="1495">
        <f t="shared" si="0"/>
        <v>0</v>
      </c>
      <c r="X25" s="1495">
        <f t="shared" si="1"/>
        <v>0</v>
      </c>
      <c r="Y25" s="1495" t="e">
        <f t="shared" si="2"/>
        <v>#DIV/0!</v>
      </c>
      <c r="Z25" s="1495">
        <f t="shared" si="3"/>
        <v>0</v>
      </c>
      <c r="AA25" s="1506">
        <f t="shared" si="3"/>
        <v>0</v>
      </c>
      <c r="AB25" s="1505"/>
      <c r="AC25" s="1504">
        <f t="shared" si="4"/>
        <v>0</v>
      </c>
      <c r="AD25" s="1503">
        <f t="shared" si="5"/>
        <v>0</v>
      </c>
      <c r="AE25" s="1503">
        <f t="shared" si="6"/>
        <v>0</v>
      </c>
      <c r="AF25" s="1502">
        <f t="shared" si="7"/>
        <v>0</v>
      </c>
    </row>
    <row r="26" spans="1:32" s="1474" customFormat="1" ht="23.25" customHeight="1">
      <c r="A26" s="1515"/>
      <c r="B26" s="1513"/>
      <c r="C26" s="1514"/>
      <c r="D26" s="1514"/>
      <c r="E26" s="1513"/>
      <c r="F26" s="1512">
        <f t="shared" si="10"/>
        <v>0</v>
      </c>
      <c r="G26" s="1508"/>
      <c r="H26" s="1511"/>
      <c r="I26" s="1508"/>
      <c r="J26" s="1508"/>
      <c r="K26" s="1508"/>
      <c r="L26" s="1508"/>
      <c r="M26" s="1510">
        <f t="shared" si="8"/>
        <v>0</v>
      </c>
      <c r="N26" s="1510">
        <f t="shared" si="9"/>
        <v>0</v>
      </c>
      <c r="O26" s="1509"/>
      <c r="P26" s="1509"/>
      <c r="Q26" s="1509"/>
      <c r="R26" s="1508"/>
      <c r="S26" s="1508"/>
      <c r="T26" s="1507"/>
      <c r="U26" s="1495">
        <f t="shared" si="0"/>
        <v>0</v>
      </c>
      <c r="V26" s="1495">
        <f t="shared" si="0"/>
        <v>0</v>
      </c>
      <c r="W26" s="1495">
        <f t="shared" si="0"/>
        <v>0</v>
      </c>
      <c r="X26" s="1495">
        <f t="shared" si="1"/>
        <v>0</v>
      </c>
      <c r="Y26" s="1495" t="e">
        <f t="shared" si="2"/>
        <v>#DIV/0!</v>
      </c>
      <c r="Z26" s="1495">
        <f t="shared" si="3"/>
        <v>0</v>
      </c>
      <c r="AA26" s="1506">
        <f t="shared" si="3"/>
        <v>0</v>
      </c>
      <c r="AB26" s="1505"/>
      <c r="AC26" s="1504">
        <f t="shared" si="4"/>
        <v>0</v>
      </c>
      <c r="AD26" s="1503">
        <f t="shared" si="5"/>
        <v>0</v>
      </c>
      <c r="AE26" s="1503">
        <f t="shared" si="6"/>
        <v>0</v>
      </c>
      <c r="AF26" s="1502">
        <f t="shared" si="7"/>
        <v>0</v>
      </c>
    </row>
    <row r="27" spans="1:32" s="1474" customFormat="1" ht="23.25" customHeight="1">
      <c r="A27" s="1515"/>
      <c r="B27" s="1513"/>
      <c r="C27" s="1514"/>
      <c r="D27" s="1514"/>
      <c r="E27" s="1513"/>
      <c r="F27" s="1512">
        <f t="shared" si="10"/>
        <v>0</v>
      </c>
      <c r="G27" s="1508"/>
      <c r="H27" s="1511"/>
      <c r="I27" s="1508"/>
      <c r="J27" s="1508"/>
      <c r="K27" s="1508"/>
      <c r="L27" s="1508"/>
      <c r="M27" s="1510">
        <f t="shared" si="8"/>
        <v>0</v>
      </c>
      <c r="N27" s="1510">
        <f t="shared" si="9"/>
        <v>0</v>
      </c>
      <c r="O27" s="1509"/>
      <c r="P27" s="1509"/>
      <c r="Q27" s="1509"/>
      <c r="R27" s="1508"/>
      <c r="S27" s="1508"/>
      <c r="T27" s="1507"/>
      <c r="U27" s="1495">
        <f>SUM(O27+R27)</f>
        <v>0</v>
      </c>
      <c r="V27" s="1495">
        <f>SUM(P27+S27)</f>
        <v>0</v>
      </c>
      <c r="W27" s="1495">
        <f>SUM(Q27+T27)</f>
        <v>0</v>
      </c>
      <c r="X27" s="1495">
        <f t="shared" si="1"/>
        <v>0</v>
      </c>
      <c r="Y27" s="1495" t="e">
        <f>SUM(U27/M27)*100</f>
        <v>#DIV/0!</v>
      </c>
      <c r="Z27" s="1495">
        <f>SUM(M27-U27)</f>
        <v>0</v>
      </c>
      <c r="AA27" s="1506">
        <f>SUM(N27-V27)</f>
        <v>0</v>
      </c>
      <c r="AB27" s="1505"/>
      <c r="AC27" s="1504">
        <f t="shared" si="4"/>
        <v>0</v>
      </c>
      <c r="AD27" s="1503">
        <f t="shared" si="5"/>
        <v>0</v>
      </c>
      <c r="AE27" s="1503">
        <f t="shared" si="6"/>
        <v>0</v>
      </c>
      <c r="AF27" s="1502">
        <f t="shared" si="7"/>
        <v>0</v>
      </c>
    </row>
    <row r="28" spans="1:32" s="1474" customFormat="1" ht="23.25" customHeight="1">
      <c r="A28" s="1515"/>
      <c r="B28" s="1513"/>
      <c r="C28" s="1514"/>
      <c r="D28" s="1514"/>
      <c r="E28" s="1513"/>
      <c r="F28" s="1512">
        <f t="shared" si="10"/>
        <v>0</v>
      </c>
      <c r="G28" s="1508"/>
      <c r="H28" s="1511"/>
      <c r="I28" s="1508"/>
      <c r="J28" s="1508"/>
      <c r="K28" s="1508"/>
      <c r="L28" s="1508"/>
      <c r="M28" s="1510">
        <f t="shared" si="8"/>
        <v>0</v>
      </c>
      <c r="N28" s="1510">
        <f t="shared" si="9"/>
        <v>0</v>
      </c>
      <c r="O28" s="1509"/>
      <c r="P28" s="1509"/>
      <c r="Q28" s="1509"/>
      <c r="R28" s="1508"/>
      <c r="S28" s="1508"/>
      <c r="T28" s="1507"/>
      <c r="U28" s="1495">
        <f t="shared" si="0"/>
        <v>0</v>
      </c>
      <c r="V28" s="1495">
        <f t="shared" si="0"/>
        <v>0</v>
      </c>
      <c r="W28" s="1495">
        <f t="shared" si="0"/>
        <v>0</v>
      </c>
      <c r="X28" s="1495">
        <f t="shared" si="1"/>
        <v>0</v>
      </c>
      <c r="Y28" s="1495" t="e">
        <f t="shared" si="2"/>
        <v>#DIV/0!</v>
      </c>
      <c r="Z28" s="1495">
        <f t="shared" si="3"/>
        <v>0</v>
      </c>
      <c r="AA28" s="1506">
        <f t="shared" si="3"/>
        <v>0</v>
      </c>
      <c r="AB28" s="1505"/>
      <c r="AC28" s="1504">
        <f t="shared" si="4"/>
        <v>0</v>
      </c>
      <c r="AD28" s="1503">
        <f t="shared" si="5"/>
        <v>0</v>
      </c>
      <c r="AE28" s="1503">
        <f t="shared" si="6"/>
        <v>0</v>
      </c>
      <c r="AF28" s="1502">
        <f t="shared" si="7"/>
        <v>0</v>
      </c>
    </row>
    <row r="29" spans="1:32" s="1474" customFormat="1" ht="23.25" customHeight="1">
      <c r="A29" s="1515"/>
      <c r="B29" s="1513"/>
      <c r="C29" s="1514"/>
      <c r="D29" s="1514"/>
      <c r="E29" s="1513"/>
      <c r="F29" s="1512">
        <f t="shared" si="10"/>
        <v>0</v>
      </c>
      <c r="G29" s="1508"/>
      <c r="H29" s="1511"/>
      <c r="I29" s="1508"/>
      <c r="J29" s="1508"/>
      <c r="K29" s="1508"/>
      <c r="L29" s="1508"/>
      <c r="M29" s="1510">
        <f t="shared" si="8"/>
        <v>0</v>
      </c>
      <c r="N29" s="1510">
        <f t="shared" si="9"/>
        <v>0</v>
      </c>
      <c r="O29" s="1509"/>
      <c r="P29" s="1509"/>
      <c r="Q29" s="1509"/>
      <c r="R29" s="1508"/>
      <c r="S29" s="1508"/>
      <c r="T29" s="1507"/>
      <c r="U29" s="1495">
        <f t="shared" si="0"/>
        <v>0</v>
      </c>
      <c r="V29" s="1495">
        <f t="shared" si="0"/>
        <v>0</v>
      </c>
      <c r="W29" s="1495">
        <f t="shared" si="0"/>
        <v>0</v>
      </c>
      <c r="X29" s="1495">
        <f t="shared" si="1"/>
        <v>0</v>
      </c>
      <c r="Y29" s="1495" t="e">
        <f t="shared" si="2"/>
        <v>#DIV/0!</v>
      </c>
      <c r="Z29" s="1495">
        <f t="shared" si="3"/>
        <v>0</v>
      </c>
      <c r="AA29" s="1506">
        <f t="shared" si="3"/>
        <v>0</v>
      </c>
      <c r="AB29" s="1505"/>
      <c r="AC29" s="1504">
        <f t="shared" si="4"/>
        <v>0</v>
      </c>
      <c r="AD29" s="1503">
        <f t="shared" si="5"/>
        <v>0</v>
      </c>
      <c r="AE29" s="1503">
        <f t="shared" si="6"/>
        <v>0</v>
      </c>
      <c r="AF29" s="1502">
        <f t="shared" si="7"/>
        <v>0</v>
      </c>
    </row>
    <row r="30" spans="1:32" s="1474" customFormat="1" ht="23.25" customHeight="1">
      <c r="A30" s="1515"/>
      <c r="B30" s="1513"/>
      <c r="C30" s="1514"/>
      <c r="D30" s="1514"/>
      <c r="E30" s="1513"/>
      <c r="F30" s="1512">
        <f t="shared" si="10"/>
        <v>0</v>
      </c>
      <c r="G30" s="1508"/>
      <c r="H30" s="1511"/>
      <c r="I30" s="1508"/>
      <c r="J30" s="1508"/>
      <c r="K30" s="1508"/>
      <c r="L30" s="1508"/>
      <c r="M30" s="1510">
        <f t="shared" si="8"/>
        <v>0</v>
      </c>
      <c r="N30" s="1510">
        <f t="shared" si="9"/>
        <v>0</v>
      </c>
      <c r="O30" s="1509"/>
      <c r="P30" s="1509"/>
      <c r="Q30" s="1509"/>
      <c r="R30" s="1508"/>
      <c r="S30" s="1508"/>
      <c r="T30" s="1507"/>
      <c r="U30" s="1495">
        <f t="shared" si="0"/>
        <v>0</v>
      </c>
      <c r="V30" s="1495">
        <f t="shared" si="0"/>
        <v>0</v>
      </c>
      <c r="W30" s="1495">
        <f t="shared" si="0"/>
        <v>0</v>
      </c>
      <c r="X30" s="1495">
        <f t="shared" si="1"/>
        <v>0</v>
      </c>
      <c r="Y30" s="1495" t="e">
        <f t="shared" si="2"/>
        <v>#DIV/0!</v>
      </c>
      <c r="Z30" s="1495">
        <f t="shared" si="3"/>
        <v>0</v>
      </c>
      <c r="AA30" s="1506">
        <f t="shared" si="3"/>
        <v>0</v>
      </c>
      <c r="AB30" s="1505"/>
      <c r="AC30" s="1504">
        <f t="shared" si="4"/>
        <v>0</v>
      </c>
      <c r="AD30" s="1503">
        <f t="shared" si="5"/>
        <v>0</v>
      </c>
      <c r="AE30" s="1503">
        <f t="shared" si="6"/>
        <v>0</v>
      </c>
      <c r="AF30" s="1502">
        <f t="shared" si="7"/>
        <v>0</v>
      </c>
    </row>
    <row r="31" spans="1:32" s="1474" customFormat="1" ht="23.25" customHeight="1">
      <c r="A31" s="1515"/>
      <c r="B31" s="1513"/>
      <c r="C31" s="1514"/>
      <c r="D31" s="1514"/>
      <c r="E31" s="1513"/>
      <c r="F31" s="1512">
        <f t="shared" si="10"/>
        <v>0</v>
      </c>
      <c r="G31" s="1508"/>
      <c r="H31" s="1511"/>
      <c r="I31" s="1508"/>
      <c r="J31" s="1508"/>
      <c r="K31" s="1508"/>
      <c r="L31" s="1508"/>
      <c r="M31" s="1510">
        <f t="shared" si="8"/>
        <v>0</v>
      </c>
      <c r="N31" s="1510">
        <f t="shared" si="9"/>
        <v>0</v>
      </c>
      <c r="O31" s="1509"/>
      <c r="P31" s="1509"/>
      <c r="Q31" s="1509"/>
      <c r="R31" s="1508"/>
      <c r="S31" s="1508"/>
      <c r="T31" s="1507"/>
      <c r="U31" s="1495">
        <f t="shared" si="0"/>
        <v>0</v>
      </c>
      <c r="V31" s="1495">
        <f t="shared" si="0"/>
        <v>0</v>
      </c>
      <c r="W31" s="1495">
        <f t="shared" si="0"/>
        <v>0</v>
      </c>
      <c r="X31" s="1495">
        <f t="shared" si="1"/>
        <v>0</v>
      </c>
      <c r="Y31" s="1495" t="e">
        <f t="shared" si="2"/>
        <v>#DIV/0!</v>
      </c>
      <c r="Z31" s="1495">
        <f t="shared" si="3"/>
        <v>0</v>
      </c>
      <c r="AA31" s="1506">
        <f t="shared" si="3"/>
        <v>0</v>
      </c>
      <c r="AB31" s="1505"/>
      <c r="AC31" s="1504">
        <f t="shared" si="4"/>
        <v>0</v>
      </c>
      <c r="AD31" s="1503">
        <f t="shared" si="5"/>
        <v>0</v>
      </c>
      <c r="AE31" s="1503">
        <f t="shared" si="6"/>
        <v>0</v>
      </c>
      <c r="AF31" s="1502">
        <f t="shared" si="7"/>
        <v>0</v>
      </c>
    </row>
    <row r="32" spans="1:32" s="1474" customFormat="1" ht="23.25" customHeight="1">
      <c r="A32" s="1515"/>
      <c r="B32" s="1513"/>
      <c r="C32" s="1514"/>
      <c r="D32" s="1514"/>
      <c r="E32" s="1513"/>
      <c r="F32" s="1512">
        <f t="shared" si="10"/>
        <v>0</v>
      </c>
      <c r="G32" s="1508"/>
      <c r="H32" s="1511"/>
      <c r="I32" s="1508"/>
      <c r="J32" s="1508"/>
      <c r="K32" s="1508"/>
      <c r="L32" s="1508"/>
      <c r="M32" s="1510">
        <f t="shared" si="8"/>
        <v>0</v>
      </c>
      <c r="N32" s="1510">
        <f t="shared" si="9"/>
        <v>0</v>
      </c>
      <c r="O32" s="1509"/>
      <c r="P32" s="1509"/>
      <c r="Q32" s="1509"/>
      <c r="R32" s="1508"/>
      <c r="S32" s="1508"/>
      <c r="T32" s="1507"/>
      <c r="U32" s="1495">
        <f t="shared" si="0"/>
        <v>0</v>
      </c>
      <c r="V32" s="1495">
        <f t="shared" si="0"/>
        <v>0</v>
      </c>
      <c r="W32" s="1495">
        <f t="shared" si="0"/>
        <v>0</v>
      </c>
      <c r="X32" s="1495">
        <f t="shared" si="1"/>
        <v>0</v>
      </c>
      <c r="Y32" s="1495" t="e">
        <f t="shared" si="2"/>
        <v>#DIV/0!</v>
      </c>
      <c r="Z32" s="1495">
        <f t="shared" si="3"/>
        <v>0</v>
      </c>
      <c r="AA32" s="1506">
        <f t="shared" si="3"/>
        <v>0</v>
      </c>
      <c r="AB32" s="1505"/>
      <c r="AC32" s="1504">
        <f t="shared" si="4"/>
        <v>0</v>
      </c>
      <c r="AD32" s="1503">
        <f t="shared" si="5"/>
        <v>0</v>
      </c>
      <c r="AE32" s="1503">
        <f t="shared" si="6"/>
        <v>0</v>
      </c>
      <c r="AF32" s="1502">
        <f t="shared" si="7"/>
        <v>0</v>
      </c>
    </row>
    <row r="33" spans="1:32" s="1474" customFormat="1" ht="23.25" customHeight="1">
      <c r="A33" s="1515"/>
      <c r="B33" s="1513"/>
      <c r="C33" s="1514"/>
      <c r="D33" s="1514"/>
      <c r="E33" s="1513"/>
      <c r="F33" s="1512">
        <f t="shared" si="10"/>
        <v>0</v>
      </c>
      <c r="G33" s="1508"/>
      <c r="H33" s="1511"/>
      <c r="I33" s="1508"/>
      <c r="J33" s="1508"/>
      <c r="K33" s="1508"/>
      <c r="L33" s="1508"/>
      <c r="M33" s="1510">
        <f t="shared" si="8"/>
        <v>0</v>
      </c>
      <c r="N33" s="1510">
        <f t="shared" si="9"/>
        <v>0</v>
      </c>
      <c r="O33" s="1509"/>
      <c r="P33" s="1509"/>
      <c r="Q33" s="1509"/>
      <c r="R33" s="1508"/>
      <c r="S33" s="1508"/>
      <c r="T33" s="1507"/>
      <c r="U33" s="1495">
        <f t="shared" si="0"/>
        <v>0</v>
      </c>
      <c r="V33" s="1495">
        <f t="shared" si="0"/>
        <v>0</v>
      </c>
      <c r="W33" s="1495">
        <f t="shared" si="0"/>
        <v>0</v>
      </c>
      <c r="X33" s="1495">
        <f t="shared" si="1"/>
        <v>0</v>
      </c>
      <c r="Y33" s="1495" t="e">
        <f t="shared" si="2"/>
        <v>#DIV/0!</v>
      </c>
      <c r="Z33" s="1495">
        <f t="shared" si="3"/>
        <v>0</v>
      </c>
      <c r="AA33" s="1506">
        <f t="shared" si="3"/>
        <v>0</v>
      </c>
      <c r="AB33" s="1505"/>
      <c r="AC33" s="1504">
        <f t="shared" si="4"/>
        <v>0</v>
      </c>
      <c r="AD33" s="1503">
        <f t="shared" si="5"/>
        <v>0</v>
      </c>
      <c r="AE33" s="1503">
        <f t="shared" si="6"/>
        <v>0</v>
      </c>
      <c r="AF33" s="1502">
        <f t="shared" si="7"/>
        <v>0</v>
      </c>
    </row>
    <row r="34" spans="1:32" s="1474" customFormat="1" ht="23.25" customHeight="1">
      <c r="A34" s="1515"/>
      <c r="B34" s="1513"/>
      <c r="C34" s="1514"/>
      <c r="D34" s="1514"/>
      <c r="E34" s="1513"/>
      <c r="F34" s="1512">
        <f t="shared" si="10"/>
        <v>0</v>
      </c>
      <c r="G34" s="1508"/>
      <c r="H34" s="1511"/>
      <c r="I34" s="1508"/>
      <c r="J34" s="1508"/>
      <c r="K34" s="1508"/>
      <c r="L34" s="1508"/>
      <c r="M34" s="1510">
        <f t="shared" si="8"/>
        <v>0</v>
      </c>
      <c r="N34" s="1510">
        <f t="shared" si="9"/>
        <v>0</v>
      </c>
      <c r="O34" s="1509"/>
      <c r="P34" s="1509"/>
      <c r="Q34" s="1509"/>
      <c r="R34" s="1508"/>
      <c r="S34" s="1508"/>
      <c r="T34" s="1507"/>
      <c r="U34" s="1495">
        <f t="shared" si="0"/>
        <v>0</v>
      </c>
      <c r="V34" s="1495">
        <f t="shared" si="0"/>
        <v>0</v>
      </c>
      <c r="W34" s="1495">
        <f t="shared" si="0"/>
        <v>0</v>
      </c>
      <c r="X34" s="1495">
        <f t="shared" si="1"/>
        <v>0</v>
      </c>
      <c r="Y34" s="1495" t="e">
        <f t="shared" si="2"/>
        <v>#DIV/0!</v>
      </c>
      <c r="Z34" s="1495">
        <f t="shared" si="3"/>
        <v>0</v>
      </c>
      <c r="AA34" s="1506">
        <f t="shared" si="3"/>
        <v>0</v>
      </c>
      <c r="AB34" s="1505"/>
      <c r="AC34" s="1504">
        <f t="shared" si="4"/>
        <v>0</v>
      </c>
      <c r="AD34" s="1503">
        <f t="shared" si="5"/>
        <v>0</v>
      </c>
      <c r="AE34" s="1503">
        <f t="shared" si="6"/>
        <v>0</v>
      </c>
      <c r="AF34" s="1502">
        <f t="shared" si="7"/>
        <v>0</v>
      </c>
    </row>
    <row r="35" spans="1:32" s="1474" customFormat="1" ht="23.25" customHeight="1">
      <c r="A35" s="1515"/>
      <c r="B35" s="1513"/>
      <c r="C35" s="1514"/>
      <c r="D35" s="1514"/>
      <c r="E35" s="1513"/>
      <c r="F35" s="1512">
        <f t="shared" si="10"/>
        <v>0</v>
      </c>
      <c r="G35" s="1508"/>
      <c r="H35" s="1511"/>
      <c r="I35" s="1508"/>
      <c r="J35" s="1508"/>
      <c r="K35" s="1508"/>
      <c r="L35" s="1508"/>
      <c r="M35" s="1510">
        <f t="shared" si="8"/>
        <v>0</v>
      </c>
      <c r="N35" s="1510">
        <f t="shared" si="9"/>
        <v>0</v>
      </c>
      <c r="O35" s="1509"/>
      <c r="P35" s="1509"/>
      <c r="Q35" s="1509"/>
      <c r="R35" s="1508"/>
      <c r="S35" s="1508"/>
      <c r="T35" s="1507"/>
      <c r="U35" s="1495">
        <f t="shared" si="0"/>
        <v>0</v>
      </c>
      <c r="V35" s="1495">
        <f t="shared" si="0"/>
        <v>0</v>
      </c>
      <c r="W35" s="1495">
        <f t="shared" si="0"/>
        <v>0</v>
      </c>
      <c r="X35" s="1495">
        <f t="shared" si="1"/>
        <v>0</v>
      </c>
      <c r="Y35" s="1495" t="e">
        <f t="shared" si="2"/>
        <v>#DIV/0!</v>
      </c>
      <c r="Z35" s="1495">
        <f t="shared" si="3"/>
        <v>0</v>
      </c>
      <c r="AA35" s="1506">
        <f t="shared" si="3"/>
        <v>0</v>
      </c>
      <c r="AB35" s="1505"/>
      <c r="AC35" s="1504">
        <f t="shared" si="4"/>
        <v>0</v>
      </c>
      <c r="AD35" s="1503">
        <f t="shared" si="5"/>
        <v>0</v>
      </c>
      <c r="AE35" s="1503">
        <f t="shared" si="6"/>
        <v>0</v>
      </c>
      <c r="AF35" s="1502">
        <f t="shared" si="7"/>
        <v>0</v>
      </c>
    </row>
    <row r="36" spans="1:32" s="1474" customFormat="1" ht="23.25" customHeight="1">
      <c r="A36" s="1515"/>
      <c r="B36" s="1513"/>
      <c r="C36" s="1514"/>
      <c r="D36" s="1514"/>
      <c r="E36" s="1513"/>
      <c r="F36" s="1512">
        <f t="shared" si="10"/>
        <v>0</v>
      </c>
      <c r="G36" s="1508"/>
      <c r="H36" s="1511"/>
      <c r="I36" s="1508"/>
      <c r="J36" s="1508"/>
      <c r="K36" s="1508"/>
      <c r="L36" s="1508"/>
      <c r="M36" s="1510">
        <f t="shared" si="8"/>
        <v>0</v>
      </c>
      <c r="N36" s="1510">
        <f t="shared" si="9"/>
        <v>0</v>
      </c>
      <c r="O36" s="1509"/>
      <c r="P36" s="1509"/>
      <c r="Q36" s="1509"/>
      <c r="R36" s="1508"/>
      <c r="S36" s="1508"/>
      <c r="T36" s="1507"/>
      <c r="U36" s="1495">
        <f t="shared" si="0"/>
        <v>0</v>
      </c>
      <c r="V36" s="1495">
        <f t="shared" si="0"/>
        <v>0</v>
      </c>
      <c r="W36" s="1495">
        <f t="shared" si="0"/>
        <v>0</v>
      </c>
      <c r="X36" s="1495">
        <f t="shared" si="1"/>
        <v>0</v>
      </c>
      <c r="Y36" s="1495" t="e">
        <f t="shared" si="2"/>
        <v>#DIV/0!</v>
      </c>
      <c r="Z36" s="1495">
        <f t="shared" si="3"/>
        <v>0</v>
      </c>
      <c r="AA36" s="1506">
        <f t="shared" si="3"/>
        <v>0</v>
      </c>
      <c r="AB36" s="1505"/>
      <c r="AC36" s="1504">
        <f t="shared" si="4"/>
        <v>0</v>
      </c>
      <c r="AD36" s="1503">
        <f t="shared" si="5"/>
        <v>0</v>
      </c>
      <c r="AE36" s="1503">
        <f t="shared" si="6"/>
        <v>0</v>
      </c>
      <c r="AF36" s="1502">
        <f t="shared" si="7"/>
        <v>0</v>
      </c>
    </row>
    <row r="37" spans="1:32" s="1474" customFormat="1" ht="23.25" customHeight="1">
      <c r="A37" s="1515"/>
      <c r="B37" s="1513"/>
      <c r="C37" s="1514"/>
      <c r="D37" s="1514"/>
      <c r="E37" s="1513"/>
      <c r="F37" s="1512">
        <f t="shared" si="10"/>
        <v>0</v>
      </c>
      <c r="G37" s="1508"/>
      <c r="H37" s="1511"/>
      <c r="I37" s="1508"/>
      <c r="J37" s="1508"/>
      <c r="K37" s="1508"/>
      <c r="L37" s="1508"/>
      <c r="M37" s="1510">
        <f t="shared" si="8"/>
        <v>0</v>
      </c>
      <c r="N37" s="1510">
        <f t="shared" si="9"/>
        <v>0</v>
      </c>
      <c r="O37" s="1509"/>
      <c r="P37" s="1509"/>
      <c r="Q37" s="1509"/>
      <c r="R37" s="1508"/>
      <c r="S37" s="1508"/>
      <c r="T37" s="1507"/>
      <c r="U37" s="1495">
        <f t="shared" si="0"/>
        <v>0</v>
      </c>
      <c r="V37" s="1495">
        <f t="shared" si="0"/>
        <v>0</v>
      </c>
      <c r="W37" s="1495">
        <f t="shared" si="0"/>
        <v>0</v>
      </c>
      <c r="X37" s="1495">
        <f t="shared" si="1"/>
        <v>0</v>
      </c>
      <c r="Y37" s="1495" t="e">
        <f t="shared" si="2"/>
        <v>#DIV/0!</v>
      </c>
      <c r="Z37" s="1495">
        <f t="shared" si="3"/>
        <v>0</v>
      </c>
      <c r="AA37" s="1506">
        <f t="shared" si="3"/>
        <v>0</v>
      </c>
      <c r="AB37" s="1505"/>
      <c r="AC37" s="1504">
        <f t="shared" si="4"/>
        <v>0</v>
      </c>
      <c r="AD37" s="1503">
        <f t="shared" si="5"/>
        <v>0</v>
      </c>
      <c r="AE37" s="1503">
        <f t="shared" si="6"/>
        <v>0</v>
      </c>
      <c r="AF37" s="1502">
        <f t="shared" si="7"/>
        <v>0</v>
      </c>
    </row>
    <row r="38" spans="1:32" s="1474" customFormat="1" ht="23.25" customHeight="1">
      <c r="A38" s="1515"/>
      <c r="B38" s="1513"/>
      <c r="C38" s="1514"/>
      <c r="D38" s="1514"/>
      <c r="E38" s="1513"/>
      <c r="F38" s="1512">
        <f t="shared" si="10"/>
        <v>0</v>
      </c>
      <c r="G38" s="1508"/>
      <c r="H38" s="1511"/>
      <c r="I38" s="1508"/>
      <c r="J38" s="1508"/>
      <c r="K38" s="1508"/>
      <c r="L38" s="1508"/>
      <c r="M38" s="1510">
        <f t="shared" si="8"/>
        <v>0</v>
      </c>
      <c r="N38" s="1510">
        <f t="shared" si="9"/>
        <v>0</v>
      </c>
      <c r="O38" s="1509"/>
      <c r="P38" s="1509"/>
      <c r="Q38" s="1509"/>
      <c r="R38" s="1508"/>
      <c r="S38" s="1508"/>
      <c r="T38" s="1507"/>
      <c r="U38" s="1495">
        <f t="shared" si="0"/>
        <v>0</v>
      </c>
      <c r="V38" s="1495">
        <f t="shared" si="0"/>
        <v>0</v>
      </c>
      <c r="W38" s="1495">
        <f t="shared" si="0"/>
        <v>0</v>
      </c>
      <c r="X38" s="1495">
        <f t="shared" si="1"/>
        <v>0</v>
      </c>
      <c r="Y38" s="1495" t="e">
        <f>SUM(U38/M38)*100</f>
        <v>#DIV/0!</v>
      </c>
      <c r="Z38" s="1495">
        <f t="shared" si="3"/>
        <v>0</v>
      </c>
      <c r="AA38" s="1506">
        <f t="shared" si="3"/>
        <v>0</v>
      </c>
      <c r="AB38" s="1505"/>
      <c r="AC38" s="1504">
        <f t="shared" si="4"/>
        <v>0</v>
      </c>
      <c r="AD38" s="1503">
        <f t="shared" si="5"/>
        <v>0</v>
      </c>
      <c r="AE38" s="1503">
        <f t="shared" si="6"/>
        <v>0</v>
      </c>
      <c r="AF38" s="1502">
        <f t="shared" si="7"/>
        <v>0</v>
      </c>
    </row>
    <row r="39" spans="1:32" s="1474" customFormat="1" ht="23.25" customHeight="1">
      <c r="A39" s="1515"/>
      <c r="B39" s="1513"/>
      <c r="C39" s="1514"/>
      <c r="D39" s="1514"/>
      <c r="E39" s="1513"/>
      <c r="F39" s="1512">
        <f t="shared" si="10"/>
        <v>0</v>
      </c>
      <c r="G39" s="1508"/>
      <c r="H39" s="1511"/>
      <c r="I39" s="1508"/>
      <c r="J39" s="1508"/>
      <c r="K39" s="1508"/>
      <c r="L39" s="1508"/>
      <c r="M39" s="1510">
        <f t="shared" si="8"/>
        <v>0</v>
      </c>
      <c r="N39" s="1510">
        <f t="shared" si="9"/>
        <v>0</v>
      </c>
      <c r="O39" s="1509"/>
      <c r="P39" s="1509"/>
      <c r="Q39" s="1509"/>
      <c r="R39" s="1508"/>
      <c r="S39" s="1508"/>
      <c r="T39" s="1507"/>
      <c r="U39" s="1495">
        <f t="shared" si="0"/>
        <v>0</v>
      </c>
      <c r="V39" s="1495">
        <f t="shared" si="0"/>
        <v>0</v>
      </c>
      <c r="W39" s="1495">
        <f t="shared" si="0"/>
        <v>0</v>
      </c>
      <c r="X39" s="1495">
        <f t="shared" si="1"/>
        <v>0</v>
      </c>
      <c r="Y39" s="1495" t="e">
        <f>SUM(U39/M39)*100</f>
        <v>#DIV/0!</v>
      </c>
      <c r="Z39" s="1495">
        <f t="shared" si="3"/>
        <v>0</v>
      </c>
      <c r="AA39" s="1506">
        <f t="shared" si="3"/>
        <v>0</v>
      </c>
      <c r="AB39" s="1505"/>
      <c r="AC39" s="1504">
        <f t="shared" si="4"/>
        <v>0</v>
      </c>
      <c r="AD39" s="1503">
        <f t="shared" si="5"/>
        <v>0</v>
      </c>
      <c r="AE39" s="1503">
        <f t="shared" si="6"/>
        <v>0</v>
      </c>
      <c r="AF39" s="1502">
        <f t="shared" si="7"/>
        <v>0</v>
      </c>
    </row>
    <row r="40" spans="1:32" s="1474" customFormat="1" ht="23.25" customHeight="1">
      <c r="A40" s="1515"/>
      <c r="B40" s="1513"/>
      <c r="C40" s="1514"/>
      <c r="D40" s="1514"/>
      <c r="E40" s="1513"/>
      <c r="F40" s="1512">
        <f t="shared" si="10"/>
        <v>0</v>
      </c>
      <c r="G40" s="1508"/>
      <c r="H40" s="1511"/>
      <c r="I40" s="1508"/>
      <c r="J40" s="1508"/>
      <c r="K40" s="1508"/>
      <c r="L40" s="1508"/>
      <c r="M40" s="1510">
        <f t="shared" si="8"/>
        <v>0</v>
      </c>
      <c r="N40" s="1510">
        <f t="shared" si="9"/>
        <v>0</v>
      </c>
      <c r="O40" s="1509"/>
      <c r="P40" s="1509"/>
      <c r="Q40" s="1509"/>
      <c r="R40" s="1508"/>
      <c r="S40" s="1508"/>
      <c r="T40" s="1507"/>
      <c r="U40" s="1495">
        <f t="shared" si="0"/>
        <v>0</v>
      </c>
      <c r="V40" s="1495">
        <f t="shared" si="0"/>
        <v>0</v>
      </c>
      <c r="W40" s="1495">
        <f t="shared" si="0"/>
        <v>0</v>
      </c>
      <c r="X40" s="1495">
        <f t="shared" si="1"/>
        <v>0</v>
      </c>
      <c r="Y40" s="1495" t="e">
        <f>SUM(U40/M40)*100</f>
        <v>#DIV/0!</v>
      </c>
      <c r="Z40" s="1495">
        <f t="shared" si="3"/>
        <v>0</v>
      </c>
      <c r="AA40" s="1506">
        <f t="shared" si="3"/>
        <v>0</v>
      </c>
      <c r="AB40" s="1505"/>
      <c r="AC40" s="1504">
        <f t="shared" si="4"/>
        <v>0</v>
      </c>
      <c r="AD40" s="1503">
        <f t="shared" si="5"/>
        <v>0</v>
      </c>
      <c r="AE40" s="1503">
        <f t="shared" si="6"/>
        <v>0</v>
      </c>
      <c r="AF40" s="1502">
        <f t="shared" si="7"/>
        <v>0</v>
      </c>
    </row>
    <row r="41" spans="1:32" s="1474" customFormat="1" ht="23.25" customHeight="1">
      <c r="A41" s="1515"/>
      <c r="B41" s="1513"/>
      <c r="C41" s="1514"/>
      <c r="D41" s="1514"/>
      <c r="E41" s="1513"/>
      <c r="F41" s="1512">
        <f t="shared" si="10"/>
        <v>0</v>
      </c>
      <c r="G41" s="1508"/>
      <c r="H41" s="1511"/>
      <c r="I41" s="1508"/>
      <c r="J41" s="1508"/>
      <c r="K41" s="1508"/>
      <c r="L41" s="1508"/>
      <c r="M41" s="1510">
        <f t="shared" si="8"/>
        <v>0</v>
      </c>
      <c r="N41" s="1510">
        <f t="shared" si="9"/>
        <v>0</v>
      </c>
      <c r="O41" s="1509"/>
      <c r="P41" s="1509"/>
      <c r="Q41" s="1509"/>
      <c r="R41" s="1508"/>
      <c r="S41" s="1508"/>
      <c r="T41" s="1507"/>
      <c r="U41" s="1495">
        <f t="shared" si="0"/>
        <v>0</v>
      </c>
      <c r="V41" s="1495">
        <f t="shared" si="0"/>
        <v>0</v>
      </c>
      <c r="W41" s="1495">
        <f t="shared" si="0"/>
        <v>0</v>
      </c>
      <c r="X41" s="1495">
        <f t="shared" si="1"/>
        <v>0</v>
      </c>
      <c r="Y41" s="1495" t="e">
        <f>SUM(U41/M41)*100</f>
        <v>#DIV/0!</v>
      </c>
      <c r="Z41" s="1495">
        <f t="shared" si="3"/>
        <v>0</v>
      </c>
      <c r="AA41" s="1506">
        <f t="shared" si="3"/>
        <v>0</v>
      </c>
      <c r="AB41" s="1505"/>
      <c r="AC41" s="1504">
        <f t="shared" si="4"/>
        <v>0</v>
      </c>
      <c r="AD41" s="1503">
        <f t="shared" si="5"/>
        <v>0</v>
      </c>
      <c r="AE41" s="1503">
        <f t="shared" si="6"/>
        <v>0</v>
      </c>
      <c r="AF41" s="1502">
        <f t="shared" si="7"/>
        <v>0</v>
      </c>
    </row>
    <row r="42" spans="1:32" s="1474" customFormat="1" ht="23.25" customHeight="1">
      <c r="A42" s="1515"/>
      <c r="B42" s="1513"/>
      <c r="C42" s="1514"/>
      <c r="D42" s="1514"/>
      <c r="E42" s="1513"/>
      <c r="F42" s="1512">
        <f t="shared" si="10"/>
        <v>0</v>
      </c>
      <c r="G42" s="1508"/>
      <c r="H42" s="1511"/>
      <c r="I42" s="1508"/>
      <c r="J42" s="1508"/>
      <c r="K42" s="1508"/>
      <c r="L42" s="1508"/>
      <c r="M42" s="1510">
        <f t="shared" si="8"/>
        <v>0</v>
      </c>
      <c r="N42" s="1510">
        <f t="shared" si="9"/>
        <v>0</v>
      </c>
      <c r="O42" s="1509"/>
      <c r="P42" s="1509"/>
      <c r="Q42" s="1509"/>
      <c r="R42" s="1508"/>
      <c r="S42" s="1508"/>
      <c r="T42" s="1507"/>
      <c r="U42" s="1495">
        <f t="shared" si="0"/>
        <v>0</v>
      </c>
      <c r="V42" s="1495">
        <f t="shared" si="0"/>
        <v>0</v>
      </c>
      <c r="W42" s="1495">
        <f t="shared" si="0"/>
        <v>0</v>
      </c>
      <c r="X42" s="1495">
        <f t="shared" si="1"/>
        <v>0</v>
      </c>
      <c r="Y42" s="1495" t="e">
        <f t="shared" si="2"/>
        <v>#DIV/0!</v>
      </c>
      <c r="Z42" s="1495">
        <f t="shared" si="3"/>
        <v>0</v>
      </c>
      <c r="AA42" s="1506">
        <f t="shared" si="3"/>
        <v>0</v>
      </c>
      <c r="AB42" s="1505"/>
      <c r="AC42" s="1504">
        <f t="shared" si="4"/>
        <v>0</v>
      </c>
      <c r="AD42" s="1503">
        <f t="shared" si="5"/>
        <v>0</v>
      </c>
      <c r="AE42" s="1503">
        <f t="shared" si="6"/>
        <v>0</v>
      </c>
      <c r="AF42" s="1502">
        <f t="shared" si="7"/>
        <v>0</v>
      </c>
    </row>
    <row r="43" spans="1:32" s="1474" customFormat="1" ht="23.25" customHeight="1">
      <c r="A43" s="1515"/>
      <c r="B43" s="1513"/>
      <c r="C43" s="1514"/>
      <c r="D43" s="1514"/>
      <c r="E43" s="1513"/>
      <c r="F43" s="1512">
        <f t="shared" si="10"/>
        <v>0</v>
      </c>
      <c r="G43" s="1508"/>
      <c r="H43" s="1511"/>
      <c r="I43" s="1508"/>
      <c r="J43" s="1508"/>
      <c r="K43" s="1508"/>
      <c r="L43" s="1508"/>
      <c r="M43" s="1510">
        <f t="shared" si="8"/>
        <v>0</v>
      </c>
      <c r="N43" s="1510">
        <f t="shared" si="9"/>
        <v>0</v>
      </c>
      <c r="O43" s="1509"/>
      <c r="P43" s="1509"/>
      <c r="Q43" s="1509"/>
      <c r="R43" s="1508"/>
      <c r="S43" s="1508"/>
      <c r="T43" s="1507"/>
      <c r="U43" s="1495">
        <f t="shared" si="0"/>
        <v>0</v>
      </c>
      <c r="V43" s="1495">
        <f t="shared" si="0"/>
        <v>0</v>
      </c>
      <c r="W43" s="1495">
        <f t="shared" si="0"/>
        <v>0</v>
      </c>
      <c r="X43" s="1495">
        <f t="shared" si="1"/>
        <v>0</v>
      </c>
      <c r="Y43" s="1495" t="e">
        <f t="shared" si="2"/>
        <v>#DIV/0!</v>
      </c>
      <c r="Z43" s="1495">
        <f t="shared" si="3"/>
        <v>0</v>
      </c>
      <c r="AA43" s="1506">
        <f t="shared" si="3"/>
        <v>0</v>
      </c>
      <c r="AB43" s="1505"/>
      <c r="AC43" s="1504">
        <f t="shared" si="4"/>
        <v>0</v>
      </c>
      <c r="AD43" s="1503">
        <f t="shared" si="5"/>
        <v>0</v>
      </c>
      <c r="AE43" s="1503">
        <f t="shared" si="6"/>
        <v>0</v>
      </c>
      <c r="AF43" s="1502">
        <f t="shared" si="7"/>
        <v>0</v>
      </c>
    </row>
    <row r="44" spans="1:32" s="1474" customFormat="1" ht="23.25" customHeight="1">
      <c r="A44" s="1515"/>
      <c r="B44" s="1513"/>
      <c r="C44" s="1514"/>
      <c r="D44" s="1514"/>
      <c r="E44" s="1513"/>
      <c r="F44" s="1512">
        <f t="shared" si="10"/>
        <v>0</v>
      </c>
      <c r="G44" s="1508"/>
      <c r="H44" s="1511"/>
      <c r="I44" s="1508"/>
      <c r="J44" s="1508"/>
      <c r="K44" s="1508"/>
      <c r="L44" s="1508"/>
      <c r="M44" s="1510">
        <f t="shared" si="8"/>
        <v>0</v>
      </c>
      <c r="N44" s="1510">
        <f t="shared" si="9"/>
        <v>0</v>
      </c>
      <c r="O44" s="1509"/>
      <c r="P44" s="1509"/>
      <c r="Q44" s="1509"/>
      <c r="R44" s="1508"/>
      <c r="S44" s="1508"/>
      <c r="T44" s="1507"/>
      <c r="U44" s="1495">
        <f t="shared" si="0"/>
        <v>0</v>
      </c>
      <c r="V44" s="1495">
        <f t="shared" si="0"/>
        <v>0</v>
      </c>
      <c r="W44" s="1495">
        <f t="shared" si="0"/>
        <v>0</v>
      </c>
      <c r="X44" s="1495">
        <f t="shared" si="1"/>
        <v>0</v>
      </c>
      <c r="Y44" s="1495" t="e">
        <f t="shared" si="2"/>
        <v>#DIV/0!</v>
      </c>
      <c r="Z44" s="1495">
        <f t="shared" si="3"/>
        <v>0</v>
      </c>
      <c r="AA44" s="1506">
        <f t="shared" si="3"/>
        <v>0</v>
      </c>
      <c r="AB44" s="1505"/>
      <c r="AC44" s="1504">
        <f t="shared" si="4"/>
        <v>0</v>
      </c>
      <c r="AD44" s="1503">
        <f t="shared" si="5"/>
        <v>0</v>
      </c>
      <c r="AE44" s="1503">
        <f t="shared" si="6"/>
        <v>0</v>
      </c>
      <c r="AF44" s="1502">
        <f t="shared" si="7"/>
        <v>0</v>
      </c>
    </row>
    <row r="45" spans="1:32" s="1474" customFormat="1" ht="23.25" customHeight="1">
      <c r="A45" s="1515"/>
      <c r="B45" s="1513"/>
      <c r="C45" s="1514"/>
      <c r="D45" s="1514"/>
      <c r="E45" s="1513"/>
      <c r="F45" s="1512">
        <f t="shared" si="10"/>
        <v>0</v>
      </c>
      <c r="G45" s="1508"/>
      <c r="H45" s="1511"/>
      <c r="I45" s="1508"/>
      <c r="J45" s="1508"/>
      <c r="K45" s="1508"/>
      <c r="L45" s="1508"/>
      <c r="M45" s="1510">
        <f t="shared" si="8"/>
        <v>0</v>
      </c>
      <c r="N45" s="1510">
        <f t="shared" si="9"/>
        <v>0</v>
      </c>
      <c r="O45" s="1509"/>
      <c r="P45" s="1509"/>
      <c r="Q45" s="1509"/>
      <c r="R45" s="1508"/>
      <c r="S45" s="1508"/>
      <c r="T45" s="1507"/>
      <c r="U45" s="1495">
        <f t="shared" si="0"/>
        <v>0</v>
      </c>
      <c r="V45" s="1495">
        <f t="shared" si="0"/>
        <v>0</v>
      </c>
      <c r="W45" s="1495">
        <f t="shared" si="0"/>
        <v>0</v>
      </c>
      <c r="X45" s="1495">
        <f t="shared" si="1"/>
        <v>0</v>
      </c>
      <c r="Y45" s="1495" t="e">
        <f t="shared" si="2"/>
        <v>#DIV/0!</v>
      </c>
      <c r="Z45" s="1495">
        <f t="shared" si="3"/>
        <v>0</v>
      </c>
      <c r="AA45" s="1506">
        <f t="shared" si="3"/>
        <v>0</v>
      </c>
      <c r="AB45" s="1505"/>
      <c r="AC45" s="1504">
        <f t="shared" si="4"/>
        <v>0</v>
      </c>
      <c r="AD45" s="1503">
        <f t="shared" si="5"/>
        <v>0</v>
      </c>
      <c r="AE45" s="1503">
        <f t="shared" si="6"/>
        <v>0</v>
      </c>
      <c r="AF45" s="1502">
        <f t="shared" si="7"/>
        <v>0</v>
      </c>
    </row>
    <row r="46" spans="1:32" s="1474" customFormat="1" ht="23.25" customHeight="1" thickBot="1">
      <c r="A46" s="1501"/>
      <c r="B46" s="1496"/>
      <c r="C46" s="1499"/>
      <c r="D46" s="1499"/>
      <c r="E46" s="1496"/>
      <c r="F46" s="1498">
        <f t="shared" si="10"/>
        <v>0</v>
      </c>
      <c r="G46" s="1499"/>
      <c r="H46" s="1500"/>
      <c r="I46" s="1499"/>
      <c r="J46" s="1499"/>
      <c r="K46" s="1499"/>
      <c r="L46" s="1499"/>
      <c r="M46" s="1498">
        <f t="shared" si="8"/>
        <v>0</v>
      </c>
      <c r="N46" s="1498">
        <f t="shared" si="9"/>
        <v>0</v>
      </c>
      <c r="O46" s="1497"/>
      <c r="P46" s="1497"/>
      <c r="Q46" s="1497"/>
      <c r="R46" s="1496"/>
      <c r="S46" s="1496"/>
      <c r="T46" s="1496"/>
      <c r="U46" s="1494">
        <f t="shared" si="0"/>
        <v>0</v>
      </c>
      <c r="V46" s="1494">
        <f t="shared" si="0"/>
        <v>0</v>
      </c>
      <c r="W46" s="1494">
        <f t="shared" si="0"/>
        <v>0</v>
      </c>
      <c r="X46" s="1494">
        <f t="shared" si="1"/>
        <v>0</v>
      </c>
      <c r="Y46" s="1495" t="e">
        <f t="shared" si="2"/>
        <v>#DIV/0!</v>
      </c>
      <c r="Z46" s="1494">
        <f t="shared" si="3"/>
        <v>0</v>
      </c>
      <c r="AA46" s="1493">
        <f t="shared" si="3"/>
        <v>0</v>
      </c>
      <c r="AB46" s="1492"/>
      <c r="AC46" s="1491">
        <f t="shared" si="4"/>
        <v>0</v>
      </c>
      <c r="AD46" s="1490">
        <f t="shared" si="5"/>
        <v>0</v>
      </c>
      <c r="AE46" s="1490">
        <f t="shared" si="6"/>
        <v>0</v>
      </c>
      <c r="AF46" s="1489">
        <f t="shared" si="7"/>
        <v>0</v>
      </c>
    </row>
    <row r="47" spans="1:32" s="1474" customFormat="1" ht="11.25" customHeight="1" thickTop="1" thickBot="1">
      <c r="A47" s="1488"/>
      <c r="B47" s="1486"/>
      <c r="C47" s="1487"/>
      <c r="D47" s="1487"/>
      <c r="E47" s="1486"/>
      <c r="F47" s="1486"/>
      <c r="G47" s="1486"/>
      <c r="H47" s="1486"/>
      <c r="I47" s="1486"/>
      <c r="J47" s="1486"/>
      <c r="K47" s="1486"/>
      <c r="L47" s="1486"/>
      <c r="M47" s="1486"/>
      <c r="N47" s="1486"/>
      <c r="O47" s="1486"/>
      <c r="P47" s="1486"/>
      <c r="Q47" s="1486"/>
      <c r="R47" s="1486"/>
      <c r="S47" s="1486"/>
      <c r="T47" s="1486"/>
      <c r="U47" s="1486"/>
      <c r="V47" s="1486"/>
      <c r="W47" s="1486"/>
      <c r="X47" s="1486"/>
      <c r="Y47" s="1486"/>
      <c r="Z47" s="1486"/>
      <c r="AA47" s="1485"/>
      <c r="AB47" s="1484"/>
      <c r="AC47" s="1483"/>
      <c r="AD47" s="1483"/>
      <c r="AE47" s="1483"/>
      <c r="AF47" s="1482"/>
    </row>
    <row r="48" spans="1:32" s="1563" customFormat="1" ht="33" customHeight="1" thickTop="1" thickBot="1">
      <c r="A48" s="3410" t="s">
        <v>934</v>
      </c>
      <c r="B48" s="3410"/>
      <c r="C48" s="3410"/>
      <c r="D48" s="1480">
        <f>SUM(D13:D46)</f>
        <v>0</v>
      </c>
      <c r="E48" s="1480">
        <f>SUM(E13:E46)</f>
        <v>0</v>
      </c>
      <c r="F48" s="1480">
        <f>SUM(F13:F46)</f>
        <v>0</v>
      </c>
      <c r="G48" s="1481"/>
      <c r="H48" s="1481"/>
      <c r="I48" s="1481"/>
      <c r="J48" s="1481"/>
      <c r="K48" s="1481"/>
      <c r="L48" s="1481"/>
      <c r="M48" s="1480">
        <f t="shared" ref="M48:X48" si="11">SUM(M13:M46)</f>
        <v>0</v>
      </c>
      <c r="N48" s="1480">
        <f t="shared" si="11"/>
        <v>0</v>
      </c>
      <c r="O48" s="1480">
        <f t="shared" si="11"/>
        <v>0</v>
      </c>
      <c r="P48" s="1480">
        <f t="shared" si="11"/>
        <v>0</v>
      </c>
      <c r="Q48" s="1480">
        <f t="shared" si="11"/>
        <v>0</v>
      </c>
      <c r="R48" s="1480">
        <f t="shared" si="11"/>
        <v>0</v>
      </c>
      <c r="S48" s="1480">
        <f t="shared" si="11"/>
        <v>0</v>
      </c>
      <c r="T48" s="1480">
        <f t="shared" si="11"/>
        <v>0</v>
      </c>
      <c r="U48" s="1480">
        <f t="shared" si="11"/>
        <v>0</v>
      </c>
      <c r="V48" s="1480">
        <f t="shared" si="11"/>
        <v>0</v>
      </c>
      <c r="W48" s="1480">
        <f t="shared" si="11"/>
        <v>0</v>
      </c>
      <c r="X48" s="1480">
        <f t="shared" si="11"/>
        <v>0</v>
      </c>
      <c r="Y48" s="1480" t="e">
        <f>SUM(U48/M48)*100</f>
        <v>#DIV/0!</v>
      </c>
      <c r="Z48" s="1480">
        <f>SUM(Z13:Z46)</f>
        <v>0</v>
      </c>
      <c r="AA48" s="1479">
        <f>SUM(AA13:AA46)</f>
        <v>0</v>
      </c>
      <c r="AB48" s="1478"/>
      <c r="AC48" s="1566">
        <f>SUM(AC13:AC46)</f>
        <v>0</v>
      </c>
      <c r="AD48" s="1565">
        <f>SUM(AD13:AD46)</f>
        <v>0</v>
      </c>
      <c r="AE48" s="1565">
        <f>SUM(AE13:AE46)</f>
        <v>0</v>
      </c>
      <c r="AF48" s="1564">
        <f>SUM(AF13:AF46)</f>
        <v>0</v>
      </c>
    </row>
    <row r="49" spans="1:32" s="1461" customFormat="1" ht="17.25" thickTop="1" thickBot="1">
      <c r="A49" s="3410" t="s">
        <v>1505</v>
      </c>
      <c r="B49" s="3410"/>
      <c r="C49" s="3410"/>
      <c r="D49" s="1473">
        <f>COUNT(D13:D46)</f>
        <v>0</v>
      </c>
      <c r="E49" s="1473">
        <f>COUNT(E13:E46)</f>
        <v>0</v>
      </c>
      <c r="G49" s="1462"/>
      <c r="H49" s="1462"/>
      <c r="I49" s="1462"/>
      <c r="J49" s="1462"/>
      <c r="K49" s="1472"/>
      <c r="L49" s="1472"/>
      <c r="AB49" s="1462"/>
    </row>
    <row r="50" spans="1:32" s="1461" customFormat="1" ht="18.75" thickTop="1">
      <c r="A50" s="1465"/>
      <c r="B50" s="1465"/>
      <c r="C50" s="1466"/>
      <c r="D50" s="1466"/>
      <c r="E50" s="3410" t="s">
        <v>1463</v>
      </c>
      <c r="F50" s="3410"/>
      <c r="G50" s="3410"/>
      <c r="H50" s="3410"/>
      <c r="I50" s="3410"/>
      <c r="J50" s="3410"/>
      <c r="K50" s="3410"/>
      <c r="L50" s="3410"/>
      <c r="M50" s="3410"/>
      <c r="N50" s="3410"/>
      <c r="O50" s="1467"/>
      <c r="P50" s="1467"/>
      <c r="Q50" s="1467"/>
      <c r="R50" s="1467"/>
      <c r="S50" s="1467"/>
      <c r="T50" s="1467"/>
      <c r="U50" s="1471"/>
      <c r="V50" s="3410" t="s">
        <v>1462</v>
      </c>
      <c r="W50" s="3410"/>
      <c r="X50" s="3410"/>
      <c r="Y50" s="3410"/>
      <c r="Z50" s="1465"/>
      <c r="AA50" s="1465"/>
      <c r="AB50" s="1462"/>
    </row>
    <row r="51" spans="1:32" s="1461" customFormat="1" ht="71.25" customHeight="1">
      <c r="A51" s="1468"/>
      <c r="B51" s="1468"/>
      <c r="C51" s="1470"/>
      <c r="D51" s="1470"/>
      <c r="E51" s="1468"/>
      <c r="F51" s="1468"/>
      <c r="G51" s="1470"/>
      <c r="H51" s="1470"/>
      <c r="I51" s="1470"/>
      <c r="J51" s="1470"/>
      <c r="K51" s="1469"/>
      <c r="L51" s="1469"/>
      <c r="M51" s="1468"/>
      <c r="N51" s="1468"/>
      <c r="O51" s="1468"/>
      <c r="P51" s="1468"/>
      <c r="Q51" s="1468"/>
      <c r="R51" s="1468"/>
      <c r="S51" s="1468"/>
      <c r="T51" s="1468"/>
      <c r="U51" s="1468"/>
      <c r="V51" s="1468"/>
      <c r="W51" s="1468"/>
      <c r="X51" s="1468"/>
      <c r="Y51" s="1468"/>
      <c r="Z51" s="1468"/>
      <c r="AA51" s="1468"/>
      <c r="AB51" s="1462"/>
    </row>
    <row r="52" spans="1:32" s="1461" customFormat="1" ht="18">
      <c r="A52" s="1465"/>
      <c r="B52" s="1465"/>
      <c r="C52" s="1466"/>
      <c r="D52" s="1466"/>
      <c r="E52" s="3410" t="str">
        <f>'LPP-SPP PIHAK KE-3'!G39</f>
        <v>Endang Taryana</v>
      </c>
      <c r="F52" s="3410"/>
      <c r="G52" s="3410"/>
      <c r="H52" s="3410"/>
      <c r="I52" s="3410"/>
      <c r="J52" s="3410"/>
      <c r="K52" s="3410"/>
      <c r="L52" s="3410"/>
      <c r="M52" s="3410"/>
      <c r="N52" s="3410"/>
      <c r="O52" s="1467" t="s">
        <v>1461</v>
      </c>
      <c r="P52" s="3410"/>
      <c r="Q52" s="3410"/>
      <c r="R52" s="3410"/>
      <c r="S52" s="1465"/>
      <c r="T52" s="1465"/>
      <c r="U52" s="1465"/>
      <c r="V52" s="3410" t="str">
        <f>'LPP-SPP PIHAK KE-3'!T39</f>
        <v>Arin Yustini, SE</v>
      </c>
      <c r="W52" s="3410"/>
      <c r="X52" s="3410"/>
      <c r="Y52" s="3410"/>
      <c r="Z52" s="1465"/>
      <c r="AA52" s="1465"/>
      <c r="AB52" s="1462"/>
    </row>
    <row r="53" spans="1:32" s="1461" customFormat="1" ht="18">
      <c r="A53" s="1465"/>
      <c r="B53" s="1465"/>
      <c r="C53" s="1466"/>
      <c r="D53" s="1466"/>
      <c r="E53" s="3410" t="s">
        <v>23</v>
      </c>
      <c r="F53" s="3410"/>
      <c r="G53" s="3410"/>
      <c r="H53" s="3410"/>
      <c r="I53" s="3410"/>
      <c r="J53" s="3410"/>
      <c r="K53" s="3410"/>
      <c r="L53" s="3410"/>
      <c r="M53" s="3410"/>
      <c r="N53" s="3410"/>
      <c r="O53" s="1465"/>
      <c r="P53" s="3410"/>
      <c r="Q53" s="3410"/>
      <c r="R53" s="3410"/>
      <c r="S53" s="1465"/>
      <c r="T53" s="1465"/>
      <c r="U53" s="1465"/>
      <c r="V53" s="3410" t="s">
        <v>24</v>
      </c>
      <c r="W53" s="3410"/>
      <c r="X53" s="3410"/>
      <c r="Y53" s="3410"/>
      <c r="Z53" s="1465"/>
      <c r="AA53" s="1465"/>
      <c r="AB53" s="1462"/>
    </row>
    <row r="54" spans="1:32" s="1559" customFormat="1" ht="24.75" customHeight="1">
      <c r="A54" s="3410" t="s">
        <v>0</v>
      </c>
      <c r="B54" s="3410"/>
      <c r="C54" s="3410"/>
      <c r="D54" s="3410"/>
      <c r="E54" s="3410"/>
      <c r="F54" s="3410"/>
      <c r="G54" s="3410"/>
      <c r="H54" s="3410"/>
      <c r="I54" s="3410"/>
      <c r="J54" s="3410"/>
      <c r="K54" s="3410"/>
      <c r="L54" s="3410"/>
      <c r="M54" s="3410"/>
      <c r="N54" s="3410"/>
      <c r="O54" s="3410"/>
      <c r="P54" s="3410"/>
      <c r="Q54" s="3410"/>
      <c r="R54" s="3410"/>
      <c r="S54" s="3410"/>
      <c r="T54" s="3410"/>
      <c r="U54" s="3410"/>
      <c r="V54" s="3410"/>
      <c r="W54" s="3410"/>
      <c r="X54" s="3410"/>
      <c r="Y54" s="3410"/>
      <c r="Z54" s="3410"/>
      <c r="AA54" s="3410"/>
      <c r="AB54" s="1562"/>
      <c r="AC54" s="1560"/>
      <c r="AD54" s="1560"/>
      <c r="AE54" s="1560"/>
      <c r="AF54" s="1560"/>
    </row>
    <row r="55" spans="1:32" s="1559" customFormat="1" ht="24.75" customHeight="1">
      <c r="A55" s="3410" t="str">
        <f>A2</f>
        <v>LAPORAN PERKEMBANGAN PINJAMAN  SPP PIHAK KE-3</v>
      </c>
      <c r="B55" s="3410"/>
      <c r="C55" s="3410"/>
      <c r="D55" s="3410"/>
      <c r="E55" s="3410"/>
      <c r="F55" s="3410"/>
      <c r="G55" s="3410"/>
      <c r="H55" s="3410"/>
      <c r="I55" s="3410"/>
      <c r="J55" s="3410"/>
      <c r="K55" s="3410"/>
      <c r="L55" s="3410"/>
      <c r="M55" s="3410"/>
      <c r="N55" s="3410"/>
      <c r="O55" s="3410"/>
      <c r="P55" s="3410"/>
      <c r="Q55" s="3410"/>
      <c r="R55" s="3410"/>
      <c r="S55" s="3410"/>
      <c r="T55" s="3410"/>
      <c r="U55" s="3410"/>
      <c r="V55" s="3410"/>
      <c r="W55" s="3410"/>
      <c r="X55" s="3410"/>
      <c r="Y55" s="3410"/>
      <c r="Z55" s="3410"/>
      <c r="AA55" s="3410"/>
      <c r="AB55" s="1562"/>
      <c r="AC55" s="1560"/>
      <c r="AD55" s="1560"/>
      <c r="AE55" s="1560"/>
      <c r="AF55" s="1560"/>
    </row>
    <row r="56" spans="1:32" s="1559" customFormat="1" ht="34.5">
      <c r="A56" s="3410" t="s">
        <v>1504</v>
      </c>
      <c r="B56" s="3410"/>
      <c r="C56" s="3410"/>
      <c r="D56" s="3410"/>
      <c r="E56" s="3410"/>
      <c r="F56" s="3410"/>
      <c r="G56" s="3410"/>
      <c r="H56" s="3410"/>
      <c r="I56" s="3410"/>
      <c r="J56" s="3410"/>
      <c r="K56" s="3410"/>
      <c r="L56" s="3410"/>
      <c r="M56" s="3410"/>
      <c r="N56" s="3410"/>
      <c r="O56" s="3410"/>
      <c r="P56" s="3410"/>
      <c r="Q56" s="3410"/>
      <c r="R56" s="3410"/>
      <c r="S56" s="3410"/>
      <c r="T56" s="3410"/>
      <c r="U56" s="3410"/>
      <c r="V56" s="3410"/>
      <c r="W56" s="3410"/>
      <c r="X56" s="3410"/>
      <c r="Y56" s="3410"/>
      <c r="Z56" s="3410"/>
      <c r="AA56" s="3410"/>
      <c r="AB56" s="1561"/>
      <c r="AC56" s="1560"/>
      <c r="AD56" s="1560"/>
      <c r="AE56" s="1560"/>
      <c r="AF56" s="1560"/>
    </row>
    <row r="57" spans="1:32" s="1547" customFormat="1" ht="18.75" customHeight="1">
      <c r="A57" s="3410" t="str">
        <f>A4</f>
        <v>Per - Februari 2016 2016</v>
      </c>
      <c r="B57" s="3410"/>
      <c r="C57" s="3410"/>
      <c r="D57" s="3410"/>
      <c r="E57" s="3410"/>
      <c r="F57" s="3410"/>
      <c r="G57" s="3410"/>
      <c r="H57" s="3410"/>
      <c r="I57" s="3410"/>
      <c r="J57" s="3410"/>
      <c r="K57" s="3410"/>
      <c r="L57" s="3410"/>
      <c r="M57" s="3410"/>
      <c r="N57" s="3410"/>
      <c r="O57" s="3410"/>
      <c r="P57" s="3410"/>
      <c r="Q57" s="3410"/>
      <c r="R57" s="3410"/>
      <c r="S57" s="3410"/>
      <c r="T57" s="3410"/>
      <c r="U57" s="3410"/>
      <c r="V57" s="3410"/>
      <c r="W57" s="3410"/>
      <c r="X57" s="3410"/>
      <c r="Y57" s="3410"/>
      <c r="Z57" s="3410"/>
      <c r="AA57" s="3410"/>
      <c r="AB57" s="1556"/>
      <c r="AC57" s="1548"/>
      <c r="AD57" s="1548"/>
    </row>
    <row r="58" spans="1:32" s="1542" customFormat="1" ht="24.75" customHeight="1">
      <c r="A58" s="3410" t="s">
        <v>1503</v>
      </c>
      <c r="B58" s="3410"/>
      <c r="C58" s="3410"/>
      <c r="D58" s="1553"/>
      <c r="E58" s="1558" t="str">
        <f>E5</f>
        <v xml:space="preserve">:  </v>
      </c>
      <c r="F58" s="1556"/>
      <c r="G58" s="1556"/>
      <c r="H58" s="1556"/>
      <c r="I58" s="1556"/>
      <c r="J58" s="1556"/>
      <c r="K58" s="1557"/>
      <c r="L58" s="1557"/>
      <c r="M58" s="1556"/>
      <c r="N58" s="1556"/>
      <c r="O58" s="1556"/>
      <c r="P58" s="1556"/>
      <c r="Q58" s="1556"/>
      <c r="R58" s="1556"/>
      <c r="S58" s="1556"/>
      <c r="T58" s="1556"/>
      <c r="U58" s="1556"/>
      <c r="V58" s="1556"/>
      <c r="W58" s="1556"/>
      <c r="X58" s="1556"/>
      <c r="Y58" s="1556"/>
      <c r="Z58" s="1556"/>
      <c r="AA58" s="1556"/>
      <c r="AB58" s="1556"/>
      <c r="AC58" s="1555"/>
      <c r="AD58" s="1555"/>
      <c r="AE58" s="1555"/>
      <c r="AF58" s="1555"/>
    </row>
    <row r="59" spans="1:32" s="1547" customFormat="1" ht="18.75" customHeight="1">
      <c r="A59" s="3410" t="s">
        <v>1502</v>
      </c>
      <c r="B59" s="3410"/>
      <c r="C59" s="3410"/>
      <c r="D59" s="1553"/>
      <c r="E59" s="1552" t="str">
        <f>E6</f>
        <v>:  Nagrak</v>
      </c>
      <c r="F59" s="1552"/>
      <c r="G59" s="1551"/>
      <c r="H59" s="1551"/>
      <c r="I59" s="1551"/>
      <c r="J59" s="1551"/>
      <c r="K59" s="1550"/>
      <c r="L59" s="1550"/>
      <c r="M59" s="1548"/>
      <c r="N59" s="1548"/>
      <c r="O59" s="1548"/>
      <c r="P59" s="1548"/>
      <c r="Q59" s="1548"/>
      <c r="R59" s="1548"/>
      <c r="S59" s="1548"/>
      <c r="T59" s="1548"/>
      <c r="U59" s="1548"/>
      <c r="V59" s="1548"/>
      <c r="W59" s="1548"/>
      <c r="X59" s="1548"/>
      <c r="Y59" s="1548"/>
      <c r="Z59" s="1548"/>
      <c r="AA59" s="1548"/>
      <c r="AB59" s="1549"/>
      <c r="AC59" s="1548"/>
      <c r="AD59" s="1548"/>
    </row>
    <row r="60" spans="1:32" s="1547" customFormat="1" ht="18.75" customHeight="1">
      <c r="A60" s="3410" t="s">
        <v>1501</v>
      </c>
      <c r="B60" s="3410"/>
      <c r="C60" s="3410"/>
      <c r="D60" s="1553"/>
      <c r="E60" s="1552" t="str">
        <f>E7</f>
        <v>:  Sukabumi</v>
      </c>
      <c r="F60" s="1552"/>
      <c r="G60" s="1551"/>
      <c r="H60" s="1551"/>
      <c r="I60" s="1551"/>
      <c r="J60" s="1551"/>
      <c r="K60" s="1550"/>
      <c r="L60" s="1550"/>
      <c r="M60" s="1554"/>
      <c r="N60" s="1548"/>
      <c r="O60" s="1548"/>
      <c r="P60" s="1548"/>
      <c r="Q60" s="1548"/>
      <c r="R60" s="1548"/>
      <c r="S60" s="1548"/>
      <c r="T60" s="1548"/>
      <c r="U60" s="1548"/>
      <c r="V60" s="1548"/>
      <c r="W60" s="1548"/>
      <c r="X60" s="1548"/>
      <c r="Y60" s="1548"/>
      <c r="Z60" s="1548"/>
      <c r="AA60" s="1548"/>
      <c r="AB60" s="1549"/>
      <c r="AC60" s="1548"/>
      <c r="AD60" s="1548"/>
    </row>
    <row r="61" spans="1:32" s="1542" customFormat="1" ht="24" customHeight="1">
      <c r="A61" s="3410" t="s">
        <v>1500</v>
      </c>
      <c r="B61" s="3410"/>
      <c r="C61" s="3410"/>
      <c r="D61" s="1553"/>
      <c r="E61" s="1552" t="str">
        <f>E8</f>
        <v>:  Jawa Barat</v>
      </c>
      <c r="F61" s="1552"/>
      <c r="G61" s="1551"/>
      <c r="H61" s="1551"/>
      <c r="I61" s="1551"/>
      <c r="J61" s="1551"/>
      <c r="K61" s="1550"/>
      <c r="L61" s="1550"/>
      <c r="M61" s="1465"/>
      <c r="N61" s="1465"/>
      <c r="O61" s="1548"/>
      <c r="P61" s="1548"/>
      <c r="Q61" s="1548"/>
      <c r="R61" s="1548"/>
      <c r="S61" s="1548"/>
      <c r="T61" s="1548"/>
      <c r="U61" s="1548"/>
      <c r="V61" s="1548"/>
      <c r="W61" s="1548"/>
      <c r="X61" s="1548"/>
      <c r="Y61" s="1548"/>
      <c r="Z61" s="1548"/>
      <c r="AA61" s="1548"/>
      <c r="AB61" s="1549"/>
      <c r="AC61" s="1548"/>
      <c r="AD61" s="1548"/>
      <c r="AE61" s="1547"/>
      <c r="AF61" s="1547"/>
    </row>
    <row r="62" spans="1:32" ht="14.25" customHeight="1" thickBot="1">
      <c r="A62" s="1546" t="s">
        <v>1461</v>
      </c>
      <c r="B62" s="1546"/>
      <c r="C62" s="1545"/>
      <c r="D62" s="1545"/>
      <c r="E62" s="1543"/>
      <c r="F62" s="1543"/>
      <c r="G62" s="1545"/>
      <c r="H62" s="1545"/>
      <c r="I62" s="1545"/>
      <c r="J62" s="1545"/>
      <c r="M62" s="1543"/>
      <c r="N62" s="1543"/>
      <c r="O62" s="1543"/>
      <c r="P62" s="1543"/>
      <c r="Q62" s="1543"/>
      <c r="R62" s="1543"/>
      <c r="S62" s="1543"/>
      <c r="T62" s="1543"/>
      <c r="U62" s="1543"/>
      <c r="V62" s="1543"/>
      <c r="W62" s="1543"/>
      <c r="X62" s="1543"/>
      <c r="Y62" s="1543"/>
      <c r="Z62" s="1543"/>
      <c r="AA62" s="1543"/>
      <c r="AB62" s="1544"/>
      <c r="AC62" s="1543"/>
      <c r="AD62" s="1543"/>
      <c r="AE62" s="1542"/>
      <c r="AF62" s="1542"/>
    </row>
    <row r="63" spans="1:32" ht="66.75" customHeight="1" thickTop="1">
      <c r="A63" s="3410" t="s">
        <v>36</v>
      </c>
      <c r="B63" s="3410" t="s">
        <v>1499</v>
      </c>
      <c r="C63" s="3410"/>
      <c r="D63" s="3410" t="s">
        <v>1498</v>
      </c>
      <c r="E63" s="3410" t="s">
        <v>1497</v>
      </c>
      <c r="F63" s="3410"/>
      <c r="G63" s="3410" t="s">
        <v>1496</v>
      </c>
      <c r="H63" s="3410" t="s">
        <v>1495</v>
      </c>
      <c r="I63" s="3410" t="s">
        <v>1494</v>
      </c>
      <c r="J63" s="3410" t="s">
        <v>1493</v>
      </c>
      <c r="K63" s="3410" t="s">
        <v>1492</v>
      </c>
      <c r="L63" s="3410"/>
      <c r="M63" s="3410" t="s">
        <v>1491</v>
      </c>
      <c r="N63" s="3410"/>
      <c r="O63" s="3410" t="s">
        <v>1490</v>
      </c>
      <c r="P63" s="3410"/>
      <c r="Q63" s="3410"/>
      <c r="R63" s="3410" t="s">
        <v>1489</v>
      </c>
      <c r="S63" s="3410"/>
      <c r="T63" s="3410"/>
      <c r="U63" s="3410" t="s">
        <v>1488</v>
      </c>
      <c r="V63" s="3410"/>
      <c r="W63" s="3410"/>
      <c r="X63" s="3410" t="s">
        <v>1487</v>
      </c>
      <c r="Y63" s="3410" t="s">
        <v>1486</v>
      </c>
      <c r="Z63" s="3410" t="s">
        <v>1485</v>
      </c>
      <c r="AA63" s="3410"/>
      <c r="AB63" s="3410" t="s">
        <v>1484</v>
      </c>
      <c r="AC63" s="1541" t="s">
        <v>1483</v>
      </c>
      <c r="AD63" s="1540" t="s">
        <v>1482</v>
      </c>
      <c r="AE63" s="1540" t="s">
        <v>1481</v>
      </c>
      <c r="AF63" s="1539" t="s">
        <v>1480</v>
      </c>
    </row>
    <row r="64" spans="1:32" s="1528" customFormat="1" ht="22.5" customHeight="1">
      <c r="A64" s="3410"/>
      <c r="B64" s="1536" t="s">
        <v>1479</v>
      </c>
      <c r="C64" s="1538" t="s">
        <v>1478</v>
      </c>
      <c r="D64" s="3410"/>
      <c r="E64" s="1537" t="s">
        <v>16</v>
      </c>
      <c r="F64" s="1537" t="s">
        <v>1476</v>
      </c>
      <c r="G64" s="3410"/>
      <c r="H64" s="3410"/>
      <c r="I64" s="3410"/>
      <c r="J64" s="3410"/>
      <c r="K64" s="3410" t="s">
        <v>16</v>
      </c>
      <c r="L64" s="3410" t="s">
        <v>1476</v>
      </c>
      <c r="M64" s="1535" t="s">
        <v>16</v>
      </c>
      <c r="N64" s="1535" t="s">
        <v>1476</v>
      </c>
      <c r="O64" s="1535" t="s">
        <v>16</v>
      </c>
      <c r="P64" s="1535" t="s">
        <v>1476</v>
      </c>
      <c r="Q64" s="1535" t="s">
        <v>1477</v>
      </c>
      <c r="R64" s="1535" t="s">
        <v>16</v>
      </c>
      <c r="S64" s="1535" t="s">
        <v>1476</v>
      </c>
      <c r="T64" s="1535" t="s">
        <v>1477</v>
      </c>
      <c r="U64" s="1535" t="s">
        <v>16</v>
      </c>
      <c r="V64" s="1535" t="s">
        <v>1476</v>
      </c>
      <c r="W64" s="1534" t="s">
        <v>1477</v>
      </c>
      <c r="X64" s="3410"/>
      <c r="Y64" s="3410"/>
      <c r="Z64" s="1533" t="s">
        <v>16</v>
      </c>
      <c r="AA64" s="1532" t="s">
        <v>1476</v>
      </c>
      <c r="AB64" s="3410"/>
      <c r="AC64" s="1531" t="s">
        <v>1475</v>
      </c>
      <c r="AD64" s="1530" t="s">
        <v>1474</v>
      </c>
      <c r="AE64" s="1530" t="s">
        <v>1473</v>
      </c>
      <c r="AF64" s="1529" t="s">
        <v>1472</v>
      </c>
    </row>
    <row r="65" spans="1:32" s="1461" customFormat="1" ht="13.5" customHeight="1" thickBot="1">
      <c r="A65" s="1527">
        <v>1</v>
      </c>
      <c r="B65" s="1526">
        <v>2</v>
      </c>
      <c r="C65" s="1524">
        <v>3</v>
      </c>
      <c r="D65" s="3410"/>
      <c r="E65" s="1524">
        <v>4</v>
      </c>
      <c r="F65" s="1525">
        <v>5</v>
      </c>
      <c r="G65" s="1524">
        <v>6</v>
      </c>
      <c r="H65" s="3410"/>
      <c r="I65" s="3410"/>
      <c r="J65" s="3410"/>
      <c r="K65" s="3410"/>
      <c r="L65" s="3410"/>
      <c r="M65" s="1524">
        <v>7</v>
      </c>
      <c r="N65" s="1524">
        <v>8</v>
      </c>
      <c r="O65" s="1524">
        <v>9</v>
      </c>
      <c r="P65" s="1524">
        <v>10</v>
      </c>
      <c r="Q65" s="1524">
        <v>11</v>
      </c>
      <c r="R65" s="1524">
        <v>12</v>
      </c>
      <c r="S65" s="1524">
        <v>13</v>
      </c>
      <c r="T65" s="1524">
        <v>14</v>
      </c>
      <c r="U65" s="1524" t="s">
        <v>1471</v>
      </c>
      <c r="V65" s="1524" t="s">
        <v>1470</v>
      </c>
      <c r="W65" s="1523" t="s">
        <v>1469</v>
      </c>
      <c r="X65" s="1523" t="s">
        <v>1468</v>
      </c>
      <c r="Y65" s="1522" t="s">
        <v>1467</v>
      </c>
      <c r="Z65" s="1521" t="s">
        <v>1466</v>
      </c>
      <c r="AA65" s="1520" t="s">
        <v>1465</v>
      </c>
      <c r="AB65" s="1519">
        <v>22</v>
      </c>
      <c r="AC65" s="1518">
        <v>23</v>
      </c>
      <c r="AD65" s="1517">
        <v>24</v>
      </c>
      <c r="AE65" s="1517">
        <v>25</v>
      </c>
      <c r="AF65" s="1516">
        <v>26</v>
      </c>
    </row>
    <row r="66" spans="1:32" s="1474" customFormat="1" ht="23.25" customHeight="1" thickTop="1">
      <c r="A66" s="1515"/>
      <c r="B66" s="1513"/>
      <c r="C66" s="1514"/>
      <c r="D66" s="1514"/>
      <c r="E66" s="1513"/>
      <c r="F66" s="1512">
        <f t="shared" ref="F66:F100" si="12">E66*H66</f>
        <v>0</v>
      </c>
      <c r="G66" s="1508"/>
      <c r="H66" s="1511"/>
      <c r="I66" s="1508"/>
      <c r="J66" s="1508"/>
      <c r="K66" s="1508"/>
      <c r="L66" s="1508"/>
      <c r="M66" s="1510">
        <f t="shared" ref="M66:M100" si="13">IF(J66&lt;I66,J66*K66,IF(J66&gt;=I66,E66))</f>
        <v>0</v>
      </c>
      <c r="N66" s="1510">
        <f>IF(J66&lt;I66,J66*L66,IF(J66&gt;=I66,F66))</f>
        <v>0</v>
      </c>
      <c r="O66" s="1509"/>
      <c r="P66" s="1509"/>
      <c r="Q66" s="1509"/>
      <c r="R66" s="1508"/>
      <c r="S66" s="1508"/>
      <c r="T66" s="1507"/>
      <c r="U66" s="1495">
        <f t="shared" ref="U66:W81" si="14">SUM(O66+R66)</f>
        <v>0</v>
      </c>
      <c r="V66" s="1495">
        <f t="shared" si="14"/>
        <v>0</v>
      </c>
      <c r="W66" s="1495">
        <f t="shared" si="14"/>
        <v>0</v>
      </c>
      <c r="X66" s="1495">
        <f t="shared" ref="X66:X100" si="15">SUM(E66-U66)</f>
        <v>0</v>
      </c>
      <c r="Y66" s="1495" t="e">
        <f>SUM(U66/M66)*100</f>
        <v>#DIV/0!</v>
      </c>
      <c r="Z66" s="1495">
        <f>SUM(M66-U66)</f>
        <v>0</v>
      </c>
      <c r="AA66" s="1506">
        <f>SUM(N66-V66)</f>
        <v>0</v>
      </c>
      <c r="AB66" s="1505"/>
      <c r="AC66" s="1504">
        <f t="shared" ref="AC66:AC100" si="16">IF(AND(AB66&gt;0,AB66&lt;=2),X66,0)</f>
        <v>0</v>
      </c>
      <c r="AD66" s="1503">
        <f t="shared" ref="AD66:AD100" si="17">IF(AND(AB66&gt;=3,AB66&lt;=4),X66,0)</f>
        <v>0</v>
      </c>
      <c r="AE66" s="1503">
        <f t="shared" ref="AE66:AE100" si="18">IF(AND(AB66&gt;=5,AB66&lt;=6),X66,0)</f>
        <v>0</v>
      </c>
      <c r="AF66" s="1502">
        <f t="shared" ref="AF66:AF100" si="19">IF(AB66&gt;6,X66,0)</f>
        <v>0</v>
      </c>
    </row>
    <row r="67" spans="1:32" s="1474" customFormat="1" ht="23.25" customHeight="1">
      <c r="A67" s="1515"/>
      <c r="B67" s="1513"/>
      <c r="C67" s="1514"/>
      <c r="D67" s="1514"/>
      <c r="E67" s="1513"/>
      <c r="F67" s="1512">
        <f t="shared" si="12"/>
        <v>0</v>
      </c>
      <c r="G67" s="1508"/>
      <c r="H67" s="1511"/>
      <c r="I67" s="1508"/>
      <c r="J67" s="1508"/>
      <c r="K67" s="1508"/>
      <c r="L67" s="1508"/>
      <c r="M67" s="1510">
        <f t="shared" si="13"/>
        <v>0</v>
      </c>
      <c r="N67" s="1510">
        <f t="shared" ref="N67:N100" si="20">IF(J67&lt;I67,J67*L67,IF(J67&gt;=I67,F67))</f>
        <v>0</v>
      </c>
      <c r="O67" s="1509"/>
      <c r="P67" s="1509"/>
      <c r="Q67" s="1509"/>
      <c r="R67" s="1508"/>
      <c r="S67" s="1508"/>
      <c r="T67" s="1507"/>
      <c r="U67" s="1495">
        <f t="shared" si="14"/>
        <v>0</v>
      </c>
      <c r="V67" s="1495">
        <f t="shared" si="14"/>
        <v>0</v>
      </c>
      <c r="W67" s="1495">
        <f t="shared" si="14"/>
        <v>0</v>
      </c>
      <c r="X67" s="1495">
        <f t="shared" si="15"/>
        <v>0</v>
      </c>
      <c r="Y67" s="1495" t="e">
        <f>SUM(U67/M67)*100</f>
        <v>#DIV/0!</v>
      </c>
      <c r="Z67" s="1495">
        <f>SUM(M67-U67)</f>
        <v>0</v>
      </c>
      <c r="AA67" s="1506">
        <f>SUM(N67-V67)</f>
        <v>0</v>
      </c>
      <c r="AB67" s="1505"/>
      <c r="AC67" s="1504">
        <f t="shared" si="16"/>
        <v>0</v>
      </c>
      <c r="AD67" s="1503">
        <f t="shared" si="17"/>
        <v>0</v>
      </c>
      <c r="AE67" s="1503">
        <f t="shared" si="18"/>
        <v>0</v>
      </c>
      <c r="AF67" s="1502">
        <f t="shared" si="19"/>
        <v>0</v>
      </c>
    </row>
    <row r="68" spans="1:32" s="1474" customFormat="1" ht="23.25" customHeight="1">
      <c r="A68" s="1515"/>
      <c r="B68" s="1513"/>
      <c r="C68" s="1514"/>
      <c r="D68" s="1514"/>
      <c r="E68" s="1513"/>
      <c r="F68" s="1512">
        <f t="shared" si="12"/>
        <v>0</v>
      </c>
      <c r="G68" s="1508"/>
      <c r="H68" s="1511"/>
      <c r="I68" s="1508"/>
      <c r="J68" s="1508"/>
      <c r="K68" s="1508"/>
      <c r="L68" s="1508"/>
      <c r="M68" s="1510">
        <f t="shared" si="13"/>
        <v>0</v>
      </c>
      <c r="N68" s="1510">
        <f t="shared" si="20"/>
        <v>0</v>
      </c>
      <c r="O68" s="1509"/>
      <c r="P68" s="1509"/>
      <c r="Q68" s="1509"/>
      <c r="R68" s="1508"/>
      <c r="S68" s="1508"/>
      <c r="T68" s="1507"/>
      <c r="U68" s="1495">
        <f t="shared" si="14"/>
        <v>0</v>
      </c>
      <c r="V68" s="1495">
        <f t="shared" si="14"/>
        <v>0</v>
      </c>
      <c r="W68" s="1495">
        <f t="shared" si="14"/>
        <v>0</v>
      </c>
      <c r="X68" s="1495">
        <f t="shared" si="15"/>
        <v>0</v>
      </c>
      <c r="Y68" s="1495" t="e">
        <f t="shared" ref="Y68:Y100" si="21">SUM(U68/M68)*100</f>
        <v>#DIV/0!</v>
      </c>
      <c r="Z68" s="1495">
        <f t="shared" ref="Z68:AA91" si="22">SUM(M68-U68)</f>
        <v>0</v>
      </c>
      <c r="AA68" s="1506">
        <f t="shared" si="22"/>
        <v>0</v>
      </c>
      <c r="AB68" s="1505"/>
      <c r="AC68" s="1504">
        <f t="shared" si="16"/>
        <v>0</v>
      </c>
      <c r="AD68" s="1503">
        <f t="shared" si="17"/>
        <v>0</v>
      </c>
      <c r="AE68" s="1503">
        <f t="shared" si="18"/>
        <v>0</v>
      </c>
      <c r="AF68" s="1502">
        <f t="shared" si="19"/>
        <v>0</v>
      </c>
    </row>
    <row r="69" spans="1:32" s="1474" customFormat="1" ht="23.25" customHeight="1">
      <c r="A69" s="1515"/>
      <c r="B69" s="1513"/>
      <c r="C69" s="1514"/>
      <c r="D69" s="1514"/>
      <c r="E69" s="1513"/>
      <c r="F69" s="1512">
        <f t="shared" si="12"/>
        <v>0</v>
      </c>
      <c r="G69" s="1508"/>
      <c r="H69" s="1511"/>
      <c r="I69" s="1508"/>
      <c r="J69" s="1508"/>
      <c r="K69" s="1508"/>
      <c r="L69" s="1508"/>
      <c r="M69" s="1510">
        <f t="shared" si="13"/>
        <v>0</v>
      </c>
      <c r="N69" s="1510">
        <f t="shared" si="20"/>
        <v>0</v>
      </c>
      <c r="O69" s="1509"/>
      <c r="P69" s="1509"/>
      <c r="Q69" s="1509"/>
      <c r="R69" s="1508"/>
      <c r="S69" s="1508"/>
      <c r="T69" s="1507"/>
      <c r="U69" s="1495">
        <f t="shared" si="14"/>
        <v>0</v>
      </c>
      <c r="V69" s="1495">
        <f t="shared" si="14"/>
        <v>0</v>
      </c>
      <c r="W69" s="1495">
        <f t="shared" si="14"/>
        <v>0</v>
      </c>
      <c r="X69" s="1495">
        <f t="shared" si="15"/>
        <v>0</v>
      </c>
      <c r="Y69" s="1495" t="e">
        <f t="shared" si="21"/>
        <v>#DIV/0!</v>
      </c>
      <c r="Z69" s="1495">
        <f t="shared" si="22"/>
        <v>0</v>
      </c>
      <c r="AA69" s="1506">
        <f t="shared" si="22"/>
        <v>0</v>
      </c>
      <c r="AB69" s="1505"/>
      <c r="AC69" s="1504">
        <f t="shared" si="16"/>
        <v>0</v>
      </c>
      <c r="AD69" s="1503">
        <f t="shared" si="17"/>
        <v>0</v>
      </c>
      <c r="AE69" s="1503">
        <f t="shared" si="18"/>
        <v>0</v>
      </c>
      <c r="AF69" s="1502">
        <f t="shared" si="19"/>
        <v>0</v>
      </c>
    </row>
    <row r="70" spans="1:32" s="1474" customFormat="1" ht="23.25" customHeight="1">
      <c r="A70" s="1515"/>
      <c r="B70" s="1513"/>
      <c r="C70" s="1514"/>
      <c r="D70" s="1514"/>
      <c r="E70" s="1513"/>
      <c r="F70" s="1512">
        <f>E70*H70</f>
        <v>0</v>
      </c>
      <c r="G70" s="1508"/>
      <c r="H70" s="1511"/>
      <c r="I70" s="1508"/>
      <c r="J70" s="1508"/>
      <c r="K70" s="1508"/>
      <c r="L70" s="1508"/>
      <c r="M70" s="1510">
        <f t="shared" si="13"/>
        <v>0</v>
      </c>
      <c r="N70" s="1510">
        <f t="shared" si="20"/>
        <v>0</v>
      </c>
      <c r="O70" s="1509"/>
      <c r="P70" s="1509"/>
      <c r="Q70" s="1509"/>
      <c r="R70" s="1508"/>
      <c r="S70" s="1508"/>
      <c r="T70" s="1507"/>
      <c r="U70" s="1495">
        <f t="shared" si="14"/>
        <v>0</v>
      </c>
      <c r="V70" s="1495">
        <f t="shared" si="14"/>
        <v>0</v>
      </c>
      <c r="W70" s="1495">
        <f t="shared" si="14"/>
        <v>0</v>
      </c>
      <c r="X70" s="1495">
        <f t="shared" si="15"/>
        <v>0</v>
      </c>
      <c r="Y70" s="1495" t="e">
        <f t="shared" si="21"/>
        <v>#DIV/0!</v>
      </c>
      <c r="Z70" s="1495">
        <f t="shared" si="22"/>
        <v>0</v>
      </c>
      <c r="AA70" s="1506">
        <f t="shared" si="22"/>
        <v>0</v>
      </c>
      <c r="AB70" s="1505"/>
      <c r="AC70" s="1504">
        <f t="shared" si="16"/>
        <v>0</v>
      </c>
      <c r="AD70" s="1503">
        <f t="shared" si="17"/>
        <v>0</v>
      </c>
      <c r="AE70" s="1503">
        <f t="shared" si="18"/>
        <v>0</v>
      </c>
      <c r="AF70" s="1502">
        <f t="shared" si="19"/>
        <v>0</v>
      </c>
    </row>
    <row r="71" spans="1:32" s="1474" customFormat="1" ht="23.25" customHeight="1">
      <c r="A71" s="1515"/>
      <c r="B71" s="1513"/>
      <c r="C71" s="1514"/>
      <c r="D71" s="1514"/>
      <c r="E71" s="1513"/>
      <c r="F71" s="1512">
        <f>E71*H71</f>
        <v>0</v>
      </c>
      <c r="G71" s="1508"/>
      <c r="H71" s="1511"/>
      <c r="I71" s="1508"/>
      <c r="J71" s="1508"/>
      <c r="K71" s="1508"/>
      <c r="L71" s="1508"/>
      <c r="M71" s="1510">
        <f>IF(J71&lt;I71,J71*K71,IF(J71&gt;=I71,E71))</f>
        <v>0</v>
      </c>
      <c r="N71" s="1510">
        <f>IF(J71&lt;I71,J71*L71,IF(J71&gt;=I71,F71))</f>
        <v>0</v>
      </c>
      <c r="O71" s="1509"/>
      <c r="P71" s="1509"/>
      <c r="Q71" s="1509"/>
      <c r="R71" s="1508"/>
      <c r="S71" s="1508"/>
      <c r="T71" s="1507"/>
      <c r="U71" s="1495">
        <f t="shared" si="14"/>
        <v>0</v>
      </c>
      <c r="V71" s="1495">
        <f t="shared" si="14"/>
        <v>0</v>
      </c>
      <c r="W71" s="1495">
        <f t="shared" si="14"/>
        <v>0</v>
      </c>
      <c r="X71" s="1495">
        <f t="shared" si="15"/>
        <v>0</v>
      </c>
      <c r="Y71" s="1495" t="e">
        <f t="shared" si="21"/>
        <v>#DIV/0!</v>
      </c>
      <c r="Z71" s="1495">
        <f t="shared" si="22"/>
        <v>0</v>
      </c>
      <c r="AA71" s="1506">
        <f t="shared" si="22"/>
        <v>0</v>
      </c>
      <c r="AB71" s="1505"/>
      <c r="AC71" s="1504">
        <f t="shared" si="16"/>
        <v>0</v>
      </c>
      <c r="AD71" s="1503">
        <f t="shared" si="17"/>
        <v>0</v>
      </c>
      <c r="AE71" s="1503">
        <f t="shared" si="18"/>
        <v>0</v>
      </c>
      <c r="AF71" s="1502">
        <f t="shared" si="19"/>
        <v>0</v>
      </c>
    </row>
    <row r="72" spans="1:32" s="1474" customFormat="1" ht="23.25" customHeight="1">
      <c r="A72" s="1515"/>
      <c r="B72" s="1513"/>
      <c r="C72" s="1514"/>
      <c r="D72" s="1514"/>
      <c r="E72" s="1513"/>
      <c r="F72" s="1512">
        <f t="shared" si="12"/>
        <v>0</v>
      </c>
      <c r="G72" s="1508"/>
      <c r="H72" s="1511"/>
      <c r="I72" s="1508"/>
      <c r="J72" s="1508"/>
      <c r="K72" s="1508"/>
      <c r="L72" s="1508"/>
      <c r="M72" s="1510">
        <f t="shared" si="13"/>
        <v>0</v>
      </c>
      <c r="N72" s="1510">
        <f t="shared" si="20"/>
        <v>0</v>
      </c>
      <c r="O72" s="1509"/>
      <c r="P72" s="1509"/>
      <c r="Q72" s="1509"/>
      <c r="R72" s="1508"/>
      <c r="S72" s="1508"/>
      <c r="T72" s="1507"/>
      <c r="U72" s="1495">
        <f t="shared" si="14"/>
        <v>0</v>
      </c>
      <c r="V72" s="1495">
        <f t="shared" si="14"/>
        <v>0</v>
      </c>
      <c r="W72" s="1495">
        <f t="shared" si="14"/>
        <v>0</v>
      </c>
      <c r="X72" s="1495">
        <f t="shared" si="15"/>
        <v>0</v>
      </c>
      <c r="Y72" s="1495" t="e">
        <f t="shared" si="21"/>
        <v>#DIV/0!</v>
      </c>
      <c r="Z72" s="1495">
        <f t="shared" si="22"/>
        <v>0</v>
      </c>
      <c r="AA72" s="1506">
        <f t="shared" si="22"/>
        <v>0</v>
      </c>
      <c r="AB72" s="1505"/>
      <c r="AC72" s="1504">
        <f t="shared" si="16"/>
        <v>0</v>
      </c>
      <c r="AD72" s="1503">
        <f t="shared" si="17"/>
        <v>0</v>
      </c>
      <c r="AE72" s="1503">
        <f t="shared" si="18"/>
        <v>0</v>
      </c>
      <c r="AF72" s="1502">
        <f t="shared" si="19"/>
        <v>0</v>
      </c>
    </row>
    <row r="73" spans="1:32" s="1474" customFormat="1" ht="23.25" customHeight="1">
      <c r="A73" s="1515"/>
      <c r="B73" s="1513"/>
      <c r="C73" s="1514"/>
      <c r="D73" s="1514"/>
      <c r="E73" s="1513"/>
      <c r="F73" s="1512">
        <f t="shared" si="12"/>
        <v>0</v>
      </c>
      <c r="G73" s="1508"/>
      <c r="H73" s="1511"/>
      <c r="I73" s="1508"/>
      <c r="J73" s="1508"/>
      <c r="K73" s="1508"/>
      <c r="L73" s="1508"/>
      <c r="M73" s="1510">
        <f t="shared" si="13"/>
        <v>0</v>
      </c>
      <c r="N73" s="1510">
        <f t="shared" si="20"/>
        <v>0</v>
      </c>
      <c r="O73" s="1509"/>
      <c r="P73" s="1509"/>
      <c r="Q73" s="1509"/>
      <c r="R73" s="1508"/>
      <c r="S73" s="1508"/>
      <c r="T73" s="1507"/>
      <c r="U73" s="1495">
        <f t="shared" si="14"/>
        <v>0</v>
      </c>
      <c r="V73" s="1495">
        <f t="shared" si="14"/>
        <v>0</v>
      </c>
      <c r="W73" s="1495">
        <f t="shared" si="14"/>
        <v>0</v>
      </c>
      <c r="X73" s="1495">
        <f t="shared" si="15"/>
        <v>0</v>
      </c>
      <c r="Y73" s="1495" t="e">
        <f t="shared" si="21"/>
        <v>#DIV/0!</v>
      </c>
      <c r="Z73" s="1495">
        <f t="shared" si="22"/>
        <v>0</v>
      </c>
      <c r="AA73" s="1506">
        <f t="shared" si="22"/>
        <v>0</v>
      </c>
      <c r="AB73" s="1505"/>
      <c r="AC73" s="1504">
        <f t="shared" si="16"/>
        <v>0</v>
      </c>
      <c r="AD73" s="1503">
        <f t="shared" si="17"/>
        <v>0</v>
      </c>
      <c r="AE73" s="1503">
        <f t="shared" si="18"/>
        <v>0</v>
      </c>
      <c r="AF73" s="1502">
        <f t="shared" si="19"/>
        <v>0</v>
      </c>
    </row>
    <row r="74" spans="1:32" s="1474" customFormat="1" ht="23.25" customHeight="1">
      <c r="A74" s="1515"/>
      <c r="B74" s="1513"/>
      <c r="C74" s="1514"/>
      <c r="D74" s="1514"/>
      <c r="E74" s="1513"/>
      <c r="F74" s="1512">
        <f t="shared" si="12"/>
        <v>0</v>
      </c>
      <c r="G74" s="1508"/>
      <c r="H74" s="1511"/>
      <c r="I74" s="1508"/>
      <c r="J74" s="1508"/>
      <c r="K74" s="1508"/>
      <c r="L74" s="1508"/>
      <c r="M74" s="1510">
        <f t="shared" si="13"/>
        <v>0</v>
      </c>
      <c r="N74" s="1510">
        <f t="shared" si="20"/>
        <v>0</v>
      </c>
      <c r="O74" s="1509"/>
      <c r="P74" s="1509"/>
      <c r="Q74" s="1509"/>
      <c r="R74" s="1508"/>
      <c r="S74" s="1508"/>
      <c r="T74" s="1507"/>
      <c r="U74" s="1495">
        <f t="shared" si="14"/>
        <v>0</v>
      </c>
      <c r="V74" s="1495">
        <f t="shared" si="14"/>
        <v>0</v>
      </c>
      <c r="W74" s="1495">
        <f t="shared" si="14"/>
        <v>0</v>
      </c>
      <c r="X74" s="1495">
        <f t="shared" si="15"/>
        <v>0</v>
      </c>
      <c r="Y74" s="1495" t="e">
        <f t="shared" si="21"/>
        <v>#DIV/0!</v>
      </c>
      <c r="Z74" s="1495">
        <f t="shared" si="22"/>
        <v>0</v>
      </c>
      <c r="AA74" s="1506">
        <f t="shared" si="22"/>
        <v>0</v>
      </c>
      <c r="AB74" s="1505"/>
      <c r="AC74" s="1504">
        <f t="shared" si="16"/>
        <v>0</v>
      </c>
      <c r="AD74" s="1503">
        <f t="shared" si="17"/>
        <v>0</v>
      </c>
      <c r="AE74" s="1503">
        <f t="shared" si="18"/>
        <v>0</v>
      </c>
      <c r="AF74" s="1502">
        <f t="shared" si="19"/>
        <v>0</v>
      </c>
    </row>
    <row r="75" spans="1:32" s="1474" customFormat="1" ht="23.25" customHeight="1">
      <c r="A75" s="1515"/>
      <c r="B75" s="1513"/>
      <c r="C75" s="1514"/>
      <c r="D75" s="1514"/>
      <c r="E75" s="1513"/>
      <c r="F75" s="1512">
        <f t="shared" si="12"/>
        <v>0</v>
      </c>
      <c r="G75" s="1508"/>
      <c r="H75" s="1511"/>
      <c r="I75" s="1508"/>
      <c r="J75" s="1508"/>
      <c r="K75" s="1508"/>
      <c r="L75" s="1508"/>
      <c r="M75" s="1510">
        <f t="shared" si="13"/>
        <v>0</v>
      </c>
      <c r="N75" s="1510">
        <f t="shared" si="20"/>
        <v>0</v>
      </c>
      <c r="O75" s="1509"/>
      <c r="P75" s="1509"/>
      <c r="Q75" s="1509"/>
      <c r="R75" s="1508"/>
      <c r="S75" s="1508"/>
      <c r="T75" s="1507"/>
      <c r="U75" s="1495">
        <f t="shared" si="14"/>
        <v>0</v>
      </c>
      <c r="V75" s="1495">
        <f t="shared" si="14"/>
        <v>0</v>
      </c>
      <c r="W75" s="1495">
        <f t="shared" si="14"/>
        <v>0</v>
      </c>
      <c r="X75" s="1495">
        <f t="shared" si="15"/>
        <v>0</v>
      </c>
      <c r="Y75" s="1495" t="e">
        <f t="shared" si="21"/>
        <v>#DIV/0!</v>
      </c>
      <c r="Z75" s="1495">
        <f t="shared" si="22"/>
        <v>0</v>
      </c>
      <c r="AA75" s="1506">
        <f t="shared" si="22"/>
        <v>0</v>
      </c>
      <c r="AB75" s="1505"/>
      <c r="AC75" s="1504">
        <f t="shared" si="16"/>
        <v>0</v>
      </c>
      <c r="AD75" s="1503">
        <f t="shared" si="17"/>
        <v>0</v>
      </c>
      <c r="AE75" s="1503">
        <f t="shared" si="18"/>
        <v>0</v>
      </c>
      <c r="AF75" s="1502">
        <f t="shared" si="19"/>
        <v>0</v>
      </c>
    </row>
    <row r="76" spans="1:32" s="1474" customFormat="1" ht="23.25" customHeight="1">
      <c r="A76" s="1515"/>
      <c r="B76" s="1513"/>
      <c r="C76" s="1514"/>
      <c r="D76" s="1514"/>
      <c r="E76" s="1513"/>
      <c r="F76" s="1512">
        <f t="shared" si="12"/>
        <v>0</v>
      </c>
      <c r="G76" s="1508"/>
      <c r="H76" s="1511"/>
      <c r="I76" s="1508"/>
      <c r="J76" s="1508"/>
      <c r="K76" s="1508"/>
      <c r="L76" s="1508"/>
      <c r="M76" s="1510">
        <f t="shared" si="13"/>
        <v>0</v>
      </c>
      <c r="N76" s="1510">
        <f t="shared" si="20"/>
        <v>0</v>
      </c>
      <c r="O76" s="1509"/>
      <c r="P76" s="1509"/>
      <c r="Q76" s="1509"/>
      <c r="R76" s="1508"/>
      <c r="S76" s="1508"/>
      <c r="T76" s="1507"/>
      <c r="U76" s="1495">
        <f t="shared" si="14"/>
        <v>0</v>
      </c>
      <c r="V76" s="1495">
        <f t="shared" si="14"/>
        <v>0</v>
      </c>
      <c r="W76" s="1495">
        <f t="shared" si="14"/>
        <v>0</v>
      </c>
      <c r="X76" s="1495">
        <f t="shared" si="15"/>
        <v>0</v>
      </c>
      <c r="Y76" s="1495" t="e">
        <f t="shared" si="21"/>
        <v>#DIV/0!</v>
      </c>
      <c r="Z76" s="1495">
        <f t="shared" si="22"/>
        <v>0</v>
      </c>
      <c r="AA76" s="1506">
        <f t="shared" si="22"/>
        <v>0</v>
      </c>
      <c r="AB76" s="1505"/>
      <c r="AC76" s="1504">
        <f t="shared" si="16"/>
        <v>0</v>
      </c>
      <c r="AD76" s="1503">
        <f t="shared" si="17"/>
        <v>0</v>
      </c>
      <c r="AE76" s="1503">
        <f t="shared" si="18"/>
        <v>0</v>
      </c>
      <c r="AF76" s="1502">
        <f t="shared" si="19"/>
        <v>0</v>
      </c>
    </row>
    <row r="77" spans="1:32" s="1474" customFormat="1" ht="23.25" customHeight="1">
      <c r="A77" s="1515"/>
      <c r="B77" s="1513"/>
      <c r="C77" s="1514"/>
      <c r="D77" s="1514"/>
      <c r="E77" s="1513"/>
      <c r="F77" s="1512">
        <f t="shared" si="12"/>
        <v>0</v>
      </c>
      <c r="G77" s="1508"/>
      <c r="H77" s="1511"/>
      <c r="I77" s="1508"/>
      <c r="J77" s="1508"/>
      <c r="K77" s="1508"/>
      <c r="L77" s="1508"/>
      <c r="M77" s="1510">
        <f t="shared" si="13"/>
        <v>0</v>
      </c>
      <c r="N77" s="1510">
        <f t="shared" si="20"/>
        <v>0</v>
      </c>
      <c r="O77" s="1509"/>
      <c r="P77" s="1509"/>
      <c r="Q77" s="1509"/>
      <c r="R77" s="1508"/>
      <c r="S77" s="1508"/>
      <c r="T77" s="1507"/>
      <c r="U77" s="1495">
        <f t="shared" si="14"/>
        <v>0</v>
      </c>
      <c r="V77" s="1495">
        <f t="shared" si="14"/>
        <v>0</v>
      </c>
      <c r="W77" s="1495">
        <f t="shared" si="14"/>
        <v>0</v>
      </c>
      <c r="X77" s="1495">
        <f t="shared" si="15"/>
        <v>0</v>
      </c>
      <c r="Y77" s="1495" t="e">
        <f t="shared" si="21"/>
        <v>#DIV/0!</v>
      </c>
      <c r="Z77" s="1495">
        <f t="shared" si="22"/>
        <v>0</v>
      </c>
      <c r="AA77" s="1506">
        <f t="shared" si="22"/>
        <v>0</v>
      </c>
      <c r="AB77" s="1505"/>
      <c r="AC77" s="1504">
        <f t="shared" si="16"/>
        <v>0</v>
      </c>
      <c r="AD77" s="1503">
        <f t="shared" si="17"/>
        <v>0</v>
      </c>
      <c r="AE77" s="1503">
        <f t="shared" si="18"/>
        <v>0</v>
      </c>
      <c r="AF77" s="1502">
        <f t="shared" si="19"/>
        <v>0</v>
      </c>
    </row>
    <row r="78" spans="1:32" s="1474" customFormat="1" ht="23.25" customHeight="1">
      <c r="A78" s="1515"/>
      <c r="B78" s="1513"/>
      <c r="C78" s="1514"/>
      <c r="D78" s="1514"/>
      <c r="E78" s="1513"/>
      <c r="F78" s="1512">
        <f t="shared" si="12"/>
        <v>0</v>
      </c>
      <c r="G78" s="1508"/>
      <c r="H78" s="1511"/>
      <c r="I78" s="1508"/>
      <c r="J78" s="1508"/>
      <c r="K78" s="1508"/>
      <c r="L78" s="1508"/>
      <c r="M78" s="1510">
        <f t="shared" si="13"/>
        <v>0</v>
      </c>
      <c r="N78" s="1510">
        <f t="shared" si="20"/>
        <v>0</v>
      </c>
      <c r="O78" s="1509"/>
      <c r="P78" s="1509"/>
      <c r="Q78" s="1509"/>
      <c r="R78" s="1508"/>
      <c r="S78" s="1508"/>
      <c r="T78" s="1507"/>
      <c r="U78" s="1495">
        <f t="shared" si="14"/>
        <v>0</v>
      </c>
      <c r="V78" s="1495">
        <f t="shared" si="14"/>
        <v>0</v>
      </c>
      <c r="W78" s="1495">
        <f t="shared" si="14"/>
        <v>0</v>
      </c>
      <c r="X78" s="1495">
        <f t="shared" si="15"/>
        <v>0</v>
      </c>
      <c r="Y78" s="1495" t="e">
        <f t="shared" si="21"/>
        <v>#DIV/0!</v>
      </c>
      <c r="Z78" s="1495">
        <f t="shared" si="22"/>
        <v>0</v>
      </c>
      <c r="AA78" s="1506">
        <f t="shared" si="22"/>
        <v>0</v>
      </c>
      <c r="AB78" s="1505"/>
      <c r="AC78" s="1504">
        <f t="shared" si="16"/>
        <v>0</v>
      </c>
      <c r="AD78" s="1503">
        <f t="shared" si="17"/>
        <v>0</v>
      </c>
      <c r="AE78" s="1503">
        <f t="shared" si="18"/>
        <v>0</v>
      </c>
      <c r="AF78" s="1502">
        <f t="shared" si="19"/>
        <v>0</v>
      </c>
    </row>
    <row r="79" spans="1:32" s="1474" customFormat="1" ht="23.25" customHeight="1">
      <c r="A79" s="1515"/>
      <c r="B79" s="1513"/>
      <c r="C79" s="1514"/>
      <c r="D79" s="1514"/>
      <c r="E79" s="1513"/>
      <c r="F79" s="1512">
        <f t="shared" si="12"/>
        <v>0</v>
      </c>
      <c r="G79" s="1508"/>
      <c r="H79" s="1511"/>
      <c r="I79" s="1508"/>
      <c r="J79" s="1508"/>
      <c r="K79" s="1508"/>
      <c r="L79" s="1508"/>
      <c r="M79" s="1510">
        <f t="shared" si="13"/>
        <v>0</v>
      </c>
      <c r="N79" s="1510">
        <f t="shared" si="20"/>
        <v>0</v>
      </c>
      <c r="O79" s="1509"/>
      <c r="P79" s="1509"/>
      <c r="Q79" s="1509"/>
      <c r="R79" s="1508"/>
      <c r="S79" s="1508"/>
      <c r="T79" s="1507"/>
      <c r="U79" s="1495">
        <f t="shared" si="14"/>
        <v>0</v>
      </c>
      <c r="V79" s="1495">
        <f t="shared" si="14"/>
        <v>0</v>
      </c>
      <c r="W79" s="1495">
        <f t="shared" si="14"/>
        <v>0</v>
      </c>
      <c r="X79" s="1495">
        <f t="shared" si="15"/>
        <v>0</v>
      </c>
      <c r="Y79" s="1495" t="e">
        <f t="shared" si="21"/>
        <v>#DIV/0!</v>
      </c>
      <c r="Z79" s="1495">
        <f t="shared" si="22"/>
        <v>0</v>
      </c>
      <c r="AA79" s="1506">
        <f t="shared" si="22"/>
        <v>0</v>
      </c>
      <c r="AB79" s="1505"/>
      <c r="AC79" s="1504">
        <f t="shared" si="16"/>
        <v>0</v>
      </c>
      <c r="AD79" s="1503">
        <f t="shared" si="17"/>
        <v>0</v>
      </c>
      <c r="AE79" s="1503">
        <f t="shared" si="18"/>
        <v>0</v>
      </c>
      <c r="AF79" s="1502">
        <f t="shared" si="19"/>
        <v>0</v>
      </c>
    </row>
    <row r="80" spans="1:32" s="1474" customFormat="1" ht="23.25" customHeight="1">
      <c r="A80" s="1515"/>
      <c r="B80" s="1513"/>
      <c r="C80" s="1514"/>
      <c r="D80" s="1514"/>
      <c r="E80" s="1513"/>
      <c r="F80" s="1512">
        <f t="shared" si="12"/>
        <v>0</v>
      </c>
      <c r="G80" s="1508"/>
      <c r="H80" s="1511"/>
      <c r="I80" s="1508"/>
      <c r="J80" s="1508"/>
      <c r="K80" s="1508"/>
      <c r="L80" s="1508"/>
      <c r="M80" s="1510">
        <f t="shared" si="13"/>
        <v>0</v>
      </c>
      <c r="N80" s="1510">
        <f t="shared" si="20"/>
        <v>0</v>
      </c>
      <c r="O80" s="1509"/>
      <c r="P80" s="1509"/>
      <c r="Q80" s="1509"/>
      <c r="R80" s="1508"/>
      <c r="S80" s="1508"/>
      <c r="T80" s="1507"/>
      <c r="U80" s="1495">
        <f t="shared" si="14"/>
        <v>0</v>
      </c>
      <c r="V80" s="1495">
        <f t="shared" si="14"/>
        <v>0</v>
      </c>
      <c r="W80" s="1495">
        <f t="shared" si="14"/>
        <v>0</v>
      </c>
      <c r="X80" s="1495">
        <f t="shared" si="15"/>
        <v>0</v>
      </c>
      <c r="Y80" s="1495" t="e">
        <f t="shared" si="21"/>
        <v>#DIV/0!</v>
      </c>
      <c r="Z80" s="1495">
        <f t="shared" si="22"/>
        <v>0</v>
      </c>
      <c r="AA80" s="1506">
        <f t="shared" si="22"/>
        <v>0</v>
      </c>
      <c r="AB80" s="1505"/>
      <c r="AC80" s="1504">
        <f t="shared" si="16"/>
        <v>0</v>
      </c>
      <c r="AD80" s="1503">
        <f t="shared" si="17"/>
        <v>0</v>
      </c>
      <c r="AE80" s="1503">
        <f t="shared" si="18"/>
        <v>0</v>
      </c>
      <c r="AF80" s="1502">
        <f t="shared" si="19"/>
        <v>0</v>
      </c>
    </row>
    <row r="81" spans="1:32" s="1474" customFormat="1" ht="23.25" customHeight="1">
      <c r="A81" s="1515"/>
      <c r="B81" s="1513"/>
      <c r="C81" s="1514"/>
      <c r="D81" s="1514"/>
      <c r="E81" s="1513"/>
      <c r="F81" s="1512">
        <f t="shared" si="12"/>
        <v>0</v>
      </c>
      <c r="G81" s="1508"/>
      <c r="H81" s="1511"/>
      <c r="I81" s="1508"/>
      <c r="J81" s="1508"/>
      <c r="K81" s="1508"/>
      <c r="L81" s="1508"/>
      <c r="M81" s="1510">
        <f t="shared" si="13"/>
        <v>0</v>
      </c>
      <c r="N81" s="1510">
        <f>IF(J81&lt;I81,J81*L81,IF(J81&gt;=I81,F81))</f>
        <v>0</v>
      </c>
      <c r="O81" s="1509"/>
      <c r="P81" s="1509"/>
      <c r="Q81" s="1509"/>
      <c r="R81" s="1508"/>
      <c r="S81" s="1508"/>
      <c r="T81" s="1507"/>
      <c r="U81" s="1495">
        <f t="shared" si="14"/>
        <v>0</v>
      </c>
      <c r="V81" s="1495">
        <f t="shared" si="14"/>
        <v>0</v>
      </c>
      <c r="W81" s="1495">
        <f t="shared" si="14"/>
        <v>0</v>
      </c>
      <c r="X81" s="1495">
        <f t="shared" si="15"/>
        <v>0</v>
      </c>
      <c r="Y81" s="1495" t="e">
        <f t="shared" si="21"/>
        <v>#DIV/0!</v>
      </c>
      <c r="Z81" s="1495">
        <f t="shared" si="22"/>
        <v>0</v>
      </c>
      <c r="AA81" s="1506">
        <f t="shared" si="22"/>
        <v>0</v>
      </c>
      <c r="AB81" s="1505"/>
      <c r="AC81" s="1504">
        <f t="shared" si="16"/>
        <v>0</v>
      </c>
      <c r="AD81" s="1503">
        <f t="shared" si="17"/>
        <v>0</v>
      </c>
      <c r="AE81" s="1503">
        <f t="shared" si="18"/>
        <v>0</v>
      </c>
      <c r="AF81" s="1502">
        <f t="shared" si="19"/>
        <v>0</v>
      </c>
    </row>
    <row r="82" spans="1:32" s="1474" customFormat="1" ht="23.25" customHeight="1">
      <c r="A82" s="1515"/>
      <c r="B82" s="1513"/>
      <c r="C82" s="1514"/>
      <c r="D82" s="1514"/>
      <c r="E82" s="1513"/>
      <c r="F82" s="1512">
        <f t="shared" si="12"/>
        <v>0</v>
      </c>
      <c r="G82" s="1508"/>
      <c r="H82" s="1511"/>
      <c r="I82" s="1508"/>
      <c r="J82" s="1508"/>
      <c r="K82" s="1508"/>
      <c r="L82" s="1508"/>
      <c r="M82" s="1510">
        <f>IF(J82&lt;I82,J82*K82,IF(J82&gt;=I82,E82))</f>
        <v>0</v>
      </c>
      <c r="N82" s="1510">
        <f>IF(J82&lt;I82,J82*L82,IF(J82&gt;=I82,F82))</f>
        <v>0</v>
      </c>
      <c r="O82" s="1509"/>
      <c r="P82" s="1509"/>
      <c r="Q82" s="1509"/>
      <c r="R82" s="1508"/>
      <c r="S82" s="1508"/>
      <c r="T82" s="1507"/>
      <c r="U82" s="1495">
        <f t="shared" ref="U82:W97" si="23">SUM(O82+R82)</f>
        <v>0</v>
      </c>
      <c r="V82" s="1495">
        <f t="shared" si="23"/>
        <v>0</v>
      </c>
      <c r="W82" s="1495">
        <f t="shared" si="23"/>
        <v>0</v>
      </c>
      <c r="X82" s="1495">
        <f t="shared" si="15"/>
        <v>0</v>
      </c>
      <c r="Y82" s="1495" t="e">
        <f t="shared" si="21"/>
        <v>#DIV/0!</v>
      </c>
      <c r="Z82" s="1495">
        <f t="shared" si="22"/>
        <v>0</v>
      </c>
      <c r="AA82" s="1506">
        <f t="shared" si="22"/>
        <v>0</v>
      </c>
      <c r="AB82" s="1505"/>
      <c r="AC82" s="1504">
        <f t="shared" si="16"/>
        <v>0</v>
      </c>
      <c r="AD82" s="1503">
        <f t="shared" si="17"/>
        <v>0</v>
      </c>
      <c r="AE82" s="1503">
        <f t="shared" si="18"/>
        <v>0</v>
      </c>
      <c r="AF82" s="1502">
        <f t="shared" si="19"/>
        <v>0</v>
      </c>
    </row>
    <row r="83" spans="1:32" s="1474" customFormat="1" ht="23.25" customHeight="1">
      <c r="A83" s="1515"/>
      <c r="B83" s="1513"/>
      <c r="C83" s="1514"/>
      <c r="D83" s="1514"/>
      <c r="E83" s="1513"/>
      <c r="F83" s="1512">
        <f t="shared" si="12"/>
        <v>0</v>
      </c>
      <c r="G83" s="1508"/>
      <c r="H83" s="1511"/>
      <c r="I83" s="1508"/>
      <c r="J83" s="1508"/>
      <c r="K83" s="1508"/>
      <c r="L83" s="1508"/>
      <c r="M83" s="1510">
        <f>IF(J83&lt;I83,J83*K83,IF(J83&gt;=I83,E83))</f>
        <v>0</v>
      </c>
      <c r="N83" s="1510">
        <f t="shared" si="20"/>
        <v>0</v>
      </c>
      <c r="O83" s="1509"/>
      <c r="P83" s="1509"/>
      <c r="Q83" s="1509"/>
      <c r="R83" s="1508"/>
      <c r="S83" s="1508"/>
      <c r="T83" s="1507"/>
      <c r="U83" s="1495">
        <f t="shared" si="23"/>
        <v>0</v>
      </c>
      <c r="V83" s="1495">
        <f t="shared" si="23"/>
        <v>0</v>
      </c>
      <c r="W83" s="1495">
        <f t="shared" si="23"/>
        <v>0</v>
      </c>
      <c r="X83" s="1495">
        <f t="shared" si="15"/>
        <v>0</v>
      </c>
      <c r="Y83" s="1495" t="e">
        <f t="shared" si="21"/>
        <v>#DIV/0!</v>
      </c>
      <c r="Z83" s="1495">
        <f t="shared" si="22"/>
        <v>0</v>
      </c>
      <c r="AA83" s="1506">
        <f t="shared" si="22"/>
        <v>0</v>
      </c>
      <c r="AB83" s="1505"/>
      <c r="AC83" s="1504">
        <f t="shared" si="16"/>
        <v>0</v>
      </c>
      <c r="AD83" s="1503">
        <f t="shared" si="17"/>
        <v>0</v>
      </c>
      <c r="AE83" s="1503">
        <f t="shared" si="18"/>
        <v>0</v>
      </c>
      <c r="AF83" s="1502">
        <f t="shared" si="19"/>
        <v>0</v>
      </c>
    </row>
    <row r="84" spans="1:32" s="1474" customFormat="1" ht="23.25" customHeight="1">
      <c r="A84" s="1515"/>
      <c r="B84" s="1513"/>
      <c r="C84" s="1514"/>
      <c r="D84" s="1514"/>
      <c r="E84" s="1513"/>
      <c r="F84" s="1512">
        <f t="shared" si="12"/>
        <v>0</v>
      </c>
      <c r="G84" s="1508"/>
      <c r="H84" s="1511"/>
      <c r="I84" s="1508"/>
      <c r="J84" s="1508"/>
      <c r="K84" s="1508"/>
      <c r="L84" s="1508"/>
      <c r="M84" s="1510">
        <f t="shared" si="13"/>
        <v>0</v>
      </c>
      <c r="N84" s="1510">
        <f t="shared" si="20"/>
        <v>0</v>
      </c>
      <c r="O84" s="1509"/>
      <c r="P84" s="1509"/>
      <c r="Q84" s="1509"/>
      <c r="R84" s="1508"/>
      <c r="S84" s="1508"/>
      <c r="T84" s="1507"/>
      <c r="U84" s="1495">
        <f t="shared" si="23"/>
        <v>0</v>
      </c>
      <c r="V84" s="1495">
        <f t="shared" si="23"/>
        <v>0</v>
      </c>
      <c r="W84" s="1495">
        <f t="shared" si="23"/>
        <v>0</v>
      </c>
      <c r="X84" s="1495">
        <f t="shared" si="15"/>
        <v>0</v>
      </c>
      <c r="Y84" s="1495" t="e">
        <f t="shared" si="21"/>
        <v>#DIV/0!</v>
      </c>
      <c r="Z84" s="1495">
        <f t="shared" si="22"/>
        <v>0</v>
      </c>
      <c r="AA84" s="1506">
        <f t="shared" si="22"/>
        <v>0</v>
      </c>
      <c r="AB84" s="1505"/>
      <c r="AC84" s="1504">
        <f t="shared" si="16"/>
        <v>0</v>
      </c>
      <c r="AD84" s="1503">
        <f t="shared" si="17"/>
        <v>0</v>
      </c>
      <c r="AE84" s="1503">
        <f t="shared" si="18"/>
        <v>0</v>
      </c>
      <c r="AF84" s="1502">
        <f t="shared" si="19"/>
        <v>0</v>
      </c>
    </row>
    <row r="85" spans="1:32" s="1474" customFormat="1" ht="23.25" customHeight="1">
      <c r="A85" s="1515"/>
      <c r="B85" s="1513"/>
      <c r="C85" s="1514"/>
      <c r="D85" s="1514"/>
      <c r="E85" s="1513"/>
      <c r="F85" s="1512">
        <f t="shared" si="12"/>
        <v>0</v>
      </c>
      <c r="G85" s="1508"/>
      <c r="H85" s="1511"/>
      <c r="I85" s="1508"/>
      <c r="J85" s="1508"/>
      <c r="K85" s="1508"/>
      <c r="L85" s="1508"/>
      <c r="M85" s="1510">
        <f t="shared" si="13"/>
        <v>0</v>
      </c>
      <c r="N85" s="1510">
        <f t="shared" si="20"/>
        <v>0</v>
      </c>
      <c r="O85" s="1509"/>
      <c r="P85" s="1509"/>
      <c r="Q85" s="1509"/>
      <c r="R85" s="1508"/>
      <c r="S85" s="1508"/>
      <c r="T85" s="1507"/>
      <c r="U85" s="1495">
        <f t="shared" si="23"/>
        <v>0</v>
      </c>
      <c r="V85" s="1495">
        <f t="shared" si="23"/>
        <v>0</v>
      </c>
      <c r="W85" s="1495">
        <f t="shared" si="23"/>
        <v>0</v>
      </c>
      <c r="X85" s="1495">
        <f t="shared" si="15"/>
        <v>0</v>
      </c>
      <c r="Y85" s="1495" t="e">
        <f t="shared" si="21"/>
        <v>#DIV/0!</v>
      </c>
      <c r="Z85" s="1495">
        <f t="shared" si="22"/>
        <v>0</v>
      </c>
      <c r="AA85" s="1506">
        <f t="shared" si="22"/>
        <v>0</v>
      </c>
      <c r="AB85" s="1505"/>
      <c r="AC85" s="1504">
        <f t="shared" si="16"/>
        <v>0</v>
      </c>
      <c r="AD85" s="1503">
        <f t="shared" si="17"/>
        <v>0</v>
      </c>
      <c r="AE85" s="1503">
        <f t="shared" si="18"/>
        <v>0</v>
      </c>
      <c r="AF85" s="1502">
        <f t="shared" si="19"/>
        <v>0</v>
      </c>
    </row>
    <row r="86" spans="1:32" s="1474" customFormat="1" ht="23.25" customHeight="1">
      <c r="A86" s="1515"/>
      <c r="B86" s="1513"/>
      <c r="C86" s="1514"/>
      <c r="D86" s="1514"/>
      <c r="E86" s="1513"/>
      <c r="F86" s="1512">
        <f t="shared" si="12"/>
        <v>0</v>
      </c>
      <c r="G86" s="1508"/>
      <c r="H86" s="1511"/>
      <c r="I86" s="1508"/>
      <c r="J86" s="1508"/>
      <c r="K86" s="1508"/>
      <c r="L86" s="1508"/>
      <c r="M86" s="1510">
        <f t="shared" si="13"/>
        <v>0</v>
      </c>
      <c r="N86" s="1510">
        <f t="shared" si="20"/>
        <v>0</v>
      </c>
      <c r="O86" s="1509"/>
      <c r="P86" s="1509"/>
      <c r="Q86" s="1509"/>
      <c r="R86" s="1508"/>
      <c r="S86" s="1508"/>
      <c r="T86" s="1507"/>
      <c r="U86" s="1495">
        <f t="shared" si="23"/>
        <v>0</v>
      </c>
      <c r="V86" s="1495">
        <f t="shared" si="23"/>
        <v>0</v>
      </c>
      <c r="W86" s="1495">
        <f t="shared" si="23"/>
        <v>0</v>
      </c>
      <c r="X86" s="1495">
        <f t="shared" si="15"/>
        <v>0</v>
      </c>
      <c r="Y86" s="1495" t="e">
        <f t="shared" si="21"/>
        <v>#DIV/0!</v>
      </c>
      <c r="Z86" s="1495">
        <f t="shared" si="22"/>
        <v>0</v>
      </c>
      <c r="AA86" s="1506">
        <f t="shared" si="22"/>
        <v>0</v>
      </c>
      <c r="AB86" s="1505"/>
      <c r="AC86" s="1504">
        <f t="shared" si="16"/>
        <v>0</v>
      </c>
      <c r="AD86" s="1503">
        <f t="shared" si="17"/>
        <v>0</v>
      </c>
      <c r="AE86" s="1503">
        <f t="shared" si="18"/>
        <v>0</v>
      </c>
      <c r="AF86" s="1502">
        <f t="shared" si="19"/>
        <v>0</v>
      </c>
    </row>
    <row r="87" spans="1:32" s="1474" customFormat="1" ht="23.25" customHeight="1">
      <c r="A87" s="1515"/>
      <c r="B87" s="1513"/>
      <c r="C87" s="1514"/>
      <c r="D87" s="1514"/>
      <c r="E87" s="1513"/>
      <c r="F87" s="1512">
        <f t="shared" si="12"/>
        <v>0</v>
      </c>
      <c r="G87" s="1508"/>
      <c r="H87" s="1511"/>
      <c r="I87" s="1508"/>
      <c r="J87" s="1508"/>
      <c r="K87" s="1508"/>
      <c r="L87" s="1508"/>
      <c r="M87" s="1510">
        <f t="shared" si="13"/>
        <v>0</v>
      </c>
      <c r="N87" s="1510">
        <f t="shared" si="20"/>
        <v>0</v>
      </c>
      <c r="O87" s="1509"/>
      <c r="P87" s="1509"/>
      <c r="Q87" s="1509"/>
      <c r="R87" s="1508"/>
      <c r="S87" s="1508"/>
      <c r="T87" s="1507"/>
      <c r="U87" s="1495">
        <f t="shared" si="23"/>
        <v>0</v>
      </c>
      <c r="V87" s="1495">
        <f t="shared" si="23"/>
        <v>0</v>
      </c>
      <c r="W87" s="1495">
        <f t="shared" si="23"/>
        <v>0</v>
      </c>
      <c r="X87" s="1495">
        <f t="shared" si="15"/>
        <v>0</v>
      </c>
      <c r="Y87" s="1495" t="e">
        <f t="shared" si="21"/>
        <v>#DIV/0!</v>
      </c>
      <c r="Z87" s="1495">
        <f t="shared" si="22"/>
        <v>0</v>
      </c>
      <c r="AA87" s="1506">
        <f t="shared" si="22"/>
        <v>0</v>
      </c>
      <c r="AB87" s="1505"/>
      <c r="AC87" s="1504">
        <f t="shared" si="16"/>
        <v>0</v>
      </c>
      <c r="AD87" s="1503">
        <f t="shared" si="17"/>
        <v>0</v>
      </c>
      <c r="AE87" s="1503">
        <f t="shared" si="18"/>
        <v>0</v>
      </c>
      <c r="AF87" s="1502">
        <f t="shared" si="19"/>
        <v>0</v>
      </c>
    </row>
    <row r="88" spans="1:32" s="1474" customFormat="1" ht="23.25" customHeight="1">
      <c r="A88" s="1515"/>
      <c r="B88" s="1513"/>
      <c r="C88" s="1514"/>
      <c r="D88" s="1514"/>
      <c r="E88" s="1513"/>
      <c r="F88" s="1512">
        <f t="shared" si="12"/>
        <v>0</v>
      </c>
      <c r="G88" s="1508"/>
      <c r="H88" s="1511"/>
      <c r="I88" s="1508"/>
      <c r="J88" s="1508"/>
      <c r="K88" s="1508"/>
      <c r="L88" s="1508"/>
      <c r="M88" s="1510">
        <f t="shared" si="13"/>
        <v>0</v>
      </c>
      <c r="N88" s="1510">
        <f t="shared" si="20"/>
        <v>0</v>
      </c>
      <c r="O88" s="1509"/>
      <c r="P88" s="1509"/>
      <c r="Q88" s="1509"/>
      <c r="R88" s="1508"/>
      <c r="S88" s="1508"/>
      <c r="T88" s="1507"/>
      <c r="U88" s="1495">
        <f t="shared" si="23"/>
        <v>0</v>
      </c>
      <c r="V88" s="1495">
        <f t="shared" si="23"/>
        <v>0</v>
      </c>
      <c r="W88" s="1495">
        <f t="shared" si="23"/>
        <v>0</v>
      </c>
      <c r="X88" s="1495">
        <f t="shared" si="15"/>
        <v>0</v>
      </c>
      <c r="Y88" s="1495" t="e">
        <f t="shared" si="21"/>
        <v>#DIV/0!</v>
      </c>
      <c r="Z88" s="1495">
        <f t="shared" si="22"/>
        <v>0</v>
      </c>
      <c r="AA88" s="1506">
        <f t="shared" si="22"/>
        <v>0</v>
      </c>
      <c r="AB88" s="1505"/>
      <c r="AC88" s="1504">
        <f t="shared" si="16"/>
        <v>0</v>
      </c>
      <c r="AD88" s="1503">
        <f t="shared" si="17"/>
        <v>0</v>
      </c>
      <c r="AE88" s="1503">
        <f t="shared" si="18"/>
        <v>0</v>
      </c>
      <c r="AF88" s="1502">
        <f t="shared" si="19"/>
        <v>0</v>
      </c>
    </row>
    <row r="89" spans="1:32" s="1474" customFormat="1" ht="23.25" customHeight="1">
      <c r="A89" s="1515"/>
      <c r="B89" s="1513"/>
      <c r="C89" s="1514"/>
      <c r="D89" s="1514"/>
      <c r="E89" s="1513"/>
      <c r="F89" s="1512">
        <f t="shared" si="12"/>
        <v>0</v>
      </c>
      <c r="G89" s="1508"/>
      <c r="H89" s="1511"/>
      <c r="I89" s="1508"/>
      <c r="J89" s="1508"/>
      <c r="K89" s="1508"/>
      <c r="L89" s="1508"/>
      <c r="M89" s="1510">
        <f t="shared" si="13"/>
        <v>0</v>
      </c>
      <c r="N89" s="1510">
        <f t="shared" si="20"/>
        <v>0</v>
      </c>
      <c r="O89" s="1509"/>
      <c r="P89" s="1509"/>
      <c r="Q89" s="1509"/>
      <c r="R89" s="1508"/>
      <c r="S89" s="1508"/>
      <c r="T89" s="1507"/>
      <c r="U89" s="1495">
        <f t="shared" si="23"/>
        <v>0</v>
      </c>
      <c r="V89" s="1495">
        <f t="shared" si="23"/>
        <v>0</v>
      </c>
      <c r="W89" s="1495">
        <f t="shared" si="23"/>
        <v>0</v>
      </c>
      <c r="X89" s="1495">
        <f t="shared" si="15"/>
        <v>0</v>
      </c>
      <c r="Y89" s="1495" t="e">
        <f t="shared" si="21"/>
        <v>#DIV/0!</v>
      </c>
      <c r="Z89" s="1495">
        <f t="shared" si="22"/>
        <v>0</v>
      </c>
      <c r="AA89" s="1506">
        <f t="shared" si="22"/>
        <v>0</v>
      </c>
      <c r="AB89" s="1505"/>
      <c r="AC89" s="1504">
        <f t="shared" si="16"/>
        <v>0</v>
      </c>
      <c r="AD89" s="1503">
        <f t="shared" si="17"/>
        <v>0</v>
      </c>
      <c r="AE89" s="1503">
        <f t="shared" si="18"/>
        <v>0</v>
      </c>
      <c r="AF89" s="1502">
        <f t="shared" si="19"/>
        <v>0</v>
      </c>
    </row>
    <row r="90" spans="1:32" s="1474" customFormat="1" ht="23.25" customHeight="1">
      <c r="A90" s="1515"/>
      <c r="B90" s="1513"/>
      <c r="C90" s="1514"/>
      <c r="D90" s="1514"/>
      <c r="E90" s="1513"/>
      <c r="F90" s="1512">
        <f t="shared" si="12"/>
        <v>0</v>
      </c>
      <c r="G90" s="1508"/>
      <c r="H90" s="1511"/>
      <c r="I90" s="1508"/>
      <c r="J90" s="1508"/>
      <c r="K90" s="1508"/>
      <c r="L90" s="1508"/>
      <c r="M90" s="1510">
        <f t="shared" si="13"/>
        <v>0</v>
      </c>
      <c r="N90" s="1510">
        <f t="shared" si="20"/>
        <v>0</v>
      </c>
      <c r="O90" s="1509"/>
      <c r="P90" s="1509"/>
      <c r="Q90" s="1509"/>
      <c r="R90" s="1508"/>
      <c r="S90" s="1508"/>
      <c r="T90" s="1507"/>
      <c r="U90" s="1495">
        <f t="shared" si="23"/>
        <v>0</v>
      </c>
      <c r="V90" s="1495">
        <f t="shared" si="23"/>
        <v>0</v>
      </c>
      <c r="W90" s="1495">
        <f t="shared" si="23"/>
        <v>0</v>
      </c>
      <c r="X90" s="1495">
        <f t="shared" si="15"/>
        <v>0</v>
      </c>
      <c r="Y90" s="1495" t="e">
        <f t="shared" si="21"/>
        <v>#DIV/0!</v>
      </c>
      <c r="Z90" s="1495">
        <f t="shared" si="22"/>
        <v>0</v>
      </c>
      <c r="AA90" s="1506">
        <f t="shared" si="22"/>
        <v>0</v>
      </c>
      <c r="AB90" s="1505"/>
      <c r="AC90" s="1504">
        <f t="shared" si="16"/>
        <v>0</v>
      </c>
      <c r="AD90" s="1503">
        <f t="shared" si="17"/>
        <v>0</v>
      </c>
      <c r="AE90" s="1503">
        <f t="shared" si="18"/>
        <v>0</v>
      </c>
      <c r="AF90" s="1502">
        <f t="shared" si="19"/>
        <v>0</v>
      </c>
    </row>
    <row r="91" spans="1:32" s="1474" customFormat="1" ht="23.25" customHeight="1">
      <c r="A91" s="1515"/>
      <c r="B91" s="1513"/>
      <c r="C91" s="1514"/>
      <c r="D91" s="1514"/>
      <c r="E91" s="1513"/>
      <c r="F91" s="1512">
        <f t="shared" si="12"/>
        <v>0</v>
      </c>
      <c r="G91" s="1508"/>
      <c r="H91" s="1511"/>
      <c r="I91" s="1508"/>
      <c r="J91" s="1508"/>
      <c r="K91" s="1508"/>
      <c r="L91" s="1508"/>
      <c r="M91" s="1510">
        <f t="shared" si="13"/>
        <v>0</v>
      </c>
      <c r="N91" s="1510">
        <f t="shared" si="20"/>
        <v>0</v>
      </c>
      <c r="O91" s="1509"/>
      <c r="P91" s="1509"/>
      <c r="Q91" s="1509"/>
      <c r="R91" s="1508"/>
      <c r="S91" s="1508"/>
      <c r="T91" s="1507"/>
      <c r="U91" s="1495">
        <f t="shared" si="23"/>
        <v>0</v>
      </c>
      <c r="V91" s="1495">
        <f t="shared" si="23"/>
        <v>0</v>
      </c>
      <c r="W91" s="1495">
        <f t="shared" si="23"/>
        <v>0</v>
      </c>
      <c r="X91" s="1495">
        <f t="shared" si="15"/>
        <v>0</v>
      </c>
      <c r="Y91" s="1495" t="e">
        <f t="shared" si="21"/>
        <v>#DIV/0!</v>
      </c>
      <c r="Z91" s="1495">
        <f t="shared" si="22"/>
        <v>0</v>
      </c>
      <c r="AA91" s="1506">
        <f t="shared" si="22"/>
        <v>0</v>
      </c>
      <c r="AB91" s="1505"/>
      <c r="AC91" s="1504">
        <f t="shared" si="16"/>
        <v>0</v>
      </c>
      <c r="AD91" s="1503">
        <f t="shared" si="17"/>
        <v>0</v>
      </c>
      <c r="AE91" s="1503">
        <f t="shared" si="18"/>
        <v>0</v>
      </c>
      <c r="AF91" s="1502">
        <f t="shared" si="19"/>
        <v>0</v>
      </c>
    </row>
    <row r="92" spans="1:32" s="1474" customFormat="1" ht="23.25" customHeight="1">
      <c r="A92" s="1515"/>
      <c r="B92" s="1513"/>
      <c r="C92" s="1514"/>
      <c r="D92" s="1514"/>
      <c r="E92" s="1513"/>
      <c r="F92" s="1512">
        <f t="shared" si="12"/>
        <v>0</v>
      </c>
      <c r="G92" s="1508"/>
      <c r="H92" s="1511"/>
      <c r="I92" s="1508"/>
      <c r="J92" s="1508"/>
      <c r="K92" s="1508"/>
      <c r="L92" s="1508"/>
      <c r="M92" s="1510">
        <f t="shared" si="13"/>
        <v>0</v>
      </c>
      <c r="N92" s="1510">
        <f t="shared" si="20"/>
        <v>0</v>
      </c>
      <c r="O92" s="1509"/>
      <c r="P92" s="1509"/>
      <c r="Q92" s="1509"/>
      <c r="R92" s="1508"/>
      <c r="S92" s="1508"/>
      <c r="T92" s="1507"/>
      <c r="U92" s="1495">
        <f t="shared" si="23"/>
        <v>0</v>
      </c>
      <c r="V92" s="1495">
        <f t="shared" si="23"/>
        <v>0</v>
      </c>
      <c r="W92" s="1495">
        <f t="shared" si="23"/>
        <v>0</v>
      </c>
      <c r="X92" s="1495">
        <f t="shared" si="15"/>
        <v>0</v>
      </c>
      <c r="Y92" s="1495" t="e">
        <f t="shared" si="21"/>
        <v>#DIV/0!</v>
      </c>
      <c r="Z92" s="1495">
        <f t="shared" ref="Z92:AA100" si="24">SUM(M92-U92)</f>
        <v>0</v>
      </c>
      <c r="AA92" s="1506">
        <f t="shared" si="24"/>
        <v>0</v>
      </c>
      <c r="AB92" s="1505"/>
      <c r="AC92" s="1504">
        <f t="shared" si="16"/>
        <v>0</v>
      </c>
      <c r="AD92" s="1503">
        <f t="shared" si="17"/>
        <v>0</v>
      </c>
      <c r="AE92" s="1503">
        <f t="shared" si="18"/>
        <v>0</v>
      </c>
      <c r="AF92" s="1502">
        <f t="shared" si="19"/>
        <v>0</v>
      </c>
    </row>
    <row r="93" spans="1:32" s="1474" customFormat="1" ht="23.25" customHeight="1">
      <c r="A93" s="1515"/>
      <c r="B93" s="1513"/>
      <c r="C93" s="1514"/>
      <c r="D93" s="1514"/>
      <c r="E93" s="1513"/>
      <c r="F93" s="1512">
        <f t="shared" si="12"/>
        <v>0</v>
      </c>
      <c r="G93" s="1508"/>
      <c r="H93" s="1511"/>
      <c r="I93" s="1508"/>
      <c r="J93" s="1508"/>
      <c r="K93" s="1508"/>
      <c r="L93" s="1508"/>
      <c r="M93" s="1510">
        <f t="shared" si="13"/>
        <v>0</v>
      </c>
      <c r="N93" s="1510">
        <f t="shared" si="20"/>
        <v>0</v>
      </c>
      <c r="O93" s="1509"/>
      <c r="P93" s="1509"/>
      <c r="Q93" s="1509"/>
      <c r="R93" s="1508"/>
      <c r="S93" s="1508"/>
      <c r="T93" s="1507"/>
      <c r="U93" s="1495">
        <f t="shared" si="23"/>
        <v>0</v>
      </c>
      <c r="V93" s="1495">
        <f t="shared" si="23"/>
        <v>0</v>
      </c>
      <c r="W93" s="1495">
        <f t="shared" si="23"/>
        <v>0</v>
      </c>
      <c r="X93" s="1495">
        <f t="shared" si="15"/>
        <v>0</v>
      </c>
      <c r="Y93" s="1495" t="e">
        <f t="shared" si="21"/>
        <v>#DIV/0!</v>
      </c>
      <c r="Z93" s="1495">
        <f t="shared" si="24"/>
        <v>0</v>
      </c>
      <c r="AA93" s="1506">
        <f t="shared" si="24"/>
        <v>0</v>
      </c>
      <c r="AB93" s="1505"/>
      <c r="AC93" s="1504">
        <f t="shared" si="16"/>
        <v>0</v>
      </c>
      <c r="AD93" s="1503">
        <f t="shared" si="17"/>
        <v>0</v>
      </c>
      <c r="AE93" s="1503">
        <f t="shared" si="18"/>
        <v>0</v>
      </c>
      <c r="AF93" s="1502">
        <f t="shared" si="19"/>
        <v>0</v>
      </c>
    </row>
    <row r="94" spans="1:32" s="1474" customFormat="1" ht="23.25" customHeight="1">
      <c r="A94" s="1515"/>
      <c r="B94" s="1513"/>
      <c r="C94" s="1514"/>
      <c r="D94" s="1514"/>
      <c r="E94" s="1513"/>
      <c r="F94" s="1512">
        <f t="shared" si="12"/>
        <v>0</v>
      </c>
      <c r="G94" s="1508"/>
      <c r="H94" s="1511"/>
      <c r="I94" s="1508"/>
      <c r="J94" s="1508"/>
      <c r="K94" s="1508"/>
      <c r="L94" s="1508"/>
      <c r="M94" s="1510">
        <f t="shared" si="13"/>
        <v>0</v>
      </c>
      <c r="N94" s="1510">
        <f t="shared" si="20"/>
        <v>0</v>
      </c>
      <c r="O94" s="1509"/>
      <c r="P94" s="1509"/>
      <c r="Q94" s="1509"/>
      <c r="R94" s="1508"/>
      <c r="S94" s="1508"/>
      <c r="T94" s="1507"/>
      <c r="U94" s="1495">
        <f t="shared" si="23"/>
        <v>0</v>
      </c>
      <c r="V94" s="1495">
        <f t="shared" si="23"/>
        <v>0</v>
      </c>
      <c r="W94" s="1495">
        <f t="shared" si="23"/>
        <v>0</v>
      </c>
      <c r="X94" s="1495">
        <f t="shared" si="15"/>
        <v>0</v>
      </c>
      <c r="Y94" s="1495" t="e">
        <f t="shared" si="21"/>
        <v>#DIV/0!</v>
      </c>
      <c r="Z94" s="1495">
        <f t="shared" si="24"/>
        <v>0</v>
      </c>
      <c r="AA94" s="1506">
        <f t="shared" si="24"/>
        <v>0</v>
      </c>
      <c r="AB94" s="1505"/>
      <c r="AC94" s="1504">
        <f t="shared" si="16"/>
        <v>0</v>
      </c>
      <c r="AD94" s="1503">
        <f t="shared" si="17"/>
        <v>0</v>
      </c>
      <c r="AE94" s="1503">
        <f t="shared" si="18"/>
        <v>0</v>
      </c>
      <c r="AF94" s="1502">
        <f t="shared" si="19"/>
        <v>0</v>
      </c>
    </row>
    <row r="95" spans="1:32" s="1474" customFormat="1" ht="23.25" customHeight="1">
      <c r="A95" s="1515"/>
      <c r="B95" s="1513"/>
      <c r="C95" s="1514"/>
      <c r="D95" s="1514"/>
      <c r="E95" s="1513"/>
      <c r="F95" s="1512">
        <f t="shared" si="12"/>
        <v>0</v>
      </c>
      <c r="G95" s="1508"/>
      <c r="H95" s="1511"/>
      <c r="I95" s="1508"/>
      <c r="J95" s="1508"/>
      <c r="K95" s="1508"/>
      <c r="L95" s="1508"/>
      <c r="M95" s="1510">
        <f t="shared" si="13"/>
        <v>0</v>
      </c>
      <c r="N95" s="1510">
        <f t="shared" si="20"/>
        <v>0</v>
      </c>
      <c r="O95" s="1509"/>
      <c r="P95" s="1509"/>
      <c r="Q95" s="1509"/>
      <c r="R95" s="1508"/>
      <c r="S95" s="1508"/>
      <c r="T95" s="1507"/>
      <c r="U95" s="1495">
        <f t="shared" si="23"/>
        <v>0</v>
      </c>
      <c r="V95" s="1495">
        <f t="shared" si="23"/>
        <v>0</v>
      </c>
      <c r="W95" s="1495">
        <f t="shared" si="23"/>
        <v>0</v>
      </c>
      <c r="X95" s="1495">
        <f t="shared" si="15"/>
        <v>0</v>
      </c>
      <c r="Y95" s="1495" t="e">
        <f t="shared" si="21"/>
        <v>#DIV/0!</v>
      </c>
      <c r="Z95" s="1495">
        <f t="shared" si="24"/>
        <v>0</v>
      </c>
      <c r="AA95" s="1506">
        <f t="shared" si="24"/>
        <v>0</v>
      </c>
      <c r="AB95" s="1505"/>
      <c r="AC95" s="1504">
        <f t="shared" si="16"/>
        <v>0</v>
      </c>
      <c r="AD95" s="1503">
        <f t="shared" si="17"/>
        <v>0</v>
      </c>
      <c r="AE95" s="1503">
        <f t="shared" si="18"/>
        <v>0</v>
      </c>
      <c r="AF95" s="1502">
        <f t="shared" si="19"/>
        <v>0</v>
      </c>
    </row>
    <row r="96" spans="1:32" s="1474" customFormat="1" ht="23.25" customHeight="1">
      <c r="A96" s="1515"/>
      <c r="B96" s="1513"/>
      <c r="C96" s="1514"/>
      <c r="D96" s="1514"/>
      <c r="E96" s="1513"/>
      <c r="F96" s="1512">
        <f t="shared" si="12"/>
        <v>0</v>
      </c>
      <c r="G96" s="1508"/>
      <c r="H96" s="1511"/>
      <c r="I96" s="1508"/>
      <c r="J96" s="1508"/>
      <c r="K96" s="1508"/>
      <c r="L96" s="1508"/>
      <c r="M96" s="1510">
        <f t="shared" si="13"/>
        <v>0</v>
      </c>
      <c r="N96" s="1510">
        <f t="shared" si="20"/>
        <v>0</v>
      </c>
      <c r="O96" s="1509"/>
      <c r="P96" s="1509"/>
      <c r="Q96" s="1509"/>
      <c r="R96" s="1508"/>
      <c r="S96" s="1508"/>
      <c r="T96" s="1507"/>
      <c r="U96" s="1495">
        <f t="shared" si="23"/>
        <v>0</v>
      </c>
      <c r="V96" s="1495">
        <f t="shared" si="23"/>
        <v>0</v>
      </c>
      <c r="W96" s="1495">
        <f t="shared" si="23"/>
        <v>0</v>
      </c>
      <c r="X96" s="1495">
        <f t="shared" si="15"/>
        <v>0</v>
      </c>
      <c r="Y96" s="1495" t="e">
        <f t="shared" si="21"/>
        <v>#DIV/0!</v>
      </c>
      <c r="Z96" s="1495">
        <f t="shared" si="24"/>
        <v>0</v>
      </c>
      <c r="AA96" s="1506">
        <f t="shared" si="24"/>
        <v>0</v>
      </c>
      <c r="AB96" s="1505"/>
      <c r="AC96" s="1504">
        <f t="shared" si="16"/>
        <v>0</v>
      </c>
      <c r="AD96" s="1503">
        <f t="shared" si="17"/>
        <v>0</v>
      </c>
      <c r="AE96" s="1503">
        <f t="shared" si="18"/>
        <v>0</v>
      </c>
      <c r="AF96" s="1502">
        <f t="shared" si="19"/>
        <v>0</v>
      </c>
    </row>
    <row r="97" spans="1:32" s="1474" customFormat="1" ht="23.25" customHeight="1">
      <c r="A97" s="1515"/>
      <c r="B97" s="1513"/>
      <c r="C97" s="1514"/>
      <c r="D97" s="1514"/>
      <c r="E97" s="1513"/>
      <c r="F97" s="1512">
        <f t="shared" si="12"/>
        <v>0</v>
      </c>
      <c r="G97" s="1508"/>
      <c r="H97" s="1511"/>
      <c r="I97" s="1508"/>
      <c r="J97" s="1508"/>
      <c r="K97" s="1508"/>
      <c r="L97" s="1508"/>
      <c r="M97" s="1510">
        <f t="shared" si="13"/>
        <v>0</v>
      </c>
      <c r="N97" s="1510">
        <f t="shared" si="20"/>
        <v>0</v>
      </c>
      <c r="O97" s="1509"/>
      <c r="P97" s="1509"/>
      <c r="Q97" s="1509"/>
      <c r="R97" s="1508"/>
      <c r="S97" s="1508"/>
      <c r="T97" s="1507"/>
      <c r="U97" s="1495">
        <f t="shared" si="23"/>
        <v>0</v>
      </c>
      <c r="V97" s="1495">
        <f t="shared" si="23"/>
        <v>0</v>
      </c>
      <c r="W97" s="1495">
        <f>SUM(Q97+T97)</f>
        <v>0</v>
      </c>
      <c r="X97" s="1495">
        <f t="shared" si="15"/>
        <v>0</v>
      </c>
      <c r="Y97" s="1495" t="e">
        <f t="shared" si="21"/>
        <v>#DIV/0!</v>
      </c>
      <c r="Z97" s="1495">
        <f t="shared" si="24"/>
        <v>0</v>
      </c>
      <c r="AA97" s="1506">
        <f t="shared" si="24"/>
        <v>0</v>
      </c>
      <c r="AB97" s="1505"/>
      <c r="AC97" s="1504">
        <f t="shared" si="16"/>
        <v>0</v>
      </c>
      <c r="AD97" s="1503">
        <f t="shared" si="17"/>
        <v>0</v>
      </c>
      <c r="AE97" s="1503">
        <f t="shared" si="18"/>
        <v>0</v>
      </c>
      <c r="AF97" s="1502">
        <f t="shared" si="19"/>
        <v>0</v>
      </c>
    </row>
    <row r="98" spans="1:32" s="1474" customFormat="1" ht="23.25" customHeight="1">
      <c r="A98" s="1515"/>
      <c r="B98" s="1513"/>
      <c r="C98" s="1514"/>
      <c r="D98" s="1514"/>
      <c r="E98" s="1513"/>
      <c r="F98" s="1512">
        <f t="shared" si="12"/>
        <v>0</v>
      </c>
      <c r="G98" s="1508"/>
      <c r="H98" s="1511"/>
      <c r="I98" s="1508"/>
      <c r="J98" s="1508"/>
      <c r="K98" s="1508"/>
      <c r="L98" s="1508"/>
      <c r="M98" s="1510">
        <f t="shared" si="13"/>
        <v>0</v>
      </c>
      <c r="N98" s="1510">
        <f t="shared" si="20"/>
        <v>0</v>
      </c>
      <c r="O98" s="1509"/>
      <c r="P98" s="1509"/>
      <c r="Q98" s="1509"/>
      <c r="R98" s="1508"/>
      <c r="S98" s="1508"/>
      <c r="T98" s="1507"/>
      <c r="U98" s="1495">
        <f t="shared" ref="U98:V100" si="25">SUM(O98+R98)</f>
        <v>0</v>
      </c>
      <c r="V98" s="1495">
        <f t="shared" si="25"/>
        <v>0</v>
      </c>
      <c r="W98" s="1495">
        <f>SUM(Q98+T98)</f>
        <v>0</v>
      </c>
      <c r="X98" s="1495">
        <f t="shared" si="15"/>
        <v>0</v>
      </c>
      <c r="Y98" s="1495" t="e">
        <f t="shared" si="21"/>
        <v>#DIV/0!</v>
      </c>
      <c r="Z98" s="1495">
        <f t="shared" si="24"/>
        <v>0</v>
      </c>
      <c r="AA98" s="1506">
        <f t="shared" si="24"/>
        <v>0</v>
      </c>
      <c r="AB98" s="1505"/>
      <c r="AC98" s="1504">
        <f t="shared" si="16"/>
        <v>0</v>
      </c>
      <c r="AD98" s="1503">
        <f t="shared" si="17"/>
        <v>0</v>
      </c>
      <c r="AE98" s="1503">
        <f t="shared" si="18"/>
        <v>0</v>
      </c>
      <c r="AF98" s="1502">
        <f t="shared" si="19"/>
        <v>0</v>
      </c>
    </row>
    <row r="99" spans="1:32" s="1474" customFormat="1" ht="23.25" customHeight="1">
      <c r="A99" s="1515"/>
      <c r="B99" s="1513"/>
      <c r="C99" s="1514"/>
      <c r="D99" s="1514"/>
      <c r="E99" s="1513"/>
      <c r="F99" s="1512">
        <f t="shared" si="12"/>
        <v>0</v>
      </c>
      <c r="G99" s="1508"/>
      <c r="H99" s="1511"/>
      <c r="I99" s="1508"/>
      <c r="J99" s="1508"/>
      <c r="K99" s="1508"/>
      <c r="L99" s="1508"/>
      <c r="M99" s="1510">
        <f t="shared" si="13"/>
        <v>0</v>
      </c>
      <c r="N99" s="1510">
        <f t="shared" si="20"/>
        <v>0</v>
      </c>
      <c r="O99" s="1509"/>
      <c r="P99" s="1509"/>
      <c r="Q99" s="1509"/>
      <c r="R99" s="1508"/>
      <c r="S99" s="1508"/>
      <c r="T99" s="1507"/>
      <c r="U99" s="1495">
        <f t="shared" si="25"/>
        <v>0</v>
      </c>
      <c r="V99" s="1495">
        <f t="shared" si="25"/>
        <v>0</v>
      </c>
      <c r="W99" s="1495">
        <f>SUM(Q99+T99)</f>
        <v>0</v>
      </c>
      <c r="X99" s="1495">
        <f t="shared" si="15"/>
        <v>0</v>
      </c>
      <c r="Y99" s="1495" t="e">
        <f t="shared" si="21"/>
        <v>#DIV/0!</v>
      </c>
      <c r="Z99" s="1495">
        <f t="shared" si="24"/>
        <v>0</v>
      </c>
      <c r="AA99" s="1506">
        <f t="shared" si="24"/>
        <v>0</v>
      </c>
      <c r="AB99" s="1505"/>
      <c r="AC99" s="1504">
        <f t="shared" si="16"/>
        <v>0</v>
      </c>
      <c r="AD99" s="1503">
        <f t="shared" si="17"/>
        <v>0</v>
      </c>
      <c r="AE99" s="1503">
        <f t="shared" si="18"/>
        <v>0</v>
      </c>
      <c r="AF99" s="1502">
        <f t="shared" si="19"/>
        <v>0</v>
      </c>
    </row>
    <row r="100" spans="1:32" s="1474" customFormat="1" ht="23.25" customHeight="1" thickBot="1">
      <c r="A100" s="1501"/>
      <c r="B100" s="1496"/>
      <c r="C100" s="1499"/>
      <c r="D100" s="1499"/>
      <c r="E100" s="1496"/>
      <c r="F100" s="1498">
        <f t="shared" si="12"/>
        <v>0</v>
      </c>
      <c r="G100" s="1499"/>
      <c r="H100" s="1500"/>
      <c r="I100" s="1499"/>
      <c r="J100" s="1499"/>
      <c r="K100" s="1499"/>
      <c r="L100" s="1499"/>
      <c r="M100" s="1498">
        <f t="shared" si="13"/>
        <v>0</v>
      </c>
      <c r="N100" s="1498">
        <f t="shared" si="20"/>
        <v>0</v>
      </c>
      <c r="O100" s="1497"/>
      <c r="P100" s="1497"/>
      <c r="Q100" s="1497"/>
      <c r="R100" s="1496"/>
      <c r="S100" s="1496"/>
      <c r="T100" s="1496"/>
      <c r="U100" s="1494">
        <f t="shared" si="25"/>
        <v>0</v>
      </c>
      <c r="V100" s="1494">
        <f t="shared" si="25"/>
        <v>0</v>
      </c>
      <c r="W100" s="1494">
        <f>SUM(Q100+T100)</f>
        <v>0</v>
      </c>
      <c r="X100" s="1494">
        <f t="shared" si="15"/>
        <v>0</v>
      </c>
      <c r="Y100" s="1495" t="e">
        <f t="shared" si="21"/>
        <v>#DIV/0!</v>
      </c>
      <c r="Z100" s="1494">
        <f t="shared" si="24"/>
        <v>0</v>
      </c>
      <c r="AA100" s="1493">
        <f t="shared" si="24"/>
        <v>0</v>
      </c>
      <c r="AB100" s="1492"/>
      <c r="AC100" s="1491">
        <f t="shared" si="16"/>
        <v>0</v>
      </c>
      <c r="AD100" s="1490">
        <f t="shared" si="17"/>
        <v>0</v>
      </c>
      <c r="AE100" s="1490">
        <f t="shared" si="18"/>
        <v>0</v>
      </c>
      <c r="AF100" s="1489">
        <f t="shared" si="19"/>
        <v>0</v>
      </c>
    </row>
    <row r="101" spans="1:32" s="1474" customFormat="1" ht="11.25" customHeight="1" thickTop="1" thickBot="1">
      <c r="A101" s="1488"/>
      <c r="B101" s="1486"/>
      <c r="C101" s="1487"/>
      <c r="D101" s="1487"/>
      <c r="E101" s="1486"/>
      <c r="F101" s="1486"/>
      <c r="G101" s="1486"/>
      <c r="H101" s="1486"/>
      <c r="I101" s="1486"/>
      <c r="J101" s="1486"/>
      <c r="K101" s="1486"/>
      <c r="L101" s="1486"/>
      <c r="M101" s="1486"/>
      <c r="N101" s="1486"/>
      <c r="O101" s="1486"/>
      <c r="P101" s="1486"/>
      <c r="Q101" s="1486"/>
      <c r="R101" s="1486"/>
      <c r="S101" s="1486"/>
      <c r="T101" s="1486"/>
      <c r="U101" s="1486"/>
      <c r="V101" s="1486"/>
      <c r="W101" s="1486"/>
      <c r="X101" s="1486"/>
      <c r="Y101" s="1486"/>
      <c r="Z101" s="1486"/>
      <c r="AA101" s="1485"/>
      <c r="AB101" s="1484"/>
      <c r="AC101" s="1483"/>
      <c r="AD101" s="1483"/>
      <c r="AE101" s="1483"/>
      <c r="AF101" s="1482"/>
    </row>
    <row r="102" spans="1:32" s="1474" customFormat="1" ht="33" customHeight="1" thickTop="1" thickBot="1">
      <c r="A102" s="3410" t="s">
        <v>934</v>
      </c>
      <c r="B102" s="3410"/>
      <c r="C102" s="3410"/>
      <c r="D102" s="1480">
        <f>SUM(D66:D100)</f>
        <v>0</v>
      </c>
      <c r="E102" s="1480">
        <f>SUM(E66:E100)</f>
        <v>0</v>
      </c>
      <c r="F102" s="1480">
        <f>SUM(F66:F100)</f>
        <v>0</v>
      </c>
      <c r="G102" s="1481"/>
      <c r="H102" s="1481"/>
      <c r="I102" s="1481"/>
      <c r="J102" s="1481"/>
      <c r="K102" s="1481"/>
      <c r="L102" s="1481"/>
      <c r="M102" s="1480">
        <f t="shared" ref="M102:X102" si="26">SUM(M66:M100)</f>
        <v>0</v>
      </c>
      <c r="N102" s="1480">
        <f t="shared" si="26"/>
        <v>0</v>
      </c>
      <c r="O102" s="1480">
        <f t="shared" si="26"/>
        <v>0</v>
      </c>
      <c r="P102" s="1480">
        <f t="shared" si="26"/>
        <v>0</v>
      </c>
      <c r="Q102" s="1480">
        <f t="shared" si="26"/>
        <v>0</v>
      </c>
      <c r="R102" s="1480">
        <f t="shared" si="26"/>
        <v>0</v>
      </c>
      <c r="S102" s="1480">
        <f t="shared" si="26"/>
        <v>0</v>
      </c>
      <c r="T102" s="1480">
        <f t="shared" si="26"/>
        <v>0</v>
      </c>
      <c r="U102" s="1480">
        <f t="shared" si="26"/>
        <v>0</v>
      </c>
      <c r="V102" s="1480">
        <f t="shared" si="26"/>
        <v>0</v>
      </c>
      <c r="W102" s="1480">
        <f t="shared" si="26"/>
        <v>0</v>
      </c>
      <c r="X102" s="1480">
        <f t="shared" si="26"/>
        <v>0</v>
      </c>
      <c r="Y102" s="1480" t="e">
        <f>SUM(U102/M102)*100</f>
        <v>#DIV/0!</v>
      </c>
      <c r="Z102" s="1480">
        <f>SUM(Z66:Z100)</f>
        <v>0</v>
      </c>
      <c r="AA102" s="1479">
        <f>SUM(AA66:AA100)</f>
        <v>0</v>
      </c>
      <c r="AB102" s="1478"/>
      <c r="AC102" s="1477">
        <f>SUM(AC66:AC100)</f>
        <v>0</v>
      </c>
      <c r="AD102" s="1476">
        <f>SUM(AD66:AD100)</f>
        <v>0</v>
      </c>
      <c r="AE102" s="1476">
        <f>SUM(AE66:AE100)</f>
        <v>0</v>
      </c>
      <c r="AF102" s="1475">
        <f>SUM(AF66:AF100)</f>
        <v>0</v>
      </c>
    </row>
    <row r="103" spans="1:32" s="1461" customFormat="1" ht="17.25" thickTop="1" thickBot="1">
      <c r="A103" s="3410" t="s">
        <v>1464</v>
      </c>
      <c r="B103" s="3410"/>
      <c r="C103" s="3410"/>
      <c r="D103" s="1473">
        <f>COUNT(D66:D100)</f>
        <v>0</v>
      </c>
      <c r="G103" s="1462"/>
      <c r="H103" s="1462"/>
      <c r="I103" s="1462"/>
      <c r="J103" s="1462"/>
      <c r="K103" s="1472"/>
      <c r="L103" s="1472"/>
      <c r="AB103" s="1462"/>
    </row>
    <row r="104" spans="1:32" s="1461" customFormat="1" ht="18.75" thickTop="1">
      <c r="A104" s="1465"/>
      <c r="B104" s="1465"/>
      <c r="C104" s="1466"/>
      <c r="D104" s="1466"/>
      <c r="E104" s="3410" t="s">
        <v>1463</v>
      </c>
      <c r="F104" s="3410"/>
      <c r="G104" s="3410"/>
      <c r="H104" s="3410"/>
      <c r="I104" s="3410"/>
      <c r="J104" s="3410"/>
      <c r="K104" s="3410"/>
      <c r="L104" s="3410"/>
      <c r="M104" s="3410"/>
      <c r="N104" s="3410"/>
      <c r="O104" s="1467"/>
      <c r="P104" s="1467"/>
      <c r="Q104" s="1467"/>
      <c r="R104" s="1467"/>
      <c r="S104" s="1467"/>
      <c r="T104" s="1467"/>
      <c r="U104" s="1471"/>
      <c r="V104" s="3410" t="s">
        <v>1462</v>
      </c>
      <c r="W104" s="3410"/>
      <c r="X104" s="3410"/>
      <c r="Y104" s="3410"/>
      <c r="Z104" s="1465"/>
      <c r="AA104" s="1465"/>
      <c r="AB104" s="1462"/>
    </row>
    <row r="105" spans="1:32" s="1461" customFormat="1" ht="57" customHeight="1">
      <c r="A105" s="1468"/>
      <c r="B105" s="1468"/>
      <c r="C105" s="1470"/>
      <c r="D105" s="1470"/>
      <c r="E105" s="1468"/>
      <c r="F105" s="1468"/>
      <c r="G105" s="1470"/>
      <c r="H105" s="1470"/>
      <c r="I105" s="1470"/>
      <c r="J105" s="1470"/>
      <c r="K105" s="1469"/>
      <c r="L105" s="1469"/>
      <c r="M105" s="1468"/>
      <c r="N105" s="1468"/>
      <c r="O105" s="1468"/>
      <c r="P105" s="1468"/>
      <c r="Q105" s="1468"/>
      <c r="R105" s="1468"/>
      <c r="S105" s="1468"/>
      <c r="T105" s="1468"/>
      <c r="U105" s="1468"/>
      <c r="V105" s="1468"/>
      <c r="W105" s="1468"/>
      <c r="X105" s="1468"/>
      <c r="Y105" s="1468"/>
      <c r="Z105" s="1468"/>
      <c r="AA105" s="1468"/>
      <c r="AB105" s="1462"/>
    </row>
    <row r="106" spans="1:32" s="1461" customFormat="1" ht="18">
      <c r="A106" s="1465"/>
      <c r="B106" s="1465"/>
      <c r="C106" s="1466"/>
      <c r="D106" s="1466"/>
      <c r="E106" s="3410" t="str">
        <f>E52</f>
        <v>Endang Taryana</v>
      </c>
      <c r="F106" s="3410"/>
      <c r="G106" s="3410"/>
      <c r="H106" s="3410"/>
      <c r="I106" s="3410"/>
      <c r="J106" s="3410"/>
      <c r="K106" s="3410"/>
      <c r="L106" s="3410"/>
      <c r="M106" s="3410"/>
      <c r="N106" s="3410"/>
      <c r="O106" s="1467" t="s">
        <v>1461</v>
      </c>
      <c r="P106" s="3410"/>
      <c r="Q106" s="3410"/>
      <c r="R106" s="3410"/>
      <c r="S106" s="1465"/>
      <c r="T106" s="1465"/>
      <c r="U106" s="1465"/>
      <c r="V106" s="3410" t="str">
        <f>V52</f>
        <v>Arin Yustini, SE</v>
      </c>
      <c r="W106" s="3410"/>
      <c r="X106" s="3410"/>
      <c r="Y106" s="3410"/>
      <c r="Z106" s="1465"/>
      <c r="AA106" s="1465"/>
      <c r="AB106" s="1462"/>
    </row>
    <row r="107" spans="1:32" ht="18">
      <c r="A107" s="1465"/>
      <c r="B107" s="1465"/>
      <c r="C107" s="1466"/>
      <c r="D107" s="1466"/>
      <c r="E107" s="3410" t="s">
        <v>23</v>
      </c>
      <c r="F107" s="3410"/>
      <c r="G107" s="3410"/>
      <c r="H107" s="3410"/>
      <c r="I107" s="3410"/>
      <c r="J107" s="3410"/>
      <c r="K107" s="3410"/>
      <c r="L107" s="3410"/>
      <c r="M107" s="3410"/>
      <c r="N107" s="3410"/>
      <c r="O107" s="1465"/>
      <c r="P107" s="3410"/>
      <c r="Q107" s="3410"/>
      <c r="R107" s="3410"/>
      <c r="S107" s="1465"/>
      <c r="T107" s="1465"/>
      <c r="U107" s="1465"/>
      <c r="V107" s="3410" t="s">
        <v>24</v>
      </c>
      <c r="W107" s="3410"/>
      <c r="X107" s="3410"/>
      <c r="Y107" s="3410"/>
      <c r="Z107" s="1465"/>
      <c r="AA107" s="1465"/>
      <c r="AE107" s="1461"/>
      <c r="AF107" s="1461"/>
    </row>
  </sheetData>
  <protectedRanges>
    <protectedRange sqref="W13:W46 W66:W100" name="Range1_1_1"/>
  </protectedRanges>
  <mergeCells count="74">
    <mergeCell ref="E106:N106"/>
    <mergeCell ref="P106:R106"/>
    <mergeCell ref="V106:Y106"/>
    <mergeCell ref="E107:N107"/>
    <mergeCell ref="P107:R107"/>
    <mergeCell ref="V107:Y107"/>
    <mergeCell ref="E104:N104"/>
    <mergeCell ref="V104:Y104"/>
    <mergeCell ref="O63:Q63"/>
    <mergeCell ref="R63:T63"/>
    <mergeCell ref="U63:W63"/>
    <mergeCell ref="AB63:AB64"/>
    <mergeCell ref="K64:K65"/>
    <mergeCell ref="L64:L65"/>
    <mergeCell ref="A102:C102"/>
    <mergeCell ref="A103:C103"/>
    <mergeCell ref="D63:D65"/>
    <mergeCell ref="E63:F63"/>
    <mergeCell ref="X63:X64"/>
    <mergeCell ref="Y63:Y64"/>
    <mergeCell ref="Z63:AA63"/>
    <mergeCell ref="G63:G64"/>
    <mergeCell ref="H63:H65"/>
    <mergeCell ref="I63:I65"/>
    <mergeCell ref="J63:J65"/>
    <mergeCell ref="K63:L63"/>
    <mergeCell ref="M63:N63"/>
    <mergeCell ref="A59:C59"/>
    <mergeCell ref="A60:C60"/>
    <mergeCell ref="A61:C61"/>
    <mergeCell ref="A63:A64"/>
    <mergeCell ref="B63:C63"/>
    <mergeCell ref="A54:AA54"/>
    <mergeCell ref="A55:AA55"/>
    <mergeCell ref="A56:AA56"/>
    <mergeCell ref="A57:AA57"/>
    <mergeCell ref="A58:C58"/>
    <mergeCell ref="E52:N52"/>
    <mergeCell ref="P52:R52"/>
    <mergeCell ref="V52:Y52"/>
    <mergeCell ref="E53:N53"/>
    <mergeCell ref="P53:R53"/>
    <mergeCell ref="V53:Y53"/>
    <mergeCell ref="E50:N50"/>
    <mergeCell ref="V50:Y50"/>
    <mergeCell ref="O10:Q10"/>
    <mergeCell ref="R10:T10"/>
    <mergeCell ref="U10:W10"/>
    <mergeCell ref="AB10:AB11"/>
    <mergeCell ref="K11:K12"/>
    <mergeCell ref="L11:L12"/>
    <mergeCell ref="A48:C48"/>
    <mergeCell ref="A49:C49"/>
    <mergeCell ref="D10:D12"/>
    <mergeCell ref="E10:F10"/>
    <mergeCell ref="X10:X11"/>
    <mergeCell ref="Y10:Y11"/>
    <mergeCell ref="Z10:AA10"/>
    <mergeCell ref="G10:G11"/>
    <mergeCell ref="H10:H12"/>
    <mergeCell ref="I10:I12"/>
    <mergeCell ref="J10:J12"/>
    <mergeCell ref="K10:L10"/>
    <mergeCell ref="M10:N10"/>
    <mergeCell ref="A6:C6"/>
    <mergeCell ref="A7:C7"/>
    <mergeCell ref="A8:C8"/>
    <mergeCell ref="A10:A11"/>
    <mergeCell ref="B10:C10"/>
    <mergeCell ref="A1:AA1"/>
    <mergeCell ref="A2:AA2"/>
    <mergeCell ref="A3:AA3"/>
    <mergeCell ref="A4:AA4"/>
    <mergeCell ref="A5:C5"/>
  </mergeCells>
  <printOptions horizontalCentered="1" verticalCentered="1"/>
  <pageMargins left="0.15748031496063" right="0.15748031496063" top="0.23622047244094499" bottom="0.23622047244094499" header="0.511811023622047" footer="0.511811023622047"/>
  <pageSetup paperSize="9" scale="45" orientation="landscape" r:id="rId1"/>
  <headerFooter alignWithMargins="0"/>
  <drawing r:id="rId2"/>
  <legacyDrawing r:id="rId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P27"/>
  <sheetViews>
    <sheetView zoomScale="80" zoomScaleNormal="80" workbookViewId="0">
      <selection activeCell="A12" sqref="A12"/>
    </sheetView>
  </sheetViews>
  <sheetFormatPr defaultColWidth="9.140625" defaultRowHeight="12.75"/>
  <cols>
    <col min="1" max="1" width="18.42578125" style="704" bestFit="1" customWidth="1"/>
    <col min="2" max="2" width="12.28515625" style="704" customWidth="1"/>
    <col min="3" max="3" width="11.7109375" style="704" customWidth="1"/>
    <col min="4" max="4" width="12.28515625" style="704" customWidth="1"/>
    <col min="5" max="16384" width="9.140625" style="704"/>
  </cols>
  <sheetData>
    <row r="1" spans="1:16" ht="18">
      <c r="A1" s="3410" t="s">
        <v>1631</v>
      </c>
      <c r="B1" s="3410"/>
      <c r="C1" s="3410"/>
      <c r="D1" s="3410"/>
      <c r="E1" s="3410"/>
      <c r="F1" s="3410"/>
      <c r="G1" s="3410"/>
      <c r="H1" s="3410"/>
      <c r="I1" s="3410"/>
      <c r="J1" s="3410"/>
      <c r="K1" s="3410"/>
      <c r="L1" s="3410"/>
      <c r="M1" s="3410"/>
      <c r="N1" s="1866"/>
      <c r="O1" s="1865"/>
      <c r="P1" s="1865"/>
    </row>
    <row r="2" spans="1:16" ht="15.75">
      <c r="A2" s="3410" t="s">
        <v>704</v>
      </c>
      <c r="B2" s="3410"/>
      <c r="C2" s="3410"/>
      <c r="D2" s="3410"/>
      <c r="E2" s="3410"/>
      <c r="F2" s="3410"/>
      <c r="G2" s="3410"/>
      <c r="H2" s="3410"/>
      <c r="I2" s="3410"/>
      <c r="J2" s="3410"/>
      <c r="K2" s="3410"/>
      <c r="L2" s="3410"/>
      <c r="M2" s="3410"/>
      <c r="N2" s="1869"/>
      <c r="O2" s="1868"/>
      <c r="P2" s="1868"/>
    </row>
    <row r="3" spans="1:16" ht="18.75">
      <c r="A3" s="3410" t="s">
        <v>734</v>
      </c>
      <c r="B3" s="3410"/>
      <c r="C3" s="3410"/>
      <c r="D3" s="3410"/>
      <c r="E3" s="3410"/>
      <c r="F3" s="3410"/>
      <c r="G3" s="3410"/>
      <c r="H3" s="3410"/>
      <c r="I3" s="3410"/>
      <c r="J3" s="3410"/>
      <c r="K3" s="3410"/>
      <c r="L3" s="3410"/>
      <c r="M3" s="3410"/>
      <c r="N3" s="1868"/>
      <c r="O3" s="1867"/>
      <c r="P3" s="1867"/>
    </row>
    <row r="4" spans="1:16" ht="18">
      <c r="A4" s="3410" t="str">
        <f>"Periode Bulan "&amp;DT!D25&amp;" "&amp;DT!D26</f>
        <v>Periode Bulan Februari 2016 2016</v>
      </c>
      <c r="B4" s="3410"/>
      <c r="C4" s="3410"/>
      <c r="D4" s="3410"/>
      <c r="E4" s="3410"/>
      <c r="F4" s="3410"/>
      <c r="G4" s="3410"/>
      <c r="H4" s="3410"/>
      <c r="I4" s="3410"/>
      <c r="J4" s="3410"/>
      <c r="K4" s="3410"/>
      <c r="L4" s="3410"/>
      <c r="M4" s="3410"/>
      <c r="N4" s="1866"/>
      <c r="O4" s="1865"/>
      <c r="P4" s="1865"/>
    </row>
    <row r="5" spans="1:16" ht="15.75">
      <c r="A5" s="1863" t="s">
        <v>981</v>
      </c>
      <c r="B5" s="1862"/>
      <c r="C5" s="1864" t="str">
        <f>'LPP-UEP'!F6</f>
        <v>:  Nagrak</v>
      </c>
      <c r="D5" s="1860"/>
      <c r="E5" s="1860"/>
      <c r="F5" s="1860"/>
      <c r="G5" s="1860"/>
      <c r="H5" s="1860"/>
      <c r="I5" s="1860"/>
      <c r="J5" s="1860"/>
      <c r="K5" s="1860"/>
      <c r="L5" s="1860"/>
      <c r="M5" s="1860"/>
      <c r="N5" s="1860"/>
      <c r="O5" s="1860"/>
      <c r="P5" s="1860"/>
    </row>
    <row r="6" spans="1:16" ht="15.75">
      <c r="A6" s="1863" t="s">
        <v>982</v>
      </c>
      <c r="B6" s="1862"/>
      <c r="C6" s="1864" t="str">
        <f>'LPP-UEP'!F7</f>
        <v>:  Sukabumi</v>
      </c>
      <c r="D6" s="1860"/>
      <c r="E6" s="1860"/>
      <c r="F6" s="1860"/>
      <c r="G6" s="1860"/>
      <c r="H6" s="1860"/>
      <c r="I6" s="1860"/>
      <c r="J6" s="1860"/>
      <c r="K6" s="1860"/>
      <c r="L6" s="1860"/>
      <c r="M6" s="1860"/>
      <c r="N6" s="1860"/>
      <c r="O6" s="1860"/>
      <c r="P6" s="1860"/>
    </row>
    <row r="7" spans="1:16" ht="15.75">
      <c r="A7" s="1863" t="s">
        <v>983</v>
      </c>
      <c r="B7" s="1862"/>
      <c r="C7" s="1864" t="str">
        <f>'LPP-UEP'!F8</f>
        <v>:  Jawa Barat</v>
      </c>
      <c r="D7" s="1860"/>
      <c r="E7" s="1860"/>
      <c r="F7" s="1860"/>
      <c r="G7" s="1860"/>
      <c r="H7" s="1860"/>
      <c r="I7" s="1860"/>
      <c r="J7" s="1860"/>
      <c r="K7" s="1860"/>
      <c r="L7" s="1860"/>
      <c r="M7" s="1860"/>
      <c r="N7" s="1860"/>
      <c r="O7" s="1860"/>
      <c r="P7" s="1860"/>
    </row>
    <row r="8" spans="1:16" ht="15.75">
      <c r="A8" s="1863"/>
      <c r="B8" s="1862"/>
      <c r="C8" s="1861"/>
      <c r="D8" s="1860"/>
      <c r="E8" s="1860"/>
      <c r="F8" s="1860"/>
      <c r="G8" s="1860"/>
      <c r="H8" s="1860"/>
      <c r="I8" s="1860"/>
      <c r="J8" s="1860"/>
      <c r="K8" s="1860"/>
      <c r="L8" s="1860"/>
      <c r="M8" s="1860"/>
      <c r="N8" s="1860"/>
      <c r="O8" s="1860"/>
      <c r="P8" s="1860"/>
    </row>
    <row r="9" spans="1:16" s="1856" customFormat="1" ht="24" customHeight="1">
      <c r="A9" s="1858"/>
      <c r="B9" s="1858"/>
      <c r="C9" s="1859"/>
      <c r="D9" s="1858"/>
      <c r="E9" s="3410" t="s">
        <v>1630</v>
      </c>
      <c r="F9" s="3410" t="s">
        <v>1629</v>
      </c>
      <c r="G9" s="3410"/>
      <c r="H9" s="3410" t="s">
        <v>1628</v>
      </c>
      <c r="I9" s="3410"/>
      <c r="J9" s="3410" t="s">
        <v>1627</v>
      </c>
      <c r="K9" s="3410"/>
      <c r="L9" s="3410"/>
      <c r="M9" s="1858"/>
      <c r="N9" s="1858"/>
      <c r="O9" s="1858"/>
      <c r="P9" s="1858"/>
    </row>
    <row r="10" spans="1:16" s="1856" customFormat="1" ht="11.25">
      <c r="E10" s="3410"/>
      <c r="F10" s="1857" t="s">
        <v>1626</v>
      </c>
      <c r="G10" s="1857" t="s">
        <v>1625</v>
      </c>
      <c r="H10" s="1857" t="s">
        <v>1626</v>
      </c>
      <c r="I10" s="1857" t="s">
        <v>1625</v>
      </c>
      <c r="J10" s="1857" t="s">
        <v>1626</v>
      </c>
      <c r="K10" s="1857" t="s">
        <v>1625</v>
      </c>
      <c r="L10" s="3410"/>
    </row>
    <row r="11" spans="1:16" ht="15">
      <c r="A11" s="1350" t="s">
        <v>1624</v>
      </c>
      <c r="B11" s="1350" t="s">
        <v>1623</v>
      </c>
      <c r="C11" s="1350" t="s">
        <v>1622</v>
      </c>
      <c r="D11" s="1350" t="s">
        <v>1621</v>
      </c>
      <c r="E11" s="1416" t="s">
        <v>1620</v>
      </c>
      <c r="F11" s="1416" t="s">
        <v>1619</v>
      </c>
      <c r="G11" s="1416" t="s">
        <v>1618</v>
      </c>
      <c r="H11" s="1416" t="s">
        <v>1617</v>
      </c>
      <c r="I11" s="1416" t="s">
        <v>1616</v>
      </c>
      <c r="J11" s="1416" t="s">
        <v>1615</v>
      </c>
      <c r="K11" s="1416" t="s">
        <v>1614</v>
      </c>
      <c r="L11" s="1350" t="s">
        <v>1613</v>
      </c>
      <c r="M11" s="1350" t="s">
        <v>1027</v>
      </c>
    </row>
    <row r="12" spans="1:16" ht="15">
      <c r="A12" s="1854" t="e">
        <f>DT!H3&amp;"."&amp;"000"&amp;DT!$F$32</f>
        <v>#VALUE!</v>
      </c>
      <c r="B12" s="1855">
        <f ca="1">TODAY()</f>
        <v>42423</v>
      </c>
      <c r="C12" s="1854" t="e">
        <f>DT!$F$30&amp;"-"&amp;DT!$F$31</f>
        <v>#VALUE!</v>
      </c>
      <c r="D12" s="1854" t="str">
        <f>DT!H3</f>
        <v>3202220010</v>
      </c>
      <c r="E12" s="1852">
        <f>'LPP-UEP'!F93</f>
        <v>0</v>
      </c>
      <c r="F12" s="1852">
        <f>'LPP-UEP'!I93</f>
        <v>0</v>
      </c>
      <c r="G12" s="1852">
        <f>'LPP-UEP'!J93</f>
        <v>0</v>
      </c>
      <c r="H12" s="1852">
        <f>'LPP-UEP'!K93</f>
        <v>0</v>
      </c>
      <c r="I12" s="1852">
        <f>'LPP-UEP'!L93</f>
        <v>0</v>
      </c>
      <c r="J12" s="1852">
        <f>'LPP-UEP'!N93</f>
        <v>0</v>
      </c>
      <c r="K12" s="1852">
        <f>'LPP-UEP'!O93</f>
        <v>0</v>
      </c>
      <c r="L12" s="1853">
        <v>0</v>
      </c>
      <c r="M12" s="1852">
        <v>0</v>
      </c>
    </row>
    <row r="13" spans="1:16" ht="15">
      <c r="A13" s="1850" t="e">
        <f>DT!H4&amp;"."&amp;"000"&amp;DT!$F$32</f>
        <v>#VALUE!</v>
      </c>
      <c r="B13" s="1851">
        <f t="shared" ref="B13:B27" ca="1" si="0">TODAY()</f>
        <v>42423</v>
      </c>
      <c r="C13" s="1850" t="e">
        <f>DT!$F$30&amp;"-"&amp;DT!$F$31</f>
        <v>#VALUE!</v>
      </c>
      <c r="D13" s="1850" t="str">
        <f>DT!H4</f>
        <v>3202220004</v>
      </c>
      <c r="E13" s="1848">
        <f>'LPP-UEP'!F94</f>
        <v>0</v>
      </c>
      <c r="F13" s="1848">
        <f>'LPP-UEP'!I94</f>
        <v>0</v>
      </c>
      <c r="G13" s="1848">
        <f>'LPP-UEP'!J94</f>
        <v>0</v>
      </c>
      <c r="H13" s="1848">
        <f>'LPP-UEP'!K94</f>
        <v>0</v>
      </c>
      <c r="I13" s="1848">
        <f>'LPP-UEP'!L94</f>
        <v>0</v>
      </c>
      <c r="J13" s="1848">
        <f>'LPP-UEP'!N94</f>
        <v>0</v>
      </c>
      <c r="K13" s="1848">
        <f>'LPP-UEP'!O94</f>
        <v>0</v>
      </c>
      <c r="L13" s="1849">
        <v>0</v>
      </c>
      <c r="M13" s="1848">
        <v>0</v>
      </c>
    </row>
    <row r="14" spans="1:16" ht="15">
      <c r="A14" s="1850" t="e">
        <f>DT!H5&amp;"."&amp;"000"&amp;DT!$F$32</f>
        <v>#VALUE!</v>
      </c>
      <c r="B14" s="1851">
        <f t="shared" ca="1" si="0"/>
        <v>42423</v>
      </c>
      <c r="C14" s="1850" t="e">
        <f>DT!$F$30&amp;"-"&amp;DT!$F$31</f>
        <v>#VALUE!</v>
      </c>
      <c r="D14" s="1850" t="str">
        <f>DT!H5</f>
        <v>3202220006</v>
      </c>
      <c r="E14" s="1848">
        <f>'LPP-UEP'!F95</f>
        <v>0</v>
      </c>
      <c r="F14" s="1848">
        <f>'LPP-UEP'!I95</f>
        <v>0</v>
      </c>
      <c r="G14" s="1848">
        <f>'LPP-UEP'!J95</f>
        <v>0</v>
      </c>
      <c r="H14" s="1848">
        <f>'LPP-UEP'!K95</f>
        <v>0</v>
      </c>
      <c r="I14" s="1848">
        <f>'LPP-UEP'!L95</f>
        <v>0</v>
      </c>
      <c r="J14" s="1848">
        <f>'LPP-UEP'!N95</f>
        <v>0</v>
      </c>
      <c r="K14" s="1848">
        <f>'LPP-UEP'!O95</f>
        <v>0</v>
      </c>
      <c r="L14" s="1849">
        <v>0</v>
      </c>
      <c r="M14" s="1848">
        <v>0</v>
      </c>
    </row>
    <row r="15" spans="1:16" ht="15">
      <c r="A15" s="1850" t="e">
        <f>DT!H6&amp;"."&amp;"000"&amp;DT!$F$32</f>
        <v>#VALUE!</v>
      </c>
      <c r="B15" s="1851">
        <f t="shared" ca="1" si="0"/>
        <v>42423</v>
      </c>
      <c r="C15" s="1850" t="e">
        <f>DT!$F$30&amp;"-"&amp;DT!$F$31</f>
        <v>#VALUE!</v>
      </c>
      <c r="D15" s="1850" t="str">
        <f>DT!H6</f>
        <v>3202220002</v>
      </c>
      <c r="E15" s="1848">
        <f>'LPP-UEP'!F96</f>
        <v>0</v>
      </c>
      <c r="F15" s="1848">
        <f>'LPP-UEP'!I96</f>
        <v>0</v>
      </c>
      <c r="G15" s="1848">
        <f>'LPP-UEP'!J96</f>
        <v>0</v>
      </c>
      <c r="H15" s="1848">
        <f>'LPP-UEP'!K96</f>
        <v>0</v>
      </c>
      <c r="I15" s="1848">
        <f>'LPP-UEP'!L96</f>
        <v>0</v>
      </c>
      <c r="J15" s="1848">
        <f>'LPP-UEP'!N96</f>
        <v>0</v>
      </c>
      <c r="K15" s="1848">
        <f>'LPP-UEP'!O96</f>
        <v>0</v>
      </c>
      <c r="L15" s="1849">
        <v>0</v>
      </c>
      <c r="M15" s="1848">
        <v>0</v>
      </c>
    </row>
    <row r="16" spans="1:16" ht="15">
      <c r="A16" s="1850" t="e">
        <f>DT!H7&amp;"."&amp;"000"&amp;DT!$F$32</f>
        <v>#VALUE!</v>
      </c>
      <c r="B16" s="1851">
        <f t="shared" ca="1" si="0"/>
        <v>42423</v>
      </c>
      <c r="C16" s="1850" t="e">
        <f>DT!$F$30&amp;"-"&amp;DT!$F$31</f>
        <v>#VALUE!</v>
      </c>
      <c r="D16" s="1850" t="str">
        <f>DT!H7</f>
        <v>3202220003</v>
      </c>
      <c r="E16" s="1848">
        <f>'LPP-UEP'!F97</f>
        <v>0</v>
      </c>
      <c r="F16" s="1848">
        <f>'LPP-UEP'!I97</f>
        <v>0</v>
      </c>
      <c r="G16" s="1848">
        <f>'LPP-UEP'!J97</f>
        <v>0</v>
      </c>
      <c r="H16" s="1848">
        <f>'LPP-UEP'!K97</f>
        <v>0</v>
      </c>
      <c r="I16" s="1848">
        <f>'LPP-UEP'!L97</f>
        <v>0</v>
      </c>
      <c r="J16" s="1848">
        <f>'LPP-UEP'!N97</f>
        <v>0</v>
      </c>
      <c r="K16" s="1848">
        <f>'LPP-UEP'!O97</f>
        <v>0</v>
      </c>
      <c r="L16" s="1849">
        <v>0</v>
      </c>
      <c r="M16" s="1848">
        <v>0</v>
      </c>
    </row>
    <row r="17" spans="1:13" ht="15">
      <c r="A17" s="1850" t="e">
        <f>DT!H8&amp;"."&amp;"000"&amp;DT!$F$32</f>
        <v>#VALUE!</v>
      </c>
      <c r="B17" s="1851">
        <f t="shared" ca="1" si="0"/>
        <v>42423</v>
      </c>
      <c r="C17" s="1850" t="e">
        <f>DT!$F$30&amp;"-"&amp;DT!$F$31</f>
        <v>#VALUE!</v>
      </c>
      <c r="D17" s="1850" t="str">
        <f>DT!H8</f>
        <v>3202220005</v>
      </c>
      <c r="E17" s="1848">
        <f>'LPP-UEP'!F98</f>
        <v>0</v>
      </c>
      <c r="F17" s="1848">
        <f>'LPP-UEP'!I98</f>
        <v>0</v>
      </c>
      <c r="G17" s="1848">
        <f>'LPP-UEP'!J98</f>
        <v>0</v>
      </c>
      <c r="H17" s="1848">
        <f>'LPP-UEP'!K98</f>
        <v>0</v>
      </c>
      <c r="I17" s="1848">
        <f>'LPP-UEP'!L98</f>
        <v>0</v>
      </c>
      <c r="J17" s="1848">
        <f>'LPP-UEP'!N98</f>
        <v>0</v>
      </c>
      <c r="K17" s="1848">
        <f>'LPP-UEP'!O98</f>
        <v>0</v>
      </c>
      <c r="L17" s="1849">
        <v>0</v>
      </c>
      <c r="M17" s="1848">
        <v>0</v>
      </c>
    </row>
    <row r="18" spans="1:13" ht="15">
      <c r="A18" s="1850" t="e">
        <f>DT!H9&amp;"."&amp;"000"&amp;DT!$F$32</f>
        <v>#VALUE!</v>
      </c>
      <c r="B18" s="1851">
        <f t="shared" ca="1" si="0"/>
        <v>42423</v>
      </c>
      <c r="C18" s="1850" t="e">
        <f>DT!$F$30&amp;"-"&amp;DT!$F$31</f>
        <v>#VALUE!</v>
      </c>
      <c r="D18" s="1850" t="str">
        <f>DT!H9</f>
        <v>3202220008</v>
      </c>
      <c r="E18" s="1848">
        <f>'LPP-UEP'!F99</f>
        <v>0</v>
      </c>
      <c r="F18" s="1848">
        <f>'LPP-UEP'!I99</f>
        <v>0</v>
      </c>
      <c r="G18" s="1848">
        <f>'LPP-UEP'!J99</f>
        <v>0</v>
      </c>
      <c r="H18" s="1848">
        <f>'LPP-UEP'!K99</f>
        <v>0</v>
      </c>
      <c r="I18" s="1848">
        <f>'LPP-UEP'!L99</f>
        <v>0</v>
      </c>
      <c r="J18" s="1848">
        <f>'LPP-UEP'!N99</f>
        <v>0</v>
      </c>
      <c r="K18" s="1848">
        <f>'LPP-UEP'!O99</f>
        <v>0</v>
      </c>
      <c r="L18" s="1849">
        <v>0</v>
      </c>
      <c r="M18" s="1848">
        <v>0</v>
      </c>
    </row>
    <row r="19" spans="1:13" ht="15">
      <c r="A19" s="1850" t="e">
        <f>DT!H10&amp;"."&amp;"000"&amp;DT!$F$32</f>
        <v>#VALUE!</v>
      </c>
      <c r="B19" s="1851">
        <f t="shared" ca="1" si="0"/>
        <v>42423</v>
      </c>
      <c r="C19" s="1850" t="e">
        <f>DT!$F$30&amp;"-"&amp;DT!$F$31</f>
        <v>#VALUE!</v>
      </c>
      <c r="D19" s="1850" t="str">
        <f>DT!H10</f>
        <v>3202220009</v>
      </c>
      <c r="E19" s="1848">
        <f>'LPP-UEP'!F100</f>
        <v>0</v>
      </c>
      <c r="F19" s="1848">
        <f>'LPP-UEP'!I100</f>
        <v>0</v>
      </c>
      <c r="G19" s="1848">
        <f>'LPP-UEP'!J100</f>
        <v>0</v>
      </c>
      <c r="H19" s="1848">
        <f>'LPP-UEP'!K100</f>
        <v>0</v>
      </c>
      <c r="I19" s="1848">
        <f>'LPP-UEP'!L100</f>
        <v>0</v>
      </c>
      <c r="J19" s="1848">
        <f>'LPP-UEP'!N100</f>
        <v>0</v>
      </c>
      <c r="K19" s="1848">
        <f>'LPP-UEP'!O100</f>
        <v>0</v>
      </c>
      <c r="L19" s="1849">
        <v>0</v>
      </c>
      <c r="M19" s="1848">
        <v>0</v>
      </c>
    </row>
    <row r="20" spans="1:13" ht="15">
      <c r="A20" s="1850" t="e">
        <f>DT!H11&amp;"."&amp;"000"&amp;DT!$F$32</f>
        <v>#VALUE!</v>
      </c>
      <c r="B20" s="1851">
        <f t="shared" ca="1" si="0"/>
        <v>42423</v>
      </c>
      <c r="C20" s="1850" t="e">
        <f>DT!$F$30&amp;"-"&amp;DT!$F$31</f>
        <v>#VALUE!</v>
      </c>
      <c r="D20" s="1850" t="str">
        <f>DT!H11</f>
        <v>3202220001</v>
      </c>
      <c r="E20" s="1848">
        <f>'LPP-UEP'!F101</f>
        <v>0</v>
      </c>
      <c r="F20" s="1848">
        <f>'LPP-UEP'!I101</f>
        <v>0</v>
      </c>
      <c r="G20" s="1848">
        <f>'LPP-UEP'!J101</f>
        <v>0</v>
      </c>
      <c r="H20" s="1848">
        <f>'LPP-UEP'!K101</f>
        <v>0</v>
      </c>
      <c r="I20" s="1848">
        <f>'LPP-UEP'!L101</f>
        <v>0</v>
      </c>
      <c r="J20" s="1848">
        <f>'LPP-UEP'!N101</f>
        <v>0</v>
      </c>
      <c r="K20" s="1848">
        <f>'LPP-UEP'!O101</f>
        <v>0</v>
      </c>
      <c r="L20" s="1849">
        <v>0</v>
      </c>
      <c r="M20" s="1848">
        <v>0</v>
      </c>
    </row>
    <row r="21" spans="1:13" ht="15">
      <c r="A21" s="1850" t="e">
        <f>DT!H12&amp;"."&amp;"000"&amp;DT!$F$32</f>
        <v>#VALUE!</v>
      </c>
      <c r="B21" s="1851">
        <f t="shared" ca="1" si="0"/>
        <v>42423</v>
      </c>
      <c r="C21" s="1850" t="e">
        <f>DT!$F$30&amp;"-"&amp;DT!$F$31</f>
        <v>#VALUE!</v>
      </c>
      <c r="D21" s="1850" t="str">
        <f>DT!H12</f>
        <v>3202220007</v>
      </c>
      <c r="E21" s="1848">
        <f>'LPP-UEP'!F102</f>
        <v>0</v>
      </c>
      <c r="F21" s="1848">
        <f>'LPP-UEP'!I102</f>
        <v>0</v>
      </c>
      <c r="G21" s="1848">
        <f>'LPP-UEP'!J102</f>
        <v>0</v>
      </c>
      <c r="H21" s="1848">
        <f>'LPP-UEP'!K102</f>
        <v>0</v>
      </c>
      <c r="I21" s="1848">
        <f>'LPP-UEP'!L102</f>
        <v>0</v>
      </c>
      <c r="J21" s="1848">
        <f>'LPP-UEP'!N102</f>
        <v>0</v>
      </c>
      <c r="K21" s="1848">
        <f>'LPP-UEP'!O102</f>
        <v>0</v>
      </c>
      <c r="L21" s="1849">
        <v>0</v>
      </c>
      <c r="M21" s="1848">
        <v>0</v>
      </c>
    </row>
    <row r="22" spans="1:13" ht="15">
      <c r="A22" s="1850" t="e">
        <f>DT!H13&amp;"."&amp;"000"&amp;DT!$F$32</f>
        <v>#VALUE!</v>
      </c>
      <c r="B22" s="1851">
        <f t="shared" ca="1" si="0"/>
        <v>42423</v>
      </c>
      <c r="C22" s="1850" t="e">
        <f>DT!$F$30&amp;"-"&amp;DT!$F$31</f>
        <v>#VALUE!</v>
      </c>
      <c r="D22" s="1850">
        <f>DT!H13</f>
        <v>0</v>
      </c>
      <c r="E22" s="1848">
        <f>'LPP-UEP'!F103</f>
        <v>0</v>
      </c>
      <c r="F22" s="1848">
        <f>'LPP-UEP'!I103</f>
        <v>0</v>
      </c>
      <c r="G22" s="1848">
        <f>'LPP-UEP'!J103</f>
        <v>0</v>
      </c>
      <c r="H22" s="1848">
        <f>'LPP-UEP'!K103</f>
        <v>0</v>
      </c>
      <c r="I22" s="1848">
        <f>'LPP-UEP'!L103</f>
        <v>0</v>
      </c>
      <c r="J22" s="1848">
        <f>'LPP-UEP'!N103</f>
        <v>0</v>
      </c>
      <c r="K22" s="1848">
        <f>'LPP-UEP'!O103</f>
        <v>0</v>
      </c>
      <c r="L22" s="1849">
        <v>0</v>
      </c>
      <c r="M22" s="1848">
        <v>0</v>
      </c>
    </row>
    <row r="23" spans="1:13" ht="15">
      <c r="A23" s="1850" t="e">
        <f>DT!H14&amp;"."&amp;"000"&amp;DT!$F$32</f>
        <v>#VALUE!</v>
      </c>
      <c r="B23" s="1851">
        <f t="shared" ca="1" si="0"/>
        <v>42423</v>
      </c>
      <c r="C23" s="1850" t="e">
        <f>DT!$F$30&amp;"-"&amp;DT!$F$31</f>
        <v>#VALUE!</v>
      </c>
      <c r="D23" s="1850">
        <f>DT!H14</f>
        <v>0</v>
      </c>
      <c r="E23" s="1848">
        <f>'LPP-UEP'!F104</f>
        <v>0</v>
      </c>
      <c r="F23" s="1848">
        <f>'LPP-UEP'!I104</f>
        <v>0</v>
      </c>
      <c r="G23" s="1848">
        <f>'LPP-UEP'!J104</f>
        <v>0</v>
      </c>
      <c r="H23" s="1848">
        <f>'LPP-UEP'!K104</f>
        <v>0</v>
      </c>
      <c r="I23" s="1848">
        <f>'LPP-UEP'!L104</f>
        <v>0</v>
      </c>
      <c r="J23" s="1848">
        <f>'LPP-UEP'!N104</f>
        <v>0</v>
      </c>
      <c r="K23" s="1848">
        <f>'LPP-UEP'!O104</f>
        <v>0</v>
      </c>
      <c r="L23" s="1849">
        <v>0</v>
      </c>
      <c r="M23" s="1848">
        <v>0</v>
      </c>
    </row>
    <row r="24" spans="1:13" ht="15">
      <c r="A24" s="1850" t="e">
        <f>DT!H15&amp;"."&amp;"000"&amp;DT!$F$32</f>
        <v>#VALUE!</v>
      </c>
      <c r="B24" s="1851">
        <f t="shared" ca="1" si="0"/>
        <v>42423</v>
      </c>
      <c r="C24" s="1850" t="e">
        <f>DT!$F$30&amp;"-"&amp;DT!$F$31</f>
        <v>#VALUE!</v>
      </c>
      <c r="D24" s="1850">
        <f>DT!H15</f>
        <v>0</v>
      </c>
      <c r="E24" s="1848">
        <f>'LPP-UEP'!F105</f>
        <v>0</v>
      </c>
      <c r="F24" s="1848">
        <f>'LPP-UEP'!I105</f>
        <v>0</v>
      </c>
      <c r="G24" s="1848">
        <f>'LPP-UEP'!J105</f>
        <v>0</v>
      </c>
      <c r="H24" s="1848">
        <f>'LPP-UEP'!K105</f>
        <v>0</v>
      </c>
      <c r="I24" s="1848">
        <f>'LPP-UEP'!L105</f>
        <v>0</v>
      </c>
      <c r="J24" s="1848">
        <f>'LPP-UEP'!N105</f>
        <v>0</v>
      </c>
      <c r="K24" s="1848">
        <f>'LPP-UEP'!O105</f>
        <v>0</v>
      </c>
      <c r="L24" s="1849">
        <v>0</v>
      </c>
      <c r="M24" s="1848">
        <v>0</v>
      </c>
    </row>
    <row r="25" spans="1:13" ht="15">
      <c r="A25" s="1850" t="e">
        <f>DT!H16&amp;"."&amp;"000"&amp;DT!$F$32</f>
        <v>#VALUE!</v>
      </c>
      <c r="B25" s="1851">
        <f t="shared" ca="1" si="0"/>
        <v>42423</v>
      </c>
      <c r="C25" s="1850" t="e">
        <f>DT!$F$30&amp;"-"&amp;DT!$F$31</f>
        <v>#VALUE!</v>
      </c>
      <c r="D25" s="1850">
        <f>DT!H16</f>
        <v>0</v>
      </c>
      <c r="E25" s="1848">
        <f>'LPP-UEP'!F106</f>
        <v>0</v>
      </c>
      <c r="F25" s="1848">
        <f>'LPP-UEP'!I106</f>
        <v>0</v>
      </c>
      <c r="G25" s="1848">
        <f>'LPP-UEP'!J106</f>
        <v>0</v>
      </c>
      <c r="H25" s="1848">
        <f>'LPP-UEP'!K106</f>
        <v>0</v>
      </c>
      <c r="I25" s="1848">
        <f>'LPP-UEP'!L106</f>
        <v>0</v>
      </c>
      <c r="J25" s="1848">
        <f>'LPP-UEP'!N106</f>
        <v>0</v>
      </c>
      <c r="K25" s="1848">
        <f>'LPP-UEP'!O106</f>
        <v>0</v>
      </c>
      <c r="L25" s="1849">
        <v>0</v>
      </c>
      <c r="M25" s="1848">
        <v>0</v>
      </c>
    </row>
    <row r="26" spans="1:13" ht="15">
      <c r="A26" s="1850" t="e">
        <f>DT!H17&amp;"."&amp;"000"&amp;DT!$F$32</f>
        <v>#VALUE!</v>
      </c>
      <c r="B26" s="1851">
        <f t="shared" ca="1" si="0"/>
        <v>42423</v>
      </c>
      <c r="C26" s="1850" t="e">
        <f>DT!$F$30&amp;"-"&amp;DT!$F$31</f>
        <v>#VALUE!</v>
      </c>
      <c r="D26" s="1850">
        <f>DT!H17</f>
        <v>0</v>
      </c>
      <c r="E26" s="1848">
        <f>'LPP-UEP'!F107</f>
        <v>0</v>
      </c>
      <c r="F26" s="1848">
        <f>'LPP-UEP'!I107</f>
        <v>0</v>
      </c>
      <c r="G26" s="1848">
        <f>'LPP-UEP'!J107</f>
        <v>0</v>
      </c>
      <c r="H26" s="1848">
        <f>'LPP-UEP'!K107</f>
        <v>0</v>
      </c>
      <c r="I26" s="1848">
        <f>'LPP-UEP'!L107</f>
        <v>0</v>
      </c>
      <c r="J26" s="1848">
        <f>'LPP-UEP'!N107</f>
        <v>0</v>
      </c>
      <c r="K26" s="1848">
        <f>'LPP-UEP'!O107</f>
        <v>0</v>
      </c>
      <c r="L26" s="1849">
        <v>0</v>
      </c>
      <c r="M26" s="1848">
        <v>0</v>
      </c>
    </row>
    <row r="27" spans="1:13" ht="15">
      <c r="A27" s="1850" t="e">
        <f>DT!H18&amp;"."&amp;"000"&amp;DT!$F$32</f>
        <v>#VALUE!</v>
      </c>
      <c r="B27" s="1851">
        <f t="shared" ca="1" si="0"/>
        <v>42423</v>
      </c>
      <c r="C27" s="1850" t="e">
        <f>DT!$F$30&amp;"-"&amp;DT!$F$31</f>
        <v>#VALUE!</v>
      </c>
      <c r="D27" s="1850">
        <f>DT!H18</f>
        <v>0</v>
      </c>
      <c r="E27" s="1848">
        <f>'LPP-UEP'!F108</f>
        <v>0</v>
      </c>
      <c r="F27" s="1848">
        <f>'LPP-UEP'!I108</f>
        <v>0</v>
      </c>
      <c r="G27" s="1848">
        <f>'LPP-UEP'!J108</f>
        <v>0</v>
      </c>
      <c r="H27" s="1848">
        <f>'LPP-UEP'!K108</f>
        <v>0</v>
      </c>
      <c r="I27" s="1848">
        <f>'LPP-UEP'!L108</f>
        <v>0</v>
      </c>
      <c r="J27" s="1848">
        <f>'LPP-UEP'!N108</f>
        <v>0</v>
      </c>
      <c r="K27" s="1848">
        <f>'LPP-UEP'!O108</f>
        <v>0</v>
      </c>
      <c r="L27" s="1849">
        <v>0</v>
      </c>
      <c r="M27" s="1848">
        <v>0</v>
      </c>
    </row>
  </sheetData>
  <sheetProtection password="C13C" sheet="1" formatCells="0" formatColumns="0" formatRows="0"/>
  <mergeCells count="9">
    <mergeCell ref="A1:M1"/>
    <mergeCell ref="A2:M2"/>
    <mergeCell ref="A3:M3"/>
    <mergeCell ref="A4:M4"/>
    <mergeCell ref="E9:E10"/>
    <mergeCell ref="F9:G9"/>
    <mergeCell ref="H9:I9"/>
    <mergeCell ref="J9:K9"/>
    <mergeCell ref="L9:L10"/>
  </mergeCells>
  <hyperlinks>
    <hyperlink ref="A2" location="Depan!A1" display="UNIT PENGELOLA KEGIATAN (UPK)"/>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P27"/>
  <sheetViews>
    <sheetView zoomScale="80" zoomScaleNormal="80" workbookViewId="0">
      <selection activeCell="A12" sqref="A12:XFD21"/>
    </sheetView>
  </sheetViews>
  <sheetFormatPr defaultColWidth="9.140625" defaultRowHeight="12.75"/>
  <cols>
    <col min="1" max="1" width="18.42578125" style="704" bestFit="1" customWidth="1"/>
    <col min="2" max="2" width="12.28515625" style="704" customWidth="1"/>
    <col min="3" max="3" width="11.7109375" style="704" customWidth="1"/>
    <col min="4" max="4" width="12.28515625" style="704" customWidth="1"/>
    <col min="5" max="16384" width="9.140625" style="704"/>
  </cols>
  <sheetData>
    <row r="1" spans="1:16" ht="18">
      <c r="A1" s="3410" t="s">
        <v>1631</v>
      </c>
      <c r="B1" s="3410"/>
      <c r="C1" s="3410"/>
      <c r="D1" s="3410"/>
      <c r="E1" s="3410"/>
      <c r="F1" s="3410"/>
      <c r="G1" s="3410"/>
      <c r="H1" s="3410"/>
      <c r="I1" s="3410"/>
      <c r="J1" s="3410"/>
      <c r="K1" s="3410"/>
      <c r="L1" s="3410"/>
      <c r="M1" s="3410"/>
      <c r="N1" s="1866"/>
      <c r="O1" s="1865"/>
      <c r="P1" s="1865"/>
    </row>
    <row r="2" spans="1:16" ht="15.75">
      <c r="A2" s="3410" t="s">
        <v>704</v>
      </c>
      <c r="B2" s="3410"/>
      <c r="C2" s="3410"/>
      <c r="D2" s="3410"/>
      <c r="E2" s="3410"/>
      <c r="F2" s="3410"/>
      <c r="G2" s="3410"/>
      <c r="H2" s="3410"/>
      <c r="I2" s="3410"/>
      <c r="J2" s="3410"/>
      <c r="K2" s="3410"/>
      <c r="L2" s="3410"/>
      <c r="M2" s="3410"/>
      <c r="N2" s="1869"/>
      <c r="O2" s="1868"/>
      <c r="P2" s="1868"/>
    </row>
    <row r="3" spans="1:16" ht="18.75">
      <c r="A3" s="3410" t="s">
        <v>734</v>
      </c>
      <c r="B3" s="3410"/>
      <c r="C3" s="3410"/>
      <c r="D3" s="3410"/>
      <c r="E3" s="3410"/>
      <c r="F3" s="3410"/>
      <c r="G3" s="3410"/>
      <c r="H3" s="3410"/>
      <c r="I3" s="3410"/>
      <c r="J3" s="3410"/>
      <c r="K3" s="3410"/>
      <c r="L3" s="3410"/>
      <c r="M3" s="3410"/>
      <c r="N3" s="1868"/>
      <c r="O3" s="1867"/>
      <c r="P3" s="1867"/>
    </row>
    <row r="4" spans="1:16" ht="18">
      <c r="A4" s="3410" t="str">
        <f>'db LPP-UEP'!A4:M4</f>
        <v>Periode Bulan Februari 2016 2016</v>
      </c>
      <c r="B4" s="3410"/>
      <c r="C4" s="3410"/>
      <c r="D4" s="3410"/>
      <c r="E4" s="3410"/>
      <c r="F4" s="3410"/>
      <c r="G4" s="3410"/>
      <c r="H4" s="3410"/>
      <c r="I4" s="3410"/>
      <c r="J4" s="3410"/>
      <c r="K4" s="3410"/>
      <c r="L4" s="3410"/>
      <c r="M4" s="3410"/>
      <c r="N4" s="1866"/>
      <c r="O4" s="1865"/>
      <c r="P4" s="1865"/>
    </row>
    <row r="5" spans="1:16" ht="15.75">
      <c r="A5" s="1863" t="s">
        <v>981</v>
      </c>
      <c r="B5" s="1862"/>
      <c r="C5" s="1864" t="str">
        <f>'LPP-SPP'!F6</f>
        <v>:  Nagrak</v>
      </c>
      <c r="D5" s="1860"/>
      <c r="E5" s="1860"/>
      <c r="F5" s="1860"/>
      <c r="G5" s="1860"/>
      <c r="H5" s="1860"/>
      <c r="I5" s="1860"/>
      <c r="J5" s="1860"/>
      <c r="K5" s="1860"/>
      <c r="L5" s="1860"/>
      <c r="M5" s="1860"/>
      <c r="N5" s="1860"/>
      <c r="O5" s="1860"/>
      <c r="P5" s="1860"/>
    </row>
    <row r="6" spans="1:16" ht="15.75">
      <c r="A6" s="1863" t="s">
        <v>982</v>
      </c>
      <c r="B6" s="1862"/>
      <c r="C6" s="1864" t="str">
        <f>'LPP-SPP'!F7</f>
        <v>:  Sukabumi</v>
      </c>
      <c r="D6" s="1860"/>
      <c r="E6" s="1860"/>
      <c r="F6" s="1860"/>
      <c r="G6" s="1860"/>
      <c r="H6" s="1860"/>
      <c r="I6" s="1860"/>
      <c r="J6" s="1860"/>
      <c r="K6" s="1860"/>
      <c r="L6" s="1860"/>
      <c r="M6" s="1860"/>
      <c r="N6" s="1860"/>
      <c r="O6" s="1860"/>
      <c r="P6" s="1860"/>
    </row>
    <row r="7" spans="1:16" ht="15.75">
      <c r="A7" s="1863" t="s">
        <v>983</v>
      </c>
      <c r="B7" s="1862"/>
      <c r="C7" s="1864" t="str">
        <f>'LPP-SPP'!F8</f>
        <v>:  Jawa Barat</v>
      </c>
      <c r="D7" s="1860"/>
      <c r="E7" s="1860"/>
      <c r="F7" s="1860"/>
      <c r="G7" s="1860"/>
      <c r="H7" s="1860"/>
      <c r="I7" s="1860"/>
      <c r="J7" s="1860"/>
      <c r="K7" s="1860"/>
      <c r="L7" s="1860"/>
      <c r="M7" s="1860"/>
      <c r="N7" s="1860"/>
      <c r="O7" s="1860"/>
      <c r="P7" s="1860"/>
    </row>
    <row r="8" spans="1:16" ht="15.75">
      <c r="A8" s="1863"/>
      <c r="B8" s="1862"/>
      <c r="C8" s="1861"/>
      <c r="D8" s="1860"/>
      <c r="E8" s="1860"/>
      <c r="F8" s="1860"/>
      <c r="G8" s="1860"/>
      <c r="H8" s="1860"/>
      <c r="I8" s="1860"/>
      <c r="J8" s="1860"/>
      <c r="K8" s="1860"/>
      <c r="L8" s="1860"/>
      <c r="M8" s="1860"/>
      <c r="N8" s="1860"/>
      <c r="O8" s="1860"/>
      <c r="P8" s="1860"/>
    </row>
    <row r="9" spans="1:16" s="1856" customFormat="1" ht="24" customHeight="1">
      <c r="A9" s="1858"/>
      <c r="B9" s="1858"/>
      <c r="C9" s="1859"/>
      <c r="D9" s="1858"/>
      <c r="E9" s="3410" t="s">
        <v>1630</v>
      </c>
      <c r="F9" s="3410" t="s">
        <v>1629</v>
      </c>
      <c r="G9" s="3410"/>
      <c r="H9" s="3410" t="s">
        <v>1628</v>
      </c>
      <c r="I9" s="3410"/>
      <c r="J9" s="3410" t="s">
        <v>1627</v>
      </c>
      <c r="K9" s="3410"/>
      <c r="L9" s="3410"/>
      <c r="M9" s="1858"/>
      <c r="N9" s="1858"/>
      <c r="O9" s="1858"/>
      <c r="P9" s="1858"/>
    </row>
    <row r="10" spans="1:16" s="1856" customFormat="1" ht="11.25">
      <c r="E10" s="3410"/>
      <c r="F10" s="1857" t="s">
        <v>1626</v>
      </c>
      <c r="G10" s="1857" t="s">
        <v>1625</v>
      </c>
      <c r="H10" s="1857" t="s">
        <v>1626</v>
      </c>
      <c r="I10" s="1857" t="s">
        <v>1625</v>
      </c>
      <c r="J10" s="1857" t="s">
        <v>1626</v>
      </c>
      <c r="K10" s="1857" t="s">
        <v>1625</v>
      </c>
      <c r="L10" s="3410"/>
    </row>
    <row r="11" spans="1:16" ht="15">
      <c r="A11" s="1350" t="s">
        <v>1624</v>
      </c>
      <c r="B11" s="1350" t="s">
        <v>1623</v>
      </c>
      <c r="C11" s="1350" t="s">
        <v>1622</v>
      </c>
      <c r="D11" s="1350" t="s">
        <v>1621</v>
      </c>
      <c r="E11" s="1416" t="s">
        <v>1620</v>
      </c>
      <c r="F11" s="1416" t="s">
        <v>1619</v>
      </c>
      <c r="G11" s="1416" t="s">
        <v>1618</v>
      </c>
      <c r="H11" s="1416" t="s">
        <v>1617</v>
      </c>
      <c r="I11" s="1416" t="s">
        <v>1616</v>
      </c>
      <c r="J11" s="1416" t="s">
        <v>1615</v>
      </c>
      <c r="K11" s="1416" t="s">
        <v>1614</v>
      </c>
      <c r="L11" s="1350" t="s">
        <v>1613</v>
      </c>
      <c r="M11" s="1350" t="s">
        <v>1027</v>
      </c>
    </row>
    <row r="12" spans="1:16" ht="15">
      <c r="A12" s="1854" t="e">
        <f>DT!H3&amp;"."&amp;"000"&amp;DT!$F$32</f>
        <v>#VALUE!</v>
      </c>
      <c r="B12" s="1855">
        <f ca="1">TODAY()</f>
        <v>42423</v>
      </c>
      <c r="C12" s="1854" t="e">
        <f>DT!$F$30&amp;"-"&amp;DT!$F$31</f>
        <v>#VALUE!</v>
      </c>
      <c r="D12" s="1854" t="str">
        <f>DT!H3</f>
        <v>3202220010</v>
      </c>
      <c r="E12" s="1852">
        <f>'LPP-SPP (BLM+PIHAK KE3)'!F13</f>
        <v>3706700000</v>
      </c>
      <c r="F12" s="1852">
        <f>'LPP-SPP (BLM+PIHAK KE3)'!I13</f>
        <v>3190367500</v>
      </c>
      <c r="G12" s="1852">
        <f>'LPP-SPP (BLM+PIHAK KE3)'!J13</f>
        <v>546621000</v>
      </c>
      <c r="H12" s="1852">
        <f>'LPP-SPP (BLM+PIHAK KE3)'!K13</f>
        <v>3087407900</v>
      </c>
      <c r="I12" s="1852">
        <f>'LPP-SPP (BLM+PIHAK KE3)'!L13</f>
        <v>528218000</v>
      </c>
      <c r="J12" s="1852">
        <f>'LPP-SPP (BLM+PIHAK KE3)'!N13</f>
        <v>68333700</v>
      </c>
      <c r="K12" s="1852">
        <f>'LPP-SPP (BLM+PIHAK KE3)'!O13</f>
        <v>12400000</v>
      </c>
      <c r="L12" s="1853">
        <v>0</v>
      </c>
      <c r="M12" s="1852">
        <v>0</v>
      </c>
    </row>
    <row r="13" spans="1:16" ht="15">
      <c r="A13" s="1850" t="e">
        <f>DT!H4&amp;"."&amp;"000"&amp;DT!$F$32</f>
        <v>#VALUE!</v>
      </c>
      <c r="B13" s="1851">
        <f t="shared" ref="B13:B27" ca="1" si="0">TODAY()</f>
        <v>42423</v>
      </c>
      <c r="C13" s="1850" t="e">
        <f>DT!$F$30&amp;"-"&amp;DT!$F$31</f>
        <v>#VALUE!</v>
      </c>
      <c r="D13" s="1850" t="str">
        <f>DT!H4</f>
        <v>3202220004</v>
      </c>
      <c r="E13" s="1848">
        <f>'LPP-SPP (BLM+PIHAK KE3)'!F14</f>
        <v>4853100000</v>
      </c>
      <c r="F13" s="1848">
        <f>'LPP-SPP (BLM+PIHAK KE3)'!I14</f>
        <v>4198707501.6666665</v>
      </c>
      <c r="G13" s="1848">
        <f>'LPP-SPP (BLM+PIHAK KE3)'!J14</f>
        <v>734688000</v>
      </c>
      <c r="H13" s="1848">
        <f>'LPP-SPP (BLM+PIHAK KE3)'!K14</f>
        <v>4020603900</v>
      </c>
      <c r="I13" s="1848">
        <f>'LPP-SPP (BLM+PIHAK KE3)'!L14</f>
        <v>702926700</v>
      </c>
      <c r="J13" s="1848">
        <f>'LPP-SPP (BLM+PIHAK KE3)'!N14</f>
        <v>91076600</v>
      </c>
      <c r="K13" s="1848">
        <f>'LPP-SPP (BLM+PIHAK KE3)'!O14</f>
        <v>16248000</v>
      </c>
      <c r="L13" s="1849">
        <v>0</v>
      </c>
      <c r="M13" s="1848">
        <v>0</v>
      </c>
    </row>
    <row r="14" spans="1:16" ht="15">
      <c r="A14" s="1850" t="e">
        <f>DT!H5&amp;"."&amp;"000"&amp;DT!$F$32</f>
        <v>#VALUE!</v>
      </c>
      <c r="B14" s="1851">
        <f t="shared" ca="1" si="0"/>
        <v>42423</v>
      </c>
      <c r="C14" s="1850" t="e">
        <f>DT!$F$30&amp;"-"&amp;DT!$F$31</f>
        <v>#VALUE!</v>
      </c>
      <c r="D14" s="1850" t="str">
        <f>DT!H5</f>
        <v>3202220006</v>
      </c>
      <c r="E14" s="1848">
        <f>'LPP-SPP (BLM+PIHAK KE3)'!F15</f>
        <v>3129200000</v>
      </c>
      <c r="F14" s="1848">
        <f>'LPP-SPP (BLM+PIHAK KE3)'!I15</f>
        <v>2699400500</v>
      </c>
      <c r="G14" s="1848">
        <f>'LPP-SPP (BLM+PIHAK KE3)'!J15</f>
        <v>458790000</v>
      </c>
      <c r="H14" s="1848">
        <f>'LPP-SPP (BLM+PIHAK KE3)'!K15</f>
        <v>2597645300</v>
      </c>
      <c r="I14" s="1848">
        <f>'LPP-SPP (BLM+PIHAK KE3)'!L15</f>
        <v>435001000</v>
      </c>
      <c r="J14" s="1848">
        <f>'LPP-SPP (BLM+PIHAK KE3)'!N15</f>
        <v>60975100</v>
      </c>
      <c r="K14" s="1848">
        <f>'LPP-SPP (BLM+PIHAK KE3)'!O15</f>
        <v>11244000</v>
      </c>
      <c r="L14" s="1849">
        <v>0</v>
      </c>
      <c r="M14" s="1848">
        <v>0</v>
      </c>
    </row>
    <row r="15" spans="1:16" ht="15">
      <c r="A15" s="1850" t="e">
        <f>DT!H6&amp;"."&amp;"000"&amp;DT!$F$32</f>
        <v>#VALUE!</v>
      </c>
      <c r="B15" s="1851">
        <f t="shared" ca="1" si="0"/>
        <v>42423</v>
      </c>
      <c r="C15" s="1850" t="e">
        <f>DT!$F$30&amp;"-"&amp;DT!$F$31</f>
        <v>#VALUE!</v>
      </c>
      <c r="D15" s="1850" t="str">
        <f>DT!H6</f>
        <v>3202220002</v>
      </c>
      <c r="E15" s="1848">
        <f>'LPP-SPP (BLM+PIHAK KE3)'!F16</f>
        <v>2005000000</v>
      </c>
      <c r="F15" s="1848">
        <f>'LPP-SPP (BLM+PIHAK KE3)'!I16</f>
        <v>1684083900</v>
      </c>
      <c r="G15" s="1848">
        <f>'LPP-SPP (BLM+PIHAK KE3)'!J16</f>
        <v>297615000</v>
      </c>
      <c r="H15" s="1848">
        <f>'LPP-SPP (BLM+PIHAK KE3)'!K16</f>
        <v>1625455800</v>
      </c>
      <c r="I15" s="1848">
        <f>'LPP-SPP (BLM+PIHAK KE3)'!L16</f>
        <v>286415200</v>
      </c>
      <c r="J15" s="1848">
        <f>'LPP-SPP (BLM+PIHAK KE3)'!N16</f>
        <v>38666700</v>
      </c>
      <c r="K15" s="1848">
        <f>'LPP-SPP (BLM+PIHAK KE3)'!O16</f>
        <v>6960000</v>
      </c>
      <c r="L15" s="1849">
        <v>0</v>
      </c>
      <c r="M15" s="1848">
        <v>0</v>
      </c>
    </row>
    <row r="16" spans="1:16" ht="15">
      <c r="A16" s="1850" t="e">
        <f>DT!H7&amp;"."&amp;"000"&amp;DT!$F$32</f>
        <v>#VALUE!</v>
      </c>
      <c r="B16" s="1851">
        <f t="shared" ca="1" si="0"/>
        <v>42423</v>
      </c>
      <c r="C16" s="1850" t="e">
        <f>DT!$F$30&amp;"-"&amp;DT!$F$31</f>
        <v>#VALUE!</v>
      </c>
      <c r="D16" s="1850" t="str">
        <f>DT!H7</f>
        <v>3202220003</v>
      </c>
      <c r="E16" s="1848">
        <f>'LPP-SPP (BLM+PIHAK KE3)'!F17</f>
        <v>2373750000</v>
      </c>
      <c r="F16" s="1848">
        <f>'LPP-SPP (BLM+PIHAK KE3)'!I17</f>
        <v>2111400000</v>
      </c>
      <c r="G16" s="1848">
        <f>'LPP-SPP (BLM+PIHAK KE3)'!J17</f>
        <v>367881900</v>
      </c>
      <c r="H16" s="1848">
        <f>'LPP-SPP (BLM+PIHAK KE3)'!K17</f>
        <v>2025223300</v>
      </c>
      <c r="I16" s="1848">
        <f>'LPP-SPP (BLM+PIHAK KE3)'!L17</f>
        <v>354129900</v>
      </c>
      <c r="J16" s="1848">
        <f>'LPP-SPP (BLM+PIHAK KE3)'!N17</f>
        <v>42133700</v>
      </c>
      <c r="K16" s="1848">
        <f>'LPP-SPP (BLM+PIHAK KE3)'!O17</f>
        <v>7314000</v>
      </c>
      <c r="L16" s="1849">
        <v>0</v>
      </c>
      <c r="M16" s="1848">
        <v>0</v>
      </c>
    </row>
    <row r="17" spans="1:13" ht="15">
      <c r="A17" s="1850" t="e">
        <f>DT!H8&amp;"."&amp;"000"&amp;DT!$F$32</f>
        <v>#VALUE!</v>
      </c>
      <c r="B17" s="1851">
        <f t="shared" ca="1" si="0"/>
        <v>42423</v>
      </c>
      <c r="C17" s="1850" t="e">
        <f>DT!$F$30&amp;"-"&amp;DT!$F$31</f>
        <v>#VALUE!</v>
      </c>
      <c r="D17" s="1850" t="str">
        <f>DT!H8</f>
        <v>3202220005</v>
      </c>
      <c r="E17" s="1848">
        <f>'LPP-SPP (BLM+PIHAK KE3)'!F18</f>
        <v>3165400000</v>
      </c>
      <c r="F17" s="1848">
        <f>'LPP-SPP (BLM+PIHAK KE3)'!I18</f>
        <v>2775123200</v>
      </c>
      <c r="G17" s="1848">
        <f>'LPP-SPP (BLM+PIHAK KE3)'!J18</f>
        <v>482611500</v>
      </c>
      <c r="H17" s="1848">
        <f>'LPP-SPP (BLM+PIHAK KE3)'!K18</f>
        <v>2645075700</v>
      </c>
      <c r="I17" s="1848">
        <f>'LPP-SPP (BLM+PIHAK KE3)'!L18</f>
        <v>459199500</v>
      </c>
      <c r="J17" s="1848">
        <f>'LPP-SPP (BLM+PIHAK KE3)'!N18</f>
        <v>56044700</v>
      </c>
      <c r="K17" s="1848">
        <f>'LPP-SPP (BLM+PIHAK KE3)'!O18</f>
        <v>10827000</v>
      </c>
      <c r="L17" s="1849">
        <v>0</v>
      </c>
      <c r="M17" s="1848">
        <v>0</v>
      </c>
    </row>
    <row r="18" spans="1:13" ht="15">
      <c r="A18" s="1850" t="e">
        <f>DT!H9&amp;"."&amp;"000"&amp;DT!$F$32</f>
        <v>#VALUE!</v>
      </c>
      <c r="B18" s="1851">
        <f t="shared" ca="1" si="0"/>
        <v>42423</v>
      </c>
      <c r="C18" s="1850" t="e">
        <f>DT!$F$30&amp;"-"&amp;DT!$F$31</f>
        <v>#VALUE!</v>
      </c>
      <c r="D18" s="1850" t="str">
        <f>DT!H9</f>
        <v>3202220008</v>
      </c>
      <c r="E18" s="1848">
        <f>'LPP-SPP (BLM+PIHAK KE3)'!F19</f>
        <v>2028000000</v>
      </c>
      <c r="F18" s="1848">
        <f>'LPP-SPP (BLM+PIHAK KE3)'!I19</f>
        <v>1764542300</v>
      </c>
      <c r="G18" s="1848">
        <f>'LPP-SPP (BLM+PIHAK KE3)'!J19</f>
        <v>306622500</v>
      </c>
      <c r="H18" s="1848">
        <f>'LPP-SPP (BLM+PIHAK KE3)'!K19</f>
        <v>1689013000</v>
      </c>
      <c r="I18" s="1848">
        <f>'LPP-SPP (BLM+PIHAK KE3)'!L19</f>
        <v>294772500</v>
      </c>
      <c r="J18" s="1848">
        <f>'LPP-SPP (BLM+PIHAK KE3)'!N19</f>
        <v>44833700</v>
      </c>
      <c r="K18" s="1848">
        <f>'LPP-SPP (BLM+PIHAK KE3)'!O19</f>
        <v>7140000</v>
      </c>
      <c r="L18" s="1849">
        <v>0</v>
      </c>
      <c r="M18" s="1848">
        <v>0</v>
      </c>
    </row>
    <row r="19" spans="1:13" ht="15">
      <c r="A19" s="1850" t="e">
        <f>DT!H10&amp;"."&amp;"000"&amp;DT!$F$32</f>
        <v>#VALUE!</v>
      </c>
      <c r="B19" s="1851">
        <f t="shared" ca="1" si="0"/>
        <v>42423</v>
      </c>
      <c r="C19" s="1850" t="e">
        <f>DT!$F$30&amp;"-"&amp;DT!$F$31</f>
        <v>#VALUE!</v>
      </c>
      <c r="D19" s="1850" t="str">
        <f>DT!H10</f>
        <v>3202220009</v>
      </c>
      <c r="E19" s="1848">
        <f>'LPP-SPP (BLM+PIHAK KE3)'!F20</f>
        <v>2165200000</v>
      </c>
      <c r="F19" s="1848">
        <f>'LPP-SPP (BLM+PIHAK KE3)'!I20</f>
        <v>1790466100</v>
      </c>
      <c r="G19" s="1848">
        <f>'LPP-SPP (BLM+PIHAK KE3)'!J20</f>
        <v>308745000</v>
      </c>
      <c r="H19" s="1848">
        <f>'LPP-SPP (BLM+PIHAK KE3)'!K20</f>
        <v>1720062100</v>
      </c>
      <c r="I19" s="1848">
        <f>'LPP-SPP (BLM+PIHAK KE3)'!L20</f>
        <v>296377500</v>
      </c>
      <c r="J19" s="1848">
        <f>'LPP-SPP (BLM+PIHAK KE3)'!N20</f>
        <v>39040600</v>
      </c>
      <c r="K19" s="1848">
        <f>'LPP-SPP (BLM+PIHAK KE3)'!O20</f>
        <v>6787500</v>
      </c>
      <c r="L19" s="1849">
        <v>0</v>
      </c>
      <c r="M19" s="1848">
        <v>0</v>
      </c>
    </row>
    <row r="20" spans="1:13" ht="15">
      <c r="A20" s="1850" t="e">
        <f>DT!H11&amp;"."&amp;"000"&amp;DT!$F$32</f>
        <v>#VALUE!</v>
      </c>
      <c r="B20" s="1851">
        <f t="shared" ca="1" si="0"/>
        <v>42423</v>
      </c>
      <c r="C20" s="1850" t="e">
        <f>DT!$F$30&amp;"-"&amp;DT!$F$31</f>
        <v>#VALUE!</v>
      </c>
      <c r="D20" s="1850" t="str">
        <f>DT!H11</f>
        <v>3202220001</v>
      </c>
      <c r="E20" s="1848">
        <f>'LPP-SPP (BLM+PIHAK KE3)'!F21</f>
        <v>3192500000</v>
      </c>
      <c r="F20" s="1848">
        <f>'LPP-SPP (BLM+PIHAK KE3)'!I21</f>
        <v>2840332800</v>
      </c>
      <c r="G20" s="1848">
        <f>'LPP-SPP (BLM+PIHAK KE3)'!J21</f>
        <v>492346500</v>
      </c>
      <c r="H20" s="1848">
        <f>'LPP-SPP (BLM+PIHAK KE3)'!K21</f>
        <v>2656093000</v>
      </c>
      <c r="I20" s="1848">
        <f>'LPP-SPP (BLM+PIHAK KE3)'!L21</f>
        <v>461704800</v>
      </c>
      <c r="J20" s="1848">
        <f>'LPP-SPP (BLM+PIHAK KE3)'!N21</f>
        <v>50757100</v>
      </c>
      <c r="K20" s="1848">
        <f>'LPP-SPP (BLM+PIHAK KE3)'!O21</f>
        <v>9135000</v>
      </c>
      <c r="L20" s="1849">
        <v>0</v>
      </c>
      <c r="M20" s="1848">
        <v>0</v>
      </c>
    </row>
    <row r="21" spans="1:13" ht="15">
      <c r="A21" s="1850" t="e">
        <f>DT!H12&amp;"."&amp;"000"&amp;DT!$F$32</f>
        <v>#VALUE!</v>
      </c>
      <c r="B21" s="1851">
        <f t="shared" ca="1" si="0"/>
        <v>42423</v>
      </c>
      <c r="C21" s="1850" t="e">
        <f>DT!$F$30&amp;"-"&amp;DT!$F$31</f>
        <v>#VALUE!</v>
      </c>
      <c r="D21" s="1850" t="str">
        <f>DT!H12</f>
        <v>3202220007</v>
      </c>
      <c r="E21" s="1848">
        <f>'LPP-SPP (BLM+PIHAK KE3)'!F22</f>
        <v>2721500000</v>
      </c>
      <c r="F21" s="1848">
        <f>'LPP-SPP (BLM+PIHAK KE3)'!I22</f>
        <v>2362167500</v>
      </c>
      <c r="G21" s="1848">
        <f>'LPP-SPP (BLM+PIHAK KE3)'!J22</f>
        <v>409534500</v>
      </c>
      <c r="H21" s="1848">
        <f>'LPP-SPP (BLM+PIHAK KE3)'!K22</f>
        <v>2247109100</v>
      </c>
      <c r="I21" s="1848">
        <f>'LPP-SPP (BLM+PIHAK KE3)'!L22</f>
        <v>389596500</v>
      </c>
      <c r="J21" s="1848">
        <f>'LPP-SPP (BLM+PIHAK KE3)'!N22</f>
        <v>53708400</v>
      </c>
      <c r="K21" s="1848">
        <f>'LPP-SPP (BLM+PIHAK KE3)'!O22</f>
        <v>9367500</v>
      </c>
      <c r="L21" s="1849">
        <v>0</v>
      </c>
      <c r="M21" s="1848">
        <v>0</v>
      </c>
    </row>
    <row r="22" spans="1:13" ht="15">
      <c r="A22" s="1850" t="e">
        <f>DT!H13&amp;"."&amp;"000"&amp;DT!$F$32</f>
        <v>#VALUE!</v>
      </c>
      <c r="B22" s="1851">
        <f t="shared" ca="1" si="0"/>
        <v>42423</v>
      </c>
      <c r="C22" s="1850" t="e">
        <f>DT!$F$30&amp;"-"&amp;DT!$F$31</f>
        <v>#VALUE!</v>
      </c>
      <c r="D22" s="1850">
        <f>DT!H13</f>
        <v>0</v>
      </c>
      <c r="E22" s="1848">
        <f>'LPP-SPP (BLM+PIHAK KE3)'!F23</f>
        <v>0</v>
      </c>
      <c r="F22" s="1848">
        <f>'LPP-SPP (BLM+PIHAK KE3)'!I23</f>
        <v>0</v>
      </c>
      <c r="G22" s="1848">
        <f>'LPP-SPP (BLM+PIHAK KE3)'!J23</f>
        <v>0</v>
      </c>
      <c r="H22" s="1848">
        <f>'LPP-SPP (BLM+PIHAK KE3)'!K23</f>
        <v>0</v>
      </c>
      <c r="I22" s="1848">
        <f>'LPP-SPP (BLM+PIHAK KE3)'!L23</f>
        <v>0</v>
      </c>
      <c r="J22" s="1848">
        <f>'LPP-SPP (BLM+PIHAK KE3)'!N23</f>
        <v>0</v>
      </c>
      <c r="K22" s="1848">
        <f>'LPP-SPP (BLM+PIHAK KE3)'!O23</f>
        <v>0</v>
      </c>
      <c r="L22" s="1849">
        <v>0</v>
      </c>
      <c r="M22" s="1848">
        <v>0</v>
      </c>
    </row>
    <row r="23" spans="1:13" ht="15">
      <c r="A23" s="1850" t="e">
        <f>DT!H14&amp;"."&amp;"000"&amp;DT!$F$32</f>
        <v>#VALUE!</v>
      </c>
      <c r="B23" s="1851">
        <f t="shared" ca="1" si="0"/>
        <v>42423</v>
      </c>
      <c r="C23" s="1850" t="e">
        <f>DT!$F$30&amp;"-"&amp;DT!$F$31</f>
        <v>#VALUE!</v>
      </c>
      <c r="D23" s="1850">
        <f>DT!H14</f>
        <v>0</v>
      </c>
      <c r="E23" s="1848">
        <f>'LPP-SPP (BLM+PIHAK KE3)'!F24</f>
        <v>0</v>
      </c>
      <c r="F23" s="1848">
        <f>'LPP-SPP (BLM+PIHAK KE3)'!I24</f>
        <v>0</v>
      </c>
      <c r="G23" s="1848">
        <f>'LPP-SPP (BLM+PIHAK KE3)'!J24</f>
        <v>0</v>
      </c>
      <c r="H23" s="1848">
        <f>'LPP-SPP (BLM+PIHAK KE3)'!K24</f>
        <v>0</v>
      </c>
      <c r="I23" s="1848">
        <f>'LPP-SPP (BLM+PIHAK KE3)'!L24</f>
        <v>0</v>
      </c>
      <c r="J23" s="1848">
        <f>'LPP-SPP (BLM+PIHAK KE3)'!N24</f>
        <v>0</v>
      </c>
      <c r="K23" s="1848">
        <f>'LPP-SPP (BLM+PIHAK KE3)'!O24</f>
        <v>0</v>
      </c>
      <c r="L23" s="1849">
        <v>0</v>
      </c>
      <c r="M23" s="1848">
        <v>0</v>
      </c>
    </row>
    <row r="24" spans="1:13" ht="15">
      <c r="A24" s="1850" t="e">
        <f>DT!H15&amp;"."&amp;"000"&amp;DT!$F$32</f>
        <v>#VALUE!</v>
      </c>
      <c r="B24" s="1851">
        <f t="shared" ca="1" si="0"/>
        <v>42423</v>
      </c>
      <c r="C24" s="1850" t="e">
        <f>DT!$F$30&amp;"-"&amp;DT!$F$31</f>
        <v>#VALUE!</v>
      </c>
      <c r="D24" s="1850">
        <f>DT!H15</f>
        <v>0</v>
      </c>
      <c r="E24" s="1848">
        <f>'LPP-SPP (BLM+PIHAK KE3)'!F25</f>
        <v>0</v>
      </c>
      <c r="F24" s="1848">
        <f>'LPP-SPP (BLM+PIHAK KE3)'!I25</f>
        <v>0</v>
      </c>
      <c r="G24" s="1848">
        <f>'LPP-SPP (BLM+PIHAK KE3)'!J25</f>
        <v>0</v>
      </c>
      <c r="H24" s="1848">
        <f>'LPP-SPP (BLM+PIHAK KE3)'!K25</f>
        <v>0</v>
      </c>
      <c r="I24" s="1848">
        <f>'LPP-SPP (BLM+PIHAK KE3)'!L25</f>
        <v>0</v>
      </c>
      <c r="J24" s="1848">
        <f>'LPP-SPP (BLM+PIHAK KE3)'!N25</f>
        <v>0</v>
      </c>
      <c r="K24" s="1848">
        <f>'LPP-SPP (BLM+PIHAK KE3)'!O25</f>
        <v>0</v>
      </c>
      <c r="L24" s="1849">
        <v>0</v>
      </c>
      <c r="M24" s="1848">
        <v>0</v>
      </c>
    </row>
    <row r="25" spans="1:13" ht="15">
      <c r="A25" s="1850" t="e">
        <f>DT!H16&amp;"."&amp;"000"&amp;DT!$F$32</f>
        <v>#VALUE!</v>
      </c>
      <c r="B25" s="1851">
        <f t="shared" ca="1" si="0"/>
        <v>42423</v>
      </c>
      <c r="C25" s="1850" t="e">
        <f>DT!$F$30&amp;"-"&amp;DT!$F$31</f>
        <v>#VALUE!</v>
      </c>
      <c r="D25" s="1850">
        <f>DT!H16</f>
        <v>0</v>
      </c>
      <c r="E25" s="1848">
        <f>'LPP-SPP (BLM+PIHAK KE3)'!F26</f>
        <v>0</v>
      </c>
      <c r="F25" s="1848">
        <f>'LPP-SPP (BLM+PIHAK KE3)'!I26</f>
        <v>0</v>
      </c>
      <c r="G25" s="1848">
        <f>'LPP-SPP (BLM+PIHAK KE3)'!J26</f>
        <v>0</v>
      </c>
      <c r="H25" s="1848">
        <f>'LPP-SPP (BLM+PIHAK KE3)'!K26</f>
        <v>0</v>
      </c>
      <c r="I25" s="1848">
        <f>'LPP-SPP (BLM+PIHAK KE3)'!L26</f>
        <v>0</v>
      </c>
      <c r="J25" s="1848">
        <f>'LPP-SPP (BLM+PIHAK KE3)'!N26</f>
        <v>0</v>
      </c>
      <c r="K25" s="1848">
        <f>'LPP-SPP (BLM+PIHAK KE3)'!O26</f>
        <v>0</v>
      </c>
      <c r="L25" s="1849">
        <v>0</v>
      </c>
      <c r="M25" s="1848">
        <v>0</v>
      </c>
    </row>
    <row r="26" spans="1:13" ht="15">
      <c r="A26" s="1850" t="e">
        <f>DT!H17&amp;"."&amp;"000"&amp;DT!$F$32</f>
        <v>#VALUE!</v>
      </c>
      <c r="B26" s="1851">
        <f t="shared" ca="1" si="0"/>
        <v>42423</v>
      </c>
      <c r="C26" s="1850" t="e">
        <f>DT!$F$30&amp;"-"&amp;DT!$F$31</f>
        <v>#VALUE!</v>
      </c>
      <c r="D26" s="1850">
        <f>DT!H17</f>
        <v>0</v>
      </c>
      <c r="E26" s="1848">
        <f>'LPP-SPP (BLM+PIHAK KE3)'!F27</f>
        <v>0</v>
      </c>
      <c r="F26" s="1848">
        <f>'LPP-SPP (BLM+PIHAK KE3)'!I27</f>
        <v>0</v>
      </c>
      <c r="G26" s="1848">
        <f>'LPP-SPP (BLM+PIHAK KE3)'!J27</f>
        <v>0</v>
      </c>
      <c r="H26" s="1848">
        <f>'LPP-SPP (BLM+PIHAK KE3)'!K27</f>
        <v>0</v>
      </c>
      <c r="I26" s="1848">
        <f>'LPP-SPP (BLM+PIHAK KE3)'!L27</f>
        <v>0</v>
      </c>
      <c r="J26" s="1848">
        <f>'LPP-SPP (BLM+PIHAK KE3)'!N27</f>
        <v>0</v>
      </c>
      <c r="K26" s="1848">
        <f>'LPP-SPP (BLM+PIHAK KE3)'!O27</f>
        <v>0</v>
      </c>
      <c r="L26" s="1849">
        <v>0</v>
      </c>
      <c r="M26" s="1848">
        <v>0</v>
      </c>
    </row>
    <row r="27" spans="1:13" ht="15">
      <c r="A27" s="1850" t="e">
        <f>DT!H18&amp;"."&amp;"000"&amp;DT!$F$32</f>
        <v>#VALUE!</v>
      </c>
      <c r="B27" s="1851">
        <f t="shared" ca="1" si="0"/>
        <v>42423</v>
      </c>
      <c r="C27" s="1850" t="e">
        <f>DT!$F$30&amp;"-"&amp;DT!$F$31</f>
        <v>#VALUE!</v>
      </c>
      <c r="D27" s="1850">
        <f>DT!H18</f>
        <v>0</v>
      </c>
      <c r="E27" s="1848">
        <f>'LPP-SPP (BLM+PIHAK KE3)'!F28</f>
        <v>0</v>
      </c>
      <c r="F27" s="1848">
        <f>'LPP-SPP (BLM+PIHAK KE3)'!I28</f>
        <v>0</v>
      </c>
      <c r="G27" s="1848">
        <f>'LPP-SPP (BLM+PIHAK KE3)'!J28</f>
        <v>0</v>
      </c>
      <c r="H27" s="1848">
        <f>'LPP-SPP (BLM+PIHAK KE3)'!K28</f>
        <v>0</v>
      </c>
      <c r="I27" s="1848">
        <f>'LPP-SPP (BLM+PIHAK KE3)'!L28</f>
        <v>0</v>
      </c>
      <c r="J27" s="1848">
        <f>'LPP-SPP (BLM+PIHAK KE3)'!N28</f>
        <v>0</v>
      </c>
      <c r="K27" s="1848">
        <f>'LPP-SPP (BLM+PIHAK KE3)'!O28</f>
        <v>0</v>
      </c>
      <c r="L27" s="1849">
        <v>0</v>
      </c>
      <c r="M27" s="1848">
        <v>0</v>
      </c>
    </row>
  </sheetData>
  <sheetProtection password="C13C" sheet="1" formatCells="0" formatColumns="0" formatRows="0"/>
  <mergeCells count="9">
    <mergeCell ref="A1:M1"/>
    <mergeCell ref="A2:M2"/>
    <mergeCell ref="A3:M3"/>
    <mergeCell ref="A4:M4"/>
    <mergeCell ref="E9:E10"/>
    <mergeCell ref="F9:G9"/>
    <mergeCell ref="H9:I9"/>
    <mergeCell ref="J9:K9"/>
    <mergeCell ref="L9:L10"/>
  </mergeCells>
  <hyperlinks>
    <hyperlink ref="A2" location="Depan!A1" display="UNIT PENGELOLA KEGIATAN (UPK)"/>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P31"/>
  <sheetViews>
    <sheetView zoomScale="80" zoomScaleNormal="80" workbookViewId="0">
      <selection activeCell="A11" sqref="A11"/>
    </sheetView>
  </sheetViews>
  <sheetFormatPr defaultColWidth="9.140625" defaultRowHeight="12.75"/>
  <cols>
    <col min="1" max="1" width="18" style="704" bestFit="1" customWidth="1"/>
    <col min="2" max="2" width="12.28515625" style="704" customWidth="1"/>
    <col min="3" max="3" width="11.7109375" style="704" customWidth="1"/>
    <col min="4" max="4" width="12.28515625" style="704" customWidth="1"/>
    <col min="5" max="10" width="10.5703125" style="704" customWidth="1"/>
    <col min="11" max="16384" width="9.140625" style="704"/>
  </cols>
  <sheetData>
    <row r="1" spans="1:16" ht="18">
      <c r="A1" s="3410" t="s">
        <v>1646</v>
      </c>
      <c r="B1" s="3410"/>
      <c r="C1" s="3410"/>
      <c r="D1" s="3410"/>
      <c r="E1" s="3410"/>
      <c r="F1" s="3410"/>
      <c r="G1" s="3410"/>
      <c r="H1" s="3410"/>
      <c r="I1" s="3410"/>
      <c r="J1" s="3410"/>
      <c r="K1" s="3410"/>
      <c r="L1" s="1866"/>
      <c r="M1" s="1866"/>
      <c r="N1" s="1866"/>
      <c r="O1" s="1865"/>
      <c r="P1" s="1865"/>
    </row>
    <row r="2" spans="1:16" ht="15.75">
      <c r="A2" s="3410" t="s">
        <v>704</v>
      </c>
      <c r="B2" s="3410"/>
      <c r="C2" s="3410"/>
      <c r="D2" s="3410"/>
      <c r="E2" s="3410"/>
      <c r="F2" s="3410"/>
      <c r="G2" s="3410"/>
      <c r="H2" s="3410"/>
      <c r="I2" s="3410"/>
      <c r="J2" s="3410"/>
      <c r="K2" s="3410"/>
      <c r="L2" s="1869"/>
      <c r="M2" s="1869"/>
      <c r="N2" s="1869"/>
      <c r="O2" s="1868"/>
      <c r="P2" s="1868"/>
    </row>
    <row r="3" spans="1:16" ht="18.75">
      <c r="A3" s="3410" t="s">
        <v>734</v>
      </c>
      <c r="B3" s="3410"/>
      <c r="C3" s="3410"/>
      <c r="D3" s="3410"/>
      <c r="E3" s="3410"/>
      <c r="F3" s="3410"/>
      <c r="G3" s="3410"/>
      <c r="H3" s="3410"/>
      <c r="I3" s="3410"/>
      <c r="J3" s="3410"/>
      <c r="K3" s="3410"/>
      <c r="L3" s="1868"/>
      <c r="M3" s="1868"/>
      <c r="N3" s="1868"/>
      <c r="O3" s="1867"/>
      <c r="P3" s="1867"/>
    </row>
    <row r="4" spans="1:16" ht="20.25">
      <c r="A4" s="3410" t="str">
        <f>'db LPP-UEP'!A4:M4</f>
        <v>Periode Bulan Februari 2016 2016</v>
      </c>
      <c r="B4" s="3410"/>
      <c r="C4" s="3410"/>
      <c r="D4" s="3410"/>
      <c r="E4" s="3410"/>
      <c r="F4" s="3410"/>
      <c r="G4" s="3410"/>
      <c r="H4" s="3410"/>
      <c r="I4" s="3410"/>
      <c r="J4" s="3410"/>
      <c r="K4" s="3410"/>
      <c r="L4" s="1877"/>
      <c r="M4" s="1866"/>
      <c r="N4" s="1866"/>
      <c r="O4" s="1865"/>
      <c r="P4" s="1865"/>
    </row>
    <row r="5" spans="1:16" ht="15.75">
      <c r="A5" s="1863" t="s">
        <v>981</v>
      </c>
      <c r="B5" s="1862"/>
      <c r="C5" s="1864" t="str">
        <f>'LPP-UEP'!F6</f>
        <v>:  Nagrak</v>
      </c>
      <c r="D5" s="1860"/>
      <c r="E5" s="1860"/>
      <c r="F5" s="1860"/>
      <c r="G5" s="1860"/>
      <c r="H5" s="1860"/>
      <c r="I5" s="1860"/>
      <c r="J5" s="1860"/>
      <c r="K5" s="1860"/>
      <c r="L5" s="1860"/>
      <c r="M5" s="1860"/>
      <c r="N5" s="1860"/>
      <c r="O5" s="1860"/>
      <c r="P5" s="1860"/>
    </row>
    <row r="6" spans="1:16" ht="15.75">
      <c r="A6" s="1863" t="s">
        <v>982</v>
      </c>
      <c r="B6" s="1862"/>
      <c r="C6" s="1864" t="str">
        <f>'LPP-UEP'!F7</f>
        <v>:  Sukabumi</v>
      </c>
      <c r="D6" s="1860"/>
      <c r="E6" s="1860"/>
      <c r="F6" s="1860"/>
      <c r="G6" s="1860"/>
      <c r="H6" s="1860"/>
      <c r="I6" s="1860"/>
      <c r="J6" s="1860"/>
      <c r="K6" s="1860"/>
      <c r="L6" s="1860"/>
      <c r="M6" s="1860"/>
      <c r="N6" s="1860"/>
      <c r="O6" s="1860"/>
      <c r="P6" s="1860"/>
    </row>
    <row r="7" spans="1:16" ht="15.75">
      <c r="A7" s="1863" t="s">
        <v>983</v>
      </c>
      <c r="B7" s="1862"/>
      <c r="C7" s="1864" t="str">
        <f>'LPP-UEP'!F8</f>
        <v>:  Jawa Barat</v>
      </c>
      <c r="D7" s="1860"/>
      <c r="E7" s="1860"/>
      <c r="F7" s="1860"/>
      <c r="G7" s="1860"/>
      <c r="H7" s="1860"/>
      <c r="I7" s="1860"/>
      <c r="J7" s="1860"/>
      <c r="K7" s="1860"/>
      <c r="L7" s="1860"/>
      <c r="M7" s="1860"/>
      <c r="N7" s="1860"/>
      <c r="O7" s="1860"/>
      <c r="P7" s="1860"/>
    </row>
    <row r="8" spans="1:16" s="1856" customFormat="1" ht="11.25">
      <c r="A8" s="1858"/>
      <c r="B8" s="1858"/>
      <c r="C8" s="1859"/>
      <c r="D8" s="1858"/>
      <c r="E8" s="1858"/>
      <c r="F8" s="1858"/>
      <c r="G8" s="1858"/>
      <c r="H8" s="1858"/>
      <c r="I8" s="1858"/>
      <c r="J8" s="1858"/>
      <c r="K8" s="1858"/>
      <c r="L8" s="1858"/>
      <c r="M8" s="1858"/>
      <c r="N8" s="1858"/>
      <c r="O8" s="1858"/>
      <c r="P8" s="1858"/>
    </row>
    <row r="9" spans="1:16" s="1856" customFormat="1" ht="22.5">
      <c r="E9" s="1857" t="s">
        <v>1645</v>
      </c>
      <c r="F9" s="1857" t="s">
        <v>1644</v>
      </c>
      <c r="G9" s="1857" t="s">
        <v>1643</v>
      </c>
      <c r="H9" s="1857" t="s">
        <v>1642</v>
      </c>
      <c r="I9" s="1857" t="s">
        <v>1641</v>
      </c>
      <c r="J9" s="1857" t="s">
        <v>1640</v>
      </c>
      <c r="L9" s="1876"/>
      <c r="M9" s="1876"/>
      <c r="N9" s="1876"/>
      <c r="O9" s="1876"/>
    </row>
    <row r="10" spans="1:16" ht="15">
      <c r="A10" s="1874" t="s">
        <v>1639</v>
      </c>
      <c r="B10" s="1874" t="s">
        <v>1623</v>
      </c>
      <c r="C10" s="1874" t="s">
        <v>1638</v>
      </c>
      <c r="D10" s="1874" t="s">
        <v>1621</v>
      </c>
      <c r="E10" s="1875" t="s">
        <v>191</v>
      </c>
      <c r="F10" s="1875" t="s">
        <v>1637</v>
      </c>
      <c r="G10" s="1875" t="s">
        <v>1636</v>
      </c>
      <c r="H10" s="1875" t="s">
        <v>1635</v>
      </c>
      <c r="I10" s="1875" t="s">
        <v>1634</v>
      </c>
      <c r="J10" s="1875" t="s">
        <v>1633</v>
      </c>
      <c r="K10" s="1874" t="s">
        <v>1027</v>
      </c>
      <c r="L10" s="708"/>
      <c r="M10" s="708"/>
      <c r="N10" s="708"/>
      <c r="O10" s="708"/>
    </row>
    <row r="11" spans="1:16" ht="15">
      <c r="A11" s="1872" t="e">
        <f>'db LPP-UEP'!A12</f>
        <v>#VALUE!</v>
      </c>
      <c r="B11" s="1873">
        <f t="shared" ref="B11:B26" ca="1" si="0">TODAY()</f>
        <v>42423</v>
      </c>
      <c r="C11" s="1872" t="e">
        <f>'db LPP-UEP'!C12</f>
        <v>#VALUE!</v>
      </c>
      <c r="D11" s="1872" t="str">
        <f>'db LPP-UEP'!D12</f>
        <v>3202220010</v>
      </c>
      <c r="E11" s="1871">
        <f>'KOLEKTIBILITAS-UEP'!C12</f>
        <v>0</v>
      </c>
      <c r="F11" s="1871">
        <f>'KOLEKTIBILITAS-UEP'!D12</f>
        <v>0</v>
      </c>
      <c r="G11" s="1871">
        <f>'KOLEKTIBILITAS-UEP'!E12</f>
        <v>0</v>
      </c>
      <c r="H11" s="1871">
        <f>'KOLEKTIBILITAS-UEP'!F12</f>
        <v>0</v>
      </c>
      <c r="I11" s="1871">
        <f>'KOLEKTIBILITAS-UEP'!G12</f>
        <v>0</v>
      </c>
      <c r="J11" s="1871">
        <f>'KOLEKTIBILITAS-UEP'!H12</f>
        <v>0</v>
      </c>
      <c r="K11" s="1871">
        <v>0</v>
      </c>
      <c r="L11" s="1850" t="s">
        <v>1632</v>
      </c>
      <c r="M11" s="1870"/>
      <c r="N11" s="708"/>
      <c r="O11" s="708"/>
    </row>
    <row r="12" spans="1:16" ht="15">
      <c r="A12" s="1850" t="e">
        <f>'db LPP-UEP'!A13</f>
        <v>#VALUE!</v>
      </c>
      <c r="B12" s="1851">
        <f t="shared" ca="1" si="0"/>
        <v>42423</v>
      </c>
      <c r="C12" s="1850" t="e">
        <f>'db LPP-UEP'!C13</f>
        <v>#VALUE!</v>
      </c>
      <c r="D12" s="1850" t="str">
        <f>'db LPP-UEP'!D13</f>
        <v>3202220004</v>
      </c>
      <c r="E12" s="1848">
        <f>'KOLEKTIBILITAS-UEP'!C13</f>
        <v>0</v>
      </c>
      <c r="F12" s="1848">
        <f>'KOLEKTIBILITAS-UEP'!D13</f>
        <v>0</v>
      </c>
      <c r="G12" s="1848">
        <f>'KOLEKTIBILITAS-UEP'!E13</f>
        <v>0</v>
      </c>
      <c r="H12" s="1848">
        <f>'KOLEKTIBILITAS-UEP'!F13</f>
        <v>0</v>
      </c>
      <c r="I12" s="1848">
        <f>'KOLEKTIBILITAS-UEP'!G13</f>
        <v>0</v>
      </c>
      <c r="J12" s="1848">
        <f>'KOLEKTIBILITAS-UEP'!H13</f>
        <v>0</v>
      </c>
      <c r="K12" s="1848">
        <v>0</v>
      </c>
      <c r="L12" s="708"/>
      <c r="M12" s="708"/>
      <c r="N12" s="708"/>
      <c r="O12" s="708"/>
    </row>
    <row r="13" spans="1:16" ht="15">
      <c r="A13" s="1850" t="e">
        <f>'db LPP-UEP'!A14</f>
        <v>#VALUE!</v>
      </c>
      <c r="B13" s="1851">
        <f t="shared" ca="1" si="0"/>
        <v>42423</v>
      </c>
      <c r="C13" s="1850" t="e">
        <f>'db LPP-UEP'!C14</f>
        <v>#VALUE!</v>
      </c>
      <c r="D13" s="1850" t="str">
        <f>'db LPP-UEP'!D14</f>
        <v>3202220006</v>
      </c>
      <c r="E13" s="1848">
        <f>'KOLEKTIBILITAS-UEP'!C14</f>
        <v>0</v>
      </c>
      <c r="F13" s="1848">
        <f>'KOLEKTIBILITAS-UEP'!D14</f>
        <v>0</v>
      </c>
      <c r="G13" s="1848">
        <f>'KOLEKTIBILITAS-UEP'!E14</f>
        <v>0</v>
      </c>
      <c r="H13" s="1848">
        <f>'KOLEKTIBILITAS-UEP'!F14</f>
        <v>0</v>
      </c>
      <c r="I13" s="1848">
        <f>'KOLEKTIBILITAS-UEP'!G14</f>
        <v>0</v>
      </c>
      <c r="J13" s="1848">
        <f>'KOLEKTIBILITAS-UEP'!H14</f>
        <v>0</v>
      </c>
      <c r="K13" s="1848">
        <v>0</v>
      </c>
      <c r="L13" s="708"/>
      <c r="M13" s="708"/>
      <c r="N13" s="708"/>
      <c r="O13" s="708"/>
    </row>
    <row r="14" spans="1:16" ht="15">
      <c r="A14" s="1850" t="e">
        <f>'db LPP-UEP'!A15</f>
        <v>#VALUE!</v>
      </c>
      <c r="B14" s="1851">
        <f t="shared" ca="1" si="0"/>
        <v>42423</v>
      </c>
      <c r="C14" s="1850" t="e">
        <f>'db LPP-UEP'!C15</f>
        <v>#VALUE!</v>
      </c>
      <c r="D14" s="1850" t="str">
        <f>'db LPP-UEP'!D15</f>
        <v>3202220002</v>
      </c>
      <c r="E14" s="1848">
        <f>'KOLEKTIBILITAS-UEP'!C15</f>
        <v>0</v>
      </c>
      <c r="F14" s="1848">
        <f>'KOLEKTIBILITAS-UEP'!D15</f>
        <v>0</v>
      </c>
      <c r="G14" s="1848">
        <f>'KOLEKTIBILITAS-UEP'!E15</f>
        <v>0</v>
      </c>
      <c r="H14" s="1848">
        <f>'KOLEKTIBILITAS-UEP'!F15</f>
        <v>0</v>
      </c>
      <c r="I14" s="1848">
        <f>'KOLEKTIBILITAS-UEP'!G15</f>
        <v>0</v>
      </c>
      <c r="J14" s="1848">
        <f>'KOLEKTIBILITAS-UEP'!H15</f>
        <v>0</v>
      </c>
      <c r="K14" s="1848">
        <v>0</v>
      </c>
      <c r="L14" s="708"/>
      <c r="M14" s="708"/>
      <c r="N14" s="708"/>
      <c r="O14" s="708"/>
    </row>
    <row r="15" spans="1:16" ht="15">
      <c r="A15" s="1850" t="e">
        <f>'db LPP-UEP'!A16</f>
        <v>#VALUE!</v>
      </c>
      <c r="B15" s="1851">
        <f t="shared" ca="1" si="0"/>
        <v>42423</v>
      </c>
      <c r="C15" s="1850" t="e">
        <f>'db LPP-UEP'!C16</f>
        <v>#VALUE!</v>
      </c>
      <c r="D15" s="1850" t="str">
        <f>'db LPP-UEP'!D16</f>
        <v>3202220003</v>
      </c>
      <c r="E15" s="1848">
        <f>'KOLEKTIBILITAS-UEP'!C16</f>
        <v>0</v>
      </c>
      <c r="F15" s="1848">
        <f>'KOLEKTIBILITAS-UEP'!D16</f>
        <v>0</v>
      </c>
      <c r="G15" s="1848">
        <f>'KOLEKTIBILITAS-UEP'!E16</f>
        <v>0</v>
      </c>
      <c r="H15" s="1848">
        <f>'KOLEKTIBILITAS-UEP'!F16</f>
        <v>0</v>
      </c>
      <c r="I15" s="1848">
        <f>'KOLEKTIBILITAS-UEP'!G16</f>
        <v>0</v>
      </c>
      <c r="J15" s="1848">
        <f>'KOLEKTIBILITAS-UEP'!H16</f>
        <v>0</v>
      </c>
      <c r="K15" s="1848">
        <v>0</v>
      </c>
      <c r="L15" s="708"/>
      <c r="M15" s="708"/>
    </row>
    <row r="16" spans="1:16" ht="15">
      <c r="A16" s="1850" t="e">
        <f>'db LPP-UEP'!A17</f>
        <v>#VALUE!</v>
      </c>
      <c r="B16" s="1851">
        <f t="shared" ca="1" si="0"/>
        <v>42423</v>
      </c>
      <c r="C16" s="1850" t="e">
        <f>'db LPP-UEP'!C17</f>
        <v>#VALUE!</v>
      </c>
      <c r="D16" s="1850" t="str">
        <f>'db LPP-UEP'!D17</f>
        <v>3202220005</v>
      </c>
      <c r="E16" s="1848">
        <f>'KOLEKTIBILITAS-UEP'!C17</f>
        <v>0</v>
      </c>
      <c r="F16" s="1848">
        <f>'KOLEKTIBILITAS-UEP'!D17</f>
        <v>0</v>
      </c>
      <c r="G16" s="1848">
        <f>'KOLEKTIBILITAS-UEP'!E17</f>
        <v>0</v>
      </c>
      <c r="H16" s="1848">
        <f>'KOLEKTIBILITAS-UEP'!F17</f>
        <v>0</v>
      </c>
      <c r="I16" s="1848">
        <f>'KOLEKTIBILITAS-UEP'!G17</f>
        <v>0</v>
      </c>
      <c r="J16" s="1848">
        <f>'KOLEKTIBILITAS-UEP'!H17</f>
        <v>0</v>
      </c>
      <c r="K16" s="1848">
        <v>0</v>
      </c>
      <c r="L16" s="708"/>
      <c r="M16" s="708"/>
    </row>
    <row r="17" spans="1:13" ht="15">
      <c r="A17" s="1850" t="e">
        <f>'db LPP-UEP'!A18</f>
        <v>#VALUE!</v>
      </c>
      <c r="B17" s="1851">
        <f t="shared" ca="1" si="0"/>
        <v>42423</v>
      </c>
      <c r="C17" s="1850" t="e">
        <f>'db LPP-UEP'!C18</f>
        <v>#VALUE!</v>
      </c>
      <c r="D17" s="1850" t="str">
        <f>'db LPP-UEP'!D18</f>
        <v>3202220008</v>
      </c>
      <c r="E17" s="1848">
        <f>'KOLEKTIBILITAS-UEP'!C18</f>
        <v>0</v>
      </c>
      <c r="F17" s="1848">
        <f>'KOLEKTIBILITAS-UEP'!D18</f>
        <v>0</v>
      </c>
      <c r="G17" s="1848">
        <f>'KOLEKTIBILITAS-UEP'!E18</f>
        <v>0</v>
      </c>
      <c r="H17" s="1848">
        <f>'KOLEKTIBILITAS-UEP'!F18</f>
        <v>0</v>
      </c>
      <c r="I17" s="1848">
        <f>'KOLEKTIBILITAS-UEP'!G18</f>
        <v>0</v>
      </c>
      <c r="J17" s="1848">
        <f>'KOLEKTIBILITAS-UEP'!H18</f>
        <v>0</v>
      </c>
      <c r="K17" s="1848">
        <v>0</v>
      </c>
      <c r="L17" s="708"/>
      <c r="M17" s="708"/>
    </row>
    <row r="18" spans="1:13" ht="15">
      <c r="A18" s="1850" t="e">
        <f>'db LPP-UEP'!A19</f>
        <v>#VALUE!</v>
      </c>
      <c r="B18" s="1851">
        <f t="shared" ca="1" si="0"/>
        <v>42423</v>
      </c>
      <c r="C18" s="1850" t="e">
        <f>'db LPP-UEP'!C19</f>
        <v>#VALUE!</v>
      </c>
      <c r="D18" s="1850" t="str">
        <f>'db LPP-UEP'!D19</f>
        <v>3202220009</v>
      </c>
      <c r="E18" s="1848">
        <f>'KOLEKTIBILITAS-UEP'!C19</f>
        <v>0</v>
      </c>
      <c r="F18" s="1848">
        <f>'KOLEKTIBILITAS-UEP'!D19</f>
        <v>0</v>
      </c>
      <c r="G18" s="1848">
        <f>'KOLEKTIBILITAS-UEP'!E19</f>
        <v>0</v>
      </c>
      <c r="H18" s="1848">
        <f>'KOLEKTIBILITAS-UEP'!F19</f>
        <v>0</v>
      </c>
      <c r="I18" s="1848">
        <f>'KOLEKTIBILITAS-UEP'!G19</f>
        <v>0</v>
      </c>
      <c r="J18" s="1848">
        <f>'KOLEKTIBILITAS-UEP'!H19</f>
        <v>0</v>
      </c>
      <c r="K18" s="1848">
        <v>0</v>
      </c>
      <c r="L18" s="708"/>
      <c r="M18" s="708"/>
    </row>
    <row r="19" spans="1:13" ht="15">
      <c r="A19" s="1850" t="e">
        <f>'db LPP-UEP'!A20</f>
        <v>#VALUE!</v>
      </c>
      <c r="B19" s="1851">
        <f t="shared" ca="1" si="0"/>
        <v>42423</v>
      </c>
      <c r="C19" s="1850" t="e">
        <f>'db LPP-UEP'!C20</f>
        <v>#VALUE!</v>
      </c>
      <c r="D19" s="1850" t="str">
        <f>'db LPP-UEP'!D20</f>
        <v>3202220001</v>
      </c>
      <c r="E19" s="1848">
        <f>'KOLEKTIBILITAS-UEP'!C20</f>
        <v>0</v>
      </c>
      <c r="F19" s="1848">
        <f>'KOLEKTIBILITAS-UEP'!D20</f>
        <v>0</v>
      </c>
      <c r="G19" s="1848">
        <f>'KOLEKTIBILITAS-UEP'!E20</f>
        <v>0</v>
      </c>
      <c r="H19" s="1848">
        <f>'KOLEKTIBILITAS-UEP'!F20</f>
        <v>0</v>
      </c>
      <c r="I19" s="1848">
        <f>'KOLEKTIBILITAS-UEP'!G20</f>
        <v>0</v>
      </c>
      <c r="J19" s="1848">
        <f>'KOLEKTIBILITAS-UEP'!H20</f>
        <v>0</v>
      </c>
      <c r="K19" s="1848">
        <v>0</v>
      </c>
      <c r="L19" s="708"/>
      <c r="M19" s="708"/>
    </row>
    <row r="20" spans="1:13" ht="15">
      <c r="A20" s="1850" t="e">
        <f>'db LPP-UEP'!A21</f>
        <v>#VALUE!</v>
      </c>
      <c r="B20" s="1851">
        <f t="shared" ca="1" si="0"/>
        <v>42423</v>
      </c>
      <c r="C20" s="1850" t="e">
        <f>'db LPP-UEP'!C21</f>
        <v>#VALUE!</v>
      </c>
      <c r="D20" s="1850" t="str">
        <f>'db LPP-UEP'!D21</f>
        <v>3202220007</v>
      </c>
      <c r="E20" s="1848">
        <f>'KOLEKTIBILITAS-UEP'!C21</f>
        <v>0</v>
      </c>
      <c r="F20" s="1848">
        <f>'KOLEKTIBILITAS-UEP'!D21</f>
        <v>0</v>
      </c>
      <c r="G20" s="1848">
        <f>'KOLEKTIBILITAS-UEP'!E21</f>
        <v>0</v>
      </c>
      <c r="H20" s="1848">
        <f>'KOLEKTIBILITAS-UEP'!F21</f>
        <v>0</v>
      </c>
      <c r="I20" s="1848">
        <f>'KOLEKTIBILITAS-UEP'!G21</f>
        <v>0</v>
      </c>
      <c r="J20" s="1848">
        <f>'KOLEKTIBILITAS-UEP'!H21</f>
        <v>0</v>
      </c>
      <c r="K20" s="1848">
        <v>0</v>
      </c>
      <c r="L20" s="708"/>
      <c r="M20" s="708"/>
    </row>
    <row r="21" spans="1:13" ht="15">
      <c r="A21" s="1850" t="e">
        <f>'db LPP-UEP'!A22</f>
        <v>#VALUE!</v>
      </c>
      <c r="B21" s="1851">
        <f t="shared" ca="1" si="0"/>
        <v>42423</v>
      </c>
      <c r="C21" s="1850" t="e">
        <f>'db LPP-UEP'!C22</f>
        <v>#VALUE!</v>
      </c>
      <c r="D21" s="1850">
        <f>'db LPP-UEP'!D22</f>
        <v>0</v>
      </c>
      <c r="E21" s="1848">
        <f>'KOLEKTIBILITAS-UEP'!C22</f>
        <v>0</v>
      </c>
      <c r="F21" s="1848">
        <f>'KOLEKTIBILITAS-UEP'!D22</f>
        <v>0</v>
      </c>
      <c r="G21" s="1848">
        <f>'KOLEKTIBILITAS-UEP'!E22</f>
        <v>0</v>
      </c>
      <c r="H21" s="1848">
        <f>'KOLEKTIBILITAS-UEP'!F22</f>
        <v>0</v>
      </c>
      <c r="I21" s="1848">
        <f>'KOLEKTIBILITAS-UEP'!G22</f>
        <v>0</v>
      </c>
      <c r="J21" s="1848">
        <f>'KOLEKTIBILITAS-UEP'!H22</f>
        <v>0</v>
      </c>
      <c r="K21" s="1848">
        <v>0</v>
      </c>
      <c r="L21" s="708"/>
      <c r="M21" s="708"/>
    </row>
    <row r="22" spans="1:13" ht="15">
      <c r="A22" s="1850" t="e">
        <f>'db LPP-UEP'!A23</f>
        <v>#VALUE!</v>
      </c>
      <c r="B22" s="1851">
        <f t="shared" ca="1" si="0"/>
        <v>42423</v>
      </c>
      <c r="C22" s="1850" t="e">
        <f>'db LPP-UEP'!C23</f>
        <v>#VALUE!</v>
      </c>
      <c r="D22" s="1850">
        <f>'db LPP-UEP'!D23</f>
        <v>0</v>
      </c>
      <c r="E22" s="1848">
        <f>'KOLEKTIBILITAS-UEP'!C23</f>
        <v>0</v>
      </c>
      <c r="F22" s="1848">
        <f>'KOLEKTIBILITAS-UEP'!D23</f>
        <v>0</v>
      </c>
      <c r="G22" s="1848">
        <f>'KOLEKTIBILITAS-UEP'!E23</f>
        <v>0</v>
      </c>
      <c r="H22" s="1848">
        <f>'KOLEKTIBILITAS-UEP'!F23</f>
        <v>0</v>
      </c>
      <c r="I22" s="1848">
        <f>'KOLEKTIBILITAS-UEP'!G23</f>
        <v>0</v>
      </c>
      <c r="J22" s="1848">
        <f>'KOLEKTIBILITAS-UEP'!H23</f>
        <v>0</v>
      </c>
      <c r="K22" s="1848">
        <v>0</v>
      </c>
      <c r="L22" s="708"/>
      <c r="M22" s="708"/>
    </row>
    <row r="23" spans="1:13" ht="15">
      <c r="A23" s="1850" t="e">
        <f>'db LPP-UEP'!A24</f>
        <v>#VALUE!</v>
      </c>
      <c r="B23" s="1851">
        <f t="shared" ca="1" si="0"/>
        <v>42423</v>
      </c>
      <c r="C23" s="1850" t="e">
        <f>'db LPP-UEP'!C24</f>
        <v>#VALUE!</v>
      </c>
      <c r="D23" s="1850">
        <f>'db LPP-UEP'!D24</f>
        <v>0</v>
      </c>
      <c r="E23" s="1848">
        <f>'KOLEKTIBILITAS-UEP'!C24</f>
        <v>0</v>
      </c>
      <c r="F23" s="1848">
        <f>'KOLEKTIBILITAS-UEP'!D24</f>
        <v>0</v>
      </c>
      <c r="G23" s="1848">
        <f>'KOLEKTIBILITAS-UEP'!E24</f>
        <v>0</v>
      </c>
      <c r="H23" s="1848">
        <f>'KOLEKTIBILITAS-UEP'!F24</f>
        <v>0</v>
      </c>
      <c r="I23" s="1848">
        <f>'KOLEKTIBILITAS-UEP'!G24</f>
        <v>0</v>
      </c>
      <c r="J23" s="1848">
        <f>'KOLEKTIBILITAS-UEP'!H24</f>
        <v>0</v>
      </c>
      <c r="K23" s="1848">
        <v>0</v>
      </c>
      <c r="L23" s="708"/>
      <c r="M23" s="708"/>
    </row>
    <row r="24" spans="1:13" ht="15">
      <c r="A24" s="1850" t="e">
        <f>'db LPP-UEP'!A25</f>
        <v>#VALUE!</v>
      </c>
      <c r="B24" s="1851">
        <f t="shared" ca="1" si="0"/>
        <v>42423</v>
      </c>
      <c r="C24" s="1850" t="e">
        <f>'db LPP-UEP'!C25</f>
        <v>#VALUE!</v>
      </c>
      <c r="D24" s="1850">
        <f>'db LPP-UEP'!D25</f>
        <v>0</v>
      </c>
      <c r="E24" s="1848">
        <f>'KOLEKTIBILITAS-UEP'!C25</f>
        <v>0</v>
      </c>
      <c r="F24" s="1848">
        <f>'KOLEKTIBILITAS-UEP'!D25</f>
        <v>0</v>
      </c>
      <c r="G24" s="1848">
        <f>'KOLEKTIBILITAS-UEP'!E25</f>
        <v>0</v>
      </c>
      <c r="H24" s="1848">
        <f>'KOLEKTIBILITAS-UEP'!F25</f>
        <v>0</v>
      </c>
      <c r="I24" s="1848">
        <f>'KOLEKTIBILITAS-UEP'!G25</f>
        <v>0</v>
      </c>
      <c r="J24" s="1848">
        <f>'KOLEKTIBILITAS-UEP'!H25</f>
        <v>0</v>
      </c>
      <c r="K24" s="1848">
        <v>0</v>
      </c>
      <c r="L24" s="708"/>
      <c r="M24" s="708"/>
    </row>
    <row r="25" spans="1:13" ht="15">
      <c r="A25" s="1850" t="e">
        <f>'db LPP-UEP'!A26</f>
        <v>#VALUE!</v>
      </c>
      <c r="B25" s="1851">
        <f t="shared" ca="1" si="0"/>
        <v>42423</v>
      </c>
      <c r="C25" s="1850" t="e">
        <f>'db LPP-UEP'!C26</f>
        <v>#VALUE!</v>
      </c>
      <c r="D25" s="1850">
        <f>'db LPP-UEP'!D26</f>
        <v>0</v>
      </c>
      <c r="E25" s="1848">
        <f>'KOLEKTIBILITAS-UEP'!C26</f>
        <v>0</v>
      </c>
      <c r="F25" s="1848">
        <f>'KOLEKTIBILITAS-UEP'!D26</f>
        <v>0</v>
      </c>
      <c r="G25" s="1848">
        <f>'KOLEKTIBILITAS-UEP'!E26</f>
        <v>0</v>
      </c>
      <c r="H25" s="1848">
        <f>'KOLEKTIBILITAS-UEP'!F26</f>
        <v>0</v>
      </c>
      <c r="I25" s="1848">
        <f>'KOLEKTIBILITAS-UEP'!G26</f>
        <v>0</v>
      </c>
      <c r="J25" s="1848">
        <f>'KOLEKTIBILITAS-UEP'!H26</f>
        <v>0</v>
      </c>
      <c r="K25" s="1848">
        <v>0</v>
      </c>
      <c r="L25" s="708"/>
      <c r="M25" s="708"/>
    </row>
    <row r="26" spans="1:13" ht="15">
      <c r="A26" s="1850" t="e">
        <f>'db LPP-UEP'!A27</f>
        <v>#VALUE!</v>
      </c>
      <c r="B26" s="1851">
        <f t="shared" ca="1" si="0"/>
        <v>42423</v>
      </c>
      <c r="C26" s="1850" t="e">
        <f>'db LPP-UEP'!C27</f>
        <v>#VALUE!</v>
      </c>
      <c r="D26" s="1850">
        <f>'db LPP-UEP'!D27</f>
        <v>0</v>
      </c>
      <c r="E26" s="1848">
        <f>'KOLEKTIBILITAS-UEP'!C27</f>
        <v>0</v>
      </c>
      <c r="F26" s="1848">
        <f>'KOLEKTIBILITAS-UEP'!D27</f>
        <v>0</v>
      </c>
      <c r="G26" s="1848">
        <f>'KOLEKTIBILITAS-UEP'!E27</f>
        <v>0</v>
      </c>
      <c r="H26" s="1848">
        <f>'KOLEKTIBILITAS-UEP'!F27</f>
        <v>0</v>
      </c>
      <c r="I26" s="1848">
        <f>'KOLEKTIBILITAS-UEP'!G27</f>
        <v>0</v>
      </c>
      <c r="J26" s="1848">
        <f>'KOLEKTIBILITAS-UEP'!H27</f>
        <v>0</v>
      </c>
      <c r="K26" s="1848">
        <v>0</v>
      </c>
      <c r="L26" s="708"/>
      <c r="M26" s="708"/>
    </row>
    <row r="27" spans="1:13">
      <c r="A27" s="708"/>
      <c r="B27" s="708"/>
      <c r="C27" s="708"/>
      <c r="D27" s="708"/>
      <c r="E27" s="708"/>
      <c r="F27" s="708"/>
      <c r="G27" s="708"/>
      <c r="H27" s="708"/>
      <c r="I27" s="708"/>
      <c r="J27" s="708"/>
      <c r="K27" s="708"/>
      <c r="L27" s="708"/>
      <c r="M27" s="708"/>
    </row>
    <row r="28" spans="1:13">
      <c r="A28" s="708"/>
      <c r="B28" s="708"/>
      <c r="C28" s="708"/>
      <c r="D28" s="708"/>
      <c r="E28" s="708"/>
      <c r="F28" s="708"/>
      <c r="G28" s="708"/>
      <c r="H28" s="708"/>
      <c r="I28" s="708"/>
      <c r="J28" s="708"/>
      <c r="K28" s="708"/>
      <c r="L28" s="708"/>
      <c r="M28" s="708"/>
    </row>
    <row r="29" spans="1:13">
      <c r="A29" s="708"/>
      <c r="B29" s="708"/>
      <c r="C29" s="708"/>
      <c r="D29" s="708"/>
      <c r="E29" s="708"/>
      <c r="F29" s="708"/>
      <c r="G29" s="708"/>
      <c r="H29" s="708"/>
      <c r="I29" s="708"/>
      <c r="J29" s="708"/>
      <c r="K29" s="708"/>
      <c r="L29" s="708"/>
      <c r="M29" s="708"/>
    </row>
    <row r="30" spans="1:13">
      <c r="A30" s="708"/>
      <c r="B30" s="708"/>
      <c r="C30" s="708"/>
      <c r="D30" s="708"/>
      <c r="E30" s="708"/>
      <c r="F30" s="708"/>
      <c r="G30" s="708"/>
      <c r="H30" s="708"/>
      <c r="I30" s="708"/>
      <c r="J30" s="708"/>
      <c r="K30" s="708"/>
      <c r="L30" s="708"/>
      <c r="M30" s="708"/>
    </row>
    <row r="31" spans="1:13">
      <c r="A31" s="708"/>
      <c r="B31" s="708"/>
      <c r="C31" s="708"/>
      <c r="D31" s="708"/>
      <c r="E31" s="708"/>
      <c r="F31" s="708"/>
      <c r="G31" s="708"/>
      <c r="H31" s="708"/>
      <c r="I31" s="708"/>
      <c r="J31" s="708"/>
      <c r="K31" s="708"/>
      <c r="L31" s="708"/>
      <c r="M31" s="708"/>
    </row>
  </sheetData>
  <sheetProtection password="C13C" sheet="1" objects="1" scenarios="1" formatCells="0" formatColumns="0" formatRows="0"/>
  <mergeCells count="4">
    <mergeCell ref="A1:K1"/>
    <mergeCell ref="A2:K2"/>
    <mergeCell ref="A3:K3"/>
    <mergeCell ref="A4:K4"/>
  </mergeCells>
  <hyperlinks>
    <hyperlink ref="A2" location="Depan!A1" display="UNIT PENGELOLA KEGIATAN (UPK)"/>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P29"/>
  <sheetViews>
    <sheetView zoomScale="80" zoomScaleNormal="80" workbookViewId="0">
      <selection activeCell="A11" sqref="A11:XFD20"/>
    </sheetView>
  </sheetViews>
  <sheetFormatPr defaultColWidth="9.140625" defaultRowHeight="12.75"/>
  <cols>
    <col min="1" max="1" width="18" style="704" bestFit="1" customWidth="1"/>
    <col min="2" max="2" width="12.28515625" style="704" customWidth="1"/>
    <col min="3" max="3" width="11.7109375" style="704" customWidth="1"/>
    <col min="4" max="4" width="12.28515625" style="704" customWidth="1"/>
    <col min="5" max="10" width="10.5703125" style="704" customWidth="1"/>
    <col min="11" max="16384" width="9.140625" style="704"/>
  </cols>
  <sheetData>
    <row r="1" spans="1:16" ht="18">
      <c r="A1" s="3410" t="s">
        <v>1646</v>
      </c>
      <c r="B1" s="3410"/>
      <c r="C1" s="3410"/>
      <c r="D1" s="3410"/>
      <c r="E1" s="3410"/>
      <c r="F1" s="3410"/>
      <c r="G1" s="3410"/>
      <c r="H1" s="3410"/>
      <c r="I1" s="3410"/>
      <c r="J1" s="3410"/>
      <c r="K1" s="3410"/>
      <c r="L1" s="1866"/>
      <c r="M1" s="1866"/>
      <c r="N1" s="1866"/>
      <c r="O1" s="1865"/>
      <c r="P1" s="1865"/>
    </row>
    <row r="2" spans="1:16" ht="15.75">
      <c r="A2" s="3410" t="s">
        <v>704</v>
      </c>
      <c r="B2" s="3410"/>
      <c r="C2" s="3410"/>
      <c r="D2" s="3410"/>
      <c r="E2" s="3410"/>
      <c r="F2" s="3410"/>
      <c r="G2" s="3410"/>
      <c r="H2" s="3410"/>
      <c r="I2" s="3410"/>
      <c r="J2" s="3410"/>
      <c r="K2" s="3410"/>
      <c r="L2" s="1869"/>
      <c r="M2" s="1869"/>
      <c r="N2" s="1869"/>
      <c r="O2" s="1868"/>
      <c r="P2" s="1868"/>
    </row>
    <row r="3" spans="1:16" ht="18.75">
      <c r="A3" s="3410" t="s">
        <v>734</v>
      </c>
      <c r="B3" s="3410"/>
      <c r="C3" s="3410"/>
      <c r="D3" s="3410"/>
      <c r="E3" s="3410"/>
      <c r="F3" s="3410"/>
      <c r="G3" s="3410"/>
      <c r="H3" s="3410"/>
      <c r="I3" s="3410"/>
      <c r="J3" s="3410"/>
      <c r="K3" s="3410"/>
      <c r="L3" s="1868"/>
      <c r="M3" s="1868"/>
      <c r="N3" s="1868"/>
      <c r="O3" s="1867"/>
      <c r="P3" s="1867"/>
    </row>
    <row r="4" spans="1:16" ht="20.25">
      <c r="A4" s="3410" t="str">
        <f>'db LPP-SPP'!A4:M4</f>
        <v>Periode Bulan Februari 2016 2016</v>
      </c>
      <c r="B4" s="3410"/>
      <c r="C4" s="3410"/>
      <c r="D4" s="3410"/>
      <c r="E4" s="3410"/>
      <c r="F4" s="3410"/>
      <c r="G4" s="3410"/>
      <c r="H4" s="3410"/>
      <c r="I4" s="3410"/>
      <c r="J4" s="3410"/>
      <c r="K4" s="3410"/>
      <c r="L4" s="1877"/>
      <c r="M4" s="1866"/>
      <c r="N4" s="1866"/>
      <c r="O4" s="1865"/>
      <c r="P4" s="1865"/>
    </row>
    <row r="5" spans="1:16" ht="15.75">
      <c r="A5" s="1863" t="s">
        <v>981</v>
      </c>
      <c r="B5" s="1862"/>
      <c r="C5" s="1864" t="str">
        <f>'db LPP-SPP'!C5</f>
        <v>:  Nagrak</v>
      </c>
      <c r="D5" s="1860"/>
      <c r="E5" s="1860"/>
      <c r="F5" s="1860"/>
      <c r="G5" s="1860"/>
      <c r="H5" s="1860"/>
      <c r="I5" s="1860"/>
      <c r="J5" s="1860"/>
      <c r="K5" s="1860"/>
      <c r="L5" s="1860"/>
      <c r="M5" s="1860"/>
      <c r="N5" s="1860"/>
      <c r="O5" s="1860"/>
      <c r="P5" s="1860"/>
    </row>
    <row r="6" spans="1:16" ht="15.75">
      <c r="A6" s="1863" t="s">
        <v>982</v>
      </c>
      <c r="B6" s="1862"/>
      <c r="C6" s="1864" t="str">
        <f>'db LPP-SPP'!C6</f>
        <v>:  Sukabumi</v>
      </c>
      <c r="D6" s="1860"/>
      <c r="E6" s="1860"/>
      <c r="F6" s="1860"/>
      <c r="G6" s="1860"/>
      <c r="H6" s="1860"/>
      <c r="I6" s="1860"/>
      <c r="J6" s="1860"/>
      <c r="K6" s="1860"/>
      <c r="L6" s="1860"/>
      <c r="M6" s="1860"/>
      <c r="N6" s="1860"/>
      <c r="O6" s="1860"/>
      <c r="P6" s="1860"/>
    </row>
    <row r="7" spans="1:16" ht="15.75">
      <c r="A7" s="1863" t="s">
        <v>983</v>
      </c>
      <c r="B7" s="1862"/>
      <c r="C7" s="1864" t="str">
        <f>'db LPP-SPP'!C7</f>
        <v>:  Jawa Barat</v>
      </c>
      <c r="D7" s="1860"/>
      <c r="E7" s="1860"/>
      <c r="F7" s="1860"/>
      <c r="G7" s="1860"/>
      <c r="H7" s="1860"/>
      <c r="I7" s="1860"/>
      <c r="J7" s="1860"/>
      <c r="K7" s="1860"/>
      <c r="L7" s="1860"/>
      <c r="M7" s="1860"/>
      <c r="N7" s="1860"/>
      <c r="O7" s="1860"/>
      <c r="P7" s="1860"/>
    </row>
    <row r="8" spans="1:16" s="1856" customFormat="1" ht="11.25">
      <c r="A8" s="1858"/>
      <c r="B8" s="1858"/>
      <c r="C8" s="1859"/>
      <c r="D8" s="1858"/>
      <c r="E8" s="1858"/>
      <c r="F8" s="1858"/>
      <c r="G8" s="1858"/>
      <c r="H8" s="1858"/>
      <c r="I8" s="1858"/>
      <c r="J8" s="1858"/>
      <c r="K8" s="1858"/>
      <c r="L8" s="1858"/>
      <c r="M8" s="1858"/>
      <c r="N8" s="1858"/>
      <c r="O8" s="1858"/>
      <c r="P8" s="1858"/>
    </row>
    <row r="9" spans="1:16" s="1856" customFormat="1" ht="22.5">
      <c r="E9" s="1857" t="s">
        <v>1645</v>
      </c>
      <c r="F9" s="1857" t="s">
        <v>1644</v>
      </c>
      <c r="G9" s="1857" t="s">
        <v>1643</v>
      </c>
      <c r="H9" s="1857" t="s">
        <v>1642</v>
      </c>
      <c r="I9" s="1857" t="s">
        <v>1641</v>
      </c>
      <c r="J9" s="1857" t="s">
        <v>1640</v>
      </c>
      <c r="L9" s="1876"/>
      <c r="M9" s="1876"/>
      <c r="N9" s="1876"/>
      <c r="O9" s="1876"/>
    </row>
    <row r="10" spans="1:16" ht="15">
      <c r="A10" s="1874" t="s">
        <v>1639</v>
      </c>
      <c r="B10" s="1874" t="s">
        <v>1623</v>
      </c>
      <c r="C10" s="1874" t="s">
        <v>1638</v>
      </c>
      <c r="D10" s="1874" t="s">
        <v>1621</v>
      </c>
      <c r="E10" s="1875" t="s">
        <v>191</v>
      </c>
      <c r="F10" s="1875" t="s">
        <v>1637</v>
      </c>
      <c r="G10" s="1875" t="s">
        <v>1636</v>
      </c>
      <c r="H10" s="1875" t="s">
        <v>1635</v>
      </c>
      <c r="I10" s="1875" t="s">
        <v>1634</v>
      </c>
      <c r="J10" s="1875" t="s">
        <v>1633</v>
      </c>
      <c r="K10" s="1874" t="s">
        <v>1027</v>
      </c>
      <c r="L10" s="708"/>
      <c r="M10" s="708"/>
      <c r="N10" s="708"/>
      <c r="O10" s="708"/>
    </row>
    <row r="11" spans="1:16" ht="15">
      <c r="A11" s="1872" t="e">
        <f>'db LPP-SPP'!A12</f>
        <v>#VALUE!</v>
      </c>
      <c r="B11" s="1873">
        <f t="shared" ref="B11:B26" ca="1" si="0">TODAY()</f>
        <v>42423</v>
      </c>
      <c r="C11" s="1872" t="e">
        <f>'db LPP-SPP'!C12</f>
        <v>#VALUE!</v>
      </c>
      <c r="D11" s="1872" t="str">
        <f>'db LPP-SPP'!D12</f>
        <v>3202220010</v>
      </c>
      <c r="E11" s="1871">
        <f>'KOLEKTIBILITAS-SPP(BLM+PHK KE3)'!C12</f>
        <v>550958400</v>
      </c>
      <c r="F11" s="1871">
        <f>'KOLEKTIBILITAS-SPP(BLM+PHK KE3)'!D12</f>
        <v>520499200</v>
      </c>
      <c r="G11" s="1871">
        <f>'KOLEKTIBILITAS-SPP(BLM+PHK KE3)'!E12</f>
        <v>0</v>
      </c>
      <c r="H11" s="1871">
        <f>'KOLEKTIBILITAS-SPP(BLM+PHK KE3)'!F12</f>
        <v>1250000</v>
      </c>
      <c r="I11" s="1871">
        <f>'KOLEKTIBILITAS-SPP(BLM+PHK KE3)'!G12</f>
        <v>0</v>
      </c>
      <c r="J11" s="1871">
        <f>'KOLEKTIBILITAS-SPP(BLM+PHK KE3)'!H12</f>
        <v>29209200</v>
      </c>
      <c r="K11" s="1871">
        <v>0</v>
      </c>
      <c r="L11" s="1850" t="s">
        <v>1632</v>
      </c>
      <c r="M11" s="1870"/>
      <c r="N11" s="708"/>
      <c r="O11" s="708"/>
    </row>
    <row r="12" spans="1:16" ht="15">
      <c r="A12" s="1850" t="e">
        <f>'db LPP-SPP'!A13</f>
        <v>#VALUE!</v>
      </c>
      <c r="B12" s="1851">
        <f t="shared" ca="1" si="0"/>
        <v>42423</v>
      </c>
      <c r="C12" s="1850" t="e">
        <f>'db LPP-SPP'!C13</f>
        <v>#VALUE!</v>
      </c>
      <c r="D12" s="1850" t="str">
        <f>'db LPP-SPP'!D13</f>
        <v>3202220004</v>
      </c>
      <c r="E12" s="1871">
        <f>'KOLEKTIBILITAS-SPP(BLM+PHK KE3)'!C13</f>
        <v>741419500</v>
      </c>
      <c r="F12" s="1871">
        <f>'KOLEKTIBILITAS-SPP(BLM+PHK KE3)'!D13</f>
        <v>652267500</v>
      </c>
      <c r="G12" s="1871">
        <f>'KOLEKTIBILITAS-SPP(BLM+PHK KE3)'!E13</f>
        <v>13671000</v>
      </c>
      <c r="H12" s="1871">
        <f>'KOLEKTIBILITAS-SPP(BLM+PHK KE3)'!F13</f>
        <v>0</v>
      </c>
      <c r="I12" s="1871">
        <f>'KOLEKTIBILITAS-SPP(BLM+PHK KE3)'!G13</f>
        <v>0</v>
      </c>
      <c r="J12" s="1871">
        <f>'KOLEKTIBILITAS-SPP(BLM+PHK KE3)'!H13</f>
        <v>75481000</v>
      </c>
      <c r="K12" s="1848">
        <v>0</v>
      </c>
      <c r="L12" s="708"/>
      <c r="M12" s="708"/>
      <c r="N12" s="708"/>
      <c r="O12" s="708"/>
    </row>
    <row r="13" spans="1:16" ht="15">
      <c r="A13" s="1850" t="e">
        <f>'db LPP-SPP'!A14</f>
        <v>#VALUE!</v>
      </c>
      <c r="B13" s="1851">
        <f t="shared" ca="1" si="0"/>
        <v>42423</v>
      </c>
      <c r="C13" s="1850" t="e">
        <f>'db LPP-SPP'!C14</f>
        <v>#VALUE!</v>
      </c>
      <c r="D13" s="1850" t="str">
        <f>'db LPP-SPP'!D14</f>
        <v>3202220006</v>
      </c>
      <c r="E13" s="1871">
        <f>'KOLEKTIBILITAS-SPP(BLM+PHK KE3)'!C14</f>
        <v>470579600</v>
      </c>
      <c r="F13" s="1871">
        <f>'KOLEKTIBILITAS-SPP(BLM+PHK KE3)'!D14</f>
        <v>425091400</v>
      </c>
      <c r="G13" s="1871">
        <f>'KOLEKTIBILITAS-SPP(BLM+PHK KE3)'!E14</f>
        <v>8233200</v>
      </c>
      <c r="H13" s="1871">
        <f>'KOLEKTIBILITAS-SPP(BLM+PHK KE3)'!F14</f>
        <v>0</v>
      </c>
      <c r="I13" s="1871">
        <f>'KOLEKTIBILITAS-SPP(BLM+PHK KE3)'!G14</f>
        <v>0</v>
      </c>
      <c r="J13" s="1871">
        <f>'KOLEKTIBILITAS-SPP(BLM+PHK KE3)'!H14</f>
        <v>37255000</v>
      </c>
      <c r="K13" s="1848">
        <v>0</v>
      </c>
      <c r="L13" s="708"/>
      <c r="M13" s="708"/>
      <c r="N13" s="708"/>
      <c r="O13" s="708"/>
    </row>
    <row r="14" spans="1:16" ht="15">
      <c r="A14" s="1850" t="e">
        <f>'db LPP-SPP'!A15</f>
        <v>#VALUE!</v>
      </c>
      <c r="B14" s="1851">
        <f t="shared" ca="1" si="0"/>
        <v>42423</v>
      </c>
      <c r="C14" s="1850" t="e">
        <f>'db LPP-SPP'!C15</f>
        <v>#VALUE!</v>
      </c>
      <c r="D14" s="1850" t="str">
        <f>'db LPP-SPP'!D15</f>
        <v>3202220002</v>
      </c>
      <c r="E14" s="1871">
        <f>'KOLEKTIBILITAS-SPP(BLM+PHK KE3)'!C15</f>
        <v>340877500</v>
      </c>
      <c r="F14" s="1871">
        <f>'KOLEKTIBILITAS-SPP(BLM+PHK KE3)'!D15</f>
        <v>325526100</v>
      </c>
      <c r="G14" s="1871">
        <f>'KOLEKTIBILITAS-SPP(BLM+PHK KE3)'!E15</f>
        <v>0</v>
      </c>
      <c r="H14" s="1871">
        <f>'KOLEKTIBILITAS-SPP(BLM+PHK KE3)'!F15</f>
        <v>0</v>
      </c>
      <c r="I14" s="1871">
        <f>'KOLEKTIBILITAS-SPP(BLM+PHK KE3)'!G15</f>
        <v>14935100</v>
      </c>
      <c r="J14" s="1871">
        <f>'KOLEKTIBILITAS-SPP(BLM+PHK KE3)'!H15</f>
        <v>416300</v>
      </c>
      <c r="K14" s="1848">
        <v>0</v>
      </c>
      <c r="L14" s="708"/>
      <c r="M14" s="708"/>
      <c r="N14" s="708"/>
      <c r="O14" s="708"/>
    </row>
    <row r="15" spans="1:16" ht="15">
      <c r="A15" s="1850" t="e">
        <f>'db LPP-SPP'!A16</f>
        <v>#VALUE!</v>
      </c>
      <c r="B15" s="1851">
        <f t="shared" ca="1" si="0"/>
        <v>42423</v>
      </c>
      <c r="C15" s="1850" t="e">
        <f>'db LPP-SPP'!C16</f>
        <v>#VALUE!</v>
      </c>
      <c r="D15" s="1850" t="str">
        <f>'db LPP-SPP'!D16</f>
        <v>3202220003</v>
      </c>
      <c r="E15" s="1871">
        <f>'KOLEKTIBILITAS-SPP(BLM+PHK KE3)'!C16</f>
        <v>306393000</v>
      </c>
      <c r="F15" s="1871">
        <f>'KOLEKTIBILITAS-SPP(BLM+PHK KE3)'!D16</f>
        <v>264350000</v>
      </c>
      <c r="G15" s="1871">
        <f>'KOLEKTIBILITAS-SPP(BLM+PHK KE3)'!E16</f>
        <v>19452000</v>
      </c>
      <c r="H15" s="1871">
        <f>'KOLEKTIBILITAS-SPP(BLM+PHK KE3)'!F16</f>
        <v>0</v>
      </c>
      <c r="I15" s="1871">
        <f>'KOLEKTIBILITAS-SPP(BLM+PHK KE3)'!G16</f>
        <v>0</v>
      </c>
      <c r="J15" s="1871">
        <f>'KOLEKTIBILITAS-SPP(BLM+PHK KE3)'!H16</f>
        <v>22591000</v>
      </c>
      <c r="K15" s="1848">
        <v>0</v>
      </c>
      <c r="L15" s="708"/>
      <c r="M15" s="708"/>
    </row>
    <row r="16" spans="1:16" ht="15">
      <c r="A16" s="1850" t="e">
        <f>'db LPP-SPP'!A17</f>
        <v>#VALUE!</v>
      </c>
      <c r="B16" s="1851">
        <f t="shared" ca="1" si="0"/>
        <v>42423</v>
      </c>
      <c r="C16" s="1850" t="e">
        <f>'db LPP-SPP'!C17</f>
        <v>#VALUE!</v>
      </c>
      <c r="D16" s="1850" t="str">
        <f>'db LPP-SPP'!D17</f>
        <v>3202220005</v>
      </c>
      <c r="E16" s="1871">
        <f>'KOLEKTIBILITAS-SPP(BLM+PHK KE3)'!C17</f>
        <v>464279600</v>
      </c>
      <c r="F16" s="1871">
        <f>'KOLEKTIBILITAS-SPP(BLM+PHK KE3)'!D17</f>
        <v>377288100</v>
      </c>
      <c r="G16" s="1871">
        <f>'KOLEKTIBILITAS-SPP(BLM+PHK KE3)'!E17</f>
        <v>16042300</v>
      </c>
      <c r="H16" s="1871">
        <f>'KOLEKTIBILITAS-SPP(BLM+PHK KE3)'!F17</f>
        <v>0</v>
      </c>
      <c r="I16" s="1871">
        <f>'KOLEKTIBILITAS-SPP(BLM+PHK KE3)'!G17</f>
        <v>59944600</v>
      </c>
      <c r="J16" s="1871">
        <f>'KOLEKTIBILITAS-SPP(BLM+PHK KE3)'!H17</f>
        <v>11004600</v>
      </c>
      <c r="K16" s="1848">
        <v>0</v>
      </c>
      <c r="L16" s="708"/>
      <c r="M16" s="708"/>
    </row>
    <row r="17" spans="1:13" ht="15">
      <c r="A17" s="1850" t="e">
        <f>'db LPP-SPP'!A18</f>
        <v>#VALUE!</v>
      </c>
      <c r="B17" s="1851">
        <f t="shared" ca="1" si="0"/>
        <v>42423</v>
      </c>
      <c r="C17" s="1850" t="e">
        <f>'db LPP-SPP'!C18</f>
        <v>#VALUE!</v>
      </c>
      <c r="D17" s="1850" t="str">
        <f>'db LPP-SPP'!D18</f>
        <v>3202220008</v>
      </c>
      <c r="E17" s="1871">
        <f>'KOLEKTIBILITAS-SPP(BLM+PHK KE3)'!C18</f>
        <v>294153300</v>
      </c>
      <c r="F17" s="1871">
        <f>'KOLEKTIBILITAS-SPP(BLM+PHK KE3)'!D18</f>
        <v>278189700</v>
      </c>
      <c r="G17" s="1871">
        <f>'KOLEKTIBILITAS-SPP(BLM+PHK KE3)'!E18</f>
        <v>6987600</v>
      </c>
      <c r="H17" s="1871">
        <f>'KOLEKTIBILITAS-SPP(BLM+PHK KE3)'!F18</f>
        <v>0</v>
      </c>
      <c r="I17" s="1871">
        <f>'KOLEKTIBILITAS-SPP(BLM+PHK KE3)'!G18</f>
        <v>0</v>
      </c>
      <c r="J17" s="1871">
        <f>'KOLEKTIBILITAS-SPP(BLM+PHK KE3)'!H18</f>
        <v>8976000</v>
      </c>
      <c r="K17" s="1848">
        <v>0</v>
      </c>
      <c r="L17" s="708"/>
      <c r="M17" s="708"/>
    </row>
    <row r="18" spans="1:13" ht="15">
      <c r="A18" s="1850" t="e">
        <f>'db LPP-SPP'!A19</f>
        <v>#VALUE!</v>
      </c>
      <c r="B18" s="1851">
        <f t="shared" ca="1" si="0"/>
        <v>42423</v>
      </c>
      <c r="C18" s="1850" t="e">
        <f>'db LPP-SPP'!C19</f>
        <v>#VALUE!</v>
      </c>
      <c r="D18" s="1850" t="str">
        <f>'db LPP-SPP'!D19</f>
        <v>3202220009</v>
      </c>
      <c r="E18" s="1871">
        <f>'KOLEKTIBILITAS-SPP(BLM+PHK KE3)'!C19</f>
        <v>406097300</v>
      </c>
      <c r="F18" s="1871">
        <f>'KOLEKTIBILITAS-SPP(BLM+PHK KE3)'!D19</f>
        <v>391067200</v>
      </c>
      <c r="G18" s="1871">
        <f>'KOLEKTIBILITAS-SPP(BLM+PHK KE3)'!E19</f>
        <v>0</v>
      </c>
      <c r="H18" s="1871">
        <f>'KOLEKTIBILITAS-SPP(BLM+PHK KE3)'!F19</f>
        <v>0</v>
      </c>
      <c r="I18" s="1871">
        <f>'KOLEKTIBILITAS-SPP(BLM+PHK KE3)'!G19</f>
        <v>0</v>
      </c>
      <c r="J18" s="1871">
        <f>'KOLEKTIBILITAS-SPP(BLM+PHK KE3)'!H19</f>
        <v>15030100</v>
      </c>
      <c r="K18" s="1848">
        <v>0</v>
      </c>
      <c r="L18" s="708"/>
      <c r="M18" s="708"/>
    </row>
    <row r="19" spans="1:13" ht="15">
      <c r="A19" s="1850" t="e">
        <f>'db LPP-SPP'!A20</f>
        <v>#VALUE!</v>
      </c>
      <c r="B19" s="1851">
        <f t="shared" ca="1" si="0"/>
        <v>42423</v>
      </c>
      <c r="C19" s="1850" t="e">
        <f>'db LPP-SPP'!C20</f>
        <v>#VALUE!</v>
      </c>
      <c r="D19" s="1850" t="str">
        <f>'db LPP-SPP'!D20</f>
        <v>3202220001</v>
      </c>
      <c r="E19" s="1871">
        <f>'KOLEKTIBILITAS-SPP(BLM+PHK KE3)'!C20</f>
        <v>485649900</v>
      </c>
      <c r="F19" s="1871">
        <f>'KOLEKTIBILITAS-SPP(BLM+PHK KE3)'!D20</f>
        <v>352977200</v>
      </c>
      <c r="G19" s="1871">
        <f>'KOLEKTIBILITAS-SPP(BLM+PHK KE3)'!E20</f>
        <v>53510100</v>
      </c>
      <c r="H19" s="1871">
        <f>'KOLEKTIBILITAS-SPP(BLM+PHK KE3)'!F20</f>
        <v>0</v>
      </c>
      <c r="I19" s="1871">
        <f>'KOLEKTIBILITAS-SPP(BLM+PHK KE3)'!G20</f>
        <v>49733400</v>
      </c>
      <c r="J19" s="1871">
        <f>'KOLEKTIBILITAS-SPP(BLM+PHK KE3)'!H20</f>
        <v>29429200</v>
      </c>
      <c r="K19" s="1848">
        <v>0</v>
      </c>
      <c r="L19" s="708"/>
      <c r="M19" s="708"/>
    </row>
    <row r="20" spans="1:13" ht="15">
      <c r="A20" s="1850" t="e">
        <f>'db LPP-SPP'!A21</f>
        <v>#VALUE!</v>
      </c>
      <c r="B20" s="1851">
        <f t="shared" ca="1" si="0"/>
        <v>42423</v>
      </c>
      <c r="C20" s="1850" t="e">
        <f>'db LPP-SPP'!C21</f>
        <v>#VALUE!</v>
      </c>
      <c r="D20" s="1850" t="str">
        <f>'db LPP-SPP'!D21</f>
        <v>3202220007</v>
      </c>
      <c r="E20" s="1871">
        <f>'KOLEKTIBILITAS-SPP(BLM+PHK KE3)'!C21</f>
        <v>420682500</v>
      </c>
      <c r="F20" s="1871">
        <f>'KOLEKTIBILITAS-SPP(BLM+PHK KE3)'!D21</f>
        <v>362249500</v>
      </c>
      <c r="G20" s="1871">
        <f>'KOLEKTIBILITAS-SPP(BLM+PHK KE3)'!E21</f>
        <v>5390700</v>
      </c>
      <c r="H20" s="1871">
        <f>'KOLEKTIBILITAS-SPP(BLM+PHK KE3)'!F21</f>
        <v>0</v>
      </c>
      <c r="I20" s="1871">
        <f>'KOLEKTIBILITAS-SPP(BLM+PHK KE3)'!G21</f>
        <v>0</v>
      </c>
      <c r="J20" s="1871">
        <f>'KOLEKTIBILITAS-SPP(BLM+PHK KE3)'!H21</f>
        <v>53042300</v>
      </c>
      <c r="K20" s="1848">
        <v>0</v>
      </c>
      <c r="L20" s="708"/>
      <c r="M20" s="708"/>
    </row>
    <row r="21" spans="1:13" ht="15">
      <c r="A21" s="1850" t="e">
        <f>'db LPP-SPP'!A22</f>
        <v>#VALUE!</v>
      </c>
      <c r="B21" s="1851">
        <f t="shared" ca="1" si="0"/>
        <v>42423</v>
      </c>
      <c r="C21" s="1850" t="e">
        <f>'db LPP-SPP'!C22</f>
        <v>#VALUE!</v>
      </c>
      <c r="D21" s="1850">
        <f>'db LPP-SPP'!D22</f>
        <v>0</v>
      </c>
      <c r="E21" s="1871">
        <f>'KOLEKTIBILITAS-SPP(BLM+PHK KE3)'!C22</f>
        <v>0</v>
      </c>
      <c r="F21" s="1871">
        <f>'KOLEKTIBILITAS-SPP(BLM+PHK KE3)'!D22</f>
        <v>0</v>
      </c>
      <c r="G21" s="1871">
        <f>'KOLEKTIBILITAS-SPP(BLM+PHK KE3)'!E22</f>
        <v>0</v>
      </c>
      <c r="H21" s="1871">
        <f>'KOLEKTIBILITAS-SPP(BLM+PHK KE3)'!F22</f>
        <v>0</v>
      </c>
      <c r="I21" s="1871">
        <f>'KOLEKTIBILITAS-SPP(BLM+PHK KE3)'!G22</f>
        <v>0</v>
      </c>
      <c r="J21" s="1871">
        <f>'KOLEKTIBILITAS-SPP(BLM+PHK KE3)'!H22</f>
        <v>0</v>
      </c>
      <c r="K21" s="1848">
        <v>0</v>
      </c>
      <c r="L21" s="708"/>
      <c r="M21" s="708"/>
    </row>
    <row r="22" spans="1:13" ht="15">
      <c r="A22" s="1850" t="e">
        <f>'db LPP-SPP'!A23</f>
        <v>#VALUE!</v>
      </c>
      <c r="B22" s="1851">
        <f t="shared" ca="1" si="0"/>
        <v>42423</v>
      </c>
      <c r="C22" s="1850" t="e">
        <f>'db LPP-SPP'!C23</f>
        <v>#VALUE!</v>
      </c>
      <c r="D22" s="1850">
        <f>'db LPP-SPP'!D23</f>
        <v>0</v>
      </c>
      <c r="E22" s="1871">
        <f>'KOLEKTIBILITAS-SPP(BLM+PHK KE3)'!C23</f>
        <v>0</v>
      </c>
      <c r="F22" s="1871">
        <f>'KOLEKTIBILITAS-SPP(BLM+PHK KE3)'!D23</f>
        <v>0</v>
      </c>
      <c r="G22" s="1871">
        <f>'KOLEKTIBILITAS-SPP(BLM+PHK KE3)'!E23</f>
        <v>0</v>
      </c>
      <c r="H22" s="1871">
        <f>'KOLEKTIBILITAS-SPP(BLM+PHK KE3)'!F23</f>
        <v>0</v>
      </c>
      <c r="I22" s="1871">
        <f>'KOLEKTIBILITAS-SPP(BLM+PHK KE3)'!G23</f>
        <v>0</v>
      </c>
      <c r="J22" s="1871">
        <f>'KOLEKTIBILITAS-SPP(BLM+PHK KE3)'!H23</f>
        <v>0</v>
      </c>
      <c r="K22" s="1848">
        <v>0</v>
      </c>
      <c r="L22" s="708"/>
      <c r="M22" s="708"/>
    </row>
    <row r="23" spans="1:13" ht="15">
      <c r="A23" s="1850" t="e">
        <f>'db LPP-SPP'!A24</f>
        <v>#VALUE!</v>
      </c>
      <c r="B23" s="1851">
        <f t="shared" ca="1" si="0"/>
        <v>42423</v>
      </c>
      <c r="C23" s="1850" t="e">
        <f>'db LPP-SPP'!C24</f>
        <v>#VALUE!</v>
      </c>
      <c r="D23" s="1850">
        <f>'db LPP-SPP'!D24</f>
        <v>0</v>
      </c>
      <c r="E23" s="1871">
        <f>'KOLEKTIBILITAS-SPP(BLM+PHK KE3)'!C24</f>
        <v>0</v>
      </c>
      <c r="F23" s="1871">
        <f>'KOLEKTIBILITAS-SPP(BLM+PHK KE3)'!D24</f>
        <v>0</v>
      </c>
      <c r="G23" s="1871">
        <f>'KOLEKTIBILITAS-SPP(BLM+PHK KE3)'!E24</f>
        <v>0</v>
      </c>
      <c r="H23" s="1871">
        <f>'KOLEKTIBILITAS-SPP(BLM+PHK KE3)'!F24</f>
        <v>0</v>
      </c>
      <c r="I23" s="1871">
        <f>'KOLEKTIBILITAS-SPP(BLM+PHK KE3)'!G24</f>
        <v>0</v>
      </c>
      <c r="J23" s="1871">
        <f>'KOLEKTIBILITAS-SPP(BLM+PHK KE3)'!H24</f>
        <v>0</v>
      </c>
      <c r="K23" s="1848">
        <v>0</v>
      </c>
      <c r="L23" s="708"/>
      <c r="M23" s="708"/>
    </row>
    <row r="24" spans="1:13" ht="15">
      <c r="A24" s="1850" t="e">
        <f>'db LPP-SPP'!A25</f>
        <v>#VALUE!</v>
      </c>
      <c r="B24" s="1851">
        <f t="shared" ca="1" si="0"/>
        <v>42423</v>
      </c>
      <c r="C24" s="1850" t="e">
        <f>'db LPP-SPP'!C25</f>
        <v>#VALUE!</v>
      </c>
      <c r="D24" s="1850">
        <f>'db LPP-SPP'!D25</f>
        <v>0</v>
      </c>
      <c r="E24" s="1871">
        <f>'KOLEKTIBILITAS-SPP(BLM+PHK KE3)'!C25</f>
        <v>0</v>
      </c>
      <c r="F24" s="1871">
        <f>'KOLEKTIBILITAS-SPP(BLM+PHK KE3)'!D25</f>
        <v>0</v>
      </c>
      <c r="G24" s="1871">
        <f>'KOLEKTIBILITAS-SPP(BLM+PHK KE3)'!E25</f>
        <v>0</v>
      </c>
      <c r="H24" s="1871">
        <f>'KOLEKTIBILITAS-SPP(BLM+PHK KE3)'!F25</f>
        <v>0</v>
      </c>
      <c r="I24" s="1871">
        <f>'KOLEKTIBILITAS-SPP(BLM+PHK KE3)'!G25</f>
        <v>0</v>
      </c>
      <c r="J24" s="1871">
        <f>'KOLEKTIBILITAS-SPP(BLM+PHK KE3)'!H25</f>
        <v>0</v>
      </c>
      <c r="K24" s="1848">
        <v>0</v>
      </c>
      <c r="L24" s="708"/>
      <c r="M24" s="708"/>
    </row>
    <row r="25" spans="1:13" ht="15">
      <c r="A25" s="1850" t="e">
        <f>'db LPP-SPP'!A26</f>
        <v>#VALUE!</v>
      </c>
      <c r="B25" s="1851">
        <f t="shared" ca="1" si="0"/>
        <v>42423</v>
      </c>
      <c r="C25" s="1850" t="e">
        <f>'db LPP-SPP'!C26</f>
        <v>#VALUE!</v>
      </c>
      <c r="D25" s="1850">
        <f>'db LPP-SPP'!D26</f>
        <v>0</v>
      </c>
      <c r="E25" s="1871">
        <f>'KOLEKTIBILITAS-SPP(BLM+PHK KE3)'!C26</f>
        <v>0</v>
      </c>
      <c r="F25" s="1871">
        <f>'KOLEKTIBILITAS-SPP(BLM+PHK KE3)'!D26</f>
        <v>0</v>
      </c>
      <c r="G25" s="1871">
        <f>'KOLEKTIBILITAS-SPP(BLM+PHK KE3)'!E26</f>
        <v>0</v>
      </c>
      <c r="H25" s="1871">
        <f>'KOLEKTIBILITAS-SPP(BLM+PHK KE3)'!F26</f>
        <v>0</v>
      </c>
      <c r="I25" s="1871">
        <f>'KOLEKTIBILITAS-SPP(BLM+PHK KE3)'!G26</f>
        <v>0</v>
      </c>
      <c r="J25" s="1871">
        <f>'KOLEKTIBILITAS-SPP(BLM+PHK KE3)'!H26</f>
        <v>0</v>
      </c>
      <c r="K25" s="1848">
        <v>0</v>
      </c>
      <c r="L25" s="708"/>
      <c r="M25" s="708"/>
    </row>
    <row r="26" spans="1:13" ht="15">
      <c r="A26" s="1850" t="e">
        <f>'db LPP-SPP'!A27</f>
        <v>#VALUE!</v>
      </c>
      <c r="B26" s="1851">
        <f t="shared" ca="1" si="0"/>
        <v>42423</v>
      </c>
      <c r="C26" s="1850" t="e">
        <f>'db LPP-SPP'!C27</f>
        <v>#VALUE!</v>
      </c>
      <c r="D26" s="1850">
        <f>'db LPP-SPP'!D27</f>
        <v>0</v>
      </c>
      <c r="E26" s="1871">
        <f>'KOLEKTIBILITAS-SPP(BLM+PHK KE3)'!C27</f>
        <v>0</v>
      </c>
      <c r="F26" s="1871">
        <f>'KOLEKTIBILITAS-SPP(BLM+PHK KE3)'!D27</f>
        <v>0</v>
      </c>
      <c r="G26" s="1871">
        <f>'KOLEKTIBILITAS-SPP(BLM+PHK KE3)'!E27</f>
        <v>0</v>
      </c>
      <c r="H26" s="1871">
        <f>'KOLEKTIBILITAS-SPP(BLM+PHK KE3)'!F27</f>
        <v>0</v>
      </c>
      <c r="I26" s="1871">
        <f>'KOLEKTIBILITAS-SPP(BLM+PHK KE3)'!G27</f>
        <v>0</v>
      </c>
      <c r="J26" s="1871">
        <f>'KOLEKTIBILITAS-SPP(BLM+PHK KE3)'!H27</f>
        <v>0</v>
      </c>
      <c r="K26" s="1848">
        <v>0</v>
      </c>
      <c r="L26" s="708"/>
      <c r="M26" s="708"/>
    </row>
    <row r="27" spans="1:13">
      <c r="A27" s="708"/>
      <c r="B27" s="708"/>
      <c r="C27" s="708"/>
      <c r="D27" s="708"/>
      <c r="E27" s="708"/>
      <c r="F27" s="708"/>
      <c r="G27" s="708"/>
      <c r="H27" s="708"/>
      <c r="I27" s="708"/>
      <c r="J27" s="708"/>
      <c r="K27" s="708"/>
      <c r="L27" s="708"/>
      <c r="M27" s="708"/>
    </row>
    <row r="28" spans="1:13">
      <c r="A28" s="708"/>
      <c r="B28" s="708"/>
      <c r="C28" s="708"/>
      <c r="D28" s="708"/>
      <c r="E28" s="708"/>
      <c r="F28" s="708"/>
      <c r="G28" s="708"/>
      <c r="H28" s="708"/>
      <c r="I28" s="708"/>
      <c r="J28" s="708"/>
      <c r="K28" s="708"/>
      <c r="L28" s="708"/>
      <c r="M28" s="708"/>
    </row>
    <row r="29" spans="1:13">
      <c r="A29" s="708"/>
      <c r="B29" s="708"/>
      <c r="C29" s="708"/>
      <c r="D29" s="708"/>
      <c r="E29" s="708"/>
      <c r="F29" s="708"/>
      <c r="G29" s="708"/>
      <c r="H29" s="708"/>
      <c r="I29" s="708"/>
      <c r="J29" s="708"/>
      <c r="K29" s="708"/>
      <c r="L29" s="708"/>
      <c r="M29" s="708"/>
    </row>
  </sheetData>
  <sheetProtection password="C13C" sheet="1" objects="1" scenarios="1" formatCells="0" formatColumns="0" formatRows="0"/>
  <mergeCells count="4">
    <mergeCell ref="A1:K1"/>
    <mergeCell ref="A2:K2"/>
    <mergeCell ref="A3:K3"/>
    <mergeCell ref="A4:K4"/>
  </mergeCells>
  <hyperlinks>
    <hyperlink ref="A2" location="Depan!A1" display="UNIT PENGELOLA KEGIATAN (UPK)"/>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rgb="FF000000"/>
  </sheetPr>
  <dimension ref="A1:AS18"/>
  <sheetViews>
    <sheetView workbookViewId="0">
      <selection activeCell="AB11" sqref="A11:XFD11"/>
    </sheetView>
  </sheetViews>
  <sheetFormatPr defaultRowHeight="12.75"/>
  <cols>
    <col min="1" max="1" width="14.140625" customWidth="1"/>
  </cols>
  <sheetData>
    <row r="1" spans="1:45">
      <c r="A1" s="3410" t="s">
        <v>980</v>
      </c>
      <c r="B1" s="3410"/>
      <c r="C1" s="3410"/>
      <c r="D1" s="3410"/>
      <c r="E1" s="3410"/>
      <c r="F1" s="3410"/>
      <c r="G1" s="3410"/>
      <c r="H1" s="3410"/>
      <c r="I1" s="3410"/>
      <c r="J1" s="3410"/>
      <c r="K1" s="3410"/>
      <c r="L1" s="3410"/>
      <c r="M1" s="3410"/>
      <c r="N1" s="3410"/>
      <c r="O1" s="3410"/>
      <c r="P1" s="3410"/>
      <c r="Q1" s="3410"/>
      <c r="R1" s="1342"/>
      <c r="S1" s="1342"/>
      <c r="T1" s="1342"/>
      <c r="U1" s="1342"/>
      <c r="V1" s="1342"/>
      <c r="W1" s="1342"/>
      <c r="X1" s="1342"/>
      <c r="Y1" s="1342"/>
      <c r="Z1" s="1342"/>
      <c r="AA1" s="1342"/>
      <c r="AB1" s="1342"/>
    </row>
    <row r="2" spans="1:45">
      <c r="A2" s="3410" t="s">
        <v>704</v>
      </c>
      <c r="B2" s="3410"/>
      <c r="C2" s="3410"/>
      <c r="D2" s="3410"/>
      <c r="E2" s="3410"/>
      <c r="F2" s="3410"/>
      <c r="G2" s="3410"/>
      <c r="H2" s="3410"/>
      <c r="I2" s="3410"/>
      <c r="J2" s="3410"/>
      <c r="K2" s="3410"/>
      <c r="L2" s="3410"/>
      <c r="M2" s="3410"/>
      <c r="N2" s="3410"/>
      <c r="O2" s="3410"/>
      <c r="P2" s="3410"/>
      <c r="Q2" s="3410"/>
      <c r="R2" s="1342"/>
      <c r="S2" s="1342"/>
      <c r="T2" s="1342"/>
      <c r="U2" s="1342"/>
      <c r="V2" s="1342"/>
      <c r="W2" s="1342"/>
      <c r="X2" s="1342"/>
      <c r="Y2" s="1342"/>
      <c r="Z2" s="1342"/>
      <c r="AA2" s="1342"/>
      <c r="AB2" s="1342"/>
    </row>
    <row r="3" spans="1:45">
      <c r="A3" s="3410" t="s">
        <v>734</v>
      </c>
      <c r="B3" s="3410"/>
      <c r="C3" s="3410"/>
      <c r="D3" s="3410"/>
      <c r="E3" s="3410"/>
      <c r="F3" s="3410"/>
      <c r="G3" s="3410"/>
      <c r="H3" s="3410"/>
      <c r="I3" s="3410"/>
      <c r="J3" s="3410"/>
      <c r="K3" s="3410"/>
      <c r="L3" s="3410"/>
      <c r="M3" s="3410"/>
      <c r="N3" s="3410"/>
      <c r="O3" s="3410"/>
      <c r="P3" s="3410"/>
      <c r="Q3" s="3410"/>
      <c r="R3" s="1342"/>
      <c r="S3" s="1342"/>
      <c r="T3" s="1342"/>
      <c r="U3" s="1342"/>
      <c r="V3" s="1342"/>
      <c r="W3" s="1342"/>
      <c r="X3" s="1342"/>
      <c r="Y3" s="1342"/>
      <c r="Z3" s="1342"/>
      <c r="AA3" s="1342"/>
      <c r="AB3" s="1342"/>
    </row>
    <row r="4" spans="1:45" ht="15.75" customHeight="1">
      <c r="A4" s="3410" t="str">
        <f>"Periode Bulan "&amp;DT!D27</f>
        <v>Periode Bulan 29 Februari 2016 2016</v>
      </c>
      <c r="B4" s="3410"/>
      <c r="C4" s="3410"/>
      <c r="D4" s="3410"/>
      <c r="E4" s="3410"/>
      <c r="F4" s="3410"/>
      <c r="G4" s="3410"/>
      <c r="H4" s="3410"/>
      <c r="I4" s="3410"/>
      <c r="J4" s="3410"/>
      <c r="K4" s="3410"/>
      <c r="L4" s="3410"/>
      <c r="M4" s="3410"/>
      <c r="N4" s="3410"/>
      <c r="O4" s="3410"/>
      <c r="P4" s="3410"/>
      <c r="Q4" s="3410"/>
      <c r="R4" s="1342"/>
      <c r="S4" s="1342"/>
      <c r="T4" s="1342"/>
      <c r="U4" s="1342"/>
      <c r="V4" s="1342"/>
      <c r="W4" s="1342"/>
      <c r="X4" s="1342"/>
      <c r="Y4" s="1342"/>
      <c r="Z4" s="1342"/>
      <c r="AA4" s="1342"/>
      <c r="AB4" s="1342"/>
    </row>
    <row r="5" spans="1:45" s="1346" customFormat="1" ht="15.75">
      <c r="A5" s="1343" t="s">
        <v>981</v>
      </c>
      <c r="B5" s="1344"/>
      <c r="C5" s="4" t="str">
        <f>": "&amp;DT!D3</f>
        <v>: Nagrak</v>
      </c>
      <c r="D5" s="1345"/>
      <c r="E5" s="1345"/>
      <c r="F5" s="1345"/>
      <c r="G5" s="1345"/>
      <c r="H5" s="1345"/>
      <c r="I5" s="1345"/>
      <c r="J5" s="1345"/>
      <c r="K5" s="1345"/>
      <c r="L5" s="1345"/>
      <c r="M5" s="1345"/>
      <c r="N5" s="1345"/>
      <c r="O5" s="1345"/>
      <c r="P5" s="1345"/>
      <c r="Q5" s="1345"/>
      <c r="R5" s="1345"/>
      <c r="S5" s="1345"/>
      <c r="T5" s="1345"/>
      <c r="U5" s="1345"/>
      <c r="V5" s="1345"/>
      <c r="W5" s="1345"/>
      <c r="X5" s="1345"/>
      <c r="Y5" s="1345"/>
      <c r="Z5" s="1345"/>
      <c r="AA5" s="1345"/>
      <c r="AB5" s="1345"/>
    </row>
    <row r="6" spans="1:45" s="1346" customFormat="1" ht="15.75">
      <c r="A6" s="1343" t="s">
        <v>982</v>
      </c>
      <c r="B6" s="1344"/>
      <c r="C6" s="4" t="str">
        <f>": "&amp;DT!D4</f>
        <v>: Sukabumi</v>
      </c>
      <c r="D6" s="1345"/>
      <c r="E6" s="1345"/>
      <c r="F6" s="1345"/>
      <c r="G6" s="1345"/>
      <c r="H6" s="1345"/>
      <c r="I6" s="1345"/>
      <c r="J6" s="1345"/>
      <c r="K6" s="1345"/>
      <c r="L6" s="1345"/>
      <c r="M6" s="1345"/>
      <c r="N6" s="1345"/>
      <c r="O6" s="1345"/>
      <c r="P6" s="1345"/>
      <c r="Q6" s="1345"/>
      <c r="R6" s="1345"/>
      <c r="S6" s="1345"/>
      <c r="T6" s="1345"/>
      <c r="U6" s="1345"/>
      <c r="V6" s="1345"/>
      <c r="W6" s="1345"/>
      <c r="X6" s="1345"/>
      <c r="Y6" s="1345"/>
      <c r="Z6" s="1345"/>
      <c r="AA6" s="1345"/>
      <c r="AB6" s="1345"/>
    </row>
    <row r="7" spans="1:45" s="1346" customFormat="1" ht="15.75">
      <c r="A7" s="1343" t="s">
        <v>983</v>
      </c>
      <c r="B7" s="1344"/>
      <c r="C7" s="4" t="str">
        <f>": "&amp;DT!D5</f>
        <v>: Jawa Barat</v>
      </c>
      <c r="D7" s="1345"/>
      <c r="E7" s="1345"/>
      <c r="F7" s="1345"/>
      <c r="G7" s="1345"/>
      <c r="H7" s="1345"/>
      <c r="I7" s="1345"/>
      <c r="J7" s="1345"/>
      <c r="K7" s="1345"/>
      <c r="L7" s="1345"/>
      <c r="M7" s="1345"/>
      <c r="N7" s="1345"/>
      <c r="O7" s="1345"/>
      <c r="P7" s="1345"/>
      <c r="Q7" s="1345"/>
      <c r="R7" s="1345"/>
      <c r="S7" s="1345"/>
      <c r="T7" s="1345"/>
      <c r="U7" s="1345"/>
      <c r="V7" s="1345"/>
      <c r="W7" s="1345"/>
      <c r="X7" s="1345"/>
      <c r="Y7" s="1345"/>
      <c r="Z7" s="1345"/>
      <c r="AA7" s="1345"/>
      <c r="AB7" s="1345"/>
    </row>
    <row r="8" spans="1:45" s="1410" customFormat="1">
      <c r="A8" s="1406"/>
      <c r="B8" s="1407"/>
      <c r="C8" s="1408"/>
      <c r="D8" s="3410" t="s">
        <v>1222</v>
      </c>
      <c r="E8" s="3410"/>
      <c r="F8" s="3410"/>
      <c r="G8" s="3410"/>
      <c r="H8" s="3410" t="s">
        <v>1223</v>
      </c>
      <c r="I8" s="3410"/>
      <c r="J8" s="3410"/>
      <c r="K8" s="3410"/>
      <c r="L8" s="3410" t="s">
        <v>1224</v>
      </c>
      <c r="M8" s="3410"/>
      <c r="N8" s="3410"/>
      <c r="O8" s="3410" t="s">
        <v>1186</v>
      </c>
      <c r="P8" s="3410"/>
      <c r="Q8" s="3410" t="s">
        <v>1225</v>
      </c>
      <c r="R8" s="3410"/>
      <c r="S8" s="3410" t="s">
        <v>1188</v>
      </c>
      <c r="T8" s="3410"/>
      <c r="U8" s="3410"/>
      <c r="V8" s="3410"/>
      <c r="W8" s="3410"/>
      <c r="X8" s="3410" t="s">
        <v>1190</v>
      </c>
      <c r="Y8" s="3410"/>
      <c r="Z8" s="3410"/>
      <c r="AA8" s="3410"/>
      <c r="AB8" s="3410"/>
      <c r="AC8" s="3410" t="s">
        <v>553</v>
      </c>
      <c r="AD8" s="3410" t="s">
        <v>92</v>
      </c>
      <c r="AE8" s="3410"/>
      <c r="AF8" s="3410"/>
      <c r="AG8" s="3410" t="s">
        <v>101</v>
      </c>
      <c r="AH8" s="3410"/>
      <c r="AI8" s="3410"/>
      <c r="AJ8" s="3410"/>
      <c r="AK8" s="3410"/>
      <c r="AL8" s="3410"/>
      <c r="AM8" s="3410"/>
      <c r="AN8" s="3410"/>
      <c r="AO8" s="3410"/>
      <c r="AP8" s="3410"/>
      <c r="AQ8" s="3410"/>
      <c r="AR8" s="3410"/>
    </row>
    <row r="9" spans="1:45" s="1414" customFormat="1" ht="33.75">
      <c r="A9" s="1411"/>
      <c r="B9" s="1411"/>
      <c r="C9" s="1412"/>
      <c r="D9" s="1413" t="s">
        <v>1181</v>
      </c>
      <c r="E9" s="1413" t="s">
        <v>1178</v>
      </c>
      <c r="F9" s="1413" t="s">
        <v>1179</v>
      </c>
      <c r="G9" s="1413" t="s">
        <v>1180</v>
      </c>
      <c r="H9" s="1413" t="s">
        <v>1182</v>
      </c>
      <c r="I9" s="1413" t="s">
        <v>1183</v>
      </c>
      <c r="J9" s="1413" t="s">
        <v>1184</v>
      </c>
      <c r="K9" s="1413" t="s">
        <v>1185</v>
      </c>
      <c r="L9" s="1413" t="s">
        <v>619</v>
      </c>
      <c r="M9" s="1413" t="s">
        <v>25</v>
      </c>
      <c r="N9" s="1413" t="s">
        <v>541</v>
      </c>
      <c r="O9" s="1413" t="s">
        <v>1186</v>
      </c>
      <c r="P9" s="1413" t="s">
        <v>1187</v>
      </c>
      <c r="Q9" s="1413" t="s">
        <v>34</v>
      </c>
      <c r="R9" s="1413" t="s">
        <v>552</v>
      </c>
      <c r="S9" s="1413" t="s">
        <v>46</v>
      </c>
      <c r="T9" s="1413" t="s">
        <v>47</v>
      </c>
      <c r="U9" s="1413" t="s">
        <v>48</v>
      </c>
      <c r="V9" s="1413" t="s">
        <v>121</v>
      </c>
      <c r="W9" s="1413" t="s">
        <v>1189</v>
      </c>
      <c r="X9" s="1413" t="s">
        <v>46</v>
      </c>
      <c r="Y9" s="1413" t="s">
        <v>47</v>
      </c>
      <c r="Z9" s="1413" t="s">
        <v>48</v>
      </c>
      <c r="AA9" s="1413" t="s">
        <v>121</v>
      </c>
      <c r="AB9" s="1413" t="s">
        <v>1189</v>
      </c>
      <c r="AC9" s="3410"/>
      <c r="AD9" s="1409" t="s">
        <v>1191</v>
      </c>
      <c r="AE9" s="1409" t="s">
        <v>1192</v>
      </c>
      <c r="AF9" s="1409" t="s">
        <v>367</v>
      </c>
      <c r="AG9" s="1409" t="s">
        <v>910</v>
      </c>
      <c r="AH9" s="1409" t="s">
        <v>911</v>
      </c>
      <c r="AI9" s="1409" t="s">
        <v>1160</v>
      </c>
      <c r="AJ9" s="1409" t="s">
        <v>1193</v>
      </c>
      <c r="AK9" s="1409" t="s">
        <v>1194</v>
      </c>
      <c r="AL9" s="1409" t="s">
        <v>912</v>
      </c>
      <c r="AM9" s="1409" t="s">
        <v>1195</v>
      </c>
      <c r="AN9" s="1409" t="s">
        <v>1196</v>
      </c>
      <c r="AO9" s="1409" t="s">
        <v>1197</v>
      </c>
      <c r="AP9" s="1409" t="s">
        <v>902</v>
      </c>
      <c r="AQ9" s="1409" t="s">
        <v>1198</v>
      </c>
      <c r="AR9" s="1409" t="s">
        <v>1199</v>
      </c>
    </row>
    <row r="10" spans="1:45" ht="15">
      <c r="A10" s="1347" t="s">
        <v>984</v>
      </c>
      <c r="B10" s="1347" t="s">
        <v>985</v>
      </c>
      <c r="C10" s="1347" t="s">
        <v>986</v>
      </c>
      <c r="D10" s="1405" t="s">
        <v>987</v>
      </c>
      <c r="E10" s="1405" t="s">
        <v>988</v>
      </c>
      <c r="F10" s="1405" t="s">
        <v>989</v>
      </c>
      <c r="G10" s="1405" t="s">
        <v>990</v>
      </c>
      <c r="H10" s="1405" t="s">
        <v>991</v>
      </c>
      <c r="I10" s="1405" t="s">
        <v>992</v>
      </c>
      <c r="J10" s="1405" t="s">
        <v>993</v>
      </c>
      <c r="K10" s="1405" t="s">
        <v>994</v>
      </c>
      <c r="L10" s="1405" t="s">
        <v>995</v>
      </c>
      <c r="M10" s="1405" t="s">
        <v>996</v>
      </c>
      <c r="N10" s="1405">
        <v>133</v>
      </c>
      <c r="O10" s="1405" t="s">
        <v>997</v>
      </c>
      <c r="P10" s="1405" t="s">
        <v>998</v>
      </c>
      <c r="Q10" s="1405" t="s">
        <v>999</v>
      </c>
      <c r="R10" s="1405" t="s">
        <v>1000</v>
      </c>
      <c r="S10" s="1405" t="s">
        <v>1001</v>
      </c>
      <c r="T10" s="1405" t="s">
        <v>1002</v>
      </c>
      <c r="U10" s="1405" t="s">
        <v>1003</v>
      </c>
      <c r="V10" s="1405" t="s">
        <v>1004</v>
      </c>
      <c r="W10" s="1405" t="s">
        <v>1005</v>
      </c>
      <c r="X10" s="1405" t="s">
        <v>1006</v>
      </c>
      <c r="Y10" s="1405" t="s">
        <v>1007</v>
      </c>
      <c r="Z10" s="1405" t="s">
        <v>1008</v>
      </c>
      <c r="AA10" s="1405" t="s">
        <v>1009</v>
      </c>
      <c r="AB10" s="1405" t="s">
        <v>1010</v>
      </c>
      <c r="AC10" s="1405" t="s">
        <v>1011</v>
      </c>
      <c r="AD10" s="1405" t="s">
        <v>1012</v>
      </c>
      <c r="AE10" s="1405" t="s">
        <v>1013</v>
      </c>
      <c r="AF10" s="1405" t="s">
        <v>1014</v>
      </c>
      <c r="AG10" s="1405" t="s">
        <v>1015</v>
      </c>
      <c r="AH10" s="1405" t="s">
        <v>1016</v>
      </c>
      <c r="AI10" s="1405" t="s">
        <v>1017</v>
      </c>
      <c r="AJ10" s="1405" t="s">
        <v>1018</v>
      </c>
      <c r="AK10" s="1405" t="s">
        <v>1019</v>
      </c>
      <c r="AL10" s="1405" t="s">
        <v>1020</v>
      </c>
      <c r="AM10" s="1405" t="s">
        <v>1021</v>
      </c>
      <c r="AN10" s="1405" t="s">
        <v>1022</v>
      </c>
      <c r="AO10" s="1405" t="s">
        <v>1023</v>
      </c>
      <c r="AP10" s="1405" t="s">
        <v>1024</v>
      </c>
      <c r="AQ10" s="1405" t="s">
        <v>1025</v>
      </c>
      <c r="AR10" s="1405" t="s">
        <v>1026</v>
      </c>
      <c r="AS10" s="1347" t="s">
        <v>1027</v>
      </c>
    </row>
    <row r="11" spans="1:45" s="1424" customFormat="1">
      <c r="A11" s="1426" t="e">
        <f>DT!$E$3&amp;"."&amp;"000"&amp;DT!F32</f>
        <v>#VALUE!</v>
      </c>
      <c r="B11" s="1427" t="str">
        <f>DT!$E$3</f>
        <v>3202220</v>
      </c>
      <c r="C11" s="1426" t="e">
        <f>DT!F30&amp;"-"&amp;DT!F31</f>
        <v>#VALUE!</v>
      </c>
      <c r="D11" s="1425">
        <f>SUM('Neraca Program REGULER'!D12:D13)</f>
        <v>0</v>
      </c>
      <c r="E11" s="1425">
        <f>'Neraca Program REGULER'!D14</f>
        <v>129250</v>
      </c>
      <c r="F11" s="1425">
        <f>'Neraca Program REGULER'!D15</f>
        <v>0</v>
      </c>
      <c r="G11" s="1425">
        <f>SUM('Neraca Program REGULER'!D16:D17)</f>
        <v>0</v>
      </c>
      <c r="H11" s="1425">
        <f>SUM('Neraca Program REGULER'!D21:D22)</f>
        <v>0</v>
      </c>
      <c r="I11" s="1425">
        <f>'Neraca Program REGULER'!D23</f>
        <v>35096029.859999895</v>
      </c>
      <c r="J11" s="1425">
        <f>'Neraca Program REGULER'!D24</f>
        <v>0</v>
      </c>
      <c r="K11" s="1425">
        <f>SUM('Neraca Program REGULER'!D25:D26)</f>
        <v>13002776</v>
      </c>
      <c r="L11" s="1425">
        <f>'Neraca Program REGULER'!D30</f>
        <v>0</v>
      </c>
      <c r="M11" s="1425">
        <f>SUM('Neraca Program REGULER'!D31:D32)</f>
        <v>4481090600</v>
      </c>
      <c r="N11" s="1425">
        <f>'Neraca Program REGULER'!D33</f>
        <v>0</v>
      </c>
      <c r="O11" s="1425">
        <f>'Neraca Program REGULER'!D35</f>
        <v>5400000</v>
      </c>
      <c r="P11" s="1425">
        <f>'Neraca Program REGULER'!D36</f>
        <v>3600000</v>
      </c>
      <c r="Q11" s="1425">
        <f>'Neraca Program REGULER'!D39+'Neraca Program REGULER'!D44</f>
        <v>369068400</v>
      </c>
      <c r="R11" s="1425">
        <f>'Neraca Program REGULER'!D40</f>
        <v>80006848.61111109</v>
      </c>
      <c r="S11" s="1425">
        <f>'Neraca Program REGULER'!D48</f>
        <v>0</v>
      </c>
      <c r="T11" s="1425">
        <f>'Neraca Program REGULER'!D49</f>
        <v>0</v>
      </c>
      <c r="U11" s="1425">
        <f>'Neraca Program REGULER'!D50</f>
        <v>0</v>
      </c>
      <c r="V11" s="1425">
        <f>'Neraca Program REGULER'!D51</f>
        <v>0</v>
      </c>
      <c r="W11" s="1425">
        <f>'Neraca Program REGULER'!D52</f>
        <v>0</v>
      </c>
      <c r="X11" s="1425">
        <f>'Neraca Program REGULER'!D56+'Neraca Program REGULER'!D62</f>
        <v>5207955700</v>
      </c>
      <c r="Y11" s="1425">
        <f>'Neraca Program REGULER'!D57+'Neraca Program REGULER'!D63</f>
        <v>1857930500</v>
      </c>
      <c r="Z11" s="1425">
        <f>'Neraca Program REGULER'!D58+'Neraca Program REGULER'!D64</f>
        <v>1000449500</v>
      </c>
      <c r="AA11" s="1425">
        <f>'Neraca Program REGULER'!D59+'Neraca Program REGULER'!D65</f>
        <v>305775417</v>
      </c>
      <c r="AB11" s="1425">
        <f>'Neraca Program REGULER'!D60+'Neraca Program REGULER'!D66</f>
        <v>319454200</v>
      </c>
      <c r="AC11" s="1425">
        <f>'Neraca Program REGULER'!D69</f>
        <v>30000000</v>
      </c>
      <c r="AD11" s="1425">
        <f>'Neraca Program REGULER'!G13</f>
        <v>-24900000</v>
      </c>
      <c r="AE11" s="1425">
        <f>'Neraca Program REGULER'!G11</f>
        <v>33010000</v>
      </c>
      <c r="AF11" s="1425">
        <f>'Neraca Program REGULER'!G12</f>
        <v>43000000</v>
      </c>
      <c r="AG11" s="1425">
        <f>'Neraca Program REGULER'!G19</f>
        <v>0</v>
      </c>
      <c r="AH11" s="1425">
        <f>'Neraca Program REGULER'!G20</f>
        <v>0</v>
      </c>
      <c r="AI11" s="1425">
        <f>'Neraca Program REGULER'!G24</f>
        <v>0</v>
      </c>
      <c r="AJ11" s="1425">
        <f>'Neraca Program REGULER'!G34</f>
        <v>2498578489.248889</v>
      </c>
      <c r="AK11" s="1425">
        <f>'Neraca Program REGULER'!G36</f>
        <v>166612035</v>
      </c>
      <c r="AL11" s="1425">
        <f>'Neraca Program REGULER'!G21</f>
        <v>0</v>
      </c>
      <c r="AM11" s="1425">
        <f>'Neraca Program REGULER'!G26</f>
        <v>0</v>
      </c>
      <c r="AN11" s="1425">
        <f>'Neraca Program REGULER'!G31</f>
        <v>47750000</v>
      </c>
      <c r="AO11" s="1425">
        <f>'Neraca Program REGULER'!G22</f>
        <v>0</v>
      </c>
      <c r="AP11" s="1425">
        <f>'Neraca Program REGULER'!G23</f>
        <v>9190215000</v>
      </c>
      <c r="AQ11" s="1425">
        <f>'Neraca Program REGULER'!G28</f>
        <v>1567500000</v>
      </c>
      <c r="AR11" s="1425">
        <f>'Neraca Program REGULER'!G27</f>
        <v>0</v>
      </c>
      <c r="AS11" s="1425">
        <v>0</v>
      </c>
    </row>
    <row r="12" spans="1:45">
      <c r="A12" s="1348"/>
    </row>
    <row r="13" spans="1:45">
      <c r="A13" s="1348"/>
    </row>
    <row r="14" spans="1:45">
      <c r="A14" s="1348"/>
    </row>
    <row r="15" spans="1:45">
      <c r="A15" s="1348"/>
    </row>
    <row r="16" spans="1:45">
      <c r="A16" s="1348"/>
    </row>
    <row r="17" spans="1:1">
      <c r="A17" s="1348"/>
    </row>
    <row r="18" spans="1:1">
      <c r="A18" s="1348"/>
    </row>
  </sheetData>
  <sheetProtection password="C13C" sheet="1" objects="1" scenarios="1" formatCells="0" formatColumns="0" formatRows="0"/>
  <mergeCells count="14">
    <mergeCell ref="A1:Q1"/>
    <mergeCell ref="A2:Q2"/>
    <mergeCell ref="A4:Q4"/>
    <mergeCell ref="S8:W8"/>
    <mergeCell ref="AG8:AR8"/>
    <mergeCell ref="X8:AB8"/>
    <mergeCell ref="AD8:AF8"/>
    <mergeCell ref="D8:G8"/>
    <mergeCell ref="H8:K8"/>
    <mergeCell ref="L8:N8"/>
    <mergeCell ref="O8:P8"/>
    <mergeCell ref="Q8:R8"/>
    <mergeCell ref="AC8:AC9"/>
    <mergeCell ref="A3:Q3"/>
  </mergeCells>
  <hyperlinks>
    <hyperlink ref="A2" location="Depan!A1" display="UNIT PENGELOLA KEGIATAN (UPK)"/>
  </hyperlinks>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rgb="FF000000"/>
  </sheetPr>
  <dimension ref="A1:AB11"/>
  <sheetViews>
    <sheetView topLeftCell="A4" workbookViewId="0">
      <selection activeCell="C11" sqref="C11"/>
    </sheetView>
  </sheetViews>
  <sheetFormatPr defaultRowHeight="12.75"/>
  <cols>
    <col min="1" max="1" width="14.140625" customWidth="1"/>
  </cols>
  <sheetData>
    <row r="1" spans="1:28">
      <c r="A1" s="3410" t="s">
        <v>1028</v>
      </c>
      <c r="B1" s="3410"/>
      <c r="C1" s="3410"/>
      <c r="D1" s="3410"/>
      <c r="E1" s="3410"/>
      <c r="F1" s="3410"/>
      <c r="G1" s="3410"/>
      <c r="H1" s="3410"/>
      <c r="I1" s="3410"/>
      <c r="J1" s="3410"/>
      <c r="K1" s="3410"/>
      <c r="L1" s="3410"/>
      <c r="M1" s="3410"/>
      <c r="N1" s="3410"/>
      <c r="O1" s="3410"/>
      <c r="P1" s="3410"/>
      <c r="Q1" s="1342"/>
      <c r="R1" s="1342"/>
      <c r="S1" s="1342"/>
      <c r="T1" s="1342"/>
      <c r="U1" s="1342"/>
      <c r="V1" s="1342"/>
      <c r="W1" s="1342"/>
      <c r="X1" s="1342"/>
      <c r="Y1" s="1342"/>
      <c r="Z1" s="1342"/>
      <c r="AA1" s="1342"/>
    </row>
    <row r="2" spans="1:28">
      <c r="A2" s="3410" t="s">
        <v>704</v>
      </c>
      <c r="B2" s="3410"/>
      <c r="C2" s="3410"/>
      <c r="D2" s="3410"/>
      <c r="E2" s="3410"/>
      <c r="F2" s="3410"/>
      <c r="G2" s="3410"/>
      <c r="H2" s="3410"/>
      <c r="I2" s="3410"/>
      <c r="J2" s="3410"/>
      <c r="K2" s="3410"/>
      <c r="L2" s="3410"/>
      <c r="M2" s="3410"/>
      <c r="N2" s="3410"/>
      <c r="O2" s="3410"/>
      <c r="P2" s="3410"/>
      <c r="Q2" s="1342"/>
      <c r="R2" s="1342"/>
      <c r="S2" s="1342"/>
      <c r="T2" s="1342"/>
      <c r="U2" s="1342"/>
      <c r="V2" s="1342"/>
      <c r="W2" s="1342"/>
      <c r="X2" s="1342"/>
      <c r="Y2" s="1342"/>
      <c r="Z2" s="1342"/>
      <c r="AA2" s="1342"/>
    </row>
    <row r="3" spans="1:28">
      <c r="A3" s="3410" t="s">
        <v>734</v>
      </c>
      <c r="B3" s="3410"/>
      <c r="C3" s="3410"/>
      <c r="D3" s="3410"/>
      <c r="E3" s="3410"/>
      <c r="F3" s="3410"/>
      <c r="G3" s="3410"/>
      <c r="H3" s="3410"/>
      <c r="I3" s="3410"/>
      <c r="J3" s="3410"/>
      <c r="K3" s="3410"/>
      <c r="L3" s="3410"/>
      <c r="M3" s="3410"/>
      <c r="N3" s="3410"/>
      <c r="O3" s="3410"/>
      <c r="P3" s="3410"/>
      <c r="Q3" s="1342"/>
      <c r="R3" s="1342"/>
      <c r="S3" s="1342"/>
      <c r="T3" s="1342"/>
      <c r="U3" s="1342"/>
      <c r="V3" s="1342"/>
      <c r="W3" s="1342"/>
      <c r="X3" s="1342"/>
      <c r="Y3" s="1342"/>
      <c r="Z3" s="1342"/>
      <c r="AA3" s="1342"/>
    </row>
    <row r="4" spans="1:28" ht="15.75" customHeight="1">
      <c r="A4" s="3410" t="str">
        <f>'db Nrc Program'!A4:Q4</f>
        <v>Periode Bulan 29 Februari 2016 2016</v>
      </c>
      <c r="B4" s="3410"/>
      <c r="C4" s="3410"/>
      <c r="D4" s="3410"/>
      <c r="E4" s="3410"/>
      <c r="F4" s="3410"/>
      <c r="G4" s="3410"/>
      <c r="H4" s="3410"/>
      <c r="I4" s="3410"/>
      <c r="J4" s="3410"/>
      <c r="K4" s="3410"/>
      <c r="L4" s="3410"/>
      <c r="M4" s="3410"/>
      <c r="N4" s="3410"/>
      <c r="O4" s="3410"/>
      <c r="P4" s="3410"/>
      <c r="Q4" s="1342"/>
      <c r="R4" s="1342"/>
      <c r="S4" s="1342"/>
      <c r="T4" s="1342"/>
      <c r="U4" s="1342"/>
      <c r="V4" s="1342"/>
      <c r="W4" s="1342"/>
      <c r="X4" s="1342"/>
      <c r="Y4" s="1342"/>
      <c r="Z4" s="1342"/>
      <c r="AA4" s="1342"/>
    </row>
    <row r="5" spans="1:28" s="1346" customFormat="1" ht="15.75">
      <c r="A5" s="1343" t="s">
        <v>981</v>
      </c>
      <c r="B5" s="1344"/>
      <c r="C5" s="4" t="str">
        <f>'db Nrc Program'!C5</f>
        <v>: Nagrak</v>
      </c>
      <c r="D5" s="1345"/>
      <c r="E5" s="1345"/>
      <c r="F5" s="1345"/>
      <c r="G5" s="1345"/>
      <c r="H5" s="1345"/>
      <c r="I5" s="1345"/>
      <c r="J5" s="1345"/>
      <c r="K5" s="1345"/>
      <c r="L5" s="1345"/>
      <c r="M5" s="1345"/>
      <c r="N5" s="1345"/>
      <c r="O5" s="1345"/>
      <c r="P5" s="1345"/>
      <c r="Q5" s="1345"/>
      <c r="R5" s="1345"/>
      <c r="S5" s="1345"/>
      <c r="T5" s="1345"/>
      <c r="U5" s="1345"/>
      <c r="V5" s="1345"/>
      <c r="W5" s="1345"/>
      <c r="X5" s="1345"/>
      <c r="Y5" s="1345"/>
      <c r="Z5" s="1345"/>
      <c r="AA5" s="1345"/>
    </row>
    <row r="6" spans="1:28" s="1346" customFormat="1" ht="15.75">
      <c r="A6" s="1343" t="s">
        <v>982</v>
      </c>
      <c r="B6" s="1344"/>
      <c r="C6" s="4" t="str">
        <f>'db Nrc Program'!C6</f>
        <v>: Sukabumi</v>
      </c>
      <c r="D6" s="1345"/>
      <c r="E6" s="1345"/>
      <c r="F6" s="1345"/>
      <c r="G6" s="1345"/>
      <c r="H6" s="1345"/>
      <c r="I6" s="1345"/>
      <c r="J6" s="1345"/>
      <c r="K6" s="1345"/>
      <c r="L6" s="1345"/>
      <c r="M6" s="1345"/>
      <c r="N6" s="1345"/>
      <c r="O6" s="1345"/>
      <c r="P6" s="1345"/>
      <c r="Q6" s="1345"/>
      <c r="R6" s="1345"/>
      <c r="S6" s="1345"/>
      <c r="T6" s="1345"/>
      <c r="U6" s="1345"/>
      <c r="V6" s="1345"/>
      <c r="W6" s="1345"/>
      <c r="X6" s="1345"/>
      <c r="Y6" s="1345"/>
      <c r="Z6" s="1345"/>
      <c r="AA6" s="1345"/>
    </row>
    <row r="7" spans="1:28" s="1346" customFormat="1" ht="15.75">
      <c r="A7" s="1343" t="s">
        <v>983</v>
      </c>
      <c r="B7" s="1344"/>
      <c r="C7" s="4" t="str">
        <f>'db Nrc Program'!C7</f>
        <v>: Jawa Barat</v>
      </c>
      <c r="D7" s="1345"/>
      <c r="E7" s="1345"/>
      <c r="F7" s="1345"/>
      <c r="G7" s="1345"/>
      <c r="H7" s="1345"/>
      <c r="I7" s="1345"/>
      <c r="J7" s="1345"/>
      <c r="K7" s="1345"/>
      <c r="L7" s="1345"/>
      <c r="M7" s="1345"/>
      <c r="N7" s="1345"/>
      <c r="O7" s="1345"/>
      <c r="P7" s="1345"/>
      <c r="Q7" s="1345"/>
      <c r="R7" s="1345"/>
      <c r="S7" s="1345"/>
      <c r="T7" s="1345"/>
      <c r="U7" s="1345"/>
      <c r="V7" s="1345"/>
      <c r="W7" s="1345"/>
      <c r="X7" s="1345"/>
      <c r="Y7" s="1345"/>
      <c r="Z7" s="1345"/>
      <c r="AA7" s="1345"/>
    </row>
    <row r="8" spans="1:28" s="1414" customFormat="1" ht="30.75" customHeight="1">
      <c r="A8" s="1411"/>
      <c r="B8" s="1411"/>
      <c r="C8" s="1412"/>
      <c r="D8" s="3410" t="s">
        <v>1202</v>
      </c>
      <c r="E8" s="3410"/>
      <c r="F8" s="3410" t="s">
        <v>128</v>
      </c>
      <c r="G8" s="3410"/>
      <c r="H8" s="3410"/>
      <c r="I8" s="3410"/>
      <c r="J8" s="3410" t="s">
        <v>1208</v>
      </c>
      <c r="K8" s="3410" t="s">
        <v>136</v>
      </c>
      <c r="L8" s="3410"/>
      <c r="M8" s="3410"/>
      <c r="N8" s="3410"/>
      <c r="O8" s="3410"/>
      <c r="P8" s="3410"/>
      <c r="Q8" s="3410" t="s">
        <v>144</v>
      </c>
      <c r="R8" s="3410" t="s">
        <v>145</v>
      </c>
      <c r="S8" s="3410"/>
      <c r="T8" s="3410"/>
      <c r="U8" s="3410"/>
      <c r="V8" s="3410"/>
      <c r="W8" s="3410"/>
      <c r="X8" s="3410"/>
      <c r="Y8" s="3410"/>
      <c r="Z8" s="3410"/>
      <c r="AA8" s="3410" t="s">
        <v>1221</v>
      </c>
    </row>
    <row r="9" spans="1:28" s="1414" customFormat="1" ht="45">
      <c r="A9" s="1411"/>
      <c r="B9" s="1411"/>
      <c r="C9" s="1412"/>
      <c r="D9" s="1413" t="s">
        <v>1200</v>
      </c>
      <c r="E9" s="1413" t="s">
        <v>1201</v>
      </c>
      <c r="F9" s="1413" t="s">
        <v>1203</v>
      </c>
      <c r="G9" s="1413" t="s">
        <v>1205</v>
      </c>
      <c r="H9" s="1413" t="s">
        <v>1206</v>
      </c>
      <c r="I9" s="1413" t="s">
        <v>1207</v>
      </c>
      <c r="J9" s="3410"/>
      <c r="K9" s="1413" t="s">
        <v>39</v>
      </c>
      <c r="L9" s="1413" t="s">
        <v>1209</v>
      </c>
      <c r="M9" s="1413" t="s">
        <v>32</v>
      </c>
      <c r="N9" s="1413" t="s">
        <v>1210</v>
      </c>
      <c r="O9" s="1413" t="s">
        <v>1211</v>
      </c>
      <c r="P9" s="1413" t="s">
        <v>1249</v>
      </c>
      <c r="Q9" s="3410"/>
      <c r="R9" s="1413" t="s">
        <v>1212</v>
      </c>
      <c r="S9" s="1413" t="s">
        <v>1213</v>
      </c>
      <c r="T9" s="1413" t="s">
        <v>1214</v>
      </c>
      <c r="U9" s="1413" t="s">
        <v>1215</v>
      </c>
      <c r="V9" s="1413" t="s">
        <v>1216</v>
      </c>
      <c r="W9" s="1413" t="s">
        <v>1217</v>
      </c>
      <c r="X9" s="1413" t="s">
        <v>1218</v>
      </c>
      <c r="Y9" s="1413" t="s">
        <v>1219</v>
      </c>
      <c r="Z9" s="1413" t="s">
        <v>1220</v>
      </c>
      <c r="AA9" s="3410"/>
    </row>
    <row r="10" spans="1:28" ht="15">
      <c r="A10" s="1349" t="s">
        <v>1029</v>
      </c>
      <c r="B10" s="1349" t="s">
        <v>985</v>
      </c>
      <c r="C10" s="1349" t="s">
        <v>986</v>
      </c>
      <c r="D10" s="1415" t="s">
        <v>1030</v>
      </c>
      <c r="E10" s="1415" t="s">
        <v>1031</v>
      </c>
      <c r="F10" s="1415" t="s">
        <v>1032</v>
      </c>
      <c r="G10" s="1415" t="s">
        <v>1033</v>
      </c>
      <c r="H10" s="1415" t="s">
        <v>1034</v>
      </c>
      <c r="I10" s="1415" t="s">
        <v>1035</v>
      </c>
      <c r="J10" s="1415" t="s">
        <v>1036</v>
      </c>
      <c r="K10" s="1415" t="s">
        <v>1037</v>
      </c>
      <c r="L10" s="1415" t="s">
        <v>1038</v>
      </c>
      <c r="M10" s="1415" t="s">
        <v>1039</v>
      </c>
      <c r="N10" s="1415" t="s">
        <v>1040</v>
      </c>
      <c r="O10" s="1415" t="s">
        <v>1041</v>
      </c>
      <c r="P10" s="1415" t="s">
        <v>1042</v>
      </c>
      <c r="Q10" s="1415" t="s">
        <v>1043</v>
      </c>
      <c r="R10" s="1415" t="s">
        <v>1044</v>
      </c>
      <c r="S10" s="1415" t="s">
        <v>1045</v>
      </c>
      <c r="T10" s="1415" t="s">
        <v>1046</v>
      </c>
      <c r="U10" s="1415" t="s">
        <v>1047</v>
      </c>
      <c r="V10" s="1415" t="s">
        <v>1048</v>
      </c>
      <c r="W10" s="1415" t="s">
        <v>1049</v>
      </c>
      <c r="X10" s="1415" t="s">
        <v>1050</v>
      </c>
      <c r="Y10" s="1415" t="s">
        <v>1051</v>
      </c>
      <c r="Z10" s="1416" t="s">
        <v>1052</v>
      </c>
      <c r="AA10" s="1416" t="s">
        <v>1053</v>
      </c>
      <c r="AB10" s="1350" t="s">
        <v>1027</v>
      </c>
    </row>
    <row r="11" spans="1:28" s="1424" customFormat="1">
      <c r="A11" s="1426" t="e">
        <f>'db Nrc Program'!A11</f>
        <v>#VALUE!</v>
      </c>
      <c r="B11" s="1426" t="str">
        <f>'db Nrc Program'!B11</f>
        <v>3202220</v>
      </c>
      <c r="C11" s="1426" t="e">
        <f>'db Nrc Program'!C11</f>
        <v>#VALUE!</v>
      </c>
      <c r="D11" s="1425">
        <f>'Lap. Opr. Program REGULER'!I13</f>
        <v>0</v>
      </c>
      <c r="E11" s="1425">
        <f>SUM('Lap. Opr. Program REGULER'!I14:I15)</f>
        <v>199823500</v>
      </c>
      <c r="F11" s="1425">
        <f>SUM('Lap. Opr. Program REGULER'!I19:I20)</f>
        <v>0</v>
      </c>
      <c r="G11" s="1425">
        <f>'Lap. Opr. Program REGULER'!I21</f>
        <v>13994</v>
      </c>
      <c r="H11" s="1425">
        <f>'Lap. Opr. Program REGULER'!I22</f>
        <v>0</v>
      </c>
      <c r="I11" s="1425">
        <f>SUM('Lap. Opr. Program REGULER'!I23:I24)</f>
        <v>351539</v>
      </c>
      <c r="J11" s="1425">
        <f>'Lap. Opr. Program REGULER'!I27</f>
        <v>0</v>
      </c>
      <c r="K11" s="1425">
        <f>'Lap. Opr. Program REGULER'!I33</f>
        <v>9200000</v>
      </c>
      <c r="L11" s="1425">
        <f>'Lap. Opr. Program REGULER'!I34</f>
        <v>3187200</v>
      </c>
      <c r="M11" s="1425">
        <f>'Lap. Opr. Program REGULER'!I35</f>
        <v>200000</v>
      </c>
      <c r="N11" s="1425">
        <f>'Lap. Opr. Program REGULER'!I36</f>
        <v>0</v>
      </c>
      <c r="O11" s="1425">
        <f>'Lap. Opr. Program REGULER'!I37</f>
        <v>1016955.0000000008</v>
      </c>
      <c r="P11" s="1425">
        <f>'Lap. Opr. Program REGULER'!I38</f>
        <v>19876600</v>
      </c>
      <c r="Q11" s="1425">
        <f>'Lap. Opr. Program REGULER'!I41</f>
        <v>0</v>
      </c>
      <c r="R11" s="1425">
        <f>SUM('Lap. Opr. Program REGULER'!I44:I45)</f>
        <v>0</v>
      </c>
      <c r="S11" s="1425">
        <f>'Lap. Opr. Program REGULER'!I46</f>
        <v>1936</v>
      </c>
      <c r="T11" s="1425">
        <f>'Lap. Opr. Program REGULER'!I47</f>
        <v>0</v>
      </c>
      <c r="U11" s="1425">
        <f>SUM('Lap. Opr. Program REGULER'!I48:I49)</f>
        <v>70307</v>
      </c>
      <c r="V11" s="1425">
        <f>SUM('Lap. Opr. Program REGULER'!I50:I51)</f>
        <v>0</v>
      </c>
      <c r="W11" s="1425">
        <f>'Lap. Opr. Program REGULER'!I52</f>
        <v>10000</v>
      </c>
      <c r="X11" s="1425">
        <f>'Lap. Opr. Program REGULER'!I53</f>
        <v>0</v>
      </c>
      <c r="Y11" s="1425">
        <f>SUM('Lap. Opr. Program REGULER'!I54:I55)</f>
        <v>14000</v>
      </c>
      <c r="Z11" s="1425">
        <f>'Lap. Opr. Program REGULER'!I56</f>
        <v>0</v>
      </c>
      <c r="AA11" s="1424">
        <f>'Lap. Opr. Program REGULER'!I60</f>
        <v>166612035</v>
      </c>
      <c r="AB11" s="1424">
        <v>0</v>
      </c>
    </row>
  </sheetData>
  <sheetProtection password="C13C" sheet="1" objects="1" scenarios="1" formatCells="0" formatColumns="0" formatRows="0"/>
  <mergeCells count="11">
    <mergeCell ref="Q8:Q9"/>
    <mergeCell ref="R8:Z8"/>
    <mergeCell ref="AA8:AA9"/>
    <mergeCell ref="A3:P3"/>
    <mergeCell ref="A1:P1"/>
    <mergeCell ref="A2:P2"/>
    <mergeCell ref="A4:P4"/>
    <mergeCell ref="D8:E8"/>
    <mergeCell ref="F8:I8"/>
    <mergeCell ref="J8:J9"/>
    <mergeCell ref="K8:P8"/>
  </mergeCells>
  <hyperlinks>
    <hyperlink ref="A2" location="Depan!A1" display="UNIT PENGELOLA KEGIATAN (UPK)"/>
  </hyperlinks>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rgb="FF000000"/>
  </sheetPr>
  <dimension ref="A1:AR11"/>
  <sheetViews>
    <sheetView workbookViewId="0">
      <selection activeCell="L22" sqref="L22"/>
    </sheetView>
  </sheetViews>
  <sheetFormatPr defaultRowHeight="12.75"/>
  <cols>
    <col min="1" max="1" width="14.140625" customWidth="1"/>
  </cols>
  <sheetData>
    <row r="1" spans="1:44">
      <c r="A1" s="3410" t="s">
        <v>1054</v>
      </c>
      <c r="B1" s="3410"/>
      <c r="C1" s="3410"/>
      <c r="D1" s="3410"/>
      <c r="E1" s="3410"/>
      <c r="F1" s="3410"/>
      <c r="G1" s="3410"/>
      <c r="H1" s="3410"/>
      <c r="I1" s="3410"/>
      <c r="J1" s="3410"/>
      <c r="K1" s="3410"/>
      <c r="L1" s="3410"/>
      <c r="M1" s="3410"/>
      <c r="N1" s="3410"/>
      <c r="O1" s="3410"/>
      <c r="P1" s="3410"/>
      <c r="Q1" s="1342"/>
      <c r="R1" s="1342"/>
      <c r="S1" s="1342"/>
      <c r="T1" s="1342"/>
      <c r="U1" s="1342"/>
      <c r="V1" s="1342"/>
      <c r="W1" s="1342"/>
      <c r="X1" s="1342"/>
      <c r="Y1" s="1342"/>
      <c r="Z1" s="1342"/>
      <c r="AA1" s="1342"/>
    </row>
    <row r="2" spans="1:44">
      <c r="A2" s="3410" t="s">
        <v>704</v>
      </c>
      <c r="B2" s="3410"/>
      <c r="C2" s="3410"/>
      <c r="D2" s="3410"/>
      <c r="E2" s="3410"/>
      <c r="F2" s="3410"/>
      <c r="G2" s="3410"/>
      <c r="H2" s="3410"/>
      <c r="I2" s="3410"/>
      <c r="J2" s="3410"/>
      <c r="K2" s="3410"/>
      <c r="L2" s="3410"/>
      <c r="M2" s="3410"/>
      <c r="N2" s="3410"/>
      <c r="O2" s="3410"/>
      <c r="P2" s="3410"/>
      <c r="Q2" s="1342"/>
      <c r="R2" s="1342"/>
      <c r="S2" s="1342"/>
      <c r="T2" s="1342"/>
      <c r="U2" s="1342"/>
      <c r="V2" s="1342"/>
      <c r="W2" s="1342"/>
      <c r="X2" s="1342"/>
      <c r="Y2" s="1342"/>
      <c r="Z2" s="1342"/>
      <c r="AA2" s="1342"/>
    </row>
    <row r="3" spans="1:44">
      <c r="A3" s="3410" t="s">
        <v>734</v>
      </c>
      <c r="B3" s="3410"/>
      <c r="C3" s="3410"/>
      <c r="D3" s="3410"/>
      <c r="E3" s="3410"/>
      <c r="F3" s="3410"/>
      <c r="G3" s="3410"/>
      <c r="H3" s="3410"/>
      <c r="I3" s="3410"/>
      <c r="J3" s="3410"/>
      <c r="K3" s="3410"/>
      <c r="L3" s="3410"/>
      <c r="M3" s="3410"/>
      <c r="N3" s="3410"/>
      <c r="O3" s="3410"/>
      <c r="P3" s="3410"/>
      <c r="Q3" s="1342"/>
      <c r="R3" s="1342"/>
      <c r="S3" s="1342"/>
      <c r="T3" s="1342"/>
      <c r="U3" s="1342"/>
      <c r="V3" s="1342"/>
      <c r="W3" s="1342"/>
      <c r="X3" s="1342"/>
      <c r="Y3" s="1342"/>
      <c r="Z3" s="1342"/>
      <c r="AA3" s="1342"/>
    </row>
    <row r="4" spans="1:44" ht="15.75" customHeight="1">
      <c r="A4" s="3410" t="str">
        <f>'db Nrc Program'!A4:Q4</f>
        <v>Periode Bulan 29 Februari 2016 2016</v>
      </c>
      <c r="B4" s="3410"/>
      <c r="C4" s="3410"/>
      <c r="D4" s="3410"/>
      <c r="E4" s="3410"/>
      <c r="F4" s="3410"/>
      <c r="G4" s="3410"/>
      <c r="H4" s="3410"/>
      <c r="I4" s="3410"/>
      <c r="J4" s="3410"/>
      <c r="K4" s="3410"/>
      <c r="L4" s="3410"/>
      <c r="M4" s="3410"/>
      <c r="N4" s="3410"/>
      <c r="O4" s="3410"/>
      <c r="P4" s="3410"/>
      <c r="Q4" s="1342"/>
      <c r="R4" s="1342"/>
      <c r="S4" s="1342"/>
      <c r="T4" s="1342"/>
      <c r="U4" s="1342"/>
      <c r="V4" s="1342"/>
      <c r="W4" s="1342"/>
      <c r="X4" s="1342"/>
      <c r="Y4" s="1342"/>
      <c r="Z4" s="1342"/>
      <c r="AA4" s="1342"/>
    </row>
    <row r="5" spans="1:44" s="1346" customFormat="1" ht="15.75">
      <c r="A5" s="1343" t="s">
        <v>981</v>
      </c>
      <c r="B5" s="1344"/>
      <c r="C5" s="4" t="str">
        <f>'db Nrc Program'!C5</f>
        <v>: Nagrak</v>
      </c>
      <c r="D5" s="1345"/>
      <c r="E5" s="1345"/>
      <c r="F5" s="1345"/>
      <c r="G5" s="1345"/>
      <c r="H5" s="1345"/>
      <c r="I5" s="1345"/>
      <c r="J5" s="1345"/>
      <c r="K5" s="1345"/>
      <c r="L5" s="1345"/>
      <c r="M5" s="1345"/>
      <c r="N5" s="1345"/>
      <c r="O5" s="1345"/>
      <c r="P5" s="1345"/>
      <c r="Q5" s="1345"/>
      <c r="R5" s="1345"/>
      <c r="S5" s="1345"/>
      <c r="T5" s="1345"/>
      <c r="U5" s="1345"/>
      <c r="V5" s="1345"/>
      <c r="W5" s="1345"/>
      <c r="X5" s="1345"/>
      <c r="Y5" s="1345"/>
      <c r="Z5" s="1345"/>
      <c r="AA5" s="1345"/>
    </row>
    <row r="6" spans="1:44" s="1346" customFormat="1" ht="15.75">
      <c r="A6" s="1343" t="s">
        <v>982</v>
      </c>
      <c r="B6" s="1344"/>
      <c r="C6" s="4" t="str">
        <f>'db Nrc Program'!C6</f>
        <v>: Sukabumi</v>
      </c>
      <c r="D6" s="1345"/>
      <c r="E6" s="1345"/>
      <c r="F6" s="1345"/>
      <c r="G6" s="1345"/>
      <c r="H6" s="1345"/>
      <c r="I6" s="1345"/>
      <c r="J6" s="1345"/>
      <c r="K6" s="1345"/>
      <c r="L6" s="1345"/>
      <c r="M6" s="1345"/>
      <c r="N6" s="1345"/>
      <c r="O6" s="1345"/>
      <c r="P6" s="1345"/>
      <c r="Q6" s="1345"/>
      <c r="R6" s="1345"/>
      <c r="S6" s="1345"/>
      <c r="T6" s="1345"/>
      <c r="U6" s="1345"/>
      <c r="V6" s="1345"/>
      <c r="W6" s="1345"/>
      <c r="X6" s="1345"/>
      <c r="Y6" s="1345"/>
      <c r="Z6" s="1345"/>
      <c r="AA6" s="1345"/>
    </row>
    <row r="7" spans="1:44" s="1346" customFormat="1" ht="15.75">
      <c r="A7" s="1343" t="s">
        <v>983</v>
      </c>
      <c r="B7" s="1344"/>
      <c r="C7" s="4" t="str">
        <f>'db Nrc Program'!C7</f>
        <v>: Jawa Barat</v>
      </c>
      <c r="D7" s="1345"/>
      <c r="E7" s="1345"/>
      <c r="F7" s="1345"/>
      <c r="G7" s="1345"/>
      <c r="H7" s="1345"/>
      <c r="I7" s="1345"/>
      <c r="J7" s="1345"/>
      <c r="K7" s="1345"/>
      <c r="L7" s="1345"/>
      <c r="M7" s="1345"/>
      <c r="N7" s="1345"/>
      <c r="O7" s="1345"/>
      <c r="P7" s="1345"/>
      <c r="Q7" s="1345"/>
      <c r="R7" s="1345"/>
      <c r="S7" s="1345"/>
      <c r="T7" s="1345"/>
      <c r="U7" s="1345"/>
      <c r="V7" s="1345"/>
      <c r="W7" s="1345"/>
      <c r="X7" s="1345"/>
      <c r="Y7" s="1345"/>
      <c r="Z7" s="1345"/>
      <c r="AA7" s="1345"/>
    </row>
    <row r="8" spans="1:44" s="1414" customFormat="1">
      <c r="A8" s="1417"/>
      <c r="B8" s="1417"/>
      <c r="C8" s="1418"/>
      <c r="D8" s="3410" t="s">
        <v>1222</v>
      </c>
      <c r="E8" s="3410"/>
      <c r="F8" s="3410"/>
      <c r="G8" s="3410" t="s">
        <v>1223</v>
      </c>
      <c r="H8" s="3410"/>
      <c r="I8" s="3410"/>
      <c r="J8" s="3410" t="s">
        <v>1224</v>
      </c>
      <c r="K8" s="3410"/>
      <c r="L8" s="3410"/>
      <c r="M8" s="3410" t="s">
        <v>1186</v>
      </c>
      <c r="N8" s="3410"/>
      <c r="O8" s="3410" t="s">
        <v>1225</v>
      </c>
      <c r="P8" s="3410"/>
      <c r="Q8" s="3410" t="s">
        <v>516</v>
      </c>
      <c r="R8" s="3410" t="s">
        <v>1233</v>
      </c>
      <c r="S8" s="3410" t="s">
        <v>92</v>
      </c>
      <c r="T8" s="3410"/>
      <c r="U8" s="3410"/>
      <c r="V8" s="3410" t="s">
        <v>101</v>
      </c>
      <c r="W8" s="3410"/>
      <c r="X8" s="3410"/>
      <c r="Y8" s="3410"/>
      <c r="Z8" s="3410"/>
      <c r="AA8" s="3410"/>
    </row>
    <row r="9" spans="1:44" s="1414" customFormat="1" ht="22.5">
      <c r="A9" s="1417"/>
      <c r="B9" s="1417"/>
      <c r="C9" s="1418"/>
      <c r="D9" s="1413" t="s">
        <v>1178</v>
      </c>
      <c r="E9" s="1413" t="s">
        <v>1179</v>
      </c>
      <c r="F9" s="1413" t="s">
        <v>1226</v>
      </c>
      <c r="G9" s="1413" t="s">
        <v>1227</v>
      </c>
      <c r="H9" s="1413" t="s">
        <v>1228</v>
      </c>
      <c r="I9" s="1413" t="s">
        <v>1229</v>
      </c>
      <c r="J9" s="1413" t="s">
        <v>619</v>
      </c>
      <c r="K9" s="1413" t="s">
        <v>1230</v>
      </c>
      <c r="L9" s="1413" t="s">
        <v>1231</v>
      </c>
      <c r="M9" s="1413" t="s">
        <v>1186</v>
      </c>
      <c r="N9" s="1413" t="s">
        <v>1187</v>
      </c>
      <c r="O9" s="1413" t="s">
        <v>34</v>
      </c>
      <c r="P9" s="1413" t="s">
        <v>552</v>
      </c>
      <c r="Q9" s="3410"/>
      <c r="R9" s="3410"/>
      <c r="S9" s="1413" t="s">
        <v>1234</v>
      </c>
      <c r="T9" s="1413" t="s">
        <v>367</v>
      </c>
      <c r="U9" s="1413" t="s">
        <v>1235</v>
      </c>
      <c r="V9" s="1413" t="s">
        <v>1236</v>
      </c>
      <c r="W9" s="1413" t="s">
        <v>1237</v>
      </c>
      <c r="X9" s="1413" t="s">
        <v>1238</v>
      </c>
      <c r="Y9" s="1413" t="s">
        <v>1239</v>
      </c>
      <c r="Z9" s="1413" t="s">
        <v>1193</v>
      </c>
      <c r="AA9" s="1413" t="s">
        <v>1194</v>
      </c>
    </row>
    <row r="10" spans="1:44" ht="15">
      <c r="A10" s="1351" t="s">
        <v>984</v>
      </c>
      <c r="B10" s="1351" t="s">
        <v>985</v>
      </c>
      <c r="C10" s="1351" t="s">
        <v>986</v>
      </c>
      <c r="D10" s="1419" t="s">
        <v>987</v>
      </c>
      <c r="E10" s="1419" t="s">
        <v>988</v>
      </c>
      <c r="F10" s="1419" t="s">
        <v>989</v>
      </c>
      <c r="G10" s="1419" t="s">
        <v>991</v>
      </c>
      <c r="H10" s="1419" t="s">
        <v>992</v>
      </c>
      <c r="I10" s="1419" t="s">
        <v>993</v>
      </c>
      <c r="J10" s="1419" t="s">
        <v>995</v>
      </c>
      <c r="K10" s="1419" t="s">
        <v>996</v>
      </c>
      <c r="L10" s="1419" t="s">
        <v>1055</v>
      </c>
      <c r="M10" s="1419" t="s">
        <v>997</v>
      </c>
      <c r="N10" s="1419" t="s">
        <v>998</v>
      </c>
      <c r="O10" s="1419" t="s">
        <v>999</v>
      </c>
      <c r="P10" s="1419" t="s">
        <v>1000</v>
      </c>
      <c r="Q10" s="1419" t="s">
        <v>1056</v>
      </c>
      <c r="R10" s="1419" t="s">
        <v>1057</v>
      </c>
      <c r="S10" s="1419" t="s">
        <v>1013</v>
      </c>
      <c r="T10" s="1419" t="s">
        <v>1014</v>
      </c>
      <c r="U10" s="1419" t="s">
        <v>1058</v>
      </c>
      <c r="V10" s="1419" t="s">
        <v>1015</v>
      </c>
      <c r="W10" s="1419" t="s">
        <v>1016</v>
      </c>
      <c r="X10" s="1419" t="s">
        <v>1017</v>
      </c>
      <c r="Y10" s="1419" t="s">
        <v>1018</v>
      </c>
      <c r="Z10" s="1419" t="s">
        <v>1019</v>
      </c>
      <c r="AA10" s="1419" t="s">
        <v>1020</v>
      </c>
      <c r="AB10" s="1351" t="s">
        <v>1027</v>
      </c>
    </row>
    <row r="11" spans="1:44" s="1424" customFormat="1">
      <c r="A11" s="1426" t="e">
        <f>'db Nrc Program'!A11</f>
        <v>#VALUE!</v>
      </c>
      <c r="B11" s="1426" t="str">
        <f>'db Nrc Program'!B11</f>
        <v>3202220</v>
      </c>
      <c r="C11" s="1426" t="e">
        <f>'db Nrc Program'!C11</f>
        <v>#VALUE!</v>
      </c>
      <c r="D11" s="1425">
        <f>'Neraca Micro'!D13</f>
        <v>129250</v>
      </c>
      <c r="E11" s="1425">
        <f>'Neraca Micro'!D14</f>
        <v>0</v>
      </c>
      <c r="F11" s="1425">
        <f>SUM('Neraca Micro'!D15:D16)</f>
        <v>0</v>
      </c>
      <c r="G11" s="1425">
        <f>'Neraca Micro'!D20</f>
        <v>35096029.859999895</v>
      </c>
      <c r="H11" s="1425">
        <f>'Neraca Micro'!D21</f>
        <v>0</v>
      </c>
      <c r="I11" s="1425">
        <f>SUM('Neraca Micro'!D22:D23)</f>
        <v>13002776</v>
      </c>
      <c r="J11" s="1425">
        <f>'Neraca Micro'!E27</f>
        <v>0</v>
      </c>
      <c r="K11" s="1425">
        <f>SUM('Neraca Micro'!E28:E29)</f>
        <v>4481090600</v>
      </c>
      <c r="L11" s="1425">
        <f>'Neraca Micro'!E30</f>
        <v>0</v>
      </c>
      <c r="M11" s="1425">
        <f>'Neraca Micro'!D32</f>
        <v>5400000</v>
      </c>
      <c r="N11" s="1425">
        <f>'Neraca Micro'!D33</f>
        <v>3600000</v>
      </c>
      <c r="O11" s="1425">
        <f>'Neraca Micro'!D36</f>
        <v>119068400</v>
      </c>
      <c r="P11" s="1425">
        <f>'Neraca Micro'!D37</f>
        <v>80006848.61111109</v>
      </c>
      <c r="Q11" s="1425">
        <f>'Neraca Micro'!D40</f>
        <v>250000000</v>
      </c>
      <c r="R11" s="1425">
        <f>'Neraca Micro'!D43</f>
        <v>0</v>
      </c>
      <c r="S11" s="1425">
        <f>'Neraca Micro'!H12</f>
        <v>33010000</v>
      </c>
      <c r="T11" s="1425">
        <f>'Neraca Micro'!H13</f>
        <v>43000000</v>
      </c>
      <c r="U11" s="1425">
        <f>'Neraca Micro'!H14</f>
        <v>-25000000</v>
      </c>
      <c r="V11" s="1425">
        <f>'Neraca Micro'!H23</f>
        <v>0</v>
      </c>
      <c r="W11" s="1425">
        <f>'Neraca Micro'!H24</f>
        <v>1856350000</v>
      </c>
      <c r="X11" s="1425">
        <f>'Neraca Micro'!H25</f>
        <v>34271800</v>
      </c>
      <c r="Y11" s="1425">
        <f>'Neraca Micro'!H26</f>
        <v>47750000</v>
      </c>
      <c r="Z11" s="1425">
        <f>'Neraca Micro'!H27</f>
        <v>2674206372.2488885</v>
      </c>
      <c r="AA11" s="1425">
        <f>'Neraca Micro'!H32</f>
        <v>166612035</v>
      </c>
      <c r="AB11" s="1425">
        <v>0</v>
      </c>
      <c r="AC11" s="1425"/>
      <c r="AD11" s="1425"/>
      <c r="AE11" s="1425"/>
      <c r="AF11" s="1425"/>
      <c r="AG11" s="1425"/>
      <c r="AH11" s="1425"/>
      <c r="AI11" s="1425"/>
      <c r="AJ11" s="1425"/>
      <c r="AK11" s="1425"/>
      <c r="AL11" s="1425"/>
      <c r="AM11" s="1425"/>
      <c r="AN11" s="1425"/>
      <c r="AO11" s="1425"/>
      <c r="AP11" s="1425"/>
      <c r="AQ11" s="1425"/>
      <c r="AR11" s="1425"/>
    </row>
  </sheetData>
  <sheetProtection password="C13C" sheet="1" objects="1" scenarios="1" formatCells="0" formatColumns="0" formatRows="0"/>
  <mergeCells count="13">
    <mergeCell ref="A3:P3"/>
    <mergeCell ref="A2:P2"/>
    <mergeCell ref="A4:P4"/>
    <mergeCell ref="A1:P1"/>
    <mergeCell ref="O8:P8"/>
    <mergeCell ref="R8:R9"/>
    <mergeCell ref="S8:U8"/>
    <mergeCell ref="V8:AA8"/>
    <mergeCell ref="D8:F8"/>
    <mergeCell ref="G8:I8"/>
    <mergeCell ref="J8:L8"/>
    <mergeCell ref="M8:N8"/>
    <mergeCell ref="Q8:Q9"/>
  </mergeCells>
  <hyperlinks>
    <hyperlink ref="A2" location="Depan!A1" display="UNIT PENGELOLA KEGIATAN (UPK)"/>
  </hyperlinks>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rgb="FF000000"/>
  </sheetPr>
  <dimension ref="A1:AR12"/>
  <sheetViews>
    <sheetView workbookViewId="0">
      <selection activeCell="C11" sqref="C11"/>
    </sheetView>
  </sheetViews>
  <sheetFormatPr defaultRowHeight="12.75"/>
  <cols>
    <col min="1" max="1" width="14.140625" customWidth="1"/>
  </cols>
  <sheetData>
    <row r="1" spans="1:44" ht="18">
      <c r="A1" s="1340" t="s">
        <v>1059</v>
      </c>
      <c r="B1" s="1340"/>
      <c r="C1" s="1340"/>
      <c r="D1" s="1340"/>
      <c r="E1" s="1340"/>
      <c r="F1" s="1340"/>
      <c r="G1" s="1340"/>
      <c r="H1" s="1340"/>
      <c r="I1" s="1340"/>
      <c r="J1" s="1340"/>
      <c r="K1" s="1340"/>
      <c r="L1" s="1340"/>
      <c r="M1" s="1340"/>
      <c r="N1" s="1340"/>
      <c r="O1" s="1341"/>
      <c r="P1" s="1341"/>
      <c r="Q1" s="1342"/>
      <c r="R1" s="1342"/>
      <c r="S1" s="1342"/>
      <c r="T1" s="1342"/>
      <c r="U1" s="1342"/>
      <c r="V1" s="1342"/>
      <c r="W1" s="1342"/>
      <c r="X1" s="1342"/>
      <c r="Y1" s="1342"/>
      <c r="Z1" s="1342"/>
      <c r="AA1" s="1342"/>
    </row>
    <row r="2" spans="1:44">
      <c r="A2" s="3410" t="s">
        <v>704</v>
      </c>
      <c r="B2" s="3410"/>
      <c r="C2" s="3410"/>
      <c r="D2" s="3410"/>
      <c r="E2" s="3410"/>
      <c r="F2" s="3410"/>
      <c r="G2" s="3410"/>
      <c r="H2" s="3410"/>
      <c r="I2" s="3410"/>
      <c r="J2" s="3410"/>
      <c r="K2" s="3410"/>
      <c r="L2" s="3410"/>
      <c r="M2" s="3410"/>
      <c r="N2" s="3410"/>
      <c r="O2" s="3410"/>
      <c r="P2" s="3410"/>
      <c r="Q2" s="1342"/>
      <c r="R2" s="1342"/>
      <c r="S2" s="1342"/>
      <c r="T2" s="1342"/>
      <c r="U2" s="1342"/>
      <c r="V2" s="1342"/>
      <c r="W2" s="1342"/>
      <c r="X2" s="1342"/>
      <c r="Y2" s="1342"/>
      <c r="Z2" s="1342"/>
      <c r="AA2" s="1342"/>
    </row>
    <row r="3" spans="1:44">
      <c r="A3" s="3410" t="s">
        <v>734</v>
      </c>
      <c r="B3" s="3410"/>
      <c r="C3" s="3410"/>
      <c r="D3" s="3410"/>
      <c r="E3" s="3410"/>
      <c r="F3" s="3410"/>
      <c r="G3" s="3410"/>
      <c r="H3" s="3410"/>
      <c r="I3" s="3410"/>
      <c r="J3" s="3410"/>
      <c r="K3" s="3410"/>
      <c r="L3" s="3410"/>
      <c r="M3" s="3410"/>
      <c r="N3" s="3410"/>
      <c r="O3" s="3410"/>
      <c r="P3" s="3410"/>
      <c r="Q3" s="1342"/>
      <c r="R3" s="1342"/>
      <c r="S3" s="1342"/>
      <c r="T3" s="1342"/>
      <c r="U3" s="1342"/>
      <c r="V3" s="1342"/>
      <c r="W3" s="1342"/>
      <c r="X3" s="1342"/>
      <c r="Y3" s="1342"/>
      <c r="Z3" s="1342"/>
      <c r="AA3" s="1342"/>
    </row>
    <row r="4" spans="1:44" ht="15.75" customHeight="1">
      <c r="A4" s="3410" t="str">
        <f>'db Nrc Program'!A4:Q4</f>
        <v>Periode Bulan 29 Februari 2016 2016</v>
      </c>
      <c r="B4" s="3410"/>
      <c r="C4" s="3410"/>
      <c r="D4" s="3410"/>
      <c r="E4" s="3410"/>
      <c r="F4" s="3410"/>
      <c r="G4" s="3410"/>
      <c r="H4" s="3410"/>
      <c r="I4" s="3410"/>
      <c r="J4" s="3410"/>
      <c r="K4" s="3410"/>
      <c r="L4" s="3410"/>
      <c r="M4" s="3410"/>
      <c r="N4" s="3410"/>
      <c r="O4" s="3410"/>
      <c r="P4" s="3410"/>
      <c r="Q4" s="1342"/>
      <c r="R4" s="1342"/>
      <c r="S4" s="1342"/>
      <c r="T4" s="1342"/>
      <c r="U4" s="1342"/>
      <c r="V4" s="1342"/>
      <c r="W4" s="1342"/>
      <c r="X4" s="1342"/>
      <c r="Y4" s="1342"/>
      <c r="Z4" s="1342"/>
      <c r="AA4" s="1342"/>
    </row>
    <row r="5" spans="1:44" s="1346" customFormat="1" ht="15.75">
      <c r="A5" s="1343" t="s">
        <v>981</v>
      </c>
      <c r="B5" s="1344"/>
      <c r="C5" s="4" t="str">
        <f>'db Nrc Program'!C5</f>
        <v>: Nagrak</v>
      </c>
      <c r="D5" s="1345"/>
      <c r="E5" s="1345"/>
      <c r="F5" s="1345"/>
      <c r="G5" s="1345"/>
      <c r="H5" s="1345"/>
      <c r="I5" s="1345"/>
      <c r="J5" s="1345"/>
      <c r="K5" s="1345"/>
      <c r="L5" s="1345"/>
      <c r="M5" s="1345"/>
      <c r="N5" s="1345"/>
      <c r="O5" s="1345"/>
      <c r="P5" s="1345"/>
      <c r="Q5" s="1345"/>
      <c r="R5" s="1345"/>
      <c r="S5" s="1345"/>
      <c r="T5" s="1345"/>
      <c r="U5" s="1345"/>
      <c r="V5" s="1345"/>
      <c r="W5" s="1345"/>
      <c r="X5" s="1345"/>
      <c r="Y5" s="1345"/>
      <c r="Z5" s="1345"/>
      <c r="AA5" s="1345"/>
    </row>
    <row r="6" spans="1:44" s="1346" customFormat="1" ht="15.75">
      <c r="A6" s="1343" t="s">
        <v>982</v>
      </c>
      <c r="B6" s="1344"/>
      <c r="C6" s="4" t="str">
        <f>'db Nrc Program'!C6</f>
        <v>: Sukabumi</v>
      </c>
      <c r="D6" s="1345"/>
      <c r="E6" s="1345"/>
      <c r="F6" s="1345"/>
      <c r="G6" s="1345"/>
      <c r="H6" s="1345"/>
      <c r="I6" s="1345"/>
      <c r="J6" s="1345"/>
      <c r="K6" s="1345"/>
      <c r="L6" s="1345"/>
      <c r="M6" s="1345"/>
      <c r="N6" s="1345"/>
      <c r="O6" s="1345"/>
      <c r="P6" s="1345"/>
      <c r="Q6" s="1345"/>
      <c r="R6" s="1345"/>
      <c r="S6" s="1345"/>
      <c r="T6" s="1345"/>
      <c r="U6" s="1345"/>
      <c r="V6" s="1345"/>
      <c r="W6" s="1345"/>
      <c r="X6" s="1345"/>
      <c r="Y6" s="1345"/>
      <c r="Z6" s="1345"/>
      <c r="AA6" s="1345"/>
    </row>
    <row r="7" spans="1:44" s="1346" customFormat="1" ht="15.75">
      <c r="A7" s="1343" t="s">
        <v>983</v>
      </c>
      <c r="B7" s="1344"/>
      <c r="C7" s="4" t="str">
        <f>'db Nrc Program'!C7</f>
        <v>: Jawa Barat</v>
      </c>
      <c r="D7" s="1345"/>
      <c r="E7" s="1345"/>
      <c r="F7" s="1345"/>
      <c r="G7" s="1345"/>
      <c r="H7" s="1345"/>
      <c r="I7" s="1345"/>
      <c r="J7" s="1345"/>
      <c r="K7" s="1345"/>
      <c r="L7" s="1345"/>
      <c r="M7" s="1345"/>
      <c r="N7" s="1345"/>
      <c r="O7" s="1345"/>
      <c r="P7" s="1345"/>
      <c r="Q7" s="1345"/>
      <c r="R7" s="1345"/>
      <c r="S7" s="1345"/>
      <c r="T7" s="1345"/>
      <c r="U7" s="1345"/>
      <c r="V7" s="1345"/>
      <c r="W7" s="1345"/>
      <c r="X7" s="1345"/>
      <c r="Y7" s="1345"/>
      <c r="Z7" s="1345"/>
      <c r="AA7" s="1345"/>
    </row>
    <row r="8" spans="1:44" s="1414" customFormat="1">
      <c r="A8" s="1417"/>
      <c r="B8" s="1417"/>
      <c r="C8" s="1418"/>
      <c r="D8" s="3410" t="s">
        <v>126</v>
      </c>
      <c r="E8" s="3410"/>
      <c r="F8" s="3410"/>
      <c r="G8" s="3410" t="s">
        <v>128</v>
      </c>
      <c r="H8" s="3410"/>
      <c r="I8" s="3410"/>
      <c r="J8" s="3410"/>
      <c r="K8" s="3410" t="s">
        <v>594</v>
      </c>
      <c r="L8" s="3410"/>
      <c r="M8" s="3410" t="s">
        <v>136</v>
      </c>
      <c r="N8" s="3410"/>
      <c r="O8" s="3410"/>
      <c r="P8" s="3410"/>
      <c r="Q8" s="3410"/>
      <c r="R8" s="3410"/>
      <c r="S8" s="3410" t="s">
        <v>144</v>
      </c>
      <c r="T8" s="3410" t="s">
        <v>145</v>
      </c>
      <c r="U8" s="3410"/>
      <c r="V8" s="3410"/>
      <c r="W8" s="3410"/>
      <c r="X8" s="3410"/>
      <c r="Y8" s="3410"/>
      <c r="Z8" s="3410"/>
      <c r="AA8" s="3410" t="s">
        <v>1255</v>
      </c>
    </row>
    <row r="9" spans="1:44" s="1414" customFormat="1" ht="33.75">
      <c r="A9" s="1417"/>
      <c r="B9" s="1417"/>
      <c r="C9" s="1418"/>
      <c r="D9" s="1413" t="s">
        <v>1240</v>
      </c>
      <c r="E9" s="1413" t="s">
        <v>1241</v>
      </c>
      <c r="F9" s="1413" t="s">
        <v>1242</v>
      </c>
      <c r="G9" s="1413" t="s">
        <v>1204</v>
      </c>
      <c r="H9" s="1413" t="s">
        <v>1243</v>
      </c>
      <c r="I9" s="1413" t="s">
        <v>1244</v>
      </c>
      <c r="J9" s="1413" t="s">
        <v>1245</v>
      </c>
      <c r="K9" s="1413" t="s">
        <v>595</v>
      </c>
      <c r="L9" s="1413" t="s">
        <v>1246</v>
      </c>
      <c r="M9" s="1413" t="s">
        <v>39</v>
      </c>
      <c r="N9" s="1413" t="s">
        <v>1247</v>
      </c>
      <c r="O9" s="1413" t="s">
        <v>32</v>
      </c>
      <c r="P9" s="1413" t="s">
        <v>1210</v>
      </c>
      <c r="Q9" s="1413" t="s">
        <v>157</v>
      </c>
      <c r="R9" s="1413" t="s">
        <v>1248</v>
      </c>
      <c r="S9" s="3410"/>
      <c r="T9" s="1413" t="s">
        <v>1250</v>
      </c>
      <c r="U9" s="1413" t="s">
        <v>1214</v>
      </c>
      <c r="V9" s="1413" t="s">
        <v>1215</v>
      </c>
      <c r="W9" s="1413" t="s">
        <v>1251</v>
      </c>
      <c r="X9" s="1413" t="s">
        <v>1252</v>
      </c>
      <c r="Y9" s="1413" t="s">
        <v>1253</v>
      </c>
      <c r="Z9" s="1413" t="s">
        <v>1254</v>
      </c>
      <c r="AA9" s="3410"/>
    </row>
    <row r="10" spans="1:44" ht="15">
      <c r="A10" s="1352" t="s">
        <v>1029</v>
      </c>
      <c r="B10" s="1352" t="s">
        <v>985</v>
      </c>
      <c r="C10" s="1352" t="s">
        <v>986</v>
      </c>
      <c r="D10" s="1420" t="s">
        <v>1030</v>
      </c>
      <c r="E10" s="1420" t="s">
        <v>1031</v>
      </c>
      <c r="F10" s="1420" t="s">
        <v>1060</v>
      </c>
      <c r="G10" s="1420" t="s">
        <v>1032</v>
      </c>
      <c r="H10" s="1420" t="s">
        <v>1033</v>
      </c>
      <c r="I10" s="1420" t="s">
        <v>1034</v>
      </c>
      <c r="J10" s="1420" t="s">
        <v>1035</v>
      </c>
      <c r="K10" s="1420" t="s">
        <v>1037</v>
      </c>
      <c r="L10" s="1420" t="s">
        <v>1038</v>
      </c>
      <c r="M10" s="1420" t="s">
        <v>1061</v>
      </c>
      <c r="N10" s="1420" t="s">
        <v>1062</v>
      </c>
      <c r="O10" s="1420" t="s">
        <v>1063</v>
      </c>
      <c r="P10" s="1420" t="s">
        <v>1064</v>
      </c>
      <c r="Q10" s="1420" t="s">
        <v>1065</v>
      </c>
      <c r="R10" s="1420" t="s">
        <v>1066</v>
      </c>
      <c r="S10" s="1420" t="s">
        <v>1067</v>
      </c>
      <c r="T10" s="1420" t="s">
        <v>1068</v>
      </c>
      <c r="U10" s="1420" t="s">
        <v>1069</v>
      </c>
      <c r="V10" s="1420" t="s">
        <v>1070</v>
      </c>
      <c r="W10" s="1420" t="s">
        <v>1071</v>
      </c>
      <c r="X10" s="1420" t="s">
        <v>1072</v>
      </c>
      <c r="Y10" s="1420" t="s">
        <v>1073</v>
      </c>
      <c r="Z10" s="1420" t="s">
        <v>1074</v>
      </c>
      <c r="AA10" s="1420" t="s">
        <v>1075</v>
      </c>
      <c r="AB10" s="1352" t="s">
        <v>1027</v>
      </c>
    </row>
    <row r="11" spans="1:44" s="1424" customFormat="1">
      <c r="A11" s="1426" t="e">
        <f>'db Nrc Program'!A11</f>
        <v>#VALUE!</v>
      </c>
      <c r="B11" s="1426" t="str">
        <f>'db Nrc Program'!B11</f>
        <v>3202220</v>
      </c>
      <c r="C11" s="1426" t="e">
        <f>'db Nrc Program'!C11</f>
        <v>#VALUE!</v>
      </c>
      <c r="D11" s="1425">
        <f>'R-L Microfinance'!G14</f>
        <v>0</v>
      </c>
      <c r="E11" s="1425">
        <f>SUM('R-L Microfinance'!G15:G16)</f>
        <v>199823500</v>
      </c>
      <c r="F11" s="1425">
        <f>'R-L Microfinance'!G17</f>
        <v>0</v>
      </c>
      <c r="G11" s="1425">
        <f>'R-L Microfinance'!G20</f>
        <v>13994</v>
      </c>
      <c r="H11" s="1425">
        <f>'R-L Microfinance'!G21</f>
        <v>0</v>
      </c>
      <c r="I11" s="1425">
        <f>SUM('R-L Microfinance'!G22:G23)</f>
        <v>351539</v>
      </c>
      <c r="J11" s="1425">
        <f>'R-L Microfinance'!G24</f>
        <v>0</v>
      </c>
      <c r="K11" s="1425">
        <f>'R-L Microfinance'!G30</f>
        <v>0</v>
      </c>
      <c r="L11" s="1425">
        <f>'R-L Microfinance'!G31</f>
        <v>0</v>
      </c>
      <c r="M11" s="1425">
        <f>'R-L Microfinance'!G34</f>
        <v>9200000</v>
      </c>
      <c r="N11" s="1425">
        <f>'R-L Microfinance'!G35</f>
        <v>3187200</v>
      </c>
      <c r="O11" s="1425">
        <f>'R-L Microfinance'!G36</f>
        <v>200000</v>
      </c>
      <c r="P11" s="1425">
        <f>'R-L Microfinance'!G37</f>
        <v>0</v>
      </c>
      <c r="Q11" s="1425">
        <f>'R-L Microfinance'!G38</f>
        <v>1016955.0000000008</v>
      </c>
      <c r="R11" s="1425">
        <f>'R-L Microfinance'!G39</f>
        <v>19876600</v>
      </c>
      <c r="S11" s="1425">
        <f>'R-L Microfinance'!G41</f>
        <v>0</v>
      </c>
      <c r="T11" s="1425">
        <f>'R-L Microfinance'!G44</f>
        <v>1936</v>
      </c>
      <c r="U11" s="1425">
        <f>'R-L Microfinance'!G45</f>
        <v>0</v>
      </c>
      <c r="V11" s="1425">
        <f>SUM('R-L Microfinance'!G46:G47)</f>
        <v>70307</v>
      </c>
      <c r="W11" s="1425">
        <f>'R-L Microfinance'!G48</f>
        <v>10000</v>
      </c>
      <c r="X11" s="1425">
        <f>'R-L Microfinance'!G49</f>
        <v>0</v>
      </c>
      <c r="Y11" s="1425">
        <f>SUM('R-L Microfinance'!G50:G51)</f>
        <v>14000</v>
      </c>
      <c r="Z11" s="1425">
        <f>'R-L Microfinance'!G52</f>
        <v>0</v>
      </c>
      <c r="AA11" s="1425">
        <f>'R-L Microfinance'!G56</f>
        <v>166612035</v>
      </c>
      <c r="AB11" s="1425">
        <v>0</v>
      </c>
      <c r="AC11" s="1425"/>
      <c r="AD11" s="1425"/>
      <c r="AE11" s="1425"/>
      <c r="AF11" s="1425"/>
      <c r="AG11" s="1425"/>
      <c r="AH11" s="1425"/>
      <c r="AI11" s="1425"/>
      <c r="AJ11" s="1425"/>
      <c r="AK11" s="1425"/>
      <c r="AL11" s="1425"/>
      <c r="AM11" s="1425"/>
      <c r="AN11" s="1425"/>
      <c r="AO11" s="1425"/>
      <c r="AP11" s="1425"/>
      <c r="AQ11" s="1425"/>
      <c r="AR11" s="1425"/>
    </row>
    <row r="12" spans="1:44">
      <c r="AA12" s="1353"/>
    </row>
  </sheetData>
  <sheetProtection password="C13C" sheet="1" objects="1" scenarios="1" formatCells="0" formatColumns="0" formatRows="0"/>
  <mergeCells count="10">
    <mergeCell ref="S8:S9"/>
    <mergeCell ref="T8:Z8"/>
    <mergeCell ref="AA8:AA9"/>
    <mergeCell ref="A3:P3"/>
    <mergeCell ref="A2:P2"/>
    <mergeCell ref="A4:P4"/>
    <mergeCell ref="D8:F8"/>
    <mergeCell ref="G8:J8"/>
    <mergeCell ref="K8:L8"/>
    <mergeCell ref="M8:R8"/>
  </mergeCells>
  <hyperlinks>
    <hyperlink ref="A2" location="Depan!A1" display="UNIT PENGELOLA KEGIATAN (UPK)"/>
  </hyperlinks>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rgb="FF000000"/>
  </sheetPr>
  <dimension ref="A1:BS12"/>
  <sheetViews>
    <sheetView workbookViewId="0">
      <selection sqref="A1:IV65536"/>
    </sheetView>
  </sheetViews>
  <sheetFormatPr defaultRowHeight="12.75"/>
  <cols>
    <col min="1" max="1" width="14.140625" customWidth="1"/>
    <col min="2" max="2" width="8" bestFit="1" customWidth="1"/>
    <col min="3" max="3" width="7.7109375" bestFit="1" customWidth="1"/>
    <col min="4" max="4" width="10.85546875" customWidth="1"/>
    <col min="5" max="5" width="14.42578125" bestFit="1" customWidth="1"/>
    <col min="6" max="6" width="13.42578125" bestFit="1" customWidth="1"/>
    <col min="7" max="7" width="14.28515625" bestFit="1" customWidth="1"/>
    <col min="8" max="8" width="13.28515625" bestFit="1" customWidth="1"/>
    <col min="9" max="9" width="12.85546875" bestFit="1" customWidth="1"/>
    <col min="10" max="10" width="11.85546875" bestFit="1" customWidth="1"/>
    <col min="11" max="11" width="20.85546875" bestFit="1" customWidth="1"/>
    <col min="12" max="12" width="19.85546875" bestFit="1" customWidth="1"/>
    <col min="13" max="13" width="17.7109375" bestFit="1" customWidth="1"/>
    <col min="14" max="14" width="16.5703125" bestFit="1" customWidth="1"/>
    <col min="15" max="15" width="18.42578125" bestFit="1" customWidth="1"/>
    <col min="16" max="16" width="17.42578125" bestFit="1" customWidth="1"/>
    <col min="17" max="17" width="14.140625" bestFit="1" customWidth="1"/>
    <col min="18" max="18" width="13.140625" bestFit="1" customWidth="1"/>
    <col min="19" max="19" width="15.42578125" bestFit="1" customWidth="1"/>
    <col min="20" max="20" width="14.42578125" bestFit="1" customWidth="1"/>
    <col min="21" max="21" width="19" bestFit="1" customWidth="1"/>
    <col min="22" max="22" width="18" bestFit="1" customWidth="1"/>
    <col min="23" max="24" width="17.28515625" customWidth="1"/>
    <col min="25" max="25" width="16.42578125" bestFit="1" customWidth="1"/>
    <col min="26" max="26" width="15.42578125" bestFit="1" customWidth="1"/>
    <col min="27" max="27" width="11.28515625" bestFit="1" customWidth="1"/>
    <col min="28" max="28" width="10.28515625" bestFit="1" customWidth="1"/>
    <col min="29" max="29" width="8.85546875" bestFit="1" customWidth="1"/>
    <col min="30" max="30" width="7.85546875" bestFit="1" customWidth="1"/>
    <col min="31" max="31" width="8.5703125" bestFit="1" customWidth="1"/>
    <col min="32" max="32" width="7.5703125" bestFit="1" customWidth="1"/>
    <col min="33" max="33" width="12.28515625" bestFit="1" customWidth="1"/>
    <col min="34" max="34" width="11.28515625" bestFit="1" customWidth="1"/>
    <col min="35" max="35" width="9.85546875" bestFit="1" customWidth="1"/>
    <col min="36" max="36" width="8.85546875" bestFit="1" customWidth="1"/>
    <col min="37" max="37" width="9.7109375" bestFit="1" customWidth="1"/>
    <col min="38" max="38" width="8.7109375" bestFit="1" customWidth="1"/>
    <col min="39" max="39" width="16.5703125" bestFit="1" customWidth="1"/>
    <col min="40" max="40" width="15.5703125" bestFit="1" customWidth="1"/>
    <col min="41" max="41" width="15.85546875" bestFit="1" customWidth="1"/>
    <col min="42" max="42" width="14.85546875" bestFit="1" customWidth="1"/>
    <col min="43" max="43" width="17.7109375" bestFit="1" customWidth="1"/>
    <col min="44" max="44" width="16.5703125" bestFit="1" customWidth="1"/>
    <col min="45" max="45" width="18.140625" bestFit="1" customWidth="1"/>
    <col min="46" max="46" width="17" bestFit="1" customWidth="1"/>
    <col min="47" max="48" width="15.5703125" customWidth="1"/>
    <col min="49" max="49" width="11.42578125" bestFit="1" customWidth="1"/>
    <col min="50" max="50" width="10.42578125" bestFit="1" customWidth="1"/>
    <col min="51" max="52" width="14" customWidth="1"/>
    <col min="53" max="53" width="10.85546875" bestFit="1" customWidth="1"/>
    <col min="54" max="54" width="9.85546875" bestFit="1" customWidth="1"/>
    <col min="55" max="55" width="18.28515625" bestFit="1" customWidth="1"/>
    <col min="56" max="56" width="17.28515625" bestFit="1" customWidth="1"/>
    <col min="57" max="58" width="15.85546875" customWidth="1"/>
    <col min="59" max="59" width="15.7109375" bestFit="1" customWidth="1"/>
    <col min="60" max="60" width="14.7109375" bestFit="1" customWidth="1"/>
    <col min="61" max="61" width="10.5703125" bestFit="1" customWidth="1"/>
    <col min="62" max="62" width="8.140625" bestFit="1" customWidth="1"/>
    <col min="63" max="63" width="15.42578125" bestFit="1" customWidth="1"/>
    <col min="64" max="64" width="12.140625" bestFit="1" customWidth="1"/>
    <col min="65" max="65" width="12.85546875" bestFit="1" customWidth="1"/>
    <col min="66" max="66" width="11.85546875" bestFit="1" customWidth="1"/>
    <col min="67" max="67" width="9.42578125" bestFit="1" customWidth="1"/>
    <col min="68" max="68" width="16.7109375" bestFit="1" customWidth="1"/>
    <col min="69" max="69" width="13.5703125" bestFit="1" customWidth="1"/>
    <col min="70" max="70" width="14.28515625" bestFit="1" customWidth="1"/>
    <col min="71" max="71" width="8.28515625" bestFit="1" customWidth="1"/>
  </cols>
  <sheetData>
    <row r="1" spans="1:71">
      <c r="A1" s="3410" t="s">
        <v>1292</v>
      </c>
      <c r="B1" s="3410"/>
      <c r="C1" s="3410"/>
      <c r="D1" s="3410"/>
      <c r="E1" s="3410"/>
      <c r="F1" s="3410"/>
      <c r="G1" s="3410"/>
      <c r="H1" s="3410"/>
      <c r="I1" s="3410"/>
      <c r="J1" s="3410"/>
      <c r="K1" s="3410"/>
      <c r="L1" s="3410"/>
      <c r="M1" s="3410"/>
      <c r="N1" s="3410"/>
      <c r="O1" s="3410"/>
      <c r="P1" s="3410"/>
      <c r="Q1" s="3410"/>
      <c r="R1" s="1342"/>
      <c r="S1" s="1342"/>
      <c r="T1" s="1342"/>
      <c r="U1" s="1342"/>
      <c r="V1" s="1342"/>
      <c r="W1" s="1342"/>
      <c r="X1" s="1342"/>
      <c r="Y1" s="1342"/>
      <c r="Z1" s="1342"/>
      <c r="AA1" s="1342"/>
      <c r="AB1" s="1342"/>
    </row>
    <row r="2" spans="1:71">
      <c r="A2" s="3410" t="s">
        <v>704</v>
      </c>
      <c r="B2" s="3410"/>
      <c r="C2" s="3410"/>
      <c r="D2" s="3410"/>
      <c r="E2" s="3410"/>
      <c r="F2" s="3410"/>
      <c r="G2" s="3410"/>
      <c r="H2" s="3410"/>
      <c r="I2" s="3410"/>
      <c r="J2" s="3410"/>
      <c r="K2" s="3410"/>
      <c r="L2" s="3410"/>
      <c r="M2" s="3410"/>
      <c r="N2" s="3410"/>
      <c r="O2" s="3410"/>
      <c r="P2" s="3410"/>
      <c r="Q2" s="3410"/>
      <c r="R2" s="1342"/>
      <c r="S2" s="1342"/>
      <c r="T2" s="1342"/>
      <c r="U2" s="1342"/>
      <c r="V2" s="1342"/>
      <c r="W2" s="1342"/>
      <c r="X2" s="1342"/>
      <c r="Y2" s="1342"/>
      <c r="Z2" s="1342"/>
      <c r="AA2" s="1342"/>
      <c r="AB2" s="1342"/>
    </row>
    <row r="3" spans="1:71">
      <c r="A3" s="3410" t="s">
        <v>734</v>
      </c>
      <c r="B3" s="3410"/>
      <c r="C3" s="3410"/>
      <c r="D3" s="3410"/>
      <c r="E3" s="3410"/>
      <c r="F3" s="3410"/>
      <c r="G3" s="3410"/>
      <c r="H3" s="3410"/>
      <c r="I3" s="3410"/>
      <c r="J3" s="3410"/>
      <c r="K3" s="3410"/>
      <c r="L3" s="3410"/>
      <c r="M3" s="3410"/>
      <c r="N3" s="3410"/>
      <c r="O3" s="3410"/>
      <c r="P3" s="3410"/>
      <c r="Q3" s="3410"/>
      <c r="R3" s="1342"/>
      <c r="S3" s="1342"/>
      <c r="T3" s="1342"/>
      <c r="U3" s="1342"/>
      <c r="V3" s="1342"/>
      <c r="W3" s="1342"/>
      <c r="X3" s="1342"/>
      <c r="Y3" s="1342"/>
      <c r="Z3" s="1342"/>
      <c r="AA3" s="1342"/>
      <c r="AB3" s="1342"/>
    </row>
    <row r="4" spans="1:71" ht="15.75" customHeight="1">
      <c r="A4" s="3410" t="str">
        <f>'db Nrc Program'!A4:Q4</f>
        <v>Periode Bulan 29 Februari 2016 2016</v>
      </c>
      <c r="B4" s="3410"/>
      <c r="C4" s="3410"/>
      <c r="D4" s="3410"/>
      <c r="E4" s="3410"/>
      <c r="F4" s="3410"/>
      <c r="G4" s="3410"/>
      <c r="H4" s="3410"/>
      <c r="I4" s="3410"/>
      <c r="J4" s="3410"/>
      <c r="K4" s="3410"/>
      <c r="L4" s="3410"/>
      <c r="M4" s="3410"/>
      <c r="N4" s="3410"/>
      <c r="O4" s="3410"/>
      <c r="P4" s="3410"/>
      <c r="Q4" s="3410"/>
      <c r="R4" s="1342"/>
      <c r="S4" s="1342"/>
      <c r="T4" s="1342"/>
      <c r="U4" s="1342"/>
      <c r="V4" s="1342"/>
      <c r="W4" s="1342"/>
      <c r="X4" s="1342"/>
      <c r="Y4" s="1342"/>
      <c r="Z4" s="1342"/>
      <c r="AA4" s="1342"/>
      <c r="AB4" s="1342"/>
    </row>
    <row r="5" spans="1:71" s="1346" customFormat="1" ht="15.75">
      <c r="A5" s="1343" t="s">
        <v>981</v>
      </c>
      <c r="B5" s="1344"/>
      <c r="C5" s="4" t="str">
        <f>'db Nrc Program'!C5</f>
        <v>: Nagrak</v>
      </c>
      <c r="D5" s="4"/>
      <c r="E5" s="1345"/>
      <c r="F5" s="1345"/>
      <c r="G5" s="1345"/>
      <c r="H5" s="1345"/>
      <c r="I5" s="1345"/>
      <c r="J5" s="1345"/>
      <c r="K5" s="1345"/>
      <c r="L5" s="1345"/>
      <c r="M5" s="1345"/>
      <c r="N5" s="1345"/>
      <c r="O5" s="1345"/>
      <c r="P5" s="1345"/>
      <c r="Q5" s="1345"/>
      <c r="R5" s="1345"/>
      <c r="S5" s="1345"/>
      <c r="T5" s="1345"/>
      <c r="U5" s="1345"/>
      <c r="V5" s="1345"/>
      <c r="W5" s="1345"/>
      <c r="X5" s="1345"/>
      <c r="Y5" s="1345"/>
      <c r="Z5" s="1345"/>
      <c r="AA5" s="1345"/>
      <c r="AB5" s="1345"/>
    </row>
    <row r="6" spans="1:71" s="1346" customFormat="1" ht="15.75">
      <c r="A6" s="1343" t="s">
        <v>982</v>
      </c>
      <c r="B6" s="1344"/>
      <c r="C6" s="4" t="str">
        <f>'db Nrc Program'!C6</f>
        <v>: Sukabumi</v>
      </c>
      <c r="D6" s="4"/>
      <c r="E6" s="1345"/>
      <c r="F6" s="1345"/>
      <c r="G6" s="1345"/>
      <c r="H6" s="1345"/>
      <c r="I6" s="1345"/>
      <c r="J6" s="1345"/>
      <c r="K6" s="1345"/>
      <c r="L6" s="1345"/>
      <c r="M6" s="1345"/>
      <c r="N6" s="1345"/>
      <c r="O6" s="1345"/>
      <c r="P6" s="1345"/>
      <c r="Q6" s="1345"/>
      <c r="R6" s="1345"/>
      <c r="S6" s="1345"/>
      <c r="T6" s="1345"/>
      <c r="U6" s="1345"/>
      <c r="V6" s="1345"/>
      <c r="W6" s="1345"/>
      <c r="X6" s="1345"/>
      <c r="Y6" s="1345"/>
      <c r="Z6" s="1345"/>
      <c r="AA6" s="1345"/>
      <c r="AB6" s="1345"/>
    </row>
    <row r="7" spans="1:71" s="1346" customFormat="1" ht="15.75">
      <c r="A7" s="1343" t="s">
        <v>983</v>
      </c>
      <c r="B7" s="1344"/>
      <c r="C7" s="4" t="str">
        <f>'db Nrc Program'!C7</f>
        <v>: Jawa Barat</v>
      </c>
      <c r="D7" s="4"/>
      <c r="E7" s="1345"/>
      <c r="F7" s="1345"/>
      <c r="G7" s="1345"/>
      <c r="H7" s="1345"/>
      <c r="I7" s="1345"/>
      <c r="J7" s="1345"/>
      <c r="K7" s="1345"/>
      <c r="L7" s="1345"/>
      <c r="M7" s="1345"/>
      <c r="N7" s="1345"/>
      <c r="O7" s="1345"/>
      <c r="P7" s="1345"/>
      <c r="Q7" s="1345"/>
      <c r="R7" s="1345"/>
      <c r="S7" s="1345"/>
      <c r="T7" s="1345"/>
      <c r="U7" s="1345"/>
      <c r="V7" s="1345"/>
      <c r="W7" s="1345"/>
      <c r="X7" s="1345"/>
      <c r="Y7" s="1345"/>
      <c r="Z7" s="1345"/>
      <c r="AA7" s="1345"/>
      <c r="AB7" s="1345"/>
    </row>
    <row r="9" spans="1:71" s="1414" customFormat="1" ht="11.25" customHeight="1">
      <c r="D9" s="2020" t="s">
        <v>1742</v>
      </c>
      <c r="E9" s="3410" t="s">
        <v>1259</v>
      </c>
      <c r="F9" s="3410"/>
      <c r="G9" s="3410" t="s">
        <v>1260</v>
      </c>
      <c r="H9" s="3410"/>
      <c r="I9" s="3410" t="s">
        <v>1257</v>
      </c>
      <c r="J9" s="3410"/>
      <c r="K9" s="3410" t="s">
        <v>1258</v>
      </c>
      <c r="L9" s="3410"/>
      <c r="M9" s="3410" t="s">
        <v>1261</v>
      </c>
      <c r="N9" s="3410"/>
      <c r="O9" s="3410" t="s">
        <v>1262</v>
      </c>
      <c r="P9" s="3410"/>
      <c r="Q9" s="3410" t="s">
        <v>1263</v>
      </c>
      <c r="R9" s="3410"/>
      <c r="S9" s="3410" t="s">
        <v>1264</v>
      </c>
      <c r="T9" s="3410"/>
      <c r="U9" s="3410" t="s">
        <v>1265</v>
      </c>
      <c r="V9" s="3410"/>
      <c r="W9" s="3410" t="s">
        <v>1266</v>
      </c>
      <c r="X9" s="3410"/>
      <c r="Y9" s="3410" t="s">
        <v>1267</v>
      </c>
      <c r="Z9" s="3410"/>
      <c r="AA9" s="3410" t="s">
        <v>1268</v>
      </c>
      <c r="AB9" s="3410"/>
      <c r="AC9" s="3410" t="s">
        <v>899</v>
      </c>
      <c r="AD9" s="3410"/>
      <c r="AE9" s="3410" t="s">
        <v>1189</v>
      </c>
      <c r="AF9" s="3410"/>
      <c r="AG9" s="3410" t="s">
        <v>1269</v>
      </c>
      <c r="AH9" s="3410"/>
      <c r="AI9" s="3410" t="s">
        <v>1270</v>
      </c>
      <c r="AJ9" s="3410"/>
      <c r="AK9" s="3410" t="s">
        <v>1271</v>
      </c>
      <c r="AL9" s="3410"/>
      <c r="AM9" s="3410" t="s">
        <v>1272</v>
      </c>
      <c r="AN9" s="3410"/>
      <c r="AO9" s="3410" t="s">
        <v>1273</v>
      </c>
      <c r="AP9" s="3410"/>
      <c r="AQ9" s="3410" t="s">
        <v>1274</v>
      </c>
      <c r="AR9" s="3410"/>
      <c r="AS9" s="3410" t="s">
        <v>1275</v>
      </c>
      <c r="AT9" s="3410"/>
      <c r="AU9" s="3410" t="s">
        <v>1276</v>
      </c>
      <c r="AV9" s="3410"/>
      <c r="AW9" s="3410" t="s">
        <v>1277</v>
      </c>
      <c r="AX9" s="3410"/>
      <c r="AY9" s="3410" t="s">
        <v>1278</v>
      </c>
      <c r="AZ9" s="3410"/>
      <c r="BA9" s="3410" t="s">
        <v>1279</v>
      </c>
      <c r="BB9" s="3410"/>
      <c r="BC9" s="3410" t="s">
        <v>1280</v>
      </c>
      <c r="BD9" s="3410"/>
      <c r="BE9" s="3410" t="s">
        <v>1281</v>
      </c>
      <c r="BF9" s="3410"/>
      <c r="BG9" s="3410" t="s">
        <v>1282</v>
      </c>
      <c r="BH9" s="3410"/>
      <c r="BI9" s="3410" t="s">
        <v>1293</v>
      </c>
      <c r="BJ9" s="3410"/>
      <c r="BK9" s="3410"/>
      <c r="BL9" s="3410"/>
      <c r="BM9" s="3410"/>
      <c r="BN9" s="3410" t="s">
        <v>1294</v>
      </c>
      <c r="BO9" s="3410"/>
      <c r="BP9" s="3410"/>
      <c r="BQ9" s="3410"/>
      <c r="BR9" s="3410"/>
    </row>
    <row r="10" spans="1:71" s="1414" customFormat="1" ht="33.75">
      <c r="D10" s="2021" t="s">
        <v>477</v>
      </c>
      <c r="E10" s="1409" t="s">
        <v>1256</v>
      </c>
      <c r="F10" s="1409" t="s">
        <v>125</v>
      </c>
      <c r="G10" s="1409" t="s">
        <v>1256</v>
      </c>
      <c r="H10" s="1409" t="s">
        <v>125</v>
      </c>
      <c r="I10" s="1409" t="s">
        <v>1256</v>
      </c>
      <c r="J10" s="1409" t="s">
        <v>125</v>
      </c>
      <c r="K10" s="1409" t="s">
        <v>1256</v>
      </c>
      <c r="L10" s="1409" t="s">
        <v>125</v>
      </c>
      <c r="M10" s="1409" t="s">
        <v>1256</v>
      </c>
      <c r="N10" s="1409" t="s">
        <v>125</v>
      </c>
      <c r="O10" s="1409" t="s">
        <v>1256</v>
      </c>
      <c r="P10" s="1409" t="s">
        <v>125</v>
      </c>
      <c r="Q10" s="1409" t="s">
        <v>1256</v>
      </c>
      <c r="R10" s="1409" t="s">
        <v>125</v>
      </c>
      <c r="S10" s="1409" t="s">
        <v>1256</v>
      </c>
      <c r="T10" s="1409" t="s">
        <v>125</v>
      </c>
      <c r="U10" s="1409" t="s">
        <v>1256</v>
      </c>
      <c r="V10" s="1409" t="s">
        <v>125</v>
      </c>
      <c r="W10" s="1409" t="s">
        <v>1256</v>
      </c>
      <c r="X10" s="1409" t="s">
        <v>125</v>
      </c>
      <c r="Y10" s="1409" t="s">
        <v>1256</v>
      </c>
      <c r="Z10" s="1409" t="s">
        <v>125</v>
      </c>
      <c r="AA10" s="1409" t="s">
        <v>1256</v>
      </c>
      <c r="AB10" s="1409" t="s">
        <v>125</v>
      </c>
      <c r="AC10" s="1409" t="s">
        <v>1256</v>
      </c>
      <c r="AD10" s="1409" t="s">
        <v>125</v>
      </c>
      <c r="AE10" s="1409" t="s">
        <v>1256</v>
      </c>
      <c r="AF10" s="1409" t="s">
        <v>125</v>
      </c>
      <c r="AG10" s="1409" t="s">
        <v>1256</v>
      </c>
      <c r="AH10" s="1409" t="s">
        <v>125</v>
      </c>
      <c r="AI10" s="1409" t="s">
        <v>1256</v>
      </c>
      <c r="AJ10" s="1409" t="s">
        <v>125</v>
      </c>
      <c r="AK10" s="1409" t="s">
        <v>1256</v>
      </c>
      <c r="AL10" s="1409" t="s">
        <v>125</v>
      </c>
      <c r="AM10" s="1409" t="s">
        <v>1256</v>
      </c>
      <c r="AN10" s="1409" t="s">
        <v>125</v>
      </c>
      <c r="AO10" s="1409" t="s">
        <v>1256</v>
      </c>
      <c r="AP10" s="1409" t="s">
        <v>125</v>
      </c>
      <c r="AQ10" s="1409" t="s">
        <v>1256</v>
      </c>
      <c r="AR10" s="1409" t="s">
        <v>125</v>
      </c>
      <c r="AS10" s="1409" t="s">
        <v>1256</v>
      </c>
      <c r="AT10" s="1409" t="s">
        <v>125</v>
      </c>
      <c r="AU10" s="1409" t="s">
        <v>1256</v>
      </c>
      <c r="AV10" s="1409" t="s">
        <v>125</v>
      </c>
      <c r="AW10" s="1409" t="s">
        <v>1256</v>
      </c>
      <c r="AX10" s="1409" t="s">
        <v>125</v>
      </c>
      <c r="AY10" s="1409" t="s">
        <v>1256</v>
      </c>
      <c r="AZ10" s="1409" t="s">
        <v>125</v>
      </c>
      <c r="BA10" s="1409" t="s">
        <v>1256</v>
      </c>
      <c r="BB10" s="1409" t="s">
        <v>125</v>
      </c>
      <c r="BC10" s="1409" t="s">
        <v>1256</v>
      </c>
      <c r="BD10" s="1409" t="s">
        <v>125</v>
      </c>
      <c r="BE10" s="1409" t="s">
        <v>1256</v>
      </c>
      <c r="BF10" s="1409" t="s">
        <v>125</v>
      </c>
      <c r="BG10" s="1409" t="s">
        <v>1256</v>
      </c>
      <c r="BH10" s="1409" t="s">
        <v>125</v>
      </c>
      <c r="BI10" s="1409" t="s">
        <v>1283</v>
      </c>
      <c r="BJ10" s="1409" t="s">
        <v>1284</v>
      </c>
      <c r="BK10" s="1409" t="s">
        <v>1285</v>
      </c>
      <c r="BL10" s="1409" t="s">
        <v>1286</v>
      </c>
      <c r="BM10" s="1409" t="s">
        <v>891</v>
      </c>
      <c r="BN10" s="1409" t="s">
        <v>1287</v>
      </c>
      <c r="BO10" s="1409" t="s">
        <v>1288</v>
      </c>
      <c r="BP10" s="1409" t="s">
        <v>1289</v>
      </c>
      <c r="BQ10" s="1409" t="s">
        <v>1290</v>
      </c>
      <c r="BR10" s="1409" t="s">
        <v>1291</v>
      </c>
    </row>
    <row r="11" spans="1:71" ht="15">
      <c r="A11" s="1357" t="s">
        <v>1086</v>
      </c>
      <c r="B11" s="1357" t="s">
        <v>985</v>
      </c>
      <c r="C11" s="1357" t="s">
        <v>986</v>
      </c>
      <c r="D11" s="1421" t="s">
        <v>477</v>
      </c>
      <c r="E11" s="1421" t="s">
        <v>1087</v>
      </c>
      <c r="F11" s="1421" t="s">
        <v>1088</v>
      </c>
      <c r="G11" s="1421" t="s">
        <v>1089</v>
      </c>
      <c r="H11" s="1421" t="s">
        <v>1090</v>
      </c>
      <c r="I11" s="1421" t="s">
        <v>1091</v>
      </c>
      <c r="J11" s="1421" t="s">
        <v>1092</v>
      </c>
      <c r="K11" s="1421" t="s">
        <v>1093</v>
      </c>
      <c r="L11" s="1421" t="s">
        <v>1094</v>
      </c>
      <c r="M11" s="1421" t="s">
        <v>1095</v>
      </c>
      <c r="N11" s="1421" t="s">
        <v>1096</v>
      </c>
      <c r="O11" s="1421" t="s">
        <v>1097</v>
      </c>
      <c r="P11" s="1421" t="s">
        <v>1098</v>
      </c>
      <c r="Q11" s="1421" t="s">
        <v>1099</v>
      </c>
      <c r="R11" s="1421" t="s">
        <v>1100</v>
      </c>
      <c r="S11" s="1421" t="s">
        <v>1101</v>
      </c>
      <c r="T11" s="1421" t="s">
        <v>1102</v>
      </c>
      <c r="U11" s="1421" t="s">
        <v>1103</v>
      </c>
      <c r="V11" s="1421" t="s">
        <v>1104</v>
      </c>
      <c r="W11" s="1421" t="s">
        <v>1105</v>
      </c>
      <c r="X11" s="1421" t="s">
        <v>1106</v>
      </c>
      <c r="Y11" s="1421" t="s">
        <v>1107</v>
      </c>
      <c r="Z11" s="1421" t="s">
        <v>1108</v>
      </c>
      <c r="AA11" s="1421" t="s">
        <v>1109</v>
      </c>
      <c r="AB11" s="1421" t="s">
        <v>1110</v>
      </c>
      <c r="AC11" s="1421" t="s">
        <v>1111</v>
      </c>
      <c r="AD11" s="1421" t="s">
        <v>1112</v>
      </c>
      <c r="AE11" s="1421" t="s">
        <v>1113</v>
      </c>
      <c r="AF11" s="1421" t="s">
        <v>1114</v>
      </c>
      <c r="AG11" s="1421" t="s">
        <v>1115</v>
      </c>
      <c r="AH11" s="1421" t="s">
        <v>1116</v>
      </c>
      <c r="AI11" s="1421" t="s">
        <v>1117</v>
      </c>
      <c r="AJ11" s="1421" t="s">
        <v>1118</v>
      </c>
      <c r="AK11" s="1421" t="s">
        <v>1119</v>
      </c>
      <c r="AL11" s="1421" t="s">
        <v>1120</v>
      </c>
      <c r="AM11" s="1421" t="s">
        <v>1121</v>
      </c>
      <c r="AN11" s="1421" t="s">
        <v>1122</v>
      </c>
      <c r="AO11" s="1421" t="s">
        <v>1123</v>
      </c>
      <c r="AP11" s="1421" t="s">
        <v>1124</v>
      </c>
      <c r="AQ11" s="1421" t="s">
        <v>1125</v>
      </c>
      <c r="AR11" s="1421" t="s">
        <v>1126</v>
      </c>
      <c r="AS11" s="1421" t="s">
        <v>1127</v>
      </c>
      <c r="AT11" s="1421" t="s">
        <v>1128</v>
      </c>
      <c r="AU11" s="1421" t="s">
        <v>1129</v>
      </c>
      <c r="AV11" s="1421" t="s">
        <v>1130</v>
      </c>
      <c r="AW11" s="1421" t="s">
        <v>1131</v>
      </c>
      <c r="AX11" s="1421" t="s">
        <v>1132</v>
      </c>
      <c r="AY11" s="1421" t="s">
        <v>1133</v>
      </c>
      <c r="AZ11" s="1421" t="s">
        <v>1134</v>
      </c>
      <c r="BA11" s="1421" t="s">
        <v>1135</v>
      </c>
      <c r="BB11" s="1421" t="s">
        <v>1136</v>
      </c>
      <c r="BC11" s="1421" t="s">
        <v>1137</v>
      </c>
      <c r="BD11" s="1421" t="s">
        <v>1138</v>
      </c>
      <c r="BE11" s="1421" t="s">
        <v>1139</v>
      </c>
      <c r="BF11" s="1421" t="s">
        <v>1140</v>
      </c>
      <c r="BG11" s="1421" t="s">
        <v>1141</v>
      </c>
      <c r="BH11" s="1421" t="s">
        <v>1142</v>
      </c>
      <c r="BI11" s="1421" t="s">
        <v>1143</v>
      </c>
      <c r="BJ11" s="1421" t="s">
        <v>1144</v>
      </c>
      <c r="BK11" s="1421" t="s">
        <v>1145</v>
      </c>
      <c r="BL11" s="1421" t="s">
        <v>1146</v>
      </c>
      <c r="BM11" s="1421" t="s">
        <v>1147</v>
      </c>
      <c r="BN11" s="1421" t="s">
        <v>1148</v>
      </c>
      <c r="BO11" s="1421" t="s">
        <v>1149</v>
      </c>
      <c r="BP11" s="1421" t="s">
        <v>1150</v>
      </c>
      <c r="BQ11" s="1421" t="s">
        <v>1151</v>
      </c>
      <c r="BR11" s="1421" t="s">
        <v>1152</v>
      </c>
      <c r="BS11" s="1357" t="s">
        <v>1027</v>
      </c>
    </row>
    <row r="12" spans="1:71" s="1424" customFormat="1" ht="15">
      <c r="A12" s="1422" t="e">
        <f>'db Nrc Program'!A11</f>
        <v>#VALUE!</v>
      </c>
      <c r="B12" s="1422" t="str">
        <f>'db Nrc Program'!B11</f>
        <v>3202220</v>
      </c>
      <c r="C12" s="1422" t="e">
        <f>'db Nrc Program'!C11</f>
        <v>#VALUE!</v>
      </c>
      <c r="D12" s="1422">
        <f>'Arus Dana'!F9</f>
        <v>5400000</v>
      </c>
      <c r="E12" s="1423">
        <f>'Arus Dana'!C14+'Arus Dana'!C16</f>
        <v>9082565000</v>
      </c>
      <c r="F12" s="1423">
        <f>'Arus Dana'!D14+'Arus Dana'!D16</f>
        <v>0</v>
      </c>
      <c r="G12" s="1423">
        <f>'Arus Dana'!C15+'Arus Dana'!C17</f>
        <v>1567500000</v>
      </c>
      <c r="H12" s="1423">
        <f>'Arus Dana'!D15+'Arus Dana'!D17</f>
        <v>0</v>
      </c>
      <c r="I12" s="1423">
        <v>0</v>
      </c>
      <c r="J12" s="1423">
        <v>0</v>
      </c>
      <c r="K12" s="1423">
        <f>'Arus Dana'!C23</f>
        <v>210920000</v>
      </c>
      <c r="L12" s="1423">
        <f>'Arus Dana'!D23</f>
        <v>0</v>
      </c>
      <c r="M12" s="1423">
        <f>'Arus Dana'!C25</f>
        <v>113930000</v>
      </c>
      <c r="N12" s="1423">
        <f>'Arus Dana'!D25</f>
        <v>0</v>
      </c>
      <c r="O12" s="1423">
        <f>'Arus Dana'!C27</f>
        <v>12000000</v>
      </c>
      <c r="P12" s="1423">
        <f>'Arus Dana'!D27</f>
        <v>0</v>
      </c>
      <c r="Q12" s="1423">
        <f>SUM('Arus Dana'!C33:C34)</f>
        <v>15243952</v>
      </c>
      <c r="R12" s="1423">
        <f>SUM('Arus Dana'!D33:D34)</f>
        <v>0</v>
      </c>
      <c r="S12" s="1423">
        <v>0</v>
      </c>
      <c r="T12" s="1423">
        <v>0</v>
      </c>
      <c r="U12" s="1423">
        <f>'Arus Dana'!C39</f>
        <v>1478143</v>
      </c>
      <c r="V12" s="1423">
        <f>'Arus Dana'!D39</f>
        <v>0</v>
      </c>
      <c r="W12" s="1423">
        <f>'Arus Dana'!C41</f>
        <v>1833102</v>
      </c>
      <c r="X12" s="1423">
        <f>'Arus Dana'!D41</f>
        <v>0</v>
      </c>
      <c r="Y12" s="1423">
        <f>'Arus Dana'!C43</f>
        <v>42837</v>
      </c>
      <c r="Z12" s="1423">
        <f>'Arus Dana'!D43</f>
        <v>0</v>
      </c>
      <c r="AA12" s="1423">
        <v>0</v>
      </c>
      <c r="AB12" s="1423">
        <v>0</v>
      </c>
      <c r="AC12" s="1423">
        <f>'Arus Dana'!C53+'Arus Dana'!C63</f>
        <v>212970600</v>
      </c>
      <c r="AD12" s="1423">
        <f>'Arus Dana'!D53+'Arus Dana'!D63</f>
        <v>0</v>
      </c>
      <c r="AE12" s="1423">
        <f>'Arus Dana'!C54+'Arus Dana'!C64</f>
        <v>319454200</v>
      </c>
      <c r="AF12" s="1423">
        <f>'Arus Dana'!D54+'Arus Dana'!D64</f>
        <v>0</v>
      </c>
      <c r="AG12" s="1423">
        <f>'Arus Dana'!C55+'Arus Dana'!C65</f>
        <v>5207955700</v>
      </c>
      <c r="AH12" s="1423">
        <f>'Arus Dana'!D55+'Arus Dana'!D65</f>
        <v>0</v>
      </c>
      <c r="AI12" s="1423">
        <f>'Arus Dana'!C56</f>
        <v>0</v>
      </c>
      <c r="AJ12" s="1423">
        <f>'Arus Dana'!D56</f>
        <v>0</v>
      </c>
      <c r="AK12" s="1423">
        <f>'Arus Dana'!C57+'Arus Dana'!C67</f>
        <v>1747300000</v>
      </c>
      <c r="AL12" s="1423">
        <f>'Arus Dana'!D57+'Arus Dana'!D67</f>
        <v>0</v>
      </c>
      <c r="AM12" s="1423">
        <f>'Arus Dana'!C58+'Arus Dana'!C68</f>
        <v>1857930500</v>
      </c>
      <c r="AN12" s="1423">
        <f>'Arus Dana'!D58+'Arus Dana'!D68</f>
        <v>0</v>
      </c>
      <c r="AO12" s="1423">
        <f>'Arus Dana'!C59+'Arus Dana'!C69</f>
        <v>1000449500</v>
      </c>
      <c r="AP12" s="1423">
        <f>'Arus Dana'!D59+'Arus Dana'!D69</f>
        <v>0</v>
      </c>
      <c r="AQ12" s="1423">
        <f>'Arus Dana'!C60+'Arus Dana'!C70</f>
        <v>305775417</v>
      </c>
      <c r="AR12" s="1423">
        <f>'Arus Dana'!D60+'Arus Dana'!D70</f>
        <v>0</v>
      </c>
      <c r="AS12" s="1423">
        <f>'Arus Dana'!C110</f>
        <v>211690761</v>
      </c>
      <c r="AT12" s="1423">
        <f>'Arus Dana'!D110</f>
        <v>0</v>
      </c>
      <c r="AU12" s="1423">
        <f>'Arus Dana'!C112</f>
        <v>114968582</v>
      </c>
      <c r="AV12" s="1423">
        <f>'Arus Dana'!D112</f>
        <v>0</v>
      </c>
      <c r="AW12" s="1423">
        <f>'Arus Dana'!C114</f>
        <v>11000000</v>
      </c>
      <c r="AX12" s="1423">
        <f>'Arus Dana'!D114</f>
        <v>0</v>
      </c>
      <c r="AY12" s="1423">
        <f>SUM('Arus Dana'!C120:C121)</f>
        <v>3553710</v>
      </c>
      <c r="AZ12" s="1423">
        <f>SUM('Arus Dana'!D120:D121)</f>
        <v>0</v>
      </c>
      <c r="BA12" s="1423">
        <v>0</v>
      </c>
      <c r="BB12" s="1423">
        <v>0</v>
      </c>
      <c r="BC12" s="1423">
        <f>'Arus Dana'!C126</f>
        <v>707382</v>
      </c>
      <c r="BD12" s="1423">
        <f>'Arus Dana'!D126</f>
        <v>0</v>
      </c>
      <c r="BE12" s="1423">
        <f>'Arus Dana'!C128</f>
        <v>794520</v>
      </c>
      <c r="BF12" s="1423">
        <f>'Arus Dana'!D128</f>
        <v>0</v>
      </c>
      <c r="BG12" s="1423">
        <f>'Arus Dana'!C130</f>
        <v>113894</v>
      </c>
      <c r="BH12" s="1423">
        <f>'Arus Dana'!D130</f>
        <v>0</v>
      </c>
      <c r="BI12" s="1423">
        <f>SUM('Arus Dana'!F142:F143)</f>
        <v>0</v>
      </c>
      <c r="BJ12" s="1423">
        <v>0</v>
      </c>
      <c r="BK12" s="1423">
        <f>'Arus Dana'!F148</f>
        <v>0</v>
      </c>
      <c r="BL12" s="1423">
        <f>'Arus Dana'!F150</f>
        <v>0</v>
      </c>
      <c r="BM12" s="1423">
        <f>'Arus Dana'!F152</f>
        <v>0</v>
      </c>
      <c r="BN12" s="1423">
        <f>SUM('Arus Dana'!F156:F157)</f>
        <v>0</v>
      </c>
      <c r="BO12" s="1423">
        <v>0</v>
      </c>
      <c r="BP12" s="1423">
        <f>'Arus Dana'!F162</f>
        <v>0</v>
      </c>
      <c r="BQ12" s="1423">
        <f>'Arus Dana'!F164</f>
        <v>0</v>
      </c>
      <c r="BR12" s="1423">
        <f>'Arus Dana'!F166</f>
        <v>89000</v>
      </c>
      <c r="BS12" s="1423">
        <v>0</v>
      </c>
    </row>
  </sheetData>
  <sheetProtection password="C13C" sheet="1" objects="1" scenarios="1" formatCells="0" formatColumns="0" formatRows="0"/>
  <mergeCells count="34">
    <mergeCell ref="A2:Q2"/>
    <mergeCell ref="A3:Q3"/>
    <mergeCell ref="A4:Q4"/>
    <mergeCell ref="E9:F9"/>
    <mergeCell ref="G9:H9"/>
    <mergeCell ref="I9:J9"/>
    <mergeCell ref="K9:L9"/>
    <mergeCell ref="M9:N9"/>
    <mergeCell ref="O9:P9"/>
    <mergeCell ref="Q9:R9"/>
    <mergeCell ref="AM9:AN9"/>
    <mergeCell ref="AO9:AP9"/>
    <mergeCell ref="S9:T9"/>
    <mergeCell ref="U9:V9"/>
    <mergeCell ref="W9:X9"/>
    <mergeCell ref="Y9:Z9"/>
    <mergeCell ref="AA9:AB9"/>
    <mergeCell ref="AC9:AD9"/>
    <mergeCell ref="A1:Q1"/>
    <mergeCell ref="BI9:BM9"/>
    <mergeCell ref="BN9:BR9"/>
    <mergeCell ref="BC9:BD9"/>
    <mergeCell ref="BE9:BF9"/>
    <mergeCell ref="BG9:BH9"/>
    <mergeCell ref="AQ9:AR9"/>
    <mergeCell ref="AS9:AT9"/>
    <mergeCell ref="AU9:AV9"/>
    <mergeCell ref="AW9:AX9"/>
    <mergeCell ref="AY9:AZ9"/>
    <mergeCell ref="BA9:BB9"/>
    <mergeCell ref="AE9:AF9"/>
    <mergeCell ref="AG9:AH9"/>
    <mergeCell ref="AI9:AJ9"/>
    <mergeCell ref="AK9:AL9"/>
  </mergeCells>
  <hyperlinks>
    <hyperlink ref="A2" location="Depan!A1" display="UNIT PENGELOLA KEGIATAN (UPK)"/>
  </hyperlinks>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00"/>
  </sheetPr>
  <dimension ref="A1:BS27"/>
  <sheetViews>
    <sheetView topLeftCell="A8" zoomScale="90" zoomScaleNormal="90" workbookViewId="0">
      <selection activeCell="G31" sqref="G31"/>
    </sheetView>
  </sheetViews>
  <sheetFormatPr defaultRowHeight="12.75"/>
  <cols>
    <col min="1" max="1" width="14.140625" customWidth="1"/>
    <col min="2" max="2" width="8" bestFit="1" customWidth="1"/>
    <col min="3" max="3" width="7.7109375" bestFit="1" customWidth="1"/>
    <col min="4" max="4" width="11.42578125" customWidth="1"/>
    <col min="5" max="5" width="5.42578125" bestFit="1" customWidth="1"/>
    <col min="6" max="6" width="22.42578125" customWidth="1"/>
    <col min="7" max="7" width="17.140625" customWidth="1"/>
    <col min="8" max="8" width="18.42578125" customWidth="1"/>
    <col min="9" max="9" width="15.7109375" customWidth="1"/>
    <col min="10" max="11" width="18.42578125" customWidth="1"/>
    <col min="12" max="12" width="15.7109375" customWidth="1"/>
    <col min="13" max="13" width="17.7109375" bestFit="1" customWidth="1"/>
    <col min="14" max="14" width="8.42578125" bestFit="1" customWidth="1"/>
    <col min="15" max="15" width="18.42578125" bestFit="1" customWidth="1"/>
    <col min="16" max="16" width="17.42578125" bestFit="1" customWidth="1"/>
    <col min="17" max="17" width="14.140625" bestFit="1" customWidth="1"/>
    <col min="18" max="18" width="13.140625" bestFit="1" customWidth="1"/>
    <col min="19" max="19" width="15.42578125" bestFit="1" customWidth="1"/>
    <col min="20" max="20" width="14.42578125" bestFit="1" customWidth="1"/>
    <col min="21" max="21" width="19" bestFit="1" customWidth="1"/>
    <col min="22" max="22" width="18" bestFit="1" customWidth="1"/>
    <col min="23" max="24" width="17.28515625" customWidth="1"/>
    <col min="25" max="25" width="16.42578125" bestFit="1" customWidth="1"/>
    <col min="26" max="26" width="15.42578125" bestFit="1" customWidth="1"/>
    <col min="27" max="27" width="11.28515625" bestFit="1" customWidth="1"/>
    <col min="28" max="28" width="10.28515625" bestFit="1" customWidth="1"/>
    <col min="29" max="29" width="8.85546875" bestFit="1" customWidth="1"/>
    <col min="30" max="30" width="7.85546875" bestFit="1" customWidth="1"/>
    <col min="31" max="31" width="8.5703125" bestFit="1" customWidth="1"/>
    <col min="32" max="32" width="7.5703125" bestFit="1" customWidth="1"/>
    <col min="33" max="33" width="12.28515625" bestFit="1" customWidth="1"/>
    <col min="34" max="34" width="11.28515625" bestFit="1" customWidth="1"/>
    <col min="35" max="35" width="9.85546875" bestFit="1" customWidth="1"/>
    <col min="36" max="36" width="8.85546875" bestFit="1" customWidth="1"/>
    <col min="37" max="37" width="9.7109375" bestFit="1" customWidth="1"/>
    <col min="38" max="38" width="8.7109375" bestFit="1" customWidth="1"/>
    <col min="39" max="39" width="16.5703125" bestFit="1" customWidth="1"/>
    <col min="40" max="40" width="15.5703125" bestFit="1" customWidth="1"/>
    <col min="41" max="41" width="15.85546875" bestFit="1" customWidth="1"/>
    <col min="42" max="42" width="14.85546875" bestFit="1" customWidth="1"/>
    <col min="43" max="43" width="17.7109375" bestFit="1" customWidth="1"/>
    <col min="44" max="44" width="16.5703125" bestFit="1" customWidth="1"/>
    <col min="45" max="45" width="18.140625" bestFit="1" customWidth="1"/>
    <col min="46" max="46" width="17" bestFit="1" customWidth="1"/>
    <col min="47" max="48" width="15.5703125" customWidth="1"/>
    <col min="49" max="49" width="11.42578125" bestFit="1" customWidth="1"/>
    <col min="50" max="50" width="10.42578125" bestFit="1" customWidth="1"/>
    <col min="51" max="52" width="14" customWidth="1"/>
    <col min="53" max="53" width="10.85546875" bestFit="1" customWidth="1"/>
    <col min="54" max="54" width="9.85546875" bestFit="1" customWidth="1"/>
    <col min="55" max="55" width="18.28515625" bestFit="1" customWidth="1"/>
    <col min="56" max="56" width="17.28515625" bestFit="1" customWidth="1"/>
    <col min="57" max="58" width="15.85546875" customWidth="1"/>
    <col min="59" max="59" width="15.7109375" bestFit="1" customWidth="1"/>
    <col min="60" max="60" width="14.7109375" bestFit="1" customWidth="1"/>
    <col min="61" max="61" width="10.5703125" bestFit="1" customWidth="1"/>
    <col min="62" max="62" width="8.140625" bestFit="1" customWidth="1"/>
    <col min="63" max="63" width="15.42578125" bestFit="1" customWidth="1"/>
    <col min="64" max="64" width="12.140625" bestFit="1" customWidth="1"/>
    <col min="65" max="65" width="12.85546875" bestFit="1" customWidth="1"/>
    <col min="66" max="66" width="11.85546875" bestFit="1" customWidth="1"/>
    <col min="67" max="67" width="9.42578125" bestFit="1" customWidth="1"/>
    <col min="68" max="68" width="16.7109375" bestFit="1" customWidth="1"/>
    <col min="69" max="69" width="13.5703125" bestFit="1" customWidth="1"/>
    <col min="70" max="70" width="14.28515625" bestFit="1" customWidth="1"/>
    <col min="71" max="71" width="8.28515625" bestFit="1" customWidth="1"/>
  </cols>
  <sheetData>
    <row r="1" spans="1:71">
      <c r="A1" s="3410" t="s">
        <v>1292</v>
      </c>
      <c r="B1" s="3410"/>
      <c r="C1" s="3410"/>
      <c r="D1" s="3410"/>
      <c r="E1" s="3410"/>
      <c r="F1" s="3410"/>
      <c r="G1" s="3410"/>
      <c r="H1" s="3410"/>
      <c r="I1" s="3410"/>
      <c r="J1" s="3410"/>
      <c r="K1" s="3410"/>
      <c r="L1" s="3410"/>
      <c r="M1" s="3410"/>
      <c r="N1" s="3410"/>
      <c r="O1" s="3410"/>
      <c r="P1" s="3410"/>
      <c r="Q1" s="3410"/>
      <c r="R1" s="1342"/>
      <c r="S1" s="1342"/>
      <c r="T1" s="1342"/>
      <c r="U1" s="1342"/>
      <c r="V1" s="1342"/>
      <c r="W1" s="1342"/>
      <c r="X1" s="1342"/>
      <c r="Y1" s="1342"/>
      <c r="Z1" s="1342"/>
      <c r="AA1" s="1342"/>
      <c r="AB1" s="1342"/>
    </row>
    <row r="2" spans="1:71">
      <c r="A2" s="3410" t="s">
        <v>704</v>
      </c>
      <c r="B2" s="3410"/>
      <c r="C2" s="3410"/>
      <c r="D2" s="3410"/>
      <c r="E2" s="3410"/>
      <c r="F2" s="3410"/>
      <c r="G2" s="3410"/>
      <c r="H2" s="3410"/>
      <c r="I2" s="3410"/>
      <c r="J2" s="3410"/>
      <c r="K2" s="3410"/>
      <c r="L2" s="3410"/>
      <c r="M2" s="3410"/>
      <c r="N2" s="3410"/>
      <c r="O2" s="3410"/>
      <c r="P2" s="3410"/>
      <c r="Q2" s="3410"/>
      <c r="R2" s="1342"/>
      <c r="S2" s="1342"/>
      <c r="T2" s="1342"/>
      <c r="U2" s="1342"/>
      <c r="V2" s="1342"/>
      <c r="W2" s="1342"/>
      <c r="X2" s="1342"/>
      <c r="Y2" s="1342"/>
      <c r="Z2" s="1342"/>
      <c r="AA2" s="1342"/>
      <c r="AB2" s="1342"/>
    </row>
    <row r="3" spans="1:71">
      <c r="A3" s="3410" t="s">
        <v>734</v>
      </c>
      <c r="B3" s="3410"/>
      <c r="C3" s="3410"/>
      <c r="D3" s="3410"/>
      <c r="E3" s="3410"/>
      <c r="F3" s="3410"/>
      <c r="G3" s="3410"/>
      <c r="H3" s="3410"/>
      <c r="I3" s="3410"/>
      <c r="J3" s="3410"/>
      <c r="K3" s="3410"/>
      <c r="L3" s="3410"/>
      <c r="M3" s="3410"/>
      <c r="N3" s="3410"/>
      <c r="O3" s="3410"/>
      <c r="P3" s="3410"/>
      <c r="Q3" s="3410"/>
      <c r="R3" s="1342"/>
      <c r="S3" s="1342"/>
      <c r="T3" s="1342"/>
      <c r="U3" s="1342"/>
      <c r="V3" s="1342"/>
      <c r="W3" s="1342"/>
      <c r="X3" s="1342"/>
      <c r="Y3" s="1342"/>
      <c r="Z3" s="1342"/>
      <c r="AA3" s="1342"/>
      <c r="AB3" s="1342"/>
    </row>
    <row r="4" spans="1:71" ht="15.75" customHeight="1">
      <c r="A4" s="3410" t="str">
        <f>'db Nrc Program'!A4:Q4</f>
        <v>Periode Bulan 29 Februari 2016 2016</v>
      </c>
      <c r="B4" s="3410"/>
      <c r="C4" s="3410"/>
      <c r="D4" s="3410"/>
      <c r="E4" s="3410"/>
      <c r="F4" s="3410"/>
      <c r="G4" s="3410"/>
      <c r="H4" s="3410"/>
      <c r="I4" s="3410"/>
      <c r="J4" s="3410"/>
      <c r="K4" s="3410"/>
      <c r="L4" s="3410"/>
      <c r="M4" s="3410"/>
      <c r="N4" s="3410"/>
      <c r="O4" s="3410"/>
      <c r="P4" s="3410"/>
      <c r="Q4" s="3410"/>
      <c r="R4" s="1342"/>
      <c r="S4" s="1342"/>
      <c r="T4" s="1342"/>
      <c r="U4" s="1342"/>
      <c r="V4" s="1342"/>
      <c r="W4" s="1342"/>
      <c r="X4" s="1342"/>
      <c r="Y4" s="1342"/>
      <c r="Z4" s="1342"/>
      <c r="AA4" s="1342"/>
      <c r="AB4" s="1342"/>
    </row>
    <row r="5" spans="1:71" s="1346" customFormat="1" ht="15.75">
      <c r="A5" s="1343" t="s">
        <v>981</v>
      </c>
      <c r="B5" s="1344"/>
      <c r="C5" s="4" t="str">
        <f>'db Nrc Program'!C5</f>
        <v>: Nagrak</v>
      </c>
      <c r="D5" s="4"/>
      <c r="E5" s="1345"/>
      <c r="F5" s="1345"/>
      <c r="G5" s="1345"/>
      <c r="H5" s="1345"/>
      <c r="I5" s="1345"/>
      <c r="J5" s="1345"/>
      <c r="K5" s="1345"/>
      <c r="L5" s="1345"/>
      <c r="M5" s="1345"/>
      <c r="N5" s="1345"/>
      <c r="O5" s="1345"/>
      <c r="P5" s="1345"/>
      <c r="Q5" s="1345"/>
      <c r="R5" s="1345"/>
      <c r="S5" s="1345"/>
      <c r="T5" s="1345"/>
      <c r="U5" s="1345"/>
      <c r="V5" s="1345"/>
      <c r="W5" s="1345"/>
      <c r="X5" s="1345"/>
      <c r="Y5" s="1345"/>
      <c r="Z5" s="1345"/>
      <c r="AA5" s="1345"/>
      <c r="AB5" s="1345"/>
    </row>
    <row r="6" spans="1:71" s="1346" customFormat="1" ht="15.75">
      <c r="A6" s="1343" t="s">
        <v>982</v>
      </c>
      <c r="B6" s="1344"/>
      <c r="C6" s="4" t="str">
        <f>'db Nrc Program'!C6</f>
        <v>: Sukabumi</v>
      </c>
      <c r="D6" s="4"/>
      <c r="E6" s="1345"/>
      <c r="F6" s="1345"/>
      <c r="G6" s="1345"/>
      <c r="H6" s="1345"/>
      <c r="I6" s="1345"/>
      <c r="J6" s="1345"/>
      <c r="K6" s="1345"/>
      <c r="L6" s="1345"/>
      <c r="M6" s="1345"/>
      <c r="N6" s="1345"/>
      <c r="O6" s="1345"/>
      <c r="P6" s="1345"/>
      <c r="Q6" s="1345"/>
      <c r="R6" s="1345"/>
      <c r="S6" s="1345"/>
      <c r="T6" s="1345"/>
      <c r="U6" s="1345"/>
      <c r="V6" s="1345"/>
      <c r="W6" s="1345"/>
      <c r="X6" s="1345"/>
      <c r="Y6" s="1345"/>
      <c r="Z6" s="1345"/>
      <c r="AA6" s="1345"/>
      <c r="AB6" s="1345"/>
    </row>
    <row r="7" spans="1:71" s="1346" customFormat="1" ht="15.75">
      <c r="A7" s="1343" t="s">
        <v>983</v>
      </c>
      <c r="B7" s="1344"/>
      <c r="C7" s="4" t="str">
        <f>'db Nrc Program'!C7</f>
        <v>: Jawa Barat</v>
      </c>
      <c r="D7" s="4"/>
      <c r="E7" s="1345"/>
      <c r="F7" s="1345"/>
      <c r="G7" s="1345"/>
      <c r="H7" s="1345"/>
      <c r="I7" s="1345"/>
      <c r="J7" s="1345"/>
      <c r="K7" s="1345"/>
      <c r="L7" s="1345"/>
      <c r="M7" s="1345"/>
      <c r="N7" s="1345"/>
      <c r="O7" s="1345"/>
      <c r="P7" s="1345"/>
      <c r="Q7" s="1345"/>
      <c r="R7" s="1345"/>
      <c r="S7" s="1345"/>
      <c r="T7" s="1345"/>
      <c r="U7" s="1345"/>
      <c r="V7" s="1345"/>
      <c r="W7" s="1345"/>
      <c r="X7" s="1345"/>
      <c r="Y7" s="1345"/>
      <c r="Z7" s="1345"/>
      <c r="AA7" s="1345"/>
      <c r="AB7" s="1345"/>
    </row>
    <row r="9" spans="1:71" s="2053" customFormat="1" ht="11.25" customHeight="1">
      <c r="E9" s="3410"/>
      <c r="F9" s="3410"/>
      <c r="G9" s="3410"/>
      <c r="H9" s="3410"/>
      <c r="I9" s="3410"/>
      <c r="J9" s="3410"/>
      <c r="K9" s="3410"/>
      <c r="L9" s="3410"/>
      <c r="M9" s="3410"/>
      <c r="N9" s="3410"/>
      <c r="O9" s="3410"/>
      <c r="P9" s="3410"/>
      <c r="Q9" s="3410"/>
      <c r="R9" s="3410"/>
      <c r="S9" s="3410"/>
      <c r="T9" s="3410"/>
      <c r="U9" s="3410"/>
      <c r="V9" s="3410"/>
      <c r="W9" s="3410"/>
      <c r="X9" s="3410"/>
      <c r="Y9" s="3410"/>
      <c r="Z9" s="3410"/>
      <c r="AA9" s="3410"/>
      <c r="AB9" s="3410"/>
      <c r="AC9" s="3410"/>
      <c r="AD9" s="3410"/>
      <c r="AE9" s="3410"/>
      <c r="AF9" s="3410"/>
      <c r="AG9" s="3410"/>
      <c r="AH9" s="3410"/>
      <c r="AI9" s="3410"/>
      <c r="AJ9" s="3410"/>
      <c r="AK9" s="3410"/>
      <c r="AL9" s="3410"/>
      <c r="AM9" s="3410"/>
      <c r="AN9" s="3410"/>
      <c r="AO9" s="3410"/>
      <c r="AP9" s="3410"/>
      <c r="AQ9" s="3410"/>
      <c r="AR9" s="3410"/>
      <c r="AS9" s="3410"/>
      <c r="AT9" s="3410"/>
      <c r="AU9" s="3410"/>
      <c r="AV9" s="3410"/>
      <c r="AW9" s="3410"/>
      <c r="AX9" s="3410"/>
      <c r="AY9" s="3410"/>
      <c r="AZ9" s="3410"/>
      <c r="BA9" s="3410"/>
      <c r="BB9" s="3410"/>
      <c r="BC9" s="3410"/>
      <c r="BD9" s="3410"/>
      <c r="BE9" s="3410"/>
      <c r="BF9" s="3410"/>
      <c r="BG9" s="3410"/>
      <c r="BH9" s="3410"/>
      <c r="BI9" s="3410"/>
      <c r="BJ9" s="3410"/>
      <c r="BK9" s="3410"/>
      <c r="BL9" s="3410"/>
      <c r="BM9" s="3410"/>
      <c r="BN9" s="3410"/>
      <c r="BO9" s="3410"/>
      <c r="BP9" s="3410"/>
      <c r="BQ9" s="3410"/>
      <c r="BR9" s="3410"/>
    </row>
    <row r="10" spans="1:71" s="2053" customFormat="1" ht="11.25"/>
    <row r="11" spans="1:71" s="2055" customFormat="1" ht="15">
      <c r="A11" s="2057" t="s">
        <v>3</v>
      </c>
      <c r="B11" s="2057" t="s">
        <v>918</v>
      </c>
      <c r="C11" s="2057" t="s">
        <v>1775</v>
      </c>
      <c r="D11" s="2057" t="s">
        <v>985</v>
      </c>
      <c r="E11" s="2057" t="s">
        <v>1776</v>
      </c>
      <c r="F11" s="2057" t="s">
        <v>1777</v>
      </c>
      <c r="G11" s="2057" t="s">
        <v>1778</v>
      </c>
      <c r="H11" s="2057" t="s">
        <v>191</v>
      </c>
      <c r="I11" s="2057" t="s">
        <v>1779</v>
      </c>
      <c r="J11" s="2057" t="s">
        <v>200</v>
      </c>
      <c r="K11" s="2057" t="s">
        <v>201</v>
      </c>
      <c r="L11" s="2057" t="s">
        <v>1780</v>
      </c>
      <c r="M11" s="2057" t="s">
        <v>169</v>
      </c>
      <c r="N11" s="2057" t="s">
        <v>1027</v>
      </c>
      <c r="O11" s="2054"/>
      <c r="P11" s="2054"/>
      <c r="Q11" s="2054"/>
      <c r="R11" s="2054"/>
      <c r="S11" s="2054"/>
      <c r="T11" s="2054"/>
      <c r="U11" s="2054"/>
      <c r="V11" s="2054"/>
      <c r="W11" s="2054"/>
      <c r="X11" s="2054"/>
      <c r="Y11" s="2054"/>
      <c r="Z11" s="2054"/>
      <c r="AA11" s="2054"/>
      <c r="AB11" s="2054"/>
      <c r="AC11" s="2054"/>
      <c r="AD11" s="2054"/>
      <c r="AE11" s="2054"/>
      <c r="AF11" s="2054"/>
      <c r="AG11" s="2054"/>
      <c r="AH11" s="2054"/>
      <c r="AI11" s="2054"/>
      <c r="AJ11" s="2054"/>
      <c r="AK11" s="2054"/>
      <c r="AL11" s="2054"/>
      <c r="AM11" s="2054"/>
      <c r="AN11" s="2054"/>
      <c r="AO11" s="2054"/>
      <c r="AP11" s="2054"/>
      <c r="AQ11" s="2054"/>
      <c r="AR11" s="2054"/>
      <c r="AS11" s="2054"/>
      <c r="AT11" s="2054"/>
      <c r="AU11" s="2054"/>
      <c r="AV11" s="2054"/>
      <c r="AW11" s="2054"/>
      <c r="AX11" s="2054"/>
      <c r="AY11" s="2054"/>
      <c r="AZ11" s="2054"/>
      <c r="BA11" s="2054"/>
      <c r="BB11" s="2054"/>
      <c r="BC11" s="2054"/>
      <c r="BD11" s="2054"/>
      <c r="BE11" s="2054"/>
      <c r="BF11" s="2054"/>
      <c r="BG11" s="2054"/>
      <c r="BH11" s="2054"/>
      <c r="BI11" s="2054"/>
      <c r="BJ11" s="2054"/>
      <c r="BK11" s="2054"/>
      <c r="BL11" s="2054"/>
      <c r="BM11" s="2054"/>
      <c r="BN11" s="2054"/>
      <c r="BO11" s="2054"/>
      <c r="BP11" s="2054"/>
      <c r="BQ11" s="2054"/>
      <c r="BR11" s="2054"/>
      <c r="BS11" s="2054"/>
    </row>
    <row r="12" spans="1:71" s="2062" customFormat="1" ht="30" hidden="1">
      <c r="A12" s="2061" t="e">
        <f>DT!$G$30</f>
        <v>#VALUE!</v>
      </c>
      <c r="B12" s="2059" t="e">
        <f>DT!$F$31</f>
        <v>#VALUE!</v>
      </c>
      <c r="C12" s="2059" t="s">
        <v>1781</v>
      </c>
      <c r="D12" s="2059" t="str">
        <f>DT!$E$3</f>
        <v>3202220</v>
      </c>
      <c r="E12" s="2065" t="str">
        <f>DT!B31</f>
        <v>01</v>
      </c>
      <c r="F12" s="2066" t="str">
        <f>DT!D31</f>
        <v>.................................</v>
      </c>
      <c r="G12" s="2067" t="str">
        <f>Rekonsiliasi!C12</f>
        <v>29 Februari 2016 2016</v>
      </c>
      <c r="H12" s="2058">
        <f>Rekonsiliasi!D12</f>
        <v>0</v>
      </c>
      <c r="I12" s="2058">
        <f>Rekonsiliasi!E12</f>
        <v>0</v>
      </c>
      <c r="J12" s="2058">
        <f>Rekonsiliasi!G12</f>
        <v>0</v>
      </c>
      <c r="K12" s="2058">
        <f>Rekonsiliasi!H12</f>
        <v>0</v>
      </c>
      <c r="L12" s="2058">
        <f>Rekonsiliasi!J12</f>
        <v>0</v>
      </c>
      <c r="M12" s="2059">
        <f>Rekonsiliasi!L12</f>
        <v>0</v>
      </c>
      <c r="N12" s="2060">
        <v>0</v>
      </c>
      <c r="O12" s="2056"/>
      <c r="P12" s="2056"/>
      <c r="Q12" s="2056"/>
      <c r="R12" s="2056"/>
      <c r="S12" s="2056"/>
      <c r="T12" s="2056"/>
      <c r="U12" s="2056"/>
      <c r="V12" s="2056"/>
      <c r="W12" s="2056"/>
      <c r="X12" s="2056"/>
      <c r="Y12" s="2056"/>
      <c r="Z12" s="2056"/>
      <c r="AA12" s="2056"/>
      <c r="AB12" s="2056"/>
      <c r="AC12" s="2056"/>
      <c r="AD12" s="2056"/>
      <c r="AE12" s="2056"/>
      <c r="AF12" s="2056"/>
      <c r="AG12" s="2056"/>
      <c r="AH12" s="2056"/>
      <c r="AI12" s="2056"/>
      <c r="AJ12" s="2056"/>
      <c r="AK12" s="2056"/>
      <c r="AL12" s="2056"/>
      <c r="AM12" s="2056"/>
      <c r="AN12" s="2056"/>
      <c r="AO12" s="2056"/>
      <c r="AP12" s="2056"/>
      <c r="AQ12" s="2056"/>
      <c r="AR12" s="2056"/>
      <c r="AS12" s="2056"/>
      <c r="AT12" s="2056"/>
      <c r="AU12" s="2056"/>
      <c r="AV12" s="2056"/>
      <c r="AW12" s="2056"/>
      <c r="AX12" s="2056"/>
      <c r="AY12" s="2056"/>
      <c r="AZ12" s="2056"/>
      <c r="BA12" s="2056"/>
      <c r="BB12" s="2056"/>
      <c r="BC12" s="2056"/>
      <c r="BD12" s="2056"/>
      <c r="BE12" s="2056"/>
      <c r="BF12" s="2056"/>
      <c r="BG12" s="2056"/>
      <c r="BH12" s="2056"/>
      <c r="BI12" s="2056"/>
      <c r="BJ12" s="2056"/>
      <c r="BK12" s="2056"/>
      <c r="BL12" s="2056"/>
      <c r="BM12" s="2056"/>
      <c r="BN12" s="2056"/>
      <c r="BO12" s="2056"/>
      <c r="BP12" s="2056"/>
      <c r="BQ12" s="2056"/>
      <c r="BR12" s="2056"/>
      <c r="BS12" s="2056"/>
    </row>
    <row r="13" spans="1:71" s="2063" customFormat="1" ht="30">
      <c r="A13" s="2061" t="e">
        <f>DT!$G$30</f>
        <v>#VALUE!</v>
      </c>
      <c r="B13" s="2059" t="e">
        <f>DT!$F$31</f>
        <v>#VALUE!</v>
      </c>
      <c r="C13" s="2059" t="s">
        <v>1781</v>
      </c>
      <c r="D13" s="2059" t="str">
        <f>DT!$E$3</f>
        <v>3202220</v>
      </c>
      <c r="E13" s="2065" t="str">
        <f>DT!B32</f>
        <v>01</v>
      </c>
      <c r="F13" s="2066" t="str">
        <f>DT!D32</f>
        <v>4097-01-003496-53-4</v>
      </c>
      <c r="G13" s="2067" t="str">
        <f>Rekonsiliasi!C13</f>
        <v>29 Februari 2016 2016</v>
      </c>
      <c r="H13" s="2058">
        <f>Rekonsiliasi!D13</f>
        <v>0</v>
      </c>
      <c r="I13" s="2058">
        <f>Rekonsiliasi!E13</f>
        <v>11690242</v>
      </c>
      <c r="J13" s="2058">
        <f>Rekonsiliasi!G13</f>
        <v>10650265000</v>
      </c>
      <c r="K13" s="2058">
        <f>Rekonsiliasi!H13</f>
        <v>10661955242</v>
      </c>
      <c r="L13" s="2058">
        <f>Rekonsiliasi!J13</f>
        <v>0</v>
      </c>
      <c r="M13" s="2059">
        <f>Rekonsiliasi!L13</f>
        <v>0</v>
      </c>
      <c r="N13" s="2060">
        <v>0</v>
      </c>
    </row>
    <row r="14" spans="1:71" s="2064" customFormat="1" ht="30">
      <c r="A14" s="2061" t="e">
        <f>DT!$G$30</f>
        <v>#VALUE!</v>
      </c>
      <c r="B14" s="2059" t="e">
        <f>DT!$F$31</f>
        <v>#VALUE!</v>
      </c>
      <c r="C14" s="2059" t="s">
        <v>1781</v>
      </c>
      <c r="D14" s="2059" t="str">
        <f>DT!$E$3</f>
        <v>3202220</v>
      </c>
      <c r="E14" s="2065" t="str">
        <f>DT!B33</f>
        <v>01</v>
      </c>
      <c r="F14" s="2066" t="str">
        <f>DT!D33</f>
        <v>4097-01-005388-53-3</v>
      </c>
      <c r="G14" s="2067" t="str">
        <f>Rekonsiliasi!C14</f>
        <v>29 Februari 2016 2016</v>
      </c>
      <c r="H14" s="2058">
        <f>Rekonsiliasi!D14</f>
        <v>8285</v>
      </c>
      <c r="I14" s="2058">
        <f>Rekonsiliasi!E14</f>
        <v>8285</v>
      </c>
      <c r="J14" s="2058">
        <f>Rekonsiliasi!G14</f>
        <v>500100000</v>
      </c>
      <c r="K14" s="2058">
        <f>Rekonsiliasi!H14</f>
        <v>500100000</v>
      </c>
      <c r="L14" s="2058">
        <f>Rekonsiliasi!J14</f>
        <v>0</v>
      </c>
      <c r="M14" s="2059">
        <f>Rekonsiliasi!L14</f>
        <v>0</v>
      </c>
      <c r="N14" s="2060">
        <v>0</v>
      </c>
    </row>
    <row r="15" spans="1:71" s="2064" customFormat="1" ht="30" hidden="1">
      <c r="A15" s="2061" t="e">
        <f>DT!$G$30</f>
        <v>#VALUE!</v>
      </c>
      <c r="B15" s="2059" t="e">
        <f>DT!$F$31</f>
        <v>#VALUE!</v>
      </c>
      <c r="C15" s="2059" t="s">
        <v>1781</v>
      </c>
      <c r="D15" s="2059" t="str">
        <f>DT!$E$3</f>
        <v>3202220</v>
      </c>
      <c r="E15" s="2065" t="str">
        <f>DT!B34</f>
        <v>08</v>
      </c>
      <c r="F15" s="2066" t="str">
        <f>DT!D34</f>
        <v>.................................</v>
      </c>
      <c r="G15" s="2067" t="str">
        <f>Rekonsiliasi!C15</f>
        <v>29 Februari 2016 2016</v>
      </c>
      <c r="H15" s="2058">
        <f>Rekonsiliasi!D15</f>
        <v>0</v>
      </c>
      <c r="I15" s="2058">
        <f>Rekonsiliasi!E15</f>
        <v>0</v>
      </c>
      <c r="J15" s="2058">
        <f>Rekonsiliasi!G15</f>
        <v>0</v>
      </c>
      <c r="K15" s="2058">
        <f>Rekonsiliasi!H15</f>
        <v>0</v>
      </c>
      <c r="L15" s="2058">
        <f>Rekonsiliasi!J15</f>
        <v>0</v>
      </c>
      <c r="M15" s="2059">
        <f>Rekonsiliasi!L15</f>
        <v>0</v>
      </c>
      <c r="N15" s="2060">
        <v>0</v>
      </c>
    </row>
    <row r="16" spans="1:71" s="2064" customFormat="1" ht="30" hidden="1">
      <c r="A16" s="2061" t="e">
        <f>DT!$G$30</f>
        <v>#VALUE!</v>
      </c>
      <c r="B16" s="2059" t="e">
        <f>DT!$F$31</f>
        <v>#VALUE!</v>
      </c>
      <c r="C16" s="2059" t="s">
        <v>1781</v>
      </c>
      <c r="D16" s="2059" t="str">
        <f>DT!$E$3</f>
        <v>3202220</v>
      </c>
      <c r="E16" s="2065" t="str">
        <f>DT!B35</f>
        <v>11</v>
      </c>
      <c r="F16" s="2066" t="str">
        <f>DT!D35</f>
        <v>.................................</v>
      </c>
      <c r="G16" s="2067" t="str">
        <f>Rekonsiliasi!C16</f>
        <v>29 Februari 2016 2016</v>
      </c>
      <c r="H16" s="2058">
        <f>Rekonsiliasi!D16</f>
        <v>0</v>
      </c>
      <c r="I16" s="2058">
        <f>Rekonsiliasi!E16</f>
        <v>0</v>
      </c>
      <c r="J16" s="2058">
        <f>Rekonsiliasi!G16</f>
        <v>0</v>
      </c>
      <c r="K16" s="2058">
        <f>Rekonsiliasi!H16</f>
        <v>0</v>
      </c>
      <c r="L16" s="2058">
        <f>Rekonsiliasi!J16</f>
        <v>0</v>
      </c>
      <c r="M16" s="2059">
        <f>Rekonsiliasi!L16</f>
        <v>0</v>
      </c>
      <c r="N16" s="2060">
        <v>0</v>
      </c>
    </row>
    <row r="17" spans="1:14" s="2064" customFormat="1" ht="45">
      <c r="A17" s="2061" t="e">
        <f>DT!$G$30</f>
        <v>#VALUE!</v>
      </c>
      <c r="B17" s="2059" t="e">
        <f>DT!$F$31</f>
        <v>#VALUE!</v>
      </c>
      <c r="C17" s="2059" t="s">
        <v>1781</v>
      </c>
      <c r="D17" s="2059" t="str">
        <f>DT!$E$3</f>
        <v>3202220</v>
      </c>
      <c r="E17" s="2065" t="str">
        <f>DT!B36</f>
        <v>02</v>
      </c>
      <c r="F17" s="2066" t="str">
        <f>DT!D36</f>
        <v>4097-01-003534-53-6</v>
      </c>
      <c r="G17" s="2067" t="str">
        <f>Rekonsiliasi!C17</f>
        <v>29 Februari 2016 2016</v>
      </c>
      <c r="H17" s="2058">
        <f>Rekonsiliasi!D17</f>
        <v>35096029.859999895</v>
      </c>
      <c r="I17" s="2058">
        <f>Rekonsiliasi!E17</f>
        <v>1193379.8600000001</v>
      </c>
      <c r="J17" s="2058">
        <f>Rekonsiliasi!G17</f>
        <v>2013970454</v>
      </c>
      <c r="K17" s="2058">
        <f>Rekonsiliasi!H17</f>
        <v>1977438554</v>
      </c>
      <c r="L17" s="2058">
        <f>Rekonsiliasi!J17</f>
        <v>129250</v>
      </c>
      <c r="M17" s="2059" t="str">
        <f>Rekonsiliasi!L17</f>
        <v xml:space="preserve">Dana bunga BLM utk kegiatan Pelatihan </v>
      </c>
      <c r="N17" s="2060">
        <v>0</v>
      </c>
    </row>
    <row r="18" spans="1:14" s="2064" customFormat="1" ht="30" hidden="1">
      <c r="A18" s="2061" t="e">
        <f>DT!$G$30</f>
        <v>#VALUE!</v>
      </c>
      <c r="B18" s="2059" t="e">
        <f>DT!$F$31</f>
        <v>#VALUE!</v>
      </c>
      <c r="C18" s="2059" t="s">
        <v>1781</v>
      </c>
      <c r="D18" s="2059" t="str">
        <f>DT!$E$3</f>
        <v>3202220</v>
      </c>
      <c r="E18" s="2065" t="str">
        <f>DT!B37</f>
        <v>03</v>
      </c>
      <c r="F18" s="2066" t="str">
        <f>DT!D37</f>
        <v>.................................</v>
      </c>
      <c r="G18" s="2067" t="str">
        <f>Rekonsiliasi!C18</f>
        <v>29 Februari 2016 2016</v>
      </c>
      <c r="H18" s="2058">
        <f>Rekonsiliasi!D18</f>
        <v>0</v>
      </c>
      <c r="I18" s="2058">
        <f>Rekonsiliasi!E18</f>
        <v>0</v>
      </c>
      <c r="J18" s="2058">
        <f>Rekonsiliasi!G18</f>
        <v>0</v>
      </c>
      <c r="K18" s="2058">
        <f>Rekonsiliasi!H18</f>
        <v>0</v>
      </c>
      <c r="L18" s="2058">
        <f>Rekonsiliasi!J18</f>
        <v>0</v>
      </c>
      <c r="M18" s="2059">
        <f>Rekonsiliasi!L18</f>
        <v>0</v>
      </c>
      <c r="N18" s="2060">
        <v>0</v>
      </c>
    </row>
    <row r="19" spans="1:14" s="2064" customFormat="1" ht="30">
      <c r="A19" s="2061" t="e">
        <f>DT!$G$30</f>
        <v>#VALUE!</v>
      </c>
      <c r="B19" s="2059" t="e">
        <f>DT!$F$31</f>
        <v>#VALUE!</v>
      </c>
      <c r="C19" s="2059" t="s">
        <v>1781</v>
      </c>
      <c r="D19" s="2059" t="str">
        <f>DT!$E$3</f>
        <v>3202220</v>
      </c>
      <c r="E19" s="2065" t="str">
        <f>DT!B38</f>
        <v>04</v>
      </c>
      <c r="F19" s="2066">
        <f>DT!D38</f>
        <v>409701010423530</v>
      </c>
      <c r="G19" s="2067" t="str">
        <f>Rekonsiliasi!C19</f>
        <v>29 Februari 2016 2016</v>
      </c>
      <c r="H19" s="2058">
        <f>Rekonsiliasi!D19</f>
        <v>13002776</v>
      </c>
      <c r="I19" s="2058">
        <f>Rekonsiliasi!E19</f>
        <v>27420330</v>
      </c>
      <c r="J19" s="2058">
        <f>Rekonsiliasi!G19</f>
        <v>29165624300</v>
      </c>
      <c r="K19" s="2058">
        <f>Rekonsiliasi!H19</f>
        <v>29180041854</v>
      </c>
      <c r="L19" s="2058">
        <f>Rekonsiliasi!J19</f>
        <v>0</v>
      </c>
      <c r="M19" s="2059">
        <f>Rekonsiliasi!L19</f>
        <v>0</v>
      </c>
      <c r="N19" s="2060">
        <v>0</v>
      </c>
    </row>
    <row r="20" spans="1:14" s="2064" customFormat="1" ht="30" hidden="1">
      <c r="A20" s="2061" t="e">
        <f>DT!$G$30</f>
        <v>#VALUE!</v>
      </c>
      <c r="B20" s="2059" t="e">
        <f>DT!$F$31</f>
        <v>#VALUE!</v>
      </c>
      <c r="C20" s="2059" t="s">
        <v>1781</v>
      </c>
      <c r="D20" s="2059" t="str">
        <f>DT!$E$3</f>
        <v>3202220</v>
      </c>
      <c r="E20" s="2065" t="str">
        <f>DT!B39</f>
        <v>04</v>
      </c>
      <c r="F20" s="2066" t="str">
        <f>DT!D39</f>
        <v>.................................</v>
      </c>
      <c r="G20" s="2067" t="str">
        <f>Rekonsiliasi!C20</f>
        <v>29 Februari 2016 2016</v>
      </c>
      <c r="H20" s="2058">
        <f>Rekonsiliasi!D20</f>
        <v>0</v>
      </c>
      <c r="I20" s="2058">
        <f>Rekonsiliasi!E20</f>
        <v>0</v>
      </c>
      <c r="J20" s="2058">
        <f>Rekonsiliasi!G20</f>
        <v>0</v>
      </c>
      <c r="K20" s="2058">
        <f>Rekonsiliasi!H20</f>
        <v>0</v>
      </c>
      <c r="L20" s="2058">
        <f>Rekonsiliasi!J20</f>
        <v>0</v>
      </c>
      <c r="M20" s="2059">
        <f>Rekonsiliasi!L20</f>
        <v>0</v>
      </c>
      <c r="N20" s="2060">
        <v>0</v>
      </c>
    </row>
    <row r="21" spans="1:14" s="2064" customFormat="1" ht="30" hidden="1">
      <c r="A21" s="2061" t="e">
        <f>DT!$G$30</f>
        <v>#VALUE!</v>
      </c>
      <c r="B21" s="2059" t="e">
        <f>DT!$F$31</f>
        <v>#VALUE!</v>
      </c>
      <c r="C21" s="2059" t="s">
        <v>1781</v>
      </c>
      <c r="D21" s="2059" t="str">
        <f>DT!$E$3</f>
        <v>3202220</v>
      </c>
      <c r="E21" s="2065" t="str">
        <f>DT!B40</f>
        <v>07</v>
      </c>
      <c r="F21" s="2066" t="str">
        <f>DT!D40</f>
        <v>.................................</v>
      </c>
      <c r="G21" s="2067" t="str">
        <f>Rekonsiliasi!C21</f>
        <v>29 Februari 2016 2016</v>
      </c>
      <c r="H21" s="2058">
        <f>Rekonsiliasi!D21</f>
        <v>89000</v>
      </c>
      <c r="I21" s="2058">
        <f>Rekonsiliasi!E21</f>
        <v>-71057</v>
      </c>
      <c r="J21" s="2058">
        <f>Rekonsiliasi!G21</f>
        <v>14200000</v>
      </c>
      <c r="K21" s="2058">
        <f>Rekonsiliasi!H21</f>
        <v>14039943</v>
      </c>
      <c r="L21" s="2058">
        <f>Rekonsiliasi!J21</f>
        <v>0</v>
      </c>
      <c r="M21" s="2059">
        <f>Rekonsiliasi!L21</f>
        <v>0</v>
      </c>
      <c r="N21" s="2060">
        <v>0</v>
      </c>
    </row>
    <row r="22" spans="1:14" s="2064" customFormat="1" ht="30">
      <c r="A22" s="2061" t="e">
        <f>DT!$G$30</f>
        <v>#VALUE!</v>
      </c>
      <c r="B22" s="2059" t="e">
        <f>DT!$F$31</f>
        <v>#VALUE!</v>
      </c>
      <c r="C22" s="2059" t="s">
        <v>1781</v>
      </c>
      <c r="D22" s="2059" t="str">
        <f>DT!$E$3</f>
        <v>3202220</v>
      </c>
      <c r="E22" s="2065" t="str">
        <f>DT!B41</f>
        <v>05</v>
      </c>
      <c r="F22" s="2066" t="str">
        <f>DT!D41</f>
        <v>4097-01-002963-53-8</v>
      </c>
      <c r="G22" s="2067" t="str">
        <f>Rekonsiliasi!C22</f>
        <v>29 Februari 2016 2016</v>
      </c>
      <c r="H22" s="2058">
        <f>Rekonsiliasi!D22</f>
        <v>0</v>
      </c>
      <c r="I22" s="2058">
        <f>Rekonsiliasi!E22</f>
        <v>770761</v>
      </c>
      <c r="J22" s="2058">
        <f>Rekonsiliasi!G22</f>
        <v>210420000</v>
      </c>
      <c r="K22" s="2058">
        <f>Rekonsiliasi!H22</f>
        <v>211190761</v>
      </c>
      <c r="L22" s="2058">
        <f>Rekonsiliasi!J22</f>
        <v>0</v>
      </c>
      <c r="M22" s="2059">
        <f>Rekonsiliasi!L22</f>
        <v>0</v>
      </c>
      <c r="N22" s="2060">
        <v>0</v>
      </c>
    </row>
    <row r="23" spans="1:14" s="2064" customFormat="1" ht="30">
      <c r="A23" s="2061" t="e">
        <f>DT!$G$30</f>
        <v>#VALUE!</v>
      </c>
      <c r="B23" s="2059" t="e">
        <f>DT!$F$31</f>
        <v>#VALUE!</v>
      </c>
      <c r="C23" s="2059" t="s">
        <v>1781</v>
      </c>
      <c r="D23" s="2059" t="str">
        <f>DT!$E$3</f>
        <v>3202220</v>
      </c>
      <c r="E23" s="2065" t="str">
        <f>DT!B42</f>
        <v>06</v>
      </c>
      <c r="F23" s="2066" t="str">
        <f>DT!D42</f>
        <v>4097-01-002964-53-4</v>
      </c>
      <c r="G23" s="2067" t="str">
        <f>Rekonsiliasi!C23</f>
        <v>29 Februari 2016 2016</v>
      </c>
      <c r="H23" s="2058">
        <f>Rekonsiliasi!D23</f>
        <v>0</v>
      </c>
      <c r="I23" s="2058">
        <f>Rekonsiliasi!E23</f>
        <v>1038582</v>
      </c>
      <c r="J23" s="2058">
        <f>Rekonsiliasi!G23</f>
        <v>127476000</v>
      </c>
      <c r="K23" s="2058">
        <f>Rekonsiliasi!H23</f>
        <v>128514582</v>
      </c>
      <c r="L23" s="2058">
        <f>Rekonsiliasi!J23</f>
        <v>0</v>
      </c>
      <c r="M23" s="2059">
        <f>Rekonsiliasi!L23</f>
        <v>0</v>
      </c>
      <c r="N23" s="2060">
        <v>0</v>
      </c>
    </row>
    <row r="24" spans="1:14" s="2064" customFormat="1" ht="30" hidden="1">
      <c r="A24" s="2061" t="e">
        <f>DT!$G$30</f>
        <v>#VALUE!</v>
      </c>
      <c r="B24" s="2059" t="e">
        <f>DT!$F$31</f>
        <v>#VALUE!</v>
      </c>
      <c r="C24" s="2059" t="s">
        <v>1781</v>
      </c>
      <c r="D24" s="2059" t="str">
        <f>DT!$E$3</f>
        <v>3202220</v>
      </c>
      <c r="E24" s="2065" t="str">
        <f>DT!B43</f>
        <v>10</v>
      </c>
      <c r="F24" s="2066" t="str">
        <f>DT!D43</f>
        <v>.................................</v>
      </c>
      <c r="G24" s="2067" t="str">
        <f>Rekonsiliasi!C24</f>
        <v>29 Februari 2016 2016</v>
      </c>
      <c r="H24" s="2058">
        <f>Rekonsiliasi!D24</f>
        <v>0</v>
      </c>
      <c r="I24" s="2058">
        <f>Rekonsiliasi!E24</f>
        <v>0</v>
      </c>
      <c r="J24" s="2058">
        <f>Rekonsiliasi!G24</f>
        <v>0</v>
      </c>
      <c r="K24" s="2058">
        <f>Rekonsiliasi!H24</f>
        <v>0</v>
      </c>
      <c r="L24" s="2058">
        <f>Rekonsiliasi!J24</f>
        <v>0</v>
      </c>
      <c r="M24" s="2059">
        <f>Rekonsiliasi!L24</f>
        <v>0</v>
      </c>
      <c r="N24" s="2060">
        <v>0</v>
      </c>
    </row>
    <row r="25" spans="1:14" s="2064" customFormat="1" ht="30" hidden="1">
      <c r="A25" s="2061" t="e">
        <f>DT!$G$30</f>
        <v>#VALUE!</v>
      </c>
      <c r="B25" s="2059" t="e">
        <f>DT!$F$31</f>
        <v>#VALUE!</v>
      </c>
      <c r="C25" s="2059" t="s">
        <v>1781</v>
      </c>
      <c r="D25" s="2059" t="str">
        <f>DT!$E$3</f>
        <v>3202220</v>
      </c>
      <c r="E25" s="2065" t="str">
        <f>DT!B44</f>
        <v>10</v>
      </c>
      <c r="F25" s="2066" t="str">
        <f>DT!D44</f>
        <v>.................................</v>
      </c>
      <c r="G25" s="2067" t="str">
        <f>Rekonsiliasi!C25</f>
        <v>29 Februari 2016 2016</v>
      </c>
      <c r="H25" s="2058">
        <f>Rekonsiliasi!D25</f>
        <v>0</v>
      </c>
      <c r="I25" s="2058">
        <f>Rekonsiliasi!E25</f>
        <v>0</v>
      </c>
      <c r="J25" s="2058">
        <f>Rekonsiliasi!G25</f>
        <v>0</v>
      </c>
      <c r="K25" s="2058">
        <f>Rekonsiliasi!H25</f>
        <v>0</v>
      </c>
      <c r="L25" s="2058">
        <f>Rekonsiliasi!J25</f>
        <v>0</v>
      </c>
      <c r="M25" s="2059">
        <f>Rekonsiliasi!L25</f>
        <v>0</v>
      </c>
      <c r="N25" s="2060">
        <v>0</v>
      </c>
    </row>
    <row r="26" spans="1:14" s="2064" customFormat="1" ht="30">
      <c r="A26" s="2061" t="e">
        <f>DT!$G$30</f>
        <v>#VALUE!</v>
      </c>
      <c r="B26" s="2059" t="e">
        <f>DT!$F$31</f>
        <v>#VALUE!</v>
      </c>
      <c r="C26" s="2059" t="s">
        <v>1781</v>
      </c>
      <c r="D26" s="2059" t="str">
        <f>DT!$E$3</f>
        <v>3202220</v>
      </c>
      <c r="E26" s="2065" t="str">
        <f>DT!B45</f>
        <v>05</v>
      </c>
      <c r="F26" s="2066" t="str">
        <f>DT!D45</f>
        <v>4097-01-005759-53-0</v>
      </c>
      <c r="G26" s="2067" t="str">
        <f>Rekonsiliasi!C26</f>
        <v>29 Februari 2016 2016</v>
      </c>
      <c r="H26" s="2058">
        <f>Rekonsiliasi!D26</f>
        <v>307376</v>
      </c>
      <c r="I26" s="2058">
        <f>Rekonsiliasi!E26</f>
        <v>307376</v>
      </c>
      <c r="J26" s="2058">
        <f>Rekonsiliasi!G26</f>
        <v>55000000</v>
      </c>
      <c r="K26" s="2058">
        <f>Rekonsiliasi!H26</f>
        <v>55000000</v>
      </c>
      <c r="L26" s="2058">
        <f>Rekonsiliasi!J26</f>
        <v>0</v>
      </c>
      <c r="M26" s="2059">
        <f>Rekonsiliasi!L26</f>
        <v>0</v>
      </c>
      <c r="N26" s="2060">
        <v>0</v>
      </c>
    </row>
    <row r="27" spans="1:14" s="2064" customFormat="1" ht="30">
      <c r="A27" s="2061" t="e">
        <f>DT!$G$30</f>
        <v>#VALUE!</v>
      </c>
      <c r="B27" s="2059" t="e">
        <f>DT!$F$31</f>
        <v>#VALUE!</v>
      </c>
      <c r="C27" s="2059" t="s">
        <v>1781</v>
      </c>
      <c r="D27" s="2059" t="str">
        <f>DT!$E$3</f>
        <v>3202220</v>
      </c>
      <c r="E27" s="2065" t="str">
        <f>DT!B46</f>
        <v>13</v>
      </c>
      <c r="F27" s="2066" t="str">
        <f>DT!D46</f>
        <v>4097-01-005570-53-8</v>
      </c>
      <c r="G27" s="2067" t="str">
        <f>Rekonsiliasi!C27</f>
        <v>29 Februari 2016 2016</v>
      </c>
      <c r="H27" s="2058">
        <f>Rekonsiliasi!D27</f>
        <v>126052</v>
      </c>
      <c r="I27" s="2058">
        <f>Rekonsiliasi!E27</f>
        <v>26052</v>
      </c>
      <c r="J27" s="2058">
        <f>Rekonsiliasi!G27</f>
        <v>18625000</v>
      </c>
      <c r="K27" s="2058">
        <f>Rekonsiliasi!H27</f>
        <v>18460300</v>
      </c>
      <c r="L27" s="2058">
        <f>Rekonsiliasi!J27</f>
        <v>64700</v>
      </c>
      <c r="M27" s="2059">
        <f>Rekonsiliasi!L27</f>
        <v>0</v>
      </c>
      <c r="N27" s="2060">
        <v>0</v>
      </c>
    </row>
  </sheetData>
  <sheetProtection password="C13C" sheet="1" objects="1" scenarios="1" formatCells="0" formatColumns="0" formatRows="0"/>
  <mergeCells count="34">
    <mergeCell ref="BG9:BH9"/>
    <mergeCell ref="BI9:BM9"/>
    <mergeCell ref="BN9:BR9"/>
    <mergeCell ref="AW9:AX9"/>
    <mergeCell ref="AY9:AZ9"/>
    <mergeCell ref="BA9:BB9"/>
    <mergeCell ref="BC9:BD9"/>
    <mergeCell ref="BE9:BF9"/>
    <mergeCell ref="AM9:AN9"/>
    <mergeCell ref="AO9:AP9"/>
    <mergeCell ref="AQ9:AR9"/>
    <mergeCell ref="AS9:AT9"/>
    <mergeCell ref="AU9:AV9"/>
    <mergeCell ref="AC9:AD9"/>
    <mergeCell ref="AE9:AF9"/>
    <mergeCell ref="AG9:AH9"/>
    <mergeCell ref="AI9:AJ9"/>
    <mergeCell ref="AK9:AL9"/>
    <mergeCell ref="S9:T9"/>
    <mergeCell ref="U9:V9"/>
    <mergeCell ref="W9:X9"/>
    <mergeCell ref="Y9:Z9"/>
    <mergeCell ref="AA9:AB9"/>
    <mergeCell ref="A1:Q1"/>
    <mergeCell ref="A2:Q2"/>
    <mergeCell ref="A3:Q3"/>
    <mergeCell ref="A4:Q4"/>
    <mergeCell ref="E9:F9"/>
    <mergeCell ref="G9:H9"/>
    <mergeCell ref="I9:J9"/>
    <mergeCell ref="K9:L9"/>
    <mergeCell ref="M9:N9"/>
    <mergeCell ref="O9:P9"/>
    <mergeCell ref="Q9:R9"/>
  </mergeCells>
  <hyperlinks>
    <hyperlink ref="A2" location="Depan!A1" display="UNIT PENGELOLA KEGIATAN (UPK)"/>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134</vt:i4>
      </vt:variant>
      <vt:variant>
        <vt:lpstr>Named Ranges</vt:lpstr>
      </vt:variant>
      <vt:variant>
        <vt:i4>119</vt:i4>
      </vt:variant>
    </vt:vector>
  </HeadingPairs>
  <TitlesOfParts>
    <vt:vector size="253" baseType="lpstr">
      <vt:lpstr>DAFTAR ISI</vt:lpstr>
      <vt:lpstr>Daftar Isi PINJAMAN</vt:lpstr>
      <vt:lpstr>DT</vt:lpstr>
      <vt:lpstr>DATA BANTUAN</vt:lpstr>
      <vt:lpstr>Tutup Buku</vt:lpstr>
      <vt:lpstr>Perubahan modal</vt:lpstr>
      <vt:lpstr>Lap. Realisasi Surplus</vt:lpstr>
      <vt:lpstr>BUKU HUTANG &amp; HIBAH</vt:lpstr>
      <vt:lpstr>CEK</vt:lpstr>
      <vt:lpstr>Kas B PPK</vt:lpstr>
      <vt:lpstr>Kas B PNPM-MPd</vt:lpstr>
      <vt:lpstr>Kas B GSC</vt:lpstr>
      <vt:lpstr>Kas B PNPM-TP GEMPA</vt:lpstr>
      <vt:lpstr>Kas B PASCA KRISIS</vt:lpstr>
      <vt:lpstr>Kas OP-UPK</vt:lpstr>
      <vt:lpstr>Kas UEP</vt:lpstr>
      <vt:lpstr>Kas SPP</vt:lpstr>
      <vt:lpstr>Kas SPP Pihak ke-3</vt:lpstr>
      <vt:lpstr>Kas DOK PNPM MP 2012</vt:lpstr>
      <vt:lpstr>Kas DOK Pernc.</vt:lpstr>
      <vt:lpstr>Kas DOK Pelth.</vt:lpstr>
      <vt:lpstr>Kas DOK PLUPK</vt:lpstr>
      <vt:lpstr>Kas DOK Pernc.GSC</vt:lpstr>
      <vt:lpstr>Kas DOK Pelth.GSC</vt:lpstr>
      <vt:lpstr>Kas DOK GEMPA</vt:lpstr>
      <vt:lpstr>Kas DOK RPJMDES</vt:lpstr>
      <vt:lpstr>Bank B PPK</vt:lpstr>
      <vt:lpstr>Bank B PNPM-MPd</vt:lpstr>
      <vt:lpstr>Bank B GSC</vt:lpstr>
      <vt:lpstr>Bank B PNPM-TP GEMPA</vt:lpstr>
      <vt:lpstr>Bank B PASCA KRISIS</vt:lpstr>
      <vt:lpstr>Bank UEP</vt:lpstr>
      <vt:lpstr>Bank OP-UPK</vt:lpstr>
      <vt:lpstr>Bank SPP</vt:lpstr>
      <vt:lpstr>Bank SPP Pihak ke-3</vt:lpstr>
      <vt:lpstr>Bank DOK PNPM MP 2012</vt:lpstr>
      <vt:lpstr>Bank DOK PERNC</vt:lpstr>
      <vt:lpstr>Bank DOK PELTH</vt:lpstr>
      <vt:lpstr>Bank DOK PLUPK</vt:lpstr>
      <vt:lpstr>Bank DOK PERNC-GSC</vt:lpstr>
      <vt:lpstr>Bank DOK PELTH-GSC</vt:lpstr>
      <vt:lpstr>Bank DOK GEMPA</vt:lpstr>
      <vt:lpstr>Bank DOK RPJMDES</vt:lpstr>
      <vt:lpstr>Aktiva Tetap &amp; Aktv Lain2</vt:lpstr>
      <vt:lpstr>BDD</vt:lpstr>
      <vt:lpstr>Inventaris</vt:lpstr>
      <vt:lpstr>Penyaluran dana</vt:lpstr>
      <vt:lpstr>Neraca Program</vt:lpstr>
      <vt:lpstr>Lap. Opr. Program</vt:lpstr>
      <vt:lpstr>Neraca Program REGULER</vt:lpstr>
      <vt:lpstr>Lap. Opr. Program REGULER</vt:lpstr>
      <vt:lpstr>R-L Microfinance</vt:lpstr>
      <vt:lpstr>Neraca Micro</vt:lpstr>
      <vt:lpstr>Arus Dana</vt:lpstr>
      <vt:lpstr>Rekonsiliasi</vt:lpstr>
      <vt:lpstr>Audit Keuangan</vt:lpstr>
      <vt:lpstr>Penghapusan Pinjaman</vt:lpstr>
      <vt:lpstr>LPP-UEP</vt:lpstr>
      <vt:lpstr>LPP-SPP</vt:lpstr>
      <vt:lpstr>LPP-SPP PIHAK KE-3</vt:lpstr>
      <vt:lpstr>LPP-SPP (BLM+PIHAK KE3)</vt:lpstr>
      <vt:lpstr>KOLEKTIBILITAS-UEP</vt:lpstr>
      <vt:lpstr>KOLEKTIBILITAS-SPP</vt:lpstr>
      <vt:lpstr>KOLEKTIBILITAS-SPP PIHAK KE-3</vt:lpstr>
      <vt:lpstr>KOLEKTIBILITAS-SPP(BLM+PHK KE3)</vt:lpstr>
      <vt:lpstr>84ABC-UEP</vt:lpstr>
      <vt:lpstr>84ABC-SPP</vt:lpstr>
      <vt:lpstr>84ABC-SPP PIHAK KE-3</vt:lpstr>
      <vt:lpstr>84ABC-SPP+UEP</vt:lpstr>
      <vt:lpstr>DOK PERC</vt:lpstr>
      <vt:lpstr>DOK PELT</vt:lpstr>
      <vt:lpstr>DOK MICRO</vt:lpstr>
      <vt:lpstr>DOK PERNC. GSC</vt:lpstr>
      <vt:lpstr>DOK PELT. GSC</vt:lpstr>
      <vt:lpstr>DOK GEMPA</vt:lpstr>
      <vt:lpstr>DOK RPJMDES</vt:lpstr>
      <vt:lpstr>UEP-1</vt:lpstr>
      <vt:lpstr>UEP-2</vt:lpstr>
      <vt:lpstr>UEP-3</vt:lpstr>
      <vt:lpstr>UEP-4</vt:lpstr>
      <vt:lpstr>UEP-5</vt:lpstr>
      <vt:lpstr>UEP-6</vt:lpstr>
      <vt:lpstr>UEP-7</vt:lpstr>
      <vt:lpstr>UEP-8</vt:lpstr>
      <vt:lpstr>UEP-9</vt:lpstr>
      <vt:lpstr>UEP-10</vt:lpstr>
      <vt:lpstr>UEP-11</vt:lpstr>
      <vt:lpstr>UEP-12</vt:lpstr>
      <vt:lpstr>UEP-13</vt:lpstr>
      <vt:lpstr>UEP-14</vt:lpstr>
      <vt:lpstr>UEP-15</vt:lpstr>
      <vt:lpstr>UEP-16</vt:lpstr>
      <vt:lpstr>SPP-1</vt:lpstr>
      <vt:lpstr>SPP-2</vt:lpstr>
      <vt:lpstr>SPP-3</vt:lpstr>
      <vt:lpstr>SPP-4</vt:lpstr>
      <vt:lpstr>SPP-5</vt:lpstr>
      <vt:lpstr>SPP-6</vt:lpstr>
      <vt:lpstr>SPP-7</vt:lpstr>
      <vt:lpstr>SPP-8</vt:lpstr>
      <vt:lpstr>SPP-9</vt:lpstr>
      <vt:lpstr>SPP-10</vt:lpstr>
      <vt:lpstr>SPP-11</vt:lpstr>
      <vt:lpstr>SPP-12</vt:lpstr>
      <vt:lpstr>SPP-13</vt:lpstr>
      <vt:lpstr>SPP-14</vt:lpstr>
      <vt:lpstr>SPP-15</vt:lpstr>
      <vt:lpstr>SPP-16</vt:lpstr>
      <vt:lpstr>SPP K3-1</vt:lpstr>
      <vt:lpstr>SPP K3-2</vt:lpstr>
      <vt:lpstr>SPP K3-3</vt:lpstr>
      <vt:lpstr>SPP K3-4</vt:lpstr>
      <vt:lpstr>SPP K3-5</vt:lpstr>
      <vt:lpstr>SPP K3-6</vt:lpstr>
      <vt:lpstr>SPP K3-7</vt:lpstr>
      <vt:lpstr>SPP K3-8</vt:lpstr>
      <vt:lpstr>SPP K3-9</vt:lpstr>
      <vt:lpstr>SPP K3-10</vt:lpstr>
      <vt:lpstr>SPP K3-11</vt:lpstr>
      <vt:lpstr>SPP K3-12</vt:lpstr>
      <vt:lpstr>SPP K3-13</vt:lpstr>
      <vt:lpstr>SPP K3-14</vt:lpstr>
      <vt:lpstr>SPP K3-15</vt:lpstr>
      <vt:lpstr>SPP K3-16</vt:lpstr>
      <vt:lpstr>db LPP-UEP</vt:lpstr>
      <vt:lpstr>db LPP-SPP</vt:lpstr>
      <vt:lpstr>db KOLEKTOBILITAS-UEP</vt:lpstr>
      <vt:lpstr>db KOLEKTOBILITAS-SPP</vt:lpstr>
      <vt:lpstr>db Nrc Program</vt:lpstr>
      <vt:lpstr>DB Ops Program</vt:lpstr>
      <vt:lpstr>db Nrc Micro</vt:lpstr>
      <vt:lpstr>DB RL Micro</vt:lpstr>
      <vt:lpstr>db Arus Dana</vt:lpstr>
      <vt:lpstr>db Rekonsiliasi</vt:lpstr>
      <vt:lpstr>'84ABC-SPP'!Print_Area</vt:lpstr>
      <vt:lpstr>'84ABC-SPP PIHAK KE-3'!Print_Area</vt:lpstr>
      <vt:lpstr>'84ABC-SPP+UEP'!Print_Area</vt:lpstr>
      <vt:lpstr>'84ABC-UEP'!Print_Area</vt:lpstr>
      <vt:lpstr>'Aktiva Tetap &amp; Aktv Lain2'!Print_Area</vt:lpstr>
      <vt:lpstr>'Arus Dana'!Print_Area</vt:lpstr>
      <vt:lpstr>'Audit Keuangan'!Print_Area</vt:lpstr>
      <vt:lpstr>'Bank B GSC'!Print_Area</vt:lpstr>
      <vt:lpstr>'Bank B PASCA KRISIS'!Print_Area</vt:lpstr>
      <vt:lpstr>'Bank B PNPM-MPd'!Print_Area</vt:lpstr>
      <vt:lpstr>'Bank B PNPM-TP GEMPA'!Print_Area</vt:lpstr>
      <vt:lpstr>'Bank B PPK'!Print_Area</vt:lpstr>
      <vt:lpstr>'Bank DOK GEMPA'!Print_Area</vt:lpstr>
      <vt:lpstr>'Bank DOK PELTH'!Print_Area</vt:lpstr>
      <vt:lpstr>'Bank DOK PELTH-GSC'!Print_Area</vt:lpstr>
      <vt:lpstr>'Bank DOK PERNC'!Print_Area</vt:lpstr>
      <vt:lpstr>'Bank DOK PERNC-GSC'!Print_Area</vt:lpstr>
      <vt:lpstr>'Bank DOK PLUPK'!Print_Area</vt:lpstr>
      <vt:lpstr>'Bank DOK RPJMDES'!Print_Area</vt:lpstr>
      <vt:lpstr>'Bank OP-UPK'!Print_Area</vt:lpstr>
      <vt:lpstr>'Bank SPP'!Print_Area</vt:lpstr>
      <vt:lpstr>'Bank SPP Pihak ke-3'!Print_Area</vt:lpstr>
      <vt:lpstr>'Bank UEP'!Print_Area</vt:lpstr>
      <vt:lpstr>BDD!Print_Area</vt:lpstr>
      <vt:lpstr>CEK!Print_Area</vt:lpstr>
      <vt:lpstr>'DATA BANTUAN'!Print_Area</vt:lpstr>
      <vt:lpstr>'DOK GEMPA'!Print_Area</vt:lpstr>
      <vt:lpstr>'DOK MICRO'!Print_Area</vt:lpstr>
      <vt:lpstr>'DOK PELT'!Print_Area</vt:lpstr>
      <vt:lpstr>'DOK PELT. GSC'!Print_Area</vt:lpstr>
      <vt:lpstr>'DOK PERC'!Print_Area</vt:lpstr>
      <vt:lpstr>'DOK PERNC. GSC'!Print_Area</vt:lpstr>
      <vt:lpstr>'DOK RPJMDES'!Print_Area</vt:lpstr>
      <vt:lpstr>DT!Print_Area</vt:lpstr>
      <vt:lpstr>Inventaris!Print_Area</vt:lpstr>
      <vt:lpstr>'Kas B PNPM-MPd'!Print_Area</vt:lpstr>
      <vt:lpstr>'Kas B PNPM-TP GEMPA'!Print_Area</vt:lpstr>
      <vt:lpstr>'Kas DOK GEMPA'!Print_Area</vt:lpstr>
      <vt:lpstr>'Kas DOK Pelth.'!Print_Area</vt:lpstr>
      <vt:lpstr>'Kas DOK Pelth.GSC'!Print_Area</vt:lpstr>
      <vt:lpstr>'Kas DOK Pernc.GSC'!Print_Area</vt:lpstr>
      <vt:lpstr>'Kas DOK PLUPK'!Print_Area</vt:lpstr>
      <vt:lpstr>'Kas DOK PNPM MP 2012'!Print_Area</vt:lpstr>
      <vt:lpstr>'Kas DOK RPJMDES'!Print_Area</vt:lpstr>
      <vt:lpstr>'Kas OP-UPK'!Print_Area</vt:lpstr>
      <vt:lpstr>'Kas SPP'!Print_Area</vt:lpstr>
      <vt:lpstr>'KOLEKTIBILITAS-SPP'!Print_Area</vt:lpstr>
      <vt:lpstr>'KOLEKTIBILITAS-SPP PIHAK KE-3'!Print_Area</vt:lpstr>
      <vt:lpstr>'KOLEKTIBILITAS-SPP(BLM+PHK KE3)'!Print_Area</vt:lpstr>
      <vt:lpstr>'KOLEKTIBILITAS-UEP'!Print_Area</vt:lpstr>
      <vt:lpstr>'Lap. Opr. Program'!Print_Area</vt:lpstr>
      <vt:lpstr>'Lap. Opr. Program REGULER'!Print_Area</vt:lpstr>
      <vt:lpstr>'LPP-SPP'!Print_Area</vt:lpstr>
      <vt:lpstr>'LPP-SPP (BLM+PIHAK KE3)'!Print_Area</vt:lpstr>
      <vt:lpstr>'LPP-SPP PIHAK KE-3'!Print_Area</vt:lpstr>
      <vt:lpstr>'LPP-UEP'!Print_Area</vt:lpstr>
      <vt:lpstr>'Neraca Micro'!Print_Area</vt:lpstr>
      <vt:lpstr>'Neraca Program'!Print_Area</vt:lpstr>
      <vt:lpstr>'Neraca Program REGULER'!Print_Area</vt:lpstr>
      <vt:lpstr>'Penghapusan Pinjaman'!Print_Area</vt:lpstr>
      <vt:lpstr>'Penyaluran dana'!Print_Area</vt:lpstr>
      <vt:lpstr>'Perubahan modal'!Print_Area</vt:lpstr>
      <vt:lpstr>Rekonsiliasi!Print_Area</vt:lpstr>
      <vt:lpstr>'R-L Microfinance'!Print_Area</vt:lpstr>
      <vt:lpstr>'SPP K3-1'!Print_Area</vt:lpstr>
      <vt:lpstr>'SPP K3-10'!Print_Area</vt:lpstr>
      <vt:lpstr>'SPP K3-11'!Print_Area</vt:lpstr>
      <vt:lpstr>'SPP K3-12'!Print_Area</vt:lpstr>
      <vt:lpstr>'SPP K3-13'!Print_Area</vt:lpstr>
      <vt:lpstr>'SPP K3-14'!Print_Area</vt:lpstr>
      <vt:lpstr>'SPP K3-15'!Print_Area</vt:lpstr>
      <vt:lpstr>'SPP K3-16'!Print_Area</vt:lpstr>
      <vt:lpstr>'SPP K3-2'!Print_Area</vt:lpstr>
      <vt:lpstr>'SPP K3-3'!Print_Area</vt:lpstr>
      <vt:lpstr>'SPP K3-4'!Print_Area</vt:lpstr>
      <vt:lpstr>'SPP K3-5'!Print_Area</vt:lpstr>
      <vt:lpstr>'SPP K3-6'!Print_Area</vt:lpstr>
      <vt:lpstr>'SPP K3-7'!Print_Area</vt:lpstr>
      <vt:lpstr>'SPP K3-8'!Print_Area</vt:lpstr>
      <vt:lpstr>'SPP K3-9'!Print_Area</vt:lpstr>
      <vt:lpstr>'SPP-1'!Print_Area</vt:lpstr>
      <vt:lpstr>'SPP-10'!Print_Area</vt:lpstr>
      <vt:lpstr>'SPP-11'!Print_Area</vt:lpstr>
      <vt:lpstr>'SPP-12'!Print_Area</vt:lpstr>
      <vt:lpstr>'SPP-13'!Print_Area</vt:lpstr>
      <vt:lpstr>'SPP-14'!Print_Area</vt:lpstr>
      <vt:lpstr>'SPP-15'!Print_Area</vt:lpstr>
      <vt:lpstr>'SPP-16'!Print_Area</vt:lpstr>
      <vt:lpstr>'SPP-2'!Print_Area</vt:lpstr>
      <vt:lpstr>'SPP-3'!Print_Area</vt:lpstr>
      <vt:lpstr>'SPP-4'!Print_Area</vt:lpstr>
      <vt:lpstr>'SPP-5'!Print_Area</vt:lpstr>
      <vt:lpstr>'SPP-6'!Print_Area</vt:lpstr>
      <vt:lpstr>'SPP-7'!Print_Area</vt:lpstr>
      <vt:lpstr>'SPP-8'!Print_Area</vt:lpstr>
      <vt:lpstr>'SPP-9'!Print_Area</vt:lpstr>
      <vt:lpstr>'Tutup Buku'!Print_Area</vt:lpstr>
      <vt:lpstr>'UEP-1'!Print_Area</vt:lpstr>
      <vt:lpstr>'UEP-10'!Print_Area</vt:lpstr>
      <vt:lpstr>'UEP-11'!Print_Area</vt:lpstr>
      <vt:lpstr>'UEP-12'!Print_Area</vt:lpstr>
      <vt:lpstr>'UEP-13'!Print_Area</vt:lpstr>
      <vt:lpstr>'UEP-14'!Print_Area</vt:lpstr>
      <vt:lpstr>'UEP-15'!Print_Area</vt:lpstr>
      <vt:lpstr>'UEP-16'!Print_Area</vt:lpstr>
      <vt:lpstr>'UEP-2'!Print_Area</vt:lpstr>
      <vt:lpstr>'UEP-3'!Print_Area</vt:lpstr>
      <vt:lpstr>'UEP-4'!Print_Area</vt:lpstr>
      <vt:lpstr>'UEP-5'!Print_Area</vt:lpstr>
      <vt:lpstr>'UEP-6'!Print_Area</vt:lpstr>
      <vt:lpstr>'UEP-7'!Print_Area</vt:lpstr>
      <vt:lpstr>'UEP-8'!Print_Area</vt:lpstr>
      <vt:lpstr>'UEP-9'!Print_Area</vt:lpstr>
      <vt:lpstr>'84ABC-SPP'!Print_Titles</vt:lpstr>
      <vt:lpstr>'84ABC-SPP PIHAK KE-3'!Print_Titles</vt:lpstr>
      <vt:lpstr>'84ABC-SPP+UEP'!Print_Titles</vt:lpstr>
      <vt:lpstr>'84ABC-UEP'!Print_Titles</vt:lpstr>
      <vt:lpstr>'Kas OP-UPK'!Print_Titles</vt:lpstr>
      <vt:lpstr>'Kas SPP'!Print_Titles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UPK</cp:lastModifiedBy>
  <cp:lastPrinted>2016-02-01T04:08:04Z</cp:lastPrinted>
  <dcterms:created xsi:type="dcterms:W3CDTF">2005-12-17T05:25:59Z</dcterms:created>
  <dcterms:modified xsi:type="dcterms:W3CDTF">2016-02-23T07:46:47Z</dcterms:modified>
</cp:coreProperties>
</file>